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sheet1.xml" ContentType="application/vnd.ms-excel.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macrosheets/sheet2.xml" ContentType="application/vnd.ms-excel.macro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macrosheets/sheet3.xml" ContentType="application/vnd.ms-excel.macro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macrosheets/sheet4.xml" ContentType="application/vnd.ms-excel.macrosheet+xml"/>
  <Override PartName="/xl/macrosheets/sheet5.xml" ContentType="application/vnd.ms-excel.macro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0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9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21.xml" ContentType="application/vnd.openxmlformats-officedocument.drawing+xml"/>
  <Override PartName="/xl/charts/chart6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urance\Desktop\local_repos\cm3l-research\DD\MICMAC\"/>
    </mc:Choice>
  </mc:AlternateContent>
  <xr:revisionPtr revIDLastSave="0" documentId="13_ncr:1_{D44E3185-1C47-4836-8BD9-B75327DC64D0}" xr6:coauthVersionLast="47" xr6:coauthVersionMax="47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Materials" sheetId="2" r:id="rId1"/>
    <sheet name="InPlane" sheetId="5" r:id="rId2"/>
    <sheet name="DDequiv" sheetId="2159" state="hidden" r:id="rId3"/>
    <sheet name="Main" sheetId="7" r:id="rId4"/>
    <sheet name="Chart" sheetId="2161" state="hidden" r:id="rId5"/>
    <sheet name="InPlane Strain" sheetId="8" state="hidden" r:id="rId6"/>
    <sheet name="Duplex" sheetId="15" state="hidden" r:id="rId7"/>
    <sheet name="ThinWall" sheetId="12" state="hidden" r:id="rId8"/>
    <sheet name="Flex" sheetId="6" state="hidden" r:id="rId9"/>
    <sheet name="Hybrid" sheetId="14" state="hidden" r:id="rId10"/>
    <sheet name="Shaft" sheetId="13" state="hidden" r:id="rId11"/>
    <sheet name="Beam" sheetId="9" state="hidden" r:id="rId12"/>
    <sheet name="Tube" sheetId="10" state="hidden" r:id="rId13"/>
    <sheet name="Vessel" sheetId="11" state="hidden" r:id="rId14"/>
    <sheet name="Lam3D" sheetId="17" state="hidden" r:id="rId15"/>
    <sheet name="PD" sheetId="19" state="hidden" r:id="rId16"/>
    <sheet name="PD_chart" sheetId="21" state="hidden" r:id="rId17"/>
    <sheet name="PD_sub" sheetId="20" state="hidden" r:id="rId18"/>
    <sheet name="PDFlex" sheetId="22" state="hidden" r:id="rId19"/>
    <sheet name="PDFlex_chart" sheetId="24" state="hidden" r:id="rId20"/>
    <sheet name="PDFlex_sub" sheetId="23" state="hidden" r:id="rId21"/>
    <sheet name="ChartQ" sheetId="4" state="hidden" r:id="rId22"/>
    <sheet name="SHEAR" sheetId="18" state="hidden" r:id="rId23"/>
    <sheet name="MAT" sheetId="51" state="hidden" r:id="rId24"/>
    <sheet name="GenLam" sheetId="16" state="hidden" r:id="rId25"/>
    <sheet name="Feuil1" sheetId="2160" state="hidden" r:id="rId26"/>
    <sheet name="Table" sheetId="48" state="hidden" r:id="rId27"/>
    <sheet name="TableVal" sheetId="49" state="hidden" r:id="rId28"/>
    <sheet name="Chart23" sheetId="47" state="hidden" r:id="rId29"/>
    <sheet name="Sheet1" sheetId="642" state="hidden" r:id="rId30"/>
    <sheet name="Sheet2" sheetId="658" state="hidden" r:id="rId31"/>
    <sheet name="Sheet3" sheetId="659" state="hidden" r:id="rId32"/>
  </sheets>
  <functionGroups builtInGroupCount="19"/>
  <externalReferences>
    <externalReference r:id="rId33"/>
    <externalReference r:id="rId34"/>
    <externalReference r:id="rId35"/>
    <externalReference r:id="rId36"/>
    <externalReference r:id="rId37"/>
  </externalReferences>
  <definedNames>
    <definedName name="__EdFJsKAA" localSheetId="11" hidden="1">[1]!CHART</definedName>
    <definedName name="__EdFJsKAA" localSheetId="6" hidden="1">[1]!CHART</definedName>
    <definedName name="__EdFJsKAA" localSheetId="8" hidden="1">[1]!CHART</definedName>
    <definedName name="__EdFJsKAA" localSheetId="24" hidden="1">[2]!CHART</definedName>
    <definedName name="__EdFJsKAA" localSheetId="9" hidden="1">[3]!MatHy</definedName>
    <definedName name="__EdFJsKAA" localSheetId="1" hidden="1">[1]!CHART</definedName>
    <definedName name="__EdFJsKAA" localSheetId="5" hidden="1">[1]!CHART</definedName>
    <definedName name="__EdFJsKAA" localSheetId="15" hidden="1">PD!CHART</definedName>
    <definedName name="__EdFJsKAA" localSheetId="18" hidden="1">[4]!Material_help2</definedName>
    <definedName name="__EdFJsKAA" localSheetId="10" hidden="1">[1]!CHART</definedName>
    <definedName name="__EdFJsKAA" localSheetId="7" hidden="1">[1]!CHART</definedName>
    <definedName name="__EdFJsKAA" localSheetId="12" hidden="1">[1]!CHART</definedName>
    <definedName name="__EdFJsKAA" localSheetId="13" hidden="1">[1]!CHART</definedName>
    <definedName name="__EdFJsKAA" hidden="1">[1]!CHART</definedName>
    <definedName name="__EdFJsKBA" localSheetId="11" hidden="1">[3]!Mat</definedName>
    <definedName name="__EdFJsKBA" localSheetId="6" hidden="1">[3]!MatDu</definedName>
    <definedName name="__EdFJsKBA" localSheetId="8" hidden="1">[3]!Mat</definedName>
    <definedName name="__EdFJsKBA" localSheetId="24" hidden="1">[5]!Mat</definedName>
    <definedName name="__EdFJsKBA" localSheetId="9" hidden="1">[1]!CHART</definedName>
    <definedName name="__EdFJsKBA" localSheetId="1" hidden="1">#N/A</definedName>
    <definedName name="__EdFJsKBA" localSheetId="5" hidden="1">[3]!Mat</definedName>
    <definedName name="__EdFJsKBA" localSheetId="18" hidden="1">[0]!Strength</definedName>
    <definedName name="__EdFJsKBA" localSheetId="10" hidden="1">[3]!Mat</definedName>
    <definedName name="__EdFJsKBA" localSheetId="7" hidden="1">[3]!MatHy</definedName>
    <definedName name="__EdFJsKBA" localSheetId="12" hidden="1">[3]!Mat</definedName>
    <definedName name="__EdFJsKBA" localSheetId="13" hidden="1">[3]!Mat</definedName>
    <definedName name="__EdFJsKBA" hidden="1">[3]!Mat</definedName>
    <definedName name="__MAT12" localSheetId="18">PDFlex!$AC$23:$AC$79,PDFlex!$AK$23:$AK$80</definedName>
    <definedName name="__MAT12">PD!$X$22:$AD$78</definedName>
    <definedName name="__MAT34" localSheetId="18">PDFlex!$AC$82:$AC$134,PDFlex!$AK$82:$AK$134</definedName>
    <definedName name="__MAT34">PD!$X$80:$AD$135</definedName>
    <definedName name="__MAT56" localSheetId="18">PDFlex!$AC$140:$AC$192,PDFlex!$AK$140:$AK$192</definedName>
    <definedName name="__MAT56">PD!$X$137:$AD$192</definedName>
    <definedName name="__MAT78" localSheetId="18">PDFlex!$AC$199:$AC$251,PDFlex!$AK$199:$AK$251</definedName>
    <definedName name="__MAT78">PD!$X$194:$AD$249</definedName>
    <definedName name="__seq1" localSheetId="18">PDFlex!$AM$24:$AN$31,PDFlex!$AM$33:$AN$40</definedName>
    <definedName name="__seq1">SHEAR!$AV$24:$AW$31,SHEAR!$AV$33:$AW$40</definedName>
    <definedName name="_BCs1">SHEAR!$AZ$2</definedName>
    <definedName name="_Box2">MAT!$L$3:$R$58</definedName>
    <definedName name="_Box3">MAT!$T$3:$Z$48</definedName>
    <definedName name="_Box4">SHEAR!$L$3:$R$40</definedName>
    <definedName name="_Eng3" localSheetId="22">SHEAR!$Y$48</definedName>
    <definedName name="_Eng4">SHEAR!$R$40</definedName>
    <definedName name="_REF12">PDFlex!$AD$17:$AE$18</definedName>
    <definedName name="_Val1" localSheetId="22">SHEAR!$Y$5,SHEAR!$Y$19,SHEAR!$Y$33</definedName>
    <definedName name="_Val4">SHEAR!$R$21:$R$36</definedName>
    <definedName name="alpha" localSheetId="20">PDFlex_sub!$I$12:$I$14</definedName>
    <definedName name="alpha">PD_sub!$I$12:$I$14</definedName>
    <definedName name="alpha_1" localSheetId="5">'InPlane Strain'!$H$8</definedName>
    <definedName name="alpha_1">InPlane!$I$7</definedName>
    <definedName name="alpha_2" localSheetId="5">'InPlane Strain'!$H$9</definedName>
    <definedName name="alpha_2">InPlane!$I$8</definedName>
    <definedName name="alpha_6" localSheetId="5">'InPlane Strain'!$H$10</definedName>
    <definedName name="alpha_6">InPlane!$I$9</definedName>
    <definedName name="angles" localSheetId="1">InPlane!$C$3:$F$3</definedName>
    <definedName name="angles" localSheetId="5">'InPlane Strain'!$B$3:$E$3</definedName>
    <definedName name="axis" localSheetId="15">PD!$H$85:$N$98</definedName>
    <definedName name="axis">ChartQ!$O$85:$U$98</definedName>
    <definedName name="Axises" localSheetId="18">PDFlex!$E$89:$K$107</definedName>
    <definedName name="Axises">SHEAR!$X$89:$AD$107</definedName>
    <definedName name="BC" localSheetId="17">PD_sub!$G$3:$G$5</definedName>
    <definedName name="BC" localSheetId="18">PDFlex!$C$33:$D$35,PDFlex!$C$37:$D$39</definedName>
    <definedName name="BC" localSheetId="20">PDFlex_sub!$G$3:$H$5</definedName>
    <definedName name="BOTTOM_DATA__MODULE" localSheetId="6">Duplex!$J$40:$K$58,Duplex!$N$40:$O$60</definedName>
    <definedName name="BOTTOM_DATA__MODULE">ThinWall!$L$40:$M$58,ThinWall!$P$40:$Q$60</definedName>
    <definedName name="Box" localSheetId="21">ChartQ!$L$2:$R$19</definedName>
    <definedName name="Box">MAT!$D$3:$J$32</definedName>
    <definedName name="cae_fn">#REF!</definedName>
    <definedName name="Cal">SHEAR!$BA$2</definedName>
    <definedName name="CATEGORIES">ChartQ!$C$3:$C$105</definedName>
    <definedName name="Chart" localSheetId="11">Beam!$B$13:$G$13</definedName>
    <definedName name="Chart" localSheetId="6">Duplex!$B$17:$G$17</definedName>
    <definedName name="Chart" localSheetId="8">Flex!$B$15:$G$15</definedName>
    <definedName name="Chart" localSheetId="24">GenLam!$C$31:$H$31</definedName>
    <definedName name="Chart" localSheetId="9">Hybrid!$B$15:$G$15</definedName>
    <definedName name="Chart" localSheetId="1">InPlane!$C$15:$H$15</definedName>
    <definedName name="Chart" localSheetId="5">'InPlane Strain'!$B$16:$G$16</definedName>
    <definedName name="chart" localSheetId="18">PDFlex!$B$46:$G$75,PDFlex!$I$46:$N$75</definedName>
    <definedName name="Chart" localSheetId="10">Shaft!$B$16:$G$16</definedName>
    <definedName name="Chart" localSheetId="7">ThinWall!$B$17:$G$17</definedName>
    <definedName name="Chart" localSheetId="12">Tube!$B$15:$G$15</definedName>
    <definedName name="Chart" localSheetId="13">Vessel!$B$14:$G$14</definedName>
    <definedName name="Comp">SHEAR!$BB$2</definedName>
    <definedName name="cont2">#REF!</definedName>
    <definedName name="cont3" xlm="1" functionGroupId="14">#REF!</definedName>
    <definedName name="cont4" xlm="1" functionGroupId="14">SHEAR!$K$8</definedName>
    <definedName name="CONTROL_MODULE" localSheetId="11">Beam!$A$1:$H$9</definedName>
    <definedName name="CONTROL_MODULE" localSheetId="6">Duplex!$A$1:$H$12</definedName>
    <definedName name="CONTROL_MODULE" localSheetId="1">InPlane!$B$1:$I$9</definedName>
    <definedName name="CONTROL_MODULE" localSheetId="5">'InPlane Strain'!$A$1:$H$10</definedName>
    <definedName name="CONTROL_MODULE" localSheetId="10">Shaft!$A$1:$H$10</definedName>
    <definedName name="CONTROL_MODULE" localSheetId="7">ThinWall!$A$1:$H$6</definedName>
    <definedName name="CONTROL_MODULE" localSheetId="12">Tube!$A$1:$H$10</definedName>
    <definedName name="CONTROL_MODULE" localSheetId="13">Vessel!$A$1:$H$9</definedName>
    <definedName name="density">PDFlex!$AF$4:$AF$5</definedName>
    <definedName name="DFf" localSheetId="20">PDFlex_sub!$I$64:$I$71</definedName>
    <definedName name="DFf">PD_sub!$C$22:$C$29</definedName>
    <definedName name="DFm" localSheetId="20">PDFlex_sub!$I$54:$I$61</definedName>
    <definedName name="DFm">PD_sub!$B$22:$B$29</definedName>
    <definedName name="E_1" localSheetId="5">'InPlane Strain'!$F$8</definedName>
    <definedName name="E_1">InPlane!$G$7</definedName>
    <definedName name="E_2" localSheetId="5">'InPlane Strain'!$F$9</definedName>
    <definedName name="E_2">InPlane!$G$8</definedName>
    <definedName name="E_6" localSheetId="5">'InPlane Strain'!$F$10</definedName>
    <definedName name="E_6">InPlane!$G$9</definedName>
    <definedName name="Eeff">PD_sub!$H$12:$H$14</definedName>
    <definedName name="Eng" localSheetId="15">PD!$AA$3:$AB$18</definedName>
    <definedName name="Eng" localSheetId="18">PDFlex!$AA$4:$AB$19</definedName>
    <definedName name="Eng">#REF!</definedName>
    <definedName name="Eo" localSheetId="20">PDFlex_sub!$H$12:$H$14</definedName>
    <definedName name="Eo">PD_sub!$H$12:$H$14</definedName>
    <definedName name="ep_1" localSheetId="5">'InPlane Strain'!$F$12</definedName>
    <definedName name="ep_1">InPlane!$G$12</definedName>
    <definedName name="ep_2" localSheetId="5">'InPlane Strain'!$F$13</definedName>
    <definedName name="ep_2">InPlane!$G$13</definedName>
    <definedName name="ep_6" localSheetId="5">'InPlane Strain'!$F$14</definedName>
    <definedName name="ep_6">InPlane!$G$14</definedName>
    <definedName name="epl_1">InPlane!$I$12</definedName>
    <definedName name="epl_2">InPlane!$I$13</definedName>
    <definedName name="epl_6">InPlane!$I$14</definedName>
    <definedName name="eps">Lam3D!$E$37:$E$39</definedName>
    <definedName name="epsg" localSheetId="15">PD!$H$4:$N$20</definedName>
    <definedName name="epsg" localSheetId="18">PDFlex!$H$4:$P$23,PDFlex!$H$25:$P$44</definedName>
    <definedName name="epsg">SHEAR!$Q$4:$Y$23,SHEAR!$Q$25:$Y$44</definedName>
    <definedName name="epsgG" localSheetId="18">PDFlex!$B$47:$G$75,PDFlex!$I$47:$N$75</definedName>
    <definedName name="epsgG">SHEAR!$K$48:$P$75,SHEAR!$R$48:$W$75</definedName>
    <definedName name="epsgPlot">PD!$H$3:$M$20</definedName>
    <definedName name="epsig" localSheetId="20">PDFlex_sub!$A$17:$I$17</definedName>
    <definedName name="epsig">PD_sub!$A$17:$G$17</definedName>
    <definedName name="Epsx" localSheetId="20">PDFlex_sub!$I$94:$I$101</definedName>
    <definedName name="Epsx">PD_sub!$F$22:$F$29</definedName>
    <definedName name="Epsy" localSheetId="17">PD_sub!$G$22:$G$29</definedName>
    <definedName name="Epsy" localSheetId="20">PDFlex_sub!$I$104:$I$111</definedName>
    <definedName name="epu_1">InPlane!$J$12</definedName>
    <definedName name="epu_2">InPlane!$J$13</definedName>
    <definedName name="epu_6">InPlane!$J$14</definedName>
    <definedName name="Ex" localSheetId="20">PDFlex_sub!$I$74:$I$81</definedName>
    <definedName name="Ex">PD_sub!$D$22:$D$29</definedName>
    <definedName name="Ey" localSheetId="20">PDFlex_sub!$I$84:$I$91</definedName>
    <definedName name="Ey">PD_sub!$E$22:$E$29</definedName>
    <definedName name="Failure">SHEAR!$AX$37</definedName>
    <definedName name="Force">SHEAR!$AX$65</definedName>
    <definedName name="FPF" localSheetId="15">PD!$U$3:$V$76</definedName>
    <definedName name="FPF" localSheetId="18">PDFlex!$T$5:$U$80</definedName>
    <definedName name="FPF">SHEAR!$AC$5:$AD$80</definedName>
    <definedName name="G" localSheetId="22">SHEAR!$A$1:$D$1</definedName>
    <definedName name="G">Lam3D!$E$41:$H$41</definedName>
    <definedName name="Gply">SHEAR!$B$19:$E$20,SHEAR!$B$33:$E$34,SHEAR!$B$47:$E$48,SHEAR!$B$61:$E$62,SHEAR!$B$75:$E$76,SHEAR!$B$89:$E$90,SHEAR!$B$103:$E$104,SHEAR!$B$117:$E$118,SHEAR!$B$131:$E$132,SHEAR!$B$145:$E$146,SHEAR!$B$159:$E$160,SHEAR!$B$173:$E$174,SHEAR!$B$187:$E$188,SHEAR!$B$201:$E$202,SHEAR!$B$215:$E$216,SHEAR!$B$229:$E$230</definedName>
    <definedName name="grp">SHEAR!$B$15:$E$15,SHEAR!$B$29:$E$29,SHEAR!$B$43:$E$43,SHEAR!$B$57:$E$57,SHEAR!$B$71:$E$71,SHEAR!$B$85:$E$85,SHEAR!$B$99:$E$99,SHEAR!$B$113:$E$113,SHEAR!$B$127:$E$127,SHEAR!$B$141:$E$141,SHEAR!$B$155:$E$155,SHEAR!$B$169:$E$169,SHEAR!$B$183:$E$183,SHEAR!$B$197:$E$197,SHEAR!$B$211:$E$211,SHEAR!$B$225:$E$225</definedName>
    <definedName name="Gs" localSheetId="22">SHEAR!$C$2:$D$3</definedName>
    <definedName name="Gs">Lam3D!$AY$5:$AZ$6</definedName>
    <definedName name="h">PDFlex!$D$24</definedName>
    <definedName name="HELP">ChartQ!$J$2</definedName>
    <definedName name="Initiation1">SHEAR!$AY$2</definedName>
    <definedName name="Initiation2">SHEAR!$AY$37</definedName>
    <definedName name="INPUT">ChartQ!$G$2:$L$23</definedName>
    <definedName name="i">17</definedName>
    <definedName name="item">Main!$T$5</definedName>
    <definedName name="j">1</definedName>
    <definedName name="k">2</definedName>
    <definedName name="Laminate">SHEAR!$AY$68</definedName>
    <definedName name="layup" localSheetId="1">InPlane!$C$4:$F$4</definedName>
    <definedName name="layup" localSheetId="5">'InPlane Strain'!$B$4:$E$4</definedName>
    <definedName name="LI">SHEAR!$AZ$39</definedName>
    <definedName name="LOAD" localSheetId="6">Duplex!$B$9:$B$12</definedName>
    <definedName name="Load" localSheetId="14">Lam3D!$B$37:$B$39</definedName>
    <definedName name="Load" localSheetId="18">PDFlex!$AC$4:$AD$7</definedName>
    <definedName name="Load" localSheetId="22">SHEAR!$AL$4:$AM$7</definedName>
    <definedName name="LOAD">ThinWall!$B$9:$B$12</definedName>
    <definedName name="Load1" localSheetId="18">PDFlex!$B$24:$C$26</definedName>
    <definedName name="Load1">SHEAR!$K$24:$L$26</definedName>
    <definedName name="Load2">PDFlex!$C$33:$C$35,PDFlex!$C$37:$C$39</definedName>
    <definedName name="LPF" localSheetId="15">PD!$S$3:$T$76</definedName>
    <definedName name="LPF" localSheetId="18">PDFlex!$R$5:$S$80</definedName>
    <definedName name="LPF">SHEAR!$AA$5:$AB$80</definedName>
    <definedName name="Mark1">SHEAR!$BC$74</definedName>
    <definedName name="Mat" localSheetId="11">Beam!$A$24:$H$28</definedName>
    <definedName name="Mat" localSheetId="6">Duplex!$A$26:$H$30,Duplex!$A$31:$H$35</definedName>
    <definedName name="Mat" localSheetId="8">Flex!$A$26:$H$30</definedName>
    <definedName name="Mat" localSheetId="24">GenLam!$B$44:$I$48,GenLam!$B$50:$I$54</definedName>
    <definedName name="Mat" localSheetId="9">Hybrid!$A$24:$H$28,Hybrid!$A$29:$H$33</definedName>
    <definedName name="Mat" localSheetId="1">InPlane!$B$28:$I$32</definedName>
    <definedName name="Mat" localSheetId="5">'InPlane Strain'!$A$30:$H$34</definedName>
    <definedName name="Mat" localSheetId="14">Lam3D!$A$111:$H$115,Lam3D!$A$116:$H$120,Lam3D!$A$123:$H$127,Lam3D!$A$128:$H$132,Lam3D!$A$135:$H$139,Lam3D!$A$140:$H$144,Lam3D!$A$147:$H$151,Lam3D!$A$152:$H$156,Lam3D!$A$159:$H$163,Lam3D!$A$164:$H$168,Lam3D!$A$171:$H$175,Lam3D!$A$176:$H$180,Lam3D!$A$183:$H$187,Lam3D!$A$188:$H$192,Lam3D!$A$195:$H$199,Lam3D!$A$200:$H$204</definedName>
    <definedName name="Mat" localSheetId="17">PD_sub!$A$51:$H$55,PD_sub!$A$56:$H$60,PD_sub!$A$63:$H$67,PD_sub!$A$68:$H$72,PD_sub!$A$75:$H$79,PD_sub!$A$80:$H$84,PD_sub!$A$87:$H$91,PD_sub!$A$92:$H$96</definedName>
    <definedName name="Mat" localSheetId="20">PDFlex_sub!$A$54:$H$58,PDFlex_sub!$A$59:$H$63,PDFlex_sub!$A$66:$H$70,PDFlex_sub!$A$71:$H$75,PDFlex_sub!$A$78:$H$82,PDFlex_sub!$A$83:$H$87,PDFlex_sub!$A$90:$H$94,PDFlex_sub!$A$95:$H$99</definedName>
    <definedName name="Mat" localSheetId="10">Shaft!$A$26:$H$30</definedName>
    <definedName name="Mat" localSheetId="7">ThinWall!$A$27:$H$31,ThinWall!$A$32:$H$36</definedName>
    <definedName name="Mat" localSheetId="12">Tube!$A$26:$H$30</definedName>
    <definedName name="Mat" localSheetId="13">Vessel!$A$27:$H$31</definedName>
    <definedName name="Mat">#REF!</definedName>
    <definedName name="MAT12b">PDFlex!$AE$23:$AK$78</definedName>
    <definedName name="MAT12t">PDFlex!$W$23:$AC$79</definedName>
    <definedName name="MAT34b">PDFlex!$AE$82:$AK$137</definedName>
    <definedName name="Mat34t">PDFlex!$W$82:$AC$137</definedName>
    <definedName name="MAT56b">PDFlex!$AE$140:$AK$195</definedName>
    <definedName name="MAT56t">PDFlex!$W$140:$AC$195</definedName>
    <definedName name="MAT78b">PDFlex!$AE$199:$AK$254</definedName>
    <definedName name="MAT78t">PDFlex!$W$199:$AC$254</definedName>
    <definedName name="Material" localSheetId="14">Lam3D!$A$70:$H$308</definedName>
    <definedName name="Material" localSheetId="20">PDFlex_sub!$A$110:$H$159,PDFlex_sub!$A$173:$H$222</definedName>
    <definedName name="Material" localSheetId="22">SHEAR!$AY$47</definedName>
    <definedName name="Material">Materials!$A$8:$H$117,Materials!$K$8:$R$127</definedName>
    <definedName name="Material_help1" xlm="1" functionGroupId="14">PDFlex!$AO$2</definedName>
    <definedName name="Material_help12" xlm="1" functionGroupId="14">PD!$AH$1</definedName>
    <definedName name="Material_help2" xlm="1" functionGroupId="14">PDFlex!$AO$7</definedName>
    <definedName name="Material_help3" xlm="1" functionGroupId="14">PDFlex!$AO$11</definedName>
    <definedName name="Material_help34" xlm="1" functionGroupId="14">PD!$AH$5</definedName>
    <definedName name="Material_help4" xlm="1" functionGroupId="14">PDFlex!$AO$16</definedName>
    <definedName name="Material_help5" xlm="1" functionGroupId="14">PDFlex!$AO$20</definedName>
    <definedName name="Material_help56" xlm="1" functionGroupId="14">PD!$AH$9</definedName>
    <definedName name="Material_help6" xlm="1" functionGroupId="14">PDFlex!$AO$25</definedName>
    <definedName name="Material_help7" xlm="1" functionGroupId="14">PDFlex!$AO$29</definedName>
    <definedName name="Material_help78" xlm="1" functionGroupId="14">PD!$AH$13</definedName>
    <definedName name="Material_help8" xlm="1" functionGroupId="14">PDFlex!$AO$34</definedName>
    <definedName name="MatLam3d" xlm="1" functionGroupId="14">SHEAR!$K$1</definedName>
    <definedName name="MatName" localSheetId="15">PD!$AC$25:$AC$48,PD!$AC$51:$AC$74,PD!$AC$83:$AC$106,PD!$AC$109:$AC$132,PD!$AC$140:$AC$163,PD!$AC$166:$AC$189,PD!$AC$197:$AC$220,PD!$AC$223:$AC$246</definedName>
    <definedName name="MatName" localSheetId="18">PDFlex!$AB$26:$AJ$49,PDFlex!$AB$52:$AJ$75,PDFlex!$AB$85:$AJ$108,PDFlex!$AB$111:$AJ$134,PDFlex!$AB$143:$AJ$166,PDFlex!$AB$169:$AJ$192,PDFlex!$AB$202:$AJ$225,PDFlex!$AB$228:$AJ$251</definedName>
    <definedName name="MatName" localSheetId="22">SHEAR!$T$3:$T$26</definedName>
    <definedName name="MatName">MAT!$I$6:$I$29,MAT!$Q$6:$Q$29,MAT!$Q$32:$Q$55</definedName>
    <definedName name="Matvle">PDFlex!$AC$25:$AC$82,PDFlex!$AC$96:$AC$137,PDFlex!$AK$25:$AK$67,PDFlex!$AK$96:$AK$137</definedName>
    <definedName name="Max">PDFlex!$N$5:$N$23</definedName>
    <definedName name="Maxx">PDFlex!$AE$4</definedName>
    <definedName name="N_1" localSheetId="1">InPlane!$C$7</definedName>
    <definedName name="N_1" localSheetId="5">'InPlane Strain'!$B$8</definedName>
    <definedName name="N_2" localSheetId="1">InPlane!$C$8</definedName>
    <definedName name="N_2" localSheetId="5">'InPlane Strain'!$B$9</definedName>
    <definedName name="N_6" localSheetId="1">InPlane!$C$9</definedName>
    <definedName name="N_6" localSheetId="5">'InPlane Strain'!$B$10</definedName>
    <definedName name="Name">Main!$AB$5</definedName>
    <definedName name="NCRV">ChartQ!$R$11</definedName>
    <definedName name="Netting_analysis" localSheetId="11">Beam!$AD$27</definedName>
    <definedName name="Netting_analysis" localSheetId="5">'InPlane Strain'!$AD$27</definedName>
    <definedName name="Netting_analysis" localSheetId="10">Shaft!$AC$27</definedName>
    <definedName name="Netting_analysis" localSheetId="12">Tube!$AD$27</definedName>
    <definedName name="Netting_analysis" localSheetId="13">Vessel!$AC$27</definedName>
    <definedName name="Netting_analysis">InPlane!$AV$27</definedName>
    <definedName name="NewMat11">Main!$V$2:$AB$37</definedName>
    <definedName name="NewMat12">Main!$V$39:$AB$84</definedName>
    <definedName name="NewMat21">Main!$AD$2:$AJ$35</definedName>
    <definedName name="NewMat22">Main!$AD$39:$AJ$84</definedName>
    <definedName name="NewMatCheck">Main!$N$25:$T$53</definedName>
    <definedName name="NtoT">Main!$AL$2:$AL$25</definedName>
    <definedName name="Plot3">SHEAR!$BG$2</definedName>
    <definedName name="Ply" localSheetId="15">PD!$B$4:$C$11</definedName>
    <definedName name="Ply" localSheetId="18">PDFlex!$B$4:$C$11,PDFlex!$B$14:$C$21</definedName>
    <definedName name="Ply">SHEAR!$A$11:$G$185</definedName>
    <definedName name="Ply_Angle">PDFlex!$B$4:$C$11,PDFlex!$B$14:$C$21</definedName>
    <definedName name="Ply_no_LPT" localSheetId="5">'InPlane Strain'!$A$22:$H$23</definedName>
    <definedName name="Ply_no_LPT">InPlane!$B$26:$I$26</definedName>
    <definedName name="plydata" localSheetId="17">PD_sub!$C$3:$D$10</definedName>
    <definedName name="plydata" localSheetId="20">PDFlex_sub!$C$3:$D$10</definedName>
    <definedName name="plydata">Lam3D!$C$3:$C$16</definedName>
    <definedName name="_xlnm.Print_Area">InPlane!$B$1:$R$32</definedName>
    <definedName name="pt">PDFlex!$E$27</definedName>
    <definedName name="R_degrade" localSheetId="1">InPlane!$C$24:$F$24</definedName>
    <definedName name="R_degrade" localSheetId="5">'InPlane Strain'!$B$25:$E$25</definedName>
    <definedName name="R_FPF" localSheetId="24">GenLam!$H$23</definedName>
    <definedName name="R_FPF" localSheetId="1">InPlane!$H$23</definedName>
    <definedName name="R_FPF" localSheetId="5">'InPlane Strain'!$G$24</definedName>
    <definedName name="R_intact" localSheetId="24">GenLam!$C$23:$F$23</definedName>
    <definedName name="R_intact" localSheetId="1">InPlane!$C$23:$F$23</definedName>
    <definedName name="R_intact" localSheetId="5">'InPlane Strain'!$B$24:$E$24</definedName>
    <definedName name="R_lim" localSheetId="1">InPlane!$J$25</definedName>
    <definedName name="R_lim" localSheetId="5">'InPlane Strain'!$I$26</definedName>
    <definedName name="R_lim_s" localSheetId="1">InPlane!$J$24</definedName>
    <definedName name="R_lim_s" localSheetId="5">'InPlane Strain'!$I$25</definedName>
    <definedName name="R_lim_ss" localSheetId="1">InPlane!$J$26</definedName>
    <definedName name="R_lim_ss" localSheetId="5">'InPlane Strain'!$I$24</definedName>
    <definedName name="R_LPF" localSheetId="1">InPlane!$H$24</definedName>
    <definedName name="R_LPF" localSheetId="5">'InPlane Strain'!$G$25</definedName>
    <definedName name="R_ult" localSheetId="1">InPlane!$J$23</definedName>
    <definedName name="R_ult" localSheetId="5">'InPlane Strain'!$G$26</definedName>
    <definedName name="Ranking">SHEAR!$BC$15</definedName>
    <definedName name="REF">PD!$AD$3:$AE$4</definedName>
    <definedName name="repeat">InPlane!$G$4</definedName>
    <definedName name="RESULTS1">ChartQ!$D$3:$D$105</definedName>
    <definedName name="RESULTS2">ChartQ!$E$3:$E$105</definedName>
    <definedName name="RESULTS3">ChartQ!$F$3:$F$105</definedName>
    <definedName name="Rfpf">PDFlex!$AM$43</definedName>
    <definedName name="Rlpf">PDFlex!$AM$46</definedName>
    <definedName name="Rm">PDFlex!$AM$43:$AM$61</definedName>
    <definedName name="Rmax">PD!$N$6</definedName>
    <definedName name="Rmin" localSheetId="18">PDFlex!$W$4:$W$11</definedName>
    <definedName name="Rmin">SHEAR!$AF$4:$AF$11</definedName>
    <definedName name="Rpt">SHEAR!$H$17</definedName>
    <definedName name="Rv">PD_sub!$A$19</definedName>
    <definedName name="Rvalue" localSheetId="17">PD_sub!$B$19:$I$19</definedName>
    <definedName name="Rvalue" localSheetId="20">PDFlex_sub!$C$25:$C$33</definedName>
    <definedName name="Rvalue">Lam3D!$C$58:$C$125</definedName>
    <definedName name="S_1" localSheetId="5">'InPlane Strain'!$B$12</definedName>
    <definedName name="S_1">InPlane!$C$12</definedName>
    <definedName name="S_2" localSheetId="5">'InPlane Strain'!$B$13</definedName>
    <definedName name="S_2">InPlane!$C$13</definedName>
    <definedName name="S_6" localSheetId="5">'InPlane Strain'!$B$14</definedName>
    <definedName name="S_6">InPlane!$C$14</definedName>
    <definedName name="safety" localSheetId="1">InPlane!$J$5</definedName>
    <definedName name="safety" localSheetId="5">'InPlane Strain'!$I$5</definedName>
    <definedName name="Selection">Main!$N$2:$T$23</definedName>
    <definedName name="seq" localSheetId="15">PD!$Y$3:$Z$10</definedName>
    <definedName name="seq" localSheetId="18">PDFlex!$Y$4:$Z$11,PDFlex!$Y$13:$Z$20</definedName>
    <definedName name="seq">SHEAR!$AH$4:$AI$11,SHEAR!$AH$13:$AI$20</definedName>
    <definedName name="sequence" localSheetId="15">PD!$E$4:$F$11</definedName>
    <definedName name="sequence" localSheetId="18">PDFlex!$E$4:$F$11,PDFlex!$E$14:$F$21</definedName>
    <definedName name="sequence">SHEAR!$N$4:$O$26,SHEAR!$N$29:$O$36</definedName>
    <definedName name="SHEAR">Lam3D!$AM$1:$AT$224</definedName>
    <definedName name="sig">Lam3D!$C$37:$C$39</definedName>
    <definedName name="Sl_1">InPlane!#REF!</definedName>
    <definedName name="Sl_2">InPlane!#REF!</definedName>
    <definedName name="Sl_6">InPlane!#REF!</definedName>
    <definedName name="solver_adj" hidden="1">'InPlane Strain'!$B$4:$F$4</definedName>
    <definedName name="solver_lhs1" hidden="1">'InPlane Strain'!$G$24</definedName>
    <definedName name="solver_lhs2" hidden="1">'InPlane Strain'!$B$4:$F$4</definedName>
    <definedName name="solver_lin" hidden="1">0</definedName>
    <definedName name="solver_num" hidden="1">2</definedName>
    <definedName name="solver_opt" hidden="1">'InPlane Strain'!$G$4</definedName>
    <definedName name="solver_rel1" hidden="1">3</definedName>
    <definedName name="solver_rel2" hidden="1">3</definedName>
    <definedName name="solver_rhs1" hidden="1">1</definedName>
    <definedName name="solver_rhs2" hidden="1">0</definedName>
    <definedName name="solver_tmp" hidden="1">0</definedName>
    <definedName name="solver_typ" hidden="1">2</definedName>
    <definedName name="solver_val" hidden="1">0</definedName>
    <definedName name="Sply">SHEAR!$B$22:$E$24,SHEAR!$B$36:$E$38,SHEAR!$B$50:$E$52,SHEAR!$B$64:$E$66,SHEAR!$B$78:$E$80,SHEAR!$B$92:$E$94,SHEAR!$B$106:$E$108,SHEAR!$B$120:$E$122,SHEAR!$B$134:$E$136,SHEAR!$B$148:$E$150,SHEAR!$B$162:$E$164,SHEAR!$B$176:$E$178,SHEAR!$B$190:$E$192,SHEAR!$B$204:$E$206,SHEAR!$B$218:$E$220,SHEAR!$B$232:$E$234</definedName>
    <definedName name="Stiff">SHEAR!$A$2:$F$2</definedName>
    <definedName name="stiffness">PD!$O$4:$Q$20</definedName>
    <definedName name="strainEn" localSheetId="18">PDFlex!$AL$43:$AL$61</definedName>
    <definedName name="strainEn">SHEAR!$AU$43:$AU$61</definedName>
    <definedName name="Strength_ratios" localSheetId="24">GenLam!$AX$70:$BC$72</definedName>
    <definedName name="Strength_ratios">Flex!$AG$79:$AL$81</definedName>
    <definedName name="stress">PD!$C$13:$C$15</definedName>
    <definedName name="string1">"Lam3d.xls"</definedName>
    <definedName name="string2">"Shear.xlm"</definedName>
    <definedName name="Su_1">InPlane!$E$12</definedName>
    <definedName name="Su_2">InPlane!$E$13</definedName>
    <definedName name="Su_6">InPlane!$E$14</definedName>
    <definedName name="subply">SHEAR!$G$15,SHEAR!$G$29,SHEAR!$G$43,SHEAR!$G$57,SHEAR!$G$71,SHEAR!$G$85,SHEAR!$G$99,SHEAR!$G$113,SHEAR!$G$127,SHEAR!$G$141,SHEAR!$G$155,SHEAR!$G$169,SHEAR!$G$183,SHEAR!$G$197,SHEAR!$G$211,SHEAR!$G$225</definedName>
    <definedName name="Subrpt">SHEAR!$F$15,SHEAR!$F$29,SHEAR!$F$43,SHEAR!$F$57,SHEAR!$F$71,SHEAR!$F$85,SHEAR!$F$99,SHEAR!$F$113,SHEAR!$F$127,SHEAR!$F$141,SHEAR!$F$155,SHEAR!$F$169,SHEAR!$F$183,SHEAR!$F$197,SHEAR!$F$211,SHEAR!$F$225</definedName>
    <definedName name="TEMP2">ChartQ!$A$1</definedName>
    <definedName name="TEMP3">ChartQ!$A$10</definedName>
    <definedName name="Tex" localSheetId="18">PDFlex!$AC$11:$AC$16</definedName>
    <definedName name="Tex">PD!$AC$3:$AC$5</definedName>
    <definedName name="thick">SHEAR!$G$17,SHEAR!$G$31,SHEAR!$G$45,SHEAR!$G$59,SHEAR!$G$73,SHEAR!$G$87,SHEAR!$G$101,SHEAR!$G$115,SHEAR!$G$129,SHEAR!$G$143,SHEAR!$G$157,SHEAR!$G$171,SHEAR!$G$185,SHEAR!$G$199,SHEAR!$G$213,SHEAR!$G$227</definedName>
    <definedName name="TOP_PLY_DATA_MODULE_____" localSheetId="6">Duplex!$J$1:$K$19,Duplex!$N$1:$O$21</definedName>
    <definedName name="TOP_PLY_DATA_MODULE_____">ThinWall!$L$1:$M$19,ThinWall!$P$1:$Q$21</definedName>
    <definedName name="TVAR1">ChartQ!$R$15</definedName>
    <definedName name="TVAR2">ChartQ!$R$16</definedName>
    <definedName name="TVAR3">ChartQ!$R$17</definedName>
    <definedName name="Val">#REF!,#REF!</definedName>
    <definedName name="WW">PDFlex_sub!$I$3</definedName>
    <definedName name="Zeros">Lam3D!$D$3:$F$16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5" l="1"/>
  <c r="U4" i="5"/>
  <c r="M5" i="16"/>
  <c r="AL4" i="16" s="1"/>
  <c r="AL6" i="16" s="1"/>
  <c r="AL7" i="16" s="1"/>
  <c r="C5" i="16"/>
  <c r="AB4" i="16"/>
  <c r="D5" i="16"/>
  <c r="E5" i="16"/>
  <c r="AD4" i="16"/>
  <c r="F5" i="16"/>
  <c r="AE4" i="16"/>
  <c r="AE6" i="16" s="1"/>
  <c r="G5" i="16"/>
  <c r="AF4" i="16"/>
  <c r="AF6" i="16" s="1"/>
  <c r="H5" i="16"/>
  <c r="AG4" i="16" s="1"/>
  <c r="AG6" i="16" s="1"/>
  <c r="I5" i="16"/>
  <c r="L5" i="16"/>
  <c r="AK4" i="16"/>
  <c r="AK6" i="16"/>
  <c r="AK7" i="16" s="1"/>
  <c r="C6" i="16"/>
  <c r="D6" i="16"/>
  <c r="AC5" i="16" s="1"/>
  <c r="AT3" i="16" s="1"/>
  <c r="BA3" i="16" s="1"/>
  <c r="E6" i="16"/>
  <c r="F6" i="16"/>
  <c r="AE5" i="16" s="1"/>
  <c r="G6" i="16"/>
  <c r="AF5" i="16" s="1"/>
  <c r="H6" i="16"/>
  <c r="AG5" i="16" s="1"/>
  <c r="I6" i="16"/>
  <c r="AH5" i="16" s="1"/>
  <c r="J6" i="16"/>
  <c r="AI5" i="16" s="1"/>
  <c r="K6" i="16"/>
  <c r="AJ5" i="16" s="1"/>
  <c r="L6" i="16"/>
  <c r="AK5" i="16" s="1"/>
  <c r="M6" i="16"/>
  <c r="AL5" i="16" s="1"/>
  <c r="B5" i="16"/>
  <c r="B163" i="16"/>
  <c r="C163" i="16"/>
  <c r="D163" i="16"/>
  <c r="E163" i="16"/>
  <c r="F163" i="16"/>
  <c r="G163" i="16"/>
  <c r="H163" i="16"/>
  <c r="I163" i="16"/>
  <c r="B164" i="16"/>
  <c r="C164" i="16"/>
  <c r="D164" i="16"/>
  <c r="E164" i="16"/>
  <c r="F164" i="16"/>
  <c r="G164" i="16"/>
  <c r="H164" i="16"/>
  <c r="I164" i="16"/>
  <c r="B165" i="16"/>
  <c r="C165" i="16"/>
  <c r="D165" i="16"/>
  <c r="E165" i="16"/>
  <c r="F165" i="16"/>
  <c r="G165" i="16"/>
  <c r="H165" i="16"/>
  <c r="I165" i="16"/>
  <c r="B166" i="16"/>
  <c r="C166" i="16"/>
  <c r="D166" i="16"/>
  <c r="E166" i="16"/>
  <c r="F166" i="16"/>
  <c r="G166" i="16"/>
  <c r="H166" i="16"/>
  <c r="I166" i="16"/>
  <c r="C162" i="16"/>
  <c r="D162" i="16"/>
  <c r="E162" i="16"/>
  <c r="F162" i="16"/>
  <c r="G162" i="16"/>
  <c r="H162" i="16"/>
  <c r="I162" i="16"/>
  <c r="B162" i="16"/>
  <c r="X160" i="16"/>
  <c r="W160" i="16"/>
  <c r="V160" i="16"/>
  <c r="U160" i="16"/>
  <c r="T160" i="16"/>
  <c r="H159" i="16"/>
  <c r="I159" i="16" s="1"/>
  <c r="I157" i="16"/>
  <c r="S5" i="16"/>
  <c r="S11" i="16"/>
  <c r="W7" i="16"/>
  <c r="D33" i="16"/>
  <c r="D34" i="16" s="1"/>
  <c r="W5" i="16"/>
  <c r="W4" i="16"/>
  <c r="E33" i="16"/>
  <c r="E34" i="16" s="1"/>
  <c r="S7" i="16"/>
  <c r="T7" i="16" s="1"/>
  <c r="U7" i="16" s="1"/>
  <c r="S14" i="16"/>
  <c r="S6" i="16"/>
  <c r="S13" i="16"/>
  <c r="F33" i="16"/>
  <c r="F34" i="16" s="1"/>
  <c r="S17" i="16"/>
  <c r="S8" i="16"/>
  <c r="S25" i="16" s="1"/>
  <c r="S9" i="16"/>
  <c r="AB45" i="16"/>
  <c r="AB47" i="16" s="1"/>
  <c r="F38" i="16"/>
  <c r="F39" i="16" s="1"/>
  <c r="W48" i="16"/>
  <c r="D38" i="16"/>
  <c r="D39" i="16"/>
  <c r="W46" i="16"/>
  <c r="W45" i="16"/>
  <c r="S55" i="16"/>
  <c r="E38" i="16"/>
  <c r="E39" i="16" s="1"/>
  <c r="S52" i="16"/>
  <c r="S47" i="16"/>
  <c r="S54" i="16"/>
  <c r="S46" i="16"/>
  <c r="S48" i="16"/>
  <c r="T48" i="16" s="1"/>
  <c r="U48" i="16" s="1"/>
  <c r="S58" i="16"/>
  <c r="S49" i="16"/>
  <c r="S66" i="16" s="1"/>
  <c r="AD45" i="16"/>
  <c r="AD47" i="16" s="1"/>
  <c r="AM48" i="16"/>
  <c r="S50" i="16"/>
  <c r="AE46" i="16"/>
  <c r="AF46" i="16"/>
  <c r="AG46" i="16"/>
  <c r="AH46" i="16"/>
  <c r="AI46" i="16"/>
  <c r="AJ46" i="16"/>
  <c r="AK46" i="16"/>
  <c r="AL46" i="16"/>
  <c r="O9" i="16"/>
  <c r="L52" i="5"/>
  <c r="P52" i="5"/>
  <c r="L53" i="5"/>
  <c r="L54" i="5" s="1"/>
  <c r="L55" i="5" s="1"/>
  <c r="P53" i="5"/>
  <c r="L56" i="5"/>
  <c r="P56" i="5"/>
  <c r="P57" i="5"/>
  <c r="P66" i="5"/>
  <c r="P58" i="5"/>
  <c r="P63" i="5"/>
  <c r="P59" i="5"/>
  <c r="P60" i="5"/>
  <c r="P69" i="5"/>
  <c r="P61" i="5"/>
  <c r="Q61" i="5" s="1"/>
  <c r="L75" i="5"/>
  <c r="L76" i="5"/>
  <c r="M76" i="5" s="1"/>
  <c r="T4" i="5"/>
  <c r="AB2" i="5"/>
  <c r="AI2" i="5" s="1"/>
  <c r="V4" i="5"/>
  <c r="B39" i="2159"/>
  <c r="B38" i="2159"/>
  <c r="B41" i="2159" s="1"/>
  <c r="B2" i="2159"/>
  <c r="F2" i="48"/>
  <c r="E2" i="48"/>
  <c r="D2" i="48"/>
  <c r="M11" i="16"/>
  <c r="J2" i="48"/>
  <c r="I2" i="48"/>
  <c r="H2" i="48"/>
  <c r="J39" i="16"/>
  <c r="AW73" i="16"/>
  <c r="AW72" i="16"/>
  <c r="AW71" i="16"/>
  <c r="AW30" i="16"/>
  <c r="AW70" i="16"/>
  <c r="AW32" i="16"/>
  <c r="AW31" i="16"/>
  <c r="J54" i="16"/>
  <c r="J53" i="16"/>
  <c r="J48" i="16"/>
  <c r="J47" i="16"/>
  <c r="AW29" i="16"/>
  <c r="BH40" i="16"/>
  <c r="AW37" i="16" s="1"/>
  <c r="BG40" i="16"/>
  <c r="AX37" i="16" s="1"/>
  <c r="BF40" i="16"/>
  <c r="AY37" i="16" s="1"/>
  <c r="BE40" i="16"/>
  <c r="AW38" i="16"/>
  <c r="AX38" i="16"/>
  <c r="AY38" i="16"/>
  <c r="AZ38" i="16"/>
  <c r="BA38" i="16"/>
  <c r="BB38" i="16"/>
  <c r="BC38" i="16"/>
  <c r="BD38" i="16"/>
  <c r="BE38" i="16"/>
  <c r="BF38" i="16"/>
  <c r="BG38" i="16"/>
  <c r="BH38" i="16"/>
  <c r="BE37" i="16"/>
  <c r="BF37" i="16"/>
  <c r="BG37" i="16"/>
  <c r="BH37" i="16"/>
  <c r="AK37" i="16"/>
  <c r="AL37" i="16"/>
  <c r="AM37" i="16"/>
  <c r="AK38" i="16"/>
  <c r="AL38" i="16"/>
  <c r="AM38" i="16"/>
  <c r="AN38" i="16"/>
  <c r="AO38" i="16"/>
  <c r="AP38" i="16"/>
  <c r="AQ38" i="16"/>
  <c r="AR38" i="16"/>
  <c r="AS38" i="16"/>
  <c r="AT38" i="16"/>
  <c r="AU38" i="16"/>
  <c r="AJ38" i="16"/>
  <c r="AJ37" i="16"/>
  <c r="AZ37" i="16"/>
  <c r="AU40" i="16"/>
  <c r="AU37" i="16" s="1"/>
  <c r="AT40" i="16"/>
  <c r="AT37" i="16" s="1"/>
  <c r="AO37" i="16"/>
  <c r="AR40" i="16"/>
  <c r="AR37" i="16" s="1"/>
  <c r="DW66" i="16"/>
  <c r="DV65" i="16"/>
  <c r="DV66" i="16"/>
  <c r="DU66" i="16"/>
  <c r="DU64" i="16"/>
  <c r="DU65" i="16"/>
  <c r="DT63" i="16"/>
  <c r="DT64" i="16"/>
  <c r="DT65" i="16"/>
  <c r="DT66" i="16"/>
  <c r="DS62" i="16"/>
  <c r="DS63" i="16"/>
  <c r="DS64" i="16"/>
  <c r="DS65" i="16"/>
  <c r="DS66" i="16"/>
  <c r="DR61" i="16"/>
  <c r="DR62" i="16"/>
  <c r="DR63" i="16"/>
  <c r="DR64" i="16"/>
  <c r="DR65" i="16"/>
  <c r="DR66" i="16"/>
  <c r="DQ60" i="16"/>
  <c r="DQ61" i="16"/>
  <c r="DQ62" i="16"/>
  <c r="DQ63" i="16"/>
  <c r="DQ64" i="16"/>
  <c r="DQ65" i="16"/>
  <c r="DQ66" i="16"/>
  <c r="DP59" i="16"/>
  <c r="DP60" i="16"/>
  <c r="DP61" i="16"/>
  <c r="DP62" i="16"/>
  <c r="DP63" i="16"/>
  <c r="DP64" i="16"/>
  <c r="DP65" i="16"/>
  <c r="DP66" i="16"/>
  <c r="DO58" i="16"/>
  <c r="DO59" i="16"/>
  <c r="DO60" i="16"/>
  <c r="DO61" i="16"/>
  <c r="DO62" i="16"/>
  <c r="DO63" i="16"/>
  <c r="DO64" i="16"/>
  <c r="DO65" i="16"/>
  <c r="DO66" i="16"/>
  <c r="DN58" i="16"/>
  <c r="DN59" i="16"/>
  <c r="DN60" i="16"/>
  <c r="DN61" i="16"/>
  <c r="DN62" i="16"/>
  <c r="DN63" i="16"/>
  <c r="DN64" i="16"/>
  <c r="DN65" i="16"/>
  <c r="DN66" i="16"/>
  <c r="DN57" i="16"/>
  <c r="AA46" i="16"/>
  <c r="AR44" i="16" s="1"/>
  <c r="AY44" i="16" s="1"/>
  <c r="AB46" i="16"/>
  <c r="AS44" i="16" s="1"/>
  <c r="AZ44" i="16" s="1"/>
  <c r="AC46" i="16"/>
  <c r="AT44" i="16"/>
  <c r="BA44" i="16" s="1"/>
  <c r="AD46" i="16"/>
  <c r="AU44" i="16" s="1"/>
  <c r="BB44" i="16" s="1"/>
  <c r="X45" i="16"/>
  <c r="AG45" i="16"/>
  <c r="AG47" i="16" s="1"/>
  <c r="X4" i="16"/>
  <c r="M2" i="48"/>
  <c r="L2" i="48"/>
  <c r="K2" i="48"/>
  <c r="AF97" i="16"/>
  <c r="W19" i="16"/>
  <c r="W20" i="16"/>
  <c r="W21" i="16"/>
  <c r="W26" i="16" s="1"/>
  <c r="H33" i="16" s="1"/>
  <c r="H34" i="16" s="1"/>
  <c r="W22" i="16"/>
  <c r="W60" i="16"/>
  <c r="W61" i="16"/>
  <c r="W62" i="16"/>
  <c r="W67" i="16"/>
  <c r="H38" i="16" s="1"/>
  <c r="H39" i="16" s="1"/>
  <c r="W63" i="16"/>
  <c r="I27" i="14"/>
  <c r="J32" i="14"/>
  <c r="CH64" i="16"/>
  <c r="CH48" i="16"/>
  <c r="BS64" i="16" s="1"/>
  <c r="CG47" i="16"/>
  <c r="CG48" i="16"/>
  <c r="CF48" i="16"/>
  <c r="CF46" i="16"/>
  <c r="CF47" i="16"/>
  <c r="CE45" i="16"/>
  <c r="CE46" i="16"/>
  <c r="CE47" i="16"/>
  <c r="CE48" i="16"/>
  <c r="CD44" i="16"/>
  <c r="CD45" i="16"/>
  <c r="CD46" i="16"/>
  <c r="CD47" i="16"/>
  <c r="CD48" i="16"/>
  <c r="CC43" i="16"/>
  <c r="CC44" i="16"/>
  <c r="CC45" i="16"/>
  <c r="CC46" i="16"/>
  <c r="CC47" i="16"/>
  <c r="CC48" i="16"/>
  <c r="CB42" i="16"/>
  <c r="CB43" i="16"/>
  <c r="CB44" i="16"/>
  <c r="CB45" i="16"/>
  <c r="CB46" i="16"/>
  <c r="CB47" i="16"/>
  <c r="CB48" i="16"/>
  <c r="CA41" i="16"/>
  <c r="CA42" i="16"/>
  <c r="CA43" i="16"/>
  <c r="CA44" i="16"/>
  <c r="CA45" i="16"/>
  <c r="CA46" i="16"/>
  <c r="CA47" i="16"/>
  <c r="CA48" i="16"/>
  <c r="BZ40" i="16"/>
  <c r="BZ41" i="16"/>
  <c r="BZ42" i="16"/>
  <c r="BZ43" i="16"/>
  <c r="BZ44" i="16"/>
  <c r="BZ45" i="16"/>
  <c r="BZ46" i="16"/>
  <c r="BZ47" i="16"/>
  <c r="BZ48" i="16"/>
  <c r="BY39" i="16"/>
  <c r="BY40" i="16"/>
  <c r="BY41" i="16"/>
  <c r="BY42" i="16"/>
  <c r="BY43" i="16"/>
  <c r="BY44" i="16"/>
  <c r="BY45" i="16"/>
  <c r="BY46" i="16"/>
  <c r="BY47" i="16"/>
  <c r="BY48" i="16"/>
  <c r="BX38" i="16"/>
  <c r="BX39" i="16"/>
  <c r="BX40" i="16"/>
  <c r="BX41" i="16"/>
  <c r="BX42" i="16"/>
  <c r="BX43" i="16"/>
  <c r="BX44" i="16"/>
  <c r="BX45" i="16"/>
  <c r="BX46" i="16"/>
  <c r="BX47" i="16"/>
  <c r="BX48" i="16"/>
  <c r="BW37" i="16"/>
  <c r="BW38" i="16"/>
  <c r="BW39" i="16"/>
  <c r="BW40" i="16"/>
  <c r="BW41" i="16"/>
  <c r="BW42" i="16"/>
  <c r="BW43" i="16"/>
  <c r="BW44" i="16"/>
  <c r="BW45" i="16"/>
  <c r="BW46" i="16"/>
  <c r="BW47" i="16"/>
  <c r="BW48" i="16"/>
  <c r="BV37" i="16"/>
  <c r="BV38" i="16"/>
  <c r="BV39" i="16"/>
  <c r="BV40" i="16"/>
  <c r="BV41" i="16"/>
  <c r="BV42" i="16"/>
  <c r="BV43" i="16"/>
  <c r="BV44" i="16"/>
  <c r="BV45" i="16"/>
  <c r="BV46" i="16"/>
  <c r="BV47" i="16"/>
  <c r="BV48" i="16"/>
  <c r="BV36" i="16"/>
  <c r="DI19" i="16"/>
  <c r="DI20" i="16"/>
  <c r="DI21" i="16"/>
  <c r="DI22" i="16"/>
  <c r="DI23" i="16"/>
  <c r="DI24" i="16"/>
  <c r="DI25" i="16"/>
  <c r="DI26" i="16"/>
  <c r="DI27" i="16"/>
  <c r="DI28" i="16"/>
  <c r="DI29" i="16"/>
  <c r="L5" i="5"/>
  <c r="L12" i="5" s="1"/>
  <c r="G17" i="5" s="1"/>
  <c r="G18" i="5" s="1"/>
  <c r="L11" i="5"/>
  <c r="E17" i="5" s="1"/>
  <c r="E18" i="5" s="1"/>
  <c r="P5" i="5"/>
  <c r="Q5" i="5" s="1"/>
  <c r="P3" i="5"/>
  <c r="P2" i="5"/>
  <c r="P41" i="5" s="1"/>
  <c r="L7" i="5"/>
  <c r="M7" i="5" s="1"/>
  <c r="N7" i="5" s="1"/>
  <c r="L14" i="5"/>
  <c r="L6" i="5"/>
  <c r="L13" i="5"/>
  <c r="L17" i="5"/>
  <c r="L8" i="5"/>
  <c r="L25" i="5" s="1"/>
  <c r="P36" i="5" s="1"/>
  <c r="H4" i="5"/>
  <c r="E42" i="5" s="1"/>
  <c r="T5" i="5"/>
  <c r="AB3" i="5" s="1"/>
  <c r="AI3" i="5" s="1"/>
  <c r="U5" i="5"/>
  <c r="AC3" i="5" s="1"/>
  <c r="AJ3" i="5" s="1"/>
  <c r="V5" i="5"/>
  <c r="AD3" i="5" s="1"/>
  <c r="AK3" i="5" s="1"/>
  <c r="W5" i="5"/>
  <c r="AE3" i="5" s="1"/>
  <c r="AL3" i="5" s="1"/>
  <c r="L9" i="5"/>
  <c r="W4" i="5"/>
  <c r="W6" i="5" s="1"/>
  <c r="W7" i="5" s="1"/>
  <c r="AB8" i="5"/>
  <c r="AB9" i="5"/>
  <c r="AB10" i="5"/>
  <c r="P19" i="5"/>
  <c r="P24" i="5" s="1"/>
  <c r="H17" i="5"/>
  <c r="H18" i="5" s="1"/>
  <c r="P18" i="5"/>
  <c r="P17" i="5"/>
  <c r="P10" i="5"/>
  <c r="Q10" i="5"/>
  <c r="R10" i="5" s="1"/>
  <c r="P11" i="5"/>
  <c r="P13" i="5"/>
  <c r="Q13" i="5" s="1"/>
  <c r="P14" i="5"/>
  <c r="P4" i="5"/>
  <c r="Q4" i="5"/>
  <c r="R4" i="5" s="1"/>
  <c r="P20" i="5"/>
  <c r="P21" i="5"/>
  <c r="P44" i="5"/>
  <c r="Q44" i="5" s="1"/>
  <c r="L46" i="5"/>
  <c r="M46" i="5" s="1"/>
  <c r="N46" i="5" s="1"/>
  <c r="L50" i="5"/>
  <c r="L57" i="5" s="1"/>
  <c r="L58" i="5" s="1"/>
  <c r="L45" i="5"/>
  <c r="L47" i="5"/>
  <c r="L64" i="5" s="1"/>
  <c r="T44" i="5"/>
  <c r="AB42" i="5" s="1"/>
  <c r="AI42" i="5" s="1"/>
  <c r="U44" i="5"/>
  <c r="AC42" i="5" s="1"/>
  <c r="AJ42" i="5" s="1"/>
  <c r="V44" i="5"/>
  <c r="AD42" i="5" s="1"/>
  <c r="AK42" i="5" s="1"/>
  <c r="W44" i="5"/>
  <c r="AE42" i="5" s="1"/>
  <c r="AL42" i="5" s="1"/>
  <c r="AB47" i="5"/>
  <c r="AB48" i="5"/>
  <c r="AB49" i="5"/>
  <c r="P49" i="5"/>
  <c r="Q49" i="5" s="1"/>
  <c r="P50" i="5"/>
  <c r="Q52" i="5"/>
  <c r="P43" i="5"/>
  <c r="Q43" i="5" s="1"/>
  <c r="R43" i="5" s="1"/>
  <c r="D4" i="15"/>
  <c r="E4" i="15" s="1"/>
  <c r="B5" i="15"/>
  <c r="E6" i="15"/>
  <c r="C6" i="15"/>
  <c r="T44" i="15" s="1"/>
  <c r="AA42" i="15" s="1"/>
  <c r="AH42" i="15" s="1"/>
  <c r="DI5" i="16"/>
  <c r="DI6" i="16"/>
  <c r="DI7" i="16"/>
  <c r="DI8" i="16"/>
  <c r="DI9" i="16"/>
  <c r="DI10" i="16"/>
  <c r="DI11" i="16"/>
  <c r="DI12" i="16"/>
  <c r="DI13" i="16"/>
  <c r="DI14" i="16"/>
  <c r="DI15" i="16"/>
  <c r="DI16" i="16"/>
  <c r="DI17" i="16"/>
  <c r="DI18" i="16"/>
  <c r="DI4" i="16"/>
  <c r="BG148" i="16"/>
  <c r="BG147" i="16"/>
  <c r="BG146" i="16"/>
  <c r="BG145" i="16"/>
  <c r="BG144" i="16"/>
  <c r="BG143" i="16"/>
  <c r="BG142" i="16"/>
  <c r="BG141" i="16"/>
  <c r="BG140" i="16"/>
  <c r="BG139" i="16"/>
  <c r="BG138" i="16"/>
  <c r="BG137" i="16"/>
  <c r="BE134" i="16"/>
  <c r="BE133" i="16"/>
  <c r="BE132" i="16"/>
  <c r="BE130" i="16"/>
  <c r="BE129" i="16"/>
  <c r="BE126" i="16"/>
  <c r="BE128" i="16"/>
  <c r="BE131" i="16"/>
  <c r="BE124" i="16"/>
  <c r="BE127" i="16"/>
  <c r="BE123" i="16"/>
  <c r="BE125" i="16"/>
  <c r="BH108" i="16"/>
  <c r="BH104" i="16"/>
  <c r="BH110" i="16"/>
  <c r="BH102" i="16"/>
  <c r="BH106" i="16"/>
  <c r="BH109" i="16"/>
  <c r="BH111" i="16"/>
  <c r="BH101" i="16"/>
  <c r="BH112" i="16"/>
  <c r="BH103" i="16"/>
  <c r="BH107" i="16"/>
  <c r="BH105" i="16"/>
  <c r="AR30" i="5"/>
  <c r="AR39" i="5"/>
  <c r="AQ39" i="5"/>
  <c r="AP39" i="5"/>
  <c r="AQ30" i="5"/>
  <c r="AP30" i="5"/>
  <c r="I34" i="15"/>
  <c r="I29" i="15"/>
  <c r="I6" i="15"/>
  <c r="W44" i="15"/>
  <c r="AD42" i="15" s="1"/>
  <c r="S44" i="15"/>
  <c r="Z42" i="15" s="1"/>
  <c r="V44" i="15"/>
  <c r="AC42" i="15"/>
  <c r="AJ42" i="15" s="1"/>
  <c r="X111" i="15"/>
  <c r="AM100" i="15"/>
  <c r="AM96" i="15"/>
  <c r="AM97" i="15" s="1"/>
  <c r="B13" i="6"/>
  <c r="AB9" i="6" s="1"/>
  <c r="B12" i="6"/>
  <c r="AB8" i="6" s="1"/>
  <c r="D3" i="8"/>
  <c r="D4" i="6"/>
  <c r="U5" i="6"/>
  <c r="I42" i="6"/>
  <c r="I41" i="6"/>
  <c r="I43" i="6"/>
  <c r="J64" i="6"/>
  <c r="J65" i="6" s="1"/>
  <c r="J66" i="6" s="1"/>
  <c r="J67" i="6" s="1"/>
  <c r="K64" i="6"/>
  <c r="K65" i="6" s="1"/>
  <c r="K66" i="6" s="1"/>
  <c r="K67" i="6" s="1"/>
  <c r="L64" i="6"/>
  <c r="L65" i="6" s="1"/>
  <c r="L66" i="6" s="1"/>
  <c r="L67" i="6" s="1"/>
  <c r="M64" i="6"/>
  <c r="M65" i="6" s="1"/>
  <c r="M66" i="6"/>
  <c r="M67" i="6" s="1"/>
  <c r="N64" i="6"/>
  <c r="N65" i="6" s="1"/>
  <c r="N66" i="6" s="1"/>
  <c r="N67" i="6" s="1"/>
  <c r="O64" i="6"/>
  <c r="O65" i="6" s="1"/>
  <c r="O66" i="6" s="1"/>
  <c r="O67" i="6" s="1"/>
  <c r="P64" i="6"/>
  <c r="P65" i="6" s="1"/>
  <c r="P66" i="6" s="1"/>
  <c r="P67" i="6" s="1"/>
  <c r="Q64" i="6"/>
  <c r="Q65" i="6" s="1"/>
  <c r="Q66" i="6" s="1"/>
  <c r="Q67" i="6" s="1"/>
  <c r="R64" i="6"/>
  <c r="R65" i="6" s="1"/>
  <c r="R66" i="6" s="1"/>
  <c r="R67" i="6" s="1"/>
  <c r="S64" i="6"/>
  <c r="S65" i="6" s="1"/>
  <c r="S66" i="6"/>
  <c r="S67" i="6" s="1"/>
  <c r="T64" i="6"/>
  <c r="T65" i="6" s="1"/>
  <c r="T66" i="6" s="1"/>
  <c r="T67" i="6" s="1"/>
  <c r="I64" i="6"/>
  <c r="I65" i="6" s="1"/>
  <c r="I66" i="6" s="1"/>
  <c r="I67" i="6" s="1"/>
  <c r="J41" i="6"/>
  <c r="K41" i="6" s="1"/>
  <c r="L41" i="6" s="1"/>
  <c r="M41" i="6" s="1"/>
  <c r="N41" i="6"/>
  <c r="O41" i="6" s="1"/>
  <c r="P41" i="6" s="1"/>
  <c r="Q41" i="6" s="1"/>
  <c r="R41" i="6" s="1"/>
  <c r="I40" i="6"/>
  <c r="I136" i="5"/>
  <c r="J136" i="5"/>
  <c r="U47" i="5"/>
  <c r="D25" i="5" s="1"/>
  <c r="Z82" i="5"/>
  <c r="AD82" i="5"/>
  <c r="AB91" i="5" s="1"/>
  <c r="AD81" i="5"/>
  <c r="AB89" i="5" s="1"/>
  <c r="AC81" i="5"/>
  <c r="AA89" i="5" s="1"/>
  <c r="AB81" i="5"/>
  <c r="AB85" i="5" s="1"/>
  <c r="AA81" i="5"/>
  <c r="AA85" i="5" s="1"/>
  <c r="Z80" i="5"/>
  <c r="AD80" i="5" s="1"/>
  <c r="AB99" i="5"/>
  <c r="AD79" i="5"/>
  <c r="AB97" i="5" s="1"/>
  <c r="AC79" i="5"/>
  <c r="AA97" i="5" s="1"/>
  <c r="AB79" i="5"/>
  <c r="AB93" i="5"/>
  <c r="AA79" i="5"/>
  <c r="AA93" i="5" s="1"/>
  <c r="B124" i="2"/>
  <c r="C123" i="2"/>
  <c r="A124" i="2"/>
  <c r="B123" i="2"/>
  <c r="I123" i="2" s="1"/>
  <c r="E123" i="2" s="1"/>
  <c r="U4" i="8"/>
  <c r="AC2" i="8" s="1"/>
  <c r="AJ2" i="8" s="1"/>
  <c r="F12" i="8"/>
  <c r="AC8" i="8" s="1"/>
  <c r="F13" i="8"/>
  <c r="AC9" i="8" s="1"/>
  <c r="T4" i="8"/>
  <c r="T43" i="8" s="1"/>
  <c r="T45" i="8" s="1"/>
  <c r="T46" i="8" s="1"/>
  <c r="T6" i="8"/>
  <c r="T7" i="8" s="1"/>
  <c r="O17" i="8"/>
  <c r="K11" i="8"/>
  <c r="O5" i="8"/>
  <c r="O3" i="8"/>
  <c r="C18" i="8" s="1"/>
  <c r="O2" i="8"/>
  <c r="O7" i="8" s="1"/>
  <c r="Q7" i="8" s="1"/>
  <c r="D18" i="8"/>
  <c r="D19" i="8" s="1"/>
  <c r="O18" i="8"/>
  <c r="K17" i="8"/>
  <c r="K18" i="8"/>
  <c r="K8" i="8"/>
  <c r="K13" i="8"/>
  <c r="E18" i="8" s="1"/>
  <c r="E19" i="8" s="1"/>
  <c r="K5" i="8"/>
  <c r="K12" i="8" s="1"/>
  <c r="F18" i="8" s="1"/>
  <c r="F19" i="8" s="1"/>
  <c r="K7" i="8"/>
  <c r="L7" i="8" s="1"/>
  <c r="K14" i="8"/>
  <c r="K6" i="8"/>
  <c r="O19" i="8"/>
  <c r="O32" i="8" s="1"/>
  <c r="O24" i="8"/>
  <c r="G18" i="8" s="1"/>
  <c r="G19" i="8" s="1"/>
  <c r="G20" i="8" s="1"/>
  <c r="O20" i="8"/>
  <c r="T5" i="8"/>
  <c r="AB3" i="8" s="1"/>
  <c r="AI3" i="8" s="1"/>
  <c r="U5" i="8"/>
  <c r="AC3" i="8" s="1"/>
  <c r="AJ3" i="8" s="1"/>
  <c r="V5" i="8"/>
  <c r="AD3" i="8"/>
  <c r="AK3" i="8" s="1"/>
  <c r="V4" i="8"/>
  <c r="V43" i="8" s="1"/>
  <c r="V45" i="8" s="1"/>
  <c r="V46" i="8" s="1"/>
  <c r="S4" i="8"/>
  <c r="S6" i="8" s="1"/>
  <c r="O21" i="8"/>
  <c r="G4" i="8"/>
  <c r="W5" i="8"/>
  <c r="O11" i="8"/>
  <c r="O10" i="8"/>
  <c r="P10" i="8" s="1"/>
  <c r="Q10" i="8" s="1"/>
  <c r="K9" i="8"/>
  <c r="O14" i="8"/>
  <c r="O13" i="8"/>
  <c r="P13" i="8" s="1"/>
  <c r="S43" i="8"/>
  <c r="S45" i="8" s="1"/>
  <c r="S46" i="8" s="1"/>
  <c r="O44" i="8"/>
  <c r="O41" i="8"/>
  <c r="K53" i="8"/>
  <c r="K54" i="8" s="1"/>
  <c r="K55" i="8" s="1"/>
  <c r="K50" i="8"/>
  <c r="K45" i="8"/>
  <c r="K52" i="8"/>
  <c r="K46" i="8"/>
  <c r="L46" i="8" s="1"/>
  <c r="K56" i="8"/>
  <c r="K57" i="8" s="1"/>
  <c r="K58" i="8" s="1"/>
  <c r="K47" i="8"/>
  <c r="W44" i="8"/>
  <c r="AE42" i="8" s="1"/>
  <c r="T44" i="8"/>
  <c r="AB42" i="8" s="1"/>
  <c r="AI42" i="8" s="1"/>
  <c r="U44" i="8"/>
  <c r="V44" i="8"/>
  <c r="AD42" i="8" s="1"/>
  <c r="O50" i="8"/>
  <c r="O49" i="8"/>
  <c r="P49" i="8" s="1"/>
  <c r="Q49" i="8" s="1"/>
  <c r="O53" i="8"/>
  <c r="O52" i="8"/>
  <c r="P52" i="8" s="1"/>
  <c r="O43" i="8"/>
  <c r="P43" i="8" s="1"/>
  <c r="O56" i="8"/>
  <c r="O62" i="8" s="1"/>
  <c r="O57" i="8"/>
  <c r="O66" i="8" s="1"/>
  <c r="O61" i="8"/>
  <c r="P61" i="8"/>
  <c r="Q61" i="8" s="1"/>
  <c r="O58" i="8"/>
  <c r="O59" i="8"/>
  <c r="O60" i="8"/>
  <c r="AC42" i="8"/>
  <c r="AJ42" i="8"/>
  <c r="AK42" i="8"/>
  <c r="W5" i="6"/>
  <c r="AE3" i="6" s="1"/>
  <c r="T5" i="6"/>
  <c r="AB3" i="6" s="1"/>
  <c r="AI3" i="6" s="1"/>
  <c r="V5" i="6"/>
  <c r="J51" i="2"/>
  <c r="I116" i="2"/>
  <c r="J116" i="2"/>
  <c r="I111" i="2"/>
  <c r="J111" i="2" s="1"/>
  <c r="I106" i="2"/>
  <c r="J106" i="2" s="1"/>
  <c r="I101" i="2"/>
  <c r="J101" i="2" s="1"/>
  <c r="I96" i="2"/>
  <c r="J96" i="2" s="1"/>
  <c r="I91" i="2"/>
  <c r="J91" i="2" s="1"/>
  <c r="I86" i="2"/>
  <c r="J86" i="2" s="1"/>
  <c r="I81" i="2"/>
  <c r="J81" i="2"/>
  <c r="I80" i="2"/>
  <c r="I76" i="2"/>
  <c r="I71" i="2"/>
  <c r="J71" i="2" s="1"/>
  <c r="I66" i="2"/>
  <c r="J66" i="2" s="1"/>
  <c r="I61" i="2"/>
  <c r="J61" i="2"/>
  <c r="I56" i="2"/>
  <c r="J56" i="2" s="1"/>
  <c r="I46" i="2"/>
  <c r="J46" i="2" s="1"/>
  <c r="I41" i="2"/>
  <c r="J41" i="2" s="1"/>
  <c r="I26" i="2"/>
  <c r="J26" i="2" s="1"/>
  <c r="I11" i="2"/>
  <c r="G127" i="16"/>
  <c r="C127" i="16"/>
  <c r="D127" i="16"/>
  <c r="E127" i="16"/>
  <c r="F127" i="16"/>
  <c r="C126" i="16"/>
  <c r="D126" i="16"/>
  <c r="E126" i="16"/>
  <c r="F126" i="16"/>
  <c r="F17" i="5"/>
  <c r="F19" i="5" s="1"/>
  <c r="P30" i="5"/>
  <c r="S5" i="6"/>
  <c r="Q3" i="5"/>
  <c r="X44" i="5"/>
  <c r="AE48" i="5"/>
  <c r="AE47" i="5"/>
  <c r="X5" i="5"/>
  <c r="Q42" i="5"/>
  <c r="D5" i="8"/>
  <c r="S5" i="8"/>
  <c r="AA3" i="8" s="1"/>
  <c r="AH3" i="8" s="1"/>
  <c r="P3" i="8"/>
  <c r="Q3" i="8" s="1"/>
  <c r="AC10" i="8"/>
  <c r="AF10" i="8" s="1"/>
  <c r="P7" i="8"/>
  <c r="S44" i="8"/>
  <c r="P42" i="8"/>
  <c r="E3" i="11"/>
  <c r="H5" i="5"/>
  <c r="L44" i="5"/>
  <c r="D3" i="14"/>
  <c r="U4" i="14"/>
  <c r="K5" i="14"/>
  <c r="K11" i="14"/>
  <c r="O5" i="14"/>
  <c r="O3" i="14"/>
  <c r="C17" i="14" s="1"/>
  <c r="C18" i="14"/>
  <c r="P3" i="14" s="1"/>
  <c r="O2" i="14"/>
  <c r="D17" i="14"/>
  <c r="D18" i="14" s="1"/>
  <c r="L11" i="14" s="1"/>
  <c r="M11" i="14" s="1"/>
  <c r="K7" i="14"/>
  <c r="L7" i="14" s="1"/>
  <c r="M7" i="14" s="1"/>
  <c r="K14" i="14"/>
  <c r="K6" i="14"/>
  <c r="K13" i="14"/>
  <c r="E17" i="14" s="1"/>
  <c r="E18" i="14" s="1"/>
  <c r="K17" i="14"/>
  <c r="K18" i="14" s="1"/>
  <c r="K19" i="14" s="1"/>
  <c r="K8" i="14"/>
  <c r="E3" i="14"/>
  <c r="V4" i="14" s="1"/>
  <c r="V6" i="14" s="1"/>
  <c r="V7" i="14" s="1"/>
  <c r="E4" i="14"/>
  <c r="V5" i="14" s="1"/>
  <c r="AD3" i="14" s="1"/>
  <c r="AK3" i="14" s="1"/>
  <c r="G4" i="14"/>
  <c r="W5" i="14"/>
  <c r="S5" i="14"/>
  <c r="T5" i="14"/>
  <c r="U5" i="14"/>
  <c r="AC3" i="14" s="1"/>
  <c r="K9" i="14"/>
  <c r="S4" i="14"/>
  <c r="S6" i="14"/>
  <c r="S7" i="14" s="1"/>
  <c r="T4" i="14"/>
  <c r="T6" i="14"/>
  <c r="T7" i="14" s="1"/>
  <c r="D5" i="14"/>
  <c r="E5" i="14" s="1"/>
  <c r="V43" i="14" s="1"/>
  <c r="V45" i="14" s="1"/>
  <c r="V46" i="14" s="1"/>
  <c r="K44" i="14"/>
  <c r="K50" i="14"/>
  <c r="D19" i="14" s="1"/>
  <c r="D20" i="14" s="1"/>
  <c r="L50" i="14" s="1"/>
  <c r="K51" i="14"/>
  <c r="F19" i="14" s="1"/>
  <c r="F20" i="14" s="1"/>
  <c r="O44" i="14"/>
  <c r="O45" i="14" s="1"/>
  <c r="O42" i="14"/>
  <c r="C19" i="14"/>
  <c r="C20" i="14" s="1"/>
  <c r="P42" i="14" s="1"/>
  <c r="Q42" i="14" s="1"/>
  <c r="O41" i="14"/>
  <c r="B19" i="14" s="1"/>
  <c r="B20" i="14" s="1"/>
  <c r="P41" i="14" s="1"/>
  <c r="Q41" i="14" s="1"/>
  <c r="K46" i="14"/>
  <c r="L46" i="14" s="1"/>
  <c r="M46" i="14" s="1"/>
  <c r="K53" i="14"/>
  <c r="K54" i="14" s="1"/>
  <c r="K45" i="14"/>
  <c r="K52" i="14"/>
  <c r="E19" i="14"/>
  <c r="E20" i="14" s="1"/>
  <c r="K56" i="14"/>
  <c r="K57" i="14"/>
  <c r="K47" i="14"/>
  <c r="S43" i="14"/>
  <c r="T43" i="14"/>
  <c r="T45" i="14" s="1"/>
  <c r="T46" i="14" s="1"/>
  <c r="B6" i="14"/>
  <c r="S44" i="14" s="1"/>
  <c r="C6" i="14"/>
  <c r="T44" i="14" s="1"/>
  <c r="D6" i="14"/>
  <c r="W44" i="14"/>
  <c r="K48" i="14"/>
  <c r="D136" i="5"/>
  <c r="E136" i="5"/>
  <c r="F136" i="5"/>
  <c r="G136" i="5"/>
  <c r="H136" i="5"/>
  <c r="J17" i="5"/>
  <c r="J19" i="5"/>
  <c r="F15" i="8"/>
  <c r="B2" i="48"/>
  <c r="AI3" i="48"/>
  <c r="AI4" i="48"/>
  <c r="AI5" i="48"/>
  <c r="AI6" i="48"/>
  <c r="AI7" i="48"/>
  <c r="AI8" i="48"/>
  <c r="AI9" i="48"/>
  <c r="AI10" i="48"/>
  <c r="AI11" i="48"/>
  <c r="AI12" i="48"/>
  <c r="AI2" i="48"/>
  <c r="K52" i="15"/>
  <c r="E21" i="15" s="1"/>
  <c r="E22" i="15" s="1"/>
  <c r="O44" i="15"/>
  <c r="O42" i="15"/>
  <c r="C21" i="15" s="1"/>
  <c r="C22" i="15"/>
  <c r="P42" i="15" s="1"/>
  <c r="O41" i="15"/>
  <c r="B21" i="15"/>
  <c r="B22" i="15" s="1"/>
  <c r="P41" i="15" s="1"/>
  <c r="K56" i="15"/>
  <c r="K50" i="15"/>
  <c r="D21" i="15"/>
  <c r="D22" i="15" s="1"/>
  <c r="L50" i="15" s="1"/>
  <c r="K47" i="15"/>
  <c r="K64" i="15" s="1"/>
  <c r="O57" i="15"/>
  <c r="O70" i="15" s="1"/>
  <c r="O56" i="15"/>
  <c r="O62" i="15" s="1"/>
  <c r="H21" i="15"/>
  <c r="H22" i="15" s="1"/>
  <c r="K46" i="15"/>
  <c r="K53" i="15"/>
  <c r="K45" i="15"/>
  <c r="K44" i="15"/>
  <c r="K51" i="15"/>
  <c r="F21" i="15" s="1"/>
  <c r="F22" i="15"/>
  <c r="O61" i="15"/>
  <c r="O58" i="15"/>
  <c r="O63" i="15"/>
  <c r="G21" i="15" s="1"/>
  <c r="G22" i="15" s="1"/>
  <c r="O59" i="15"/>
  <c r="K48" i="15"/>
  <c r="U44" i="15"/>
  <c r="AB42" i="15" s="1"/>
  <c r="Z47" i="15"/>
  <c r="B15" i="15"/>
  <c r="Z48" i="15" s="1"/>
  <c r="Z49" i="15"/>
  <c r="O49" i="15"/>
  <c r="P49" i="15" s="1"/>
  <c r="O50" i="15"/>
  <c r="O52" i="15"/>
  <c r="P52" i="15"/>
  <c r="O53" i="15"/>
  <c r="O43" i="15"/>
  <c r="P43" i="15" s="1"/>
  <c r="Q43" i="15" s="1"/>
  <c r="O60" i="15"/>
  <c r="O69" i="15"/>
  <c r="O75" i="15" s="1"/>
  <c r="K13" i="15"/>
  <c r="E19" i="15"/>
  <c r="E20" i="15" s="1"/>
  <c r="O5" i="15"/>
  <c r="O3" i="15"/>
  <c r="C19" i="15" s="1"/>
  <c r="C20" i="15" s="1"/>
  <c r="P3" i="15" s="1"/>
  <c r="O2" i="15"/>
  <c r="K17" i="15"/>
  <c r="K11" i="15"/>
  <c r="D19" i="15" s="1"/>
  <c r="D20" i="15" s="1"/>
  <c r="L11" i="15" s="1"/>
  <c r="K8" i="15"/>
  <c r="K25" i="15" s="1"/>
  <c r="O18" i="15"/>
  <c r="O27" i="15" s="1"/>
  <c r="O17" i="15"/>
  <c r="O31" i="15" s="1"/>
  <c r="K7" i="15"/>
  <c r="L7" i="15" s="1"/>
  <c r="M7" i="15" s="1"/>
  <c r="K14" i="15"/>
  <c r="K6" i="15"/>
  <c r="K5" i="15"/>
  <c r="O22" i="15"/>
  <c r="O19" i="15"/>
  <c r="O24" i="15"/>
  <c r="G19" i="15" s="1"/>
  <c r="G20" i="15" s="1"/>
  <c r="O20" i="15"/>
  <c r="S4" i="15"/>
  <c r="S6" i="15"/>
  <c r="T4" i="15"/>
  <c r="T6" i="15" s="1"/>
  <c r="U4" i="15"/>
  <c r="U6" i="15" s="1"/>
  <c r="E3" i="15"/>
  <c r="V4" i="15"/>
  <c r="K9" i="15"/>
  <c r="S5" i="15"/>
  <c r="Z3" i="15" s="1"/>
  <c r="W5" i="15"/>
  <c r="AD3" i="15" s="1"/>
  <c r="T5" i="15"/>
  <c r="AA3" i="15" s="1"/>
  <c r="Z8" i="15"/>
  <c r="Z9" i="15"/>
  <c r="Z10" i="15"/>
  <c r="O10" i="15"/>
  <c r="P10" i="15" s="1"/>
  <c r="Q10" i="15" s="1"/>
  <c r="O11" i="15"/>
  <c r="O13" i="15"/>
  <c r="P13" i="15" s="1"/>
  <c r="O14" i="15"/>
  <c r="O4" i="15"/>
  <c r="P4" i="15"/>
  <c r="Q4" i="15" s="1"/>
  <c r="O21" i="15"/>
  <c r="O30" i="15"/>
  <c r="X5" i="6"/>
  <c r="K9" i="6"/>
  <c r="D17" i="6"/>
  <c r="D18" i="6" s="1"/>
  <c r="K11" i="6"/>
  <c r="K5" i="6"/>
  <c r="O5" i="6"/>
  <c r="C17" i="6"/>
  <c r="C18" i="6" s="1"/>
  <c r="O3" i="6"/>
  <c r="B17" i="6"/>
  <c r="B18" i="6" s="1"/>
  <c r="P2" i="6" s="1"/>
  <c r="O2" i="6"/>
  <c r="K7" i="6"/>
  <c r="L7" i="6" s="1"/>
  <c r="M7" i="6" s="1"/>
  <c r="K14" i="6"/>
  <c r="K6" i="6"/>
  <c r="K13" i="6"/>
  <c r="E17" i="6"/>
  <c r="E18" i="6"/>
  <c r="K17" i="6"/>
  <c r="K8" i="6"/>
  <c r="K25" i="6"/>
  <c r="F46" i="8"/>
  <c r="F47" i="8"/>
  <c r="N29" i="48"/>
  <c r="N30" i="48"/>
  <c r="N31" i="48"/>
  <c r="N32" i="48"/>
  <c r="N33" i="48"/>
  <c r="N34" i="48"/>
  <c r="N35" i="48"/>
  <c r="N36" i="48"/>
  <c r="N37" i="48"/>
  <c r="N38" i="48"/>
  <c r="N39" i="48"/>
  <c r="N40" i="48"/>
  <c r="N41" i="48"/>
  <c r="N42" i="48"/>
  <c r="N43" i="48"/>
  <c r="N44" i="48"/>
  <c r="N45" i="48"/>
  <c r="N46" i="48"/>
  <c r="N47" i="48"/>
  <c r="N48" i="48"/>
  <c r="N49" i="48"/>
  <c r="N50" i="48"/>
  <c r="N51" i="48"/>
  <c r="N52" i="48"/>
  <c r="N53" i="48"/>
  <c r="N54" i="48"/>
  <c r="N55" i="48"/>
  <c r="N56" i="48"/>
  <c r="N57" i="48"/>
  <c r="N58" i="48"/>
  <c r="N59" i="48"/>
  <c r="N60" i="48"/>
  <c r="N61" i="48"/>
  <c r="N62" i="48"/>
  <c r="N63" i="48"/>
  <c r="N64" i="48"/>
  <c r="N65" i="48"/>
  <c r="N66" i="48"/>
  <c r="N67" i="48"/>
  <c r="N68" i="48"/>
  <c r="N69" i="48"/>
  <c r="N70" i="48"/>
  <c r="N71" i="48"/>
  <c r="N72" i="48"/>
  <c r="N73" i="48"/>
  <c r="N74" i="48"/>
  <c r="O29" i="48"/>
  <c r="O75" i="48"/>
  <c r="O30" i="48"/>
  <c r="O31" i="48"/>
  <c r="O32" i="48"/>
  <c r="O33" i="48"/>
  <c r="O34" i="48"/>
  <c r="O35" i="48"/>
  <c r="O36" i="48"/>
  <c r="O37" i="48"/>
  <c r="O38" i="48"/>
  <c r="O39" i="48"/>
  <c r="O40" i="48"/>
  <c r="O41" i="48"/>
  <c r="O42" i="48"/>
  <c r="O43" i="48"/>
  <c r="O44" i="48"/>
  <c r="O45" i="48"/>
  <c r="O46" i="48"/>
  <c r="O47" i="48"/>
  <c r="O48" i="48"/>
  <c r="O49" i="48"/>
  <c r="O50" i="48"/>
  <c r="O51" i="48"/>
  <c r="O52" i="48"/>
  <c r="O53" i="48"/>
  <c r="O54" i="48"/>
  <c r="O55" i="48"/>
  <c r="O56" i="48"/>
  <c r="O57" i="48"/>
  <c r="O58" i="48"/>
  <c r="O59" i="48"/>
  <c r="O60" i="48"/>
  <c r="O61" i="48"/>
  <c r="O62" i="48"/>
  <c r="O63" i="48"/>
  <c r="O64" i="48"/>
  <c r="O65" i="48"/>
  <c r="O66" i="48"/>
  <c r="O67" i="48"/>
  <c r="O68" i="48"/>
  <c r="O69" i="48"/>
  <c r="O70" i="48"/>
  <c r="O71" i="48"/>
  <c r="O72" i="48"/>
  <c r="O73" i="48"/>
  <c r="O74" i="48"/>
  <c r="I32" i="8"/>
  <c r="I31" i="8"/>
  <c r="K76" i="48"/>
  <c r="Q76" i="48" s="1"/>
  <c r="I18" i="8"/>
  <c r="D19" i="5"/>
  <c r="L94" i="48"/>
  <c r="M94" i="48"/>
  <c r="Q77" i="48"/>
  <c r="Q78" i="48"/>
  <c r="Q79" i="48"/>
  <c r="Q80" i="48"/>
  <c r="Q81" i="48"/>
  <c r="Q82" i="48"/>
  <c r="Q83" i="48"/>
  <c r="Q84" i="48"/>
  <c r="Q85" i="48"/>
  <c r="Q86" i="48"/>
  <c r="Q87" i="48"/>
  <c r="Q88" i="48"/>
  <c r="Q89" i="48"/>
  <c r="Q90" i="48"/>
  <c r="Q91" i="48"/>
  <c r="Q92" i="48"/>
  <c r="Q93" i="48"/>
  <c r="O94" i="48"/>
  <c r="G9" i="658"/>
  <c r="G7" i="658"/>
  <c r="G19" i="658"/>
  <c r="G17" i="658"/>
  <c r="G24" i="658"/>
  <c r="G22" i="658"/>
  <c r="I9" i="658"/>
  <c r="I7" i="658"/>
  <c r="I19" i="658"/>
  <c r="G39" i="658" s="1"/>
  <c r="I17" i="658"/>
  <c r="I29" i="658"/>
  <c r="G40" i="658" s="1"/>
  <c r="I27" i="658"/>
  <c r="K9" i="658"/>
  <c r="G41" i="658" s="1"/>
  <c r="K7" i="658"/>
  <c r="K14" i="658"/>
  <c r="K12" i="658"/>
  <c r="G42" i="658" s="1"/>
  <c r="K19" i="658"/>
  <c r="K17" i="658"/>
  <c r="M24" i="658"/>
  <c r="M22" i="658"/>
  <c r="O24" i="658"/>
  <c r="O22" i="658"/>
  <c r="G45" i="658"/>
  <c r="Q29" i="658"/>
  <c r="Q27" i="658"/>
  <c r="S14" i="658"/>
  <c r="S12" i="658"/>
  <c r="D50" i="658"/>
  <c r="D49" i="658"/>
  <c r="U13" i="658"/>
  <c r="U12" i="658"/>
  <c r="U11" i="658"/>
  <c r="S13" i="658"/>
  <c r="S11" i="658"/>
  <c r="Q28" i="658"/>
  <c r="Q26" i="658"/>
  <c r="O23" i="658"/>
  <c r="O21" i="658"/>
  <c r="M23" i="658"/>
  <c r="M21" i="658"/>
  <c r="K18" i="658"/>
  <c r="K16" i="658"/>
  <c r="K13" i="658"/>
  <c r="K11" i="658"/>
  <c r="K6" i="658"/>
  <c r="I28" i="658"/>
  <c r="I26" i="658"/>
  <c r="I18" i="658"/>
  <c r="I16" i="658"/>
  <c r="I8" i="658"/>
  <c r="I6" i="658"/>
  <c r="G29" i="658"/>
  <c r="G28" i="658"/>
  <c r="G26" i="658"/>
  <c r="G23" i="658"/>
  <c r="G21" i="658"/>
  <c r="G18" i="658"/>
  <c r="G16" i="658"/>
  <c r="G14" i="658"/>
  <c r="G13" i="658"/>
  <c r="G11" i="658"/>
  <c r="G8" i="658"/>
  <c r="G6" i="658"/>
  <c r="C27" i="658"/>
  <c r="C26" i="658"/>
  <c r="C21" i="658"/>
  <c r="C16" i="658"/>
  <c r="C12" i="658"/>
  <c r="C11" i="658"/>
  <c r="C7" i="658"/>
  <c r="C6" i="658"/>
  <c r="F44" i="15"/>
  <c r="G44" i="15"/>
  <c r="F45" i="15"/>
  <c r="G45" i="15"/>
  <c r="F46" i="15"/>
  <c r="G46" i="15"/>
  <c r="F47" i="15"/>
  <c r="G47" i="15"/>
  <c r="F48" i="15"/>
  <c r="G48" i="15"/>
  <c r="H48" i="15" s="1"/>
  <c r="E48" i="15" s="1"/>
  <c r="F49" i="15"/>
  <c r="G49" i="15"/>
  <c r="F50" i="15"/>
  <c r="G50" i="15"/>
  <c r="H50" i="15" s="1"/>
  <c r="I50" i="15" s="1"/>
  <c r="F51" i="15"/>
  <c r="G51" i="15"/>
  <c r="F52" i="15"/>
  <c r="H52" i="15" s="1"/>
  <c r="E52" i="15" s="1"/>
  <c r="G52" i="15"/>
  <c r="F53" i="15"/>
  <c r="G53" i="15"/>
  <c r="O4" i="8"/>
  <c r="B187" i="15"/>
  <c r="C187" i="15"/>
  <c r="D187" i="15"/>
  <c r="I183" i="15"/>
  <c r="H183" i="15"/>
  <c r="I131" i="15"/>
  <c r="M131" i="15"/>
  <c r="O131" i="15" s="1"/>
  <c r="H131" i="15"/>
  <c r="K131" i="15" s="1"/>
  <c r="P131" i="15" s="1"/>
  <c r="Q131" i="15" s="1"/>
  <c r="I132" i="15"/>
  <c r="M132" i="15" s="1"/>
  <c r="O132" i="15" s="1"/>
  <c r="H132" i="15"/>
  <c r="K132" i="15" s="1"/>
  <c r="P132" i="15" s="1"/>
  <c r="Q132" i="15" s="1"/>
  <c r="I133" i="15"/>
  <c r="M133" i="15" s="1"/>
  <c r="O133" i="15" s="1"/>
  <c r="H133" i="15"/>
  <c r="K133" i="15" s="1"/>
  <c r="P133" i="15" s="1"/>
  <c r="Q133" i="15" s="1"/>
  <c r="I134" i="15"/>
  <c r="H134" i="15"/>
  <c r="K134" i="15" s="1"/>
  <c r="P134" i="15" s="1"/>
  <c r="Q134" i="15"/>
  <c r="I135" i="15"/>
  <c r="M135" i="15" s="1"/>
  <c r="O135" i="15" s="1"/>
  <c r="H135" i="15"/>
  <c r="K135" i="15" s="1"/>
  <c r="P135" i="15" s="1"/>
  <c r="Q135" i="15" s="1"/>
  <c r="I136" i="15"/>
  <c r="R136" i="15" s="1"/>
  <c r="H136" i="15"/>
  <c r="K136" i="15" s="1"/>
  <c r="P136" i="15" s="1"/>
  <c r="Q136" i="15" s="1"/>
  <c r="I137" i="15"/>
  <c r="M137" i="15" s="1"/>
  <c r="O137" i="15" s="1"/>
  <c r="H137" i="15"/>
  <c r="K137" i="15"/>
  <c r="P137" i="15" s="1"/>
  <c r="Q137" i="15" s="1"/>
  <c r="I138" i="15"/>
  <c r="H138" i="15"/>
  <c r="K138" i="15" s="1"/>
  <c r="P138" i="15" s="1"/>
  <c r="Q138" i="15" s="1"/>
  <c r="I139" i="15"/>
  <c r="M139" i="15" s="1"/>
  <c r="O139" i="15" s="1"/>
  <c r="H139" i="15"/>
  <c r="K139" i="15" s="1"/>
  <c r="P139" i="15" s="1"/>
  <c r="Q139" i="15" s="1"/>
  <c r="I130" i="15"/>
  <c r="H130" i="15"/>
  <c r="K130" i="15" s="1"/>
  <c r="P130" i="15" s="1"/>
  <c r="Q130" i="15" s="1"/>
  <c r="M134" i="15"/>
  <c r="O134" i="15" s="1"/>
  <c r="M138" i="15"/>
  <c r="O138" i="15" s="1"/>
  <c r="I120" i="15"/>
  <c r="P120" i="15" s="1"/>
  <c r="I121" i="15"/>
  <c r="I122" i="15"/>
  <c r="P122" i="15" s="1"/>
  <c r="I123" i="15"/>
  <c r="I173" i="15"/>
  <c r="I174" i="15"/>
  <c r="I175" i="15"/>
  <c r="I176" i="15"/>
  <c r="I177" i="15"/>
  <c r="I178" i="15"/>
  <c r="I179" i="15"/>
  <c r="I180" i="15"/>
  <c r="I181" i="15"/>
  <c r="I182" i="15"/>
  <c r="M159" i="15"/>
  <c r="N159" i="15"/>
  <c r="M160" i="15"/>
  <c r="O160" i="15" s="1"/>
  <c r="N160" i="15"/>
  <c r="M161" i="15"/>
  <c r="O161" i="15" s="1"/>
  <c r="Q161" i="15" s="1"/>
  <c r="N161" i="15"/>
  <c r="M162" i="15"/>
  <c r="O162" i="15" s="1"/>
  <c r="N162" i="15"/>
  <c r="M163" i="15"/>
  <c r="O163" i="15"/>
  <c r="N163" i="15"/>
  <c r="M164" i="15"/>
  <c r="N164" i="15"/>
  <c r="M165" i="15"/>
  <c r="N165" i="15"/>
  <c r="M166" i="15"/>
  <c r="O166" i="15" s="1"/>
  <c r="Q166" i="15" s="1"/>
  <c r="N166" i="15"/>
  <c r="M167" i="15"/>
  <c r="O167" i="15" s="1"/>
  <c r="N167" i="15"/>
  <c r="M158" i="15"/>
  <c r="N158" i="15"/>
  <c r="I159" i="15"/>
  <c r="I160" i="15"/>
  <c r="I161" i="15"/>
  <c r="I162" i="15"/>
  <c r="I163" i="15"/>
  <c r="I164" i="15"/>
  <c r="I165" i="15"/>
  <c r="I166" i="15"/>
  <c r="I167" i="15"/>
  <c r="I158" i="15"/>
  <c r="H174" i="15"/>
  <c r="H175" i="15"/>
  <c r="H176" i="15"/>
  <c r="H177" i="15"/>
  <c r="H178" i="15"/>
  <c r="H179" i="15"/>
  <c r="H180" i="15"/>
  <c r="H181" i="15"/>
  <c r="H182" i="15"/>
  <c r="H173" i="15"/>
  <c r="J169" i="15"/>
  <c r="J170" i="15" s="1"/>
  <c r="D158" i="15"/>
  <c r="E158" i="15" s="1"/>
  <c r="M144" i="15"/>
  <c r="O144" i="15" s="1"/>
  <c r="M145" i="15"/>
  <c r="N145" i="15" s="1"/>
  <c r="Q145" i="15" s="1"/>
  <c r="O145" i="15"/>
  <c r="M146" i="15"/>
  <c r="O146" i="15"/>
  <c r="M147" i="15"/>
  <c r="O147" i="15"/>
  <c r="M148" i="15"/>
  <c r="M149" i="15"/>
  <c r="O149" i="15" s="1"/>
  <c r="S149" i="15" s="1"/>
  <c r="M150" i="15"/>
  <c r="M151" i="15"/>
  <c r="O151" i="15" s="1"/>
  <c r="M152" i="15"/>
  <c r="O152" i="15" s="1"/>
  <c r="K144" i="15"/>
  <c r="P144" i="15"/>
  <c r="L144" i="15"/>
  <c r="R144" i="15" s="1"/>
  <c r="K145" i="15"/>
  <c r="P145" i="15" s="1"/>
  <c r="L145" i="15"/>
  <c r="R145" i="15" s="1"/>
  <c r="K146" i="15"/>
  <c r="P146" i="15" s="1"/>
  <c r="S146" i="15" s="1"/>
  <c r="L146" i="15"/>
  <c r="R146" i="15" s="1"/>
  <c r="K147" i="15"/>
  <c r="P147" i="15" s="1"/>
  <c r="P153" i="15" s="1"/>
  <c r="L147" i="15"/>
  <c r="R147" i="15"/>
  <c r="K148" i="15"/>
  <c r="P148" i="15"/>
  <c r="L148" i="15"/>
  <c r="R148" i="15"/>
  <c r="K149" i="15"/>
  <c r="P149" i="15"/>
  <c r="L149" i="15"/>
  <c r="R149" i="15" s="1"/>
  <c r="K150" i="15"/>
  <c r="P150" i="15" s="1"/>
  <c r="L150" i="15"/>
  <c r="R150" i="15" s="1"/>
  <c r="K151" i="15"/>
  <c r="P151" i="15" s="1"/>
  <c r="L151" i="15"/>
  <c r="R151" i="15" s="1"/>
  <c r="K152" i="15"/>
  <c r="P152" i="15" s="1"/>
  <c r="L152" i="15"/>
  <c r="R152" i="15" s="1"/>
  <c r="L143" i="15"/>
  <c r="R143" i="15" s="1"/>
  <c r="M143" i="15"/>
  <c r="N143" i="15" s="1"/>
  <c r="Q143" i="15" s="1"/>
  <c r="K143" i="15"/>
  <c r="P143" i="15" s="1"/>
  <c r="K159" i="15"/>
  <c r="K160" i="15"/>
  <c r="K161" i="15"/>
  <c r="K162" i="15"/>
  <c r="K163" i="15"/>
  <c r="K164" i="15"/>
  <c r="K165" i="15"/>
  <c r="K166" i="15"/>
  <c r="K167" i="15"/>
  <c r="I153" i="15"/>
  <c r="K168" i="15" s="1"/>
  <c r="K158" i="15"/>
  <c r="H168" i="15"/>
  <c r="H169" i="15"/>
  <c r="H170" i="15" s="1"/>
  <c r="F158" i="15"/>
  <c r="D159" i="15"/>
  <c r="E159" i="15" s="1"/>
  <c r="G159" i="15" s="1"/>
  <c r="F159" i="15"/>
  <c r="D160" i="15"/>
  <c r="E160" i="15" s="1"/>
  <c r="G160" i="15" s="1"/>
  <c r="F160" i="15"/>
  <c r="D161" i="15"/>
  <c r="E161" i="15" s="1"/>
  <c r="F161" i="15"/>
  <c r="D162" i="15"/>
  <c r="E162" i="15" s="1"/>
  <c r="G162" i="15" s="1"/>
  <c r="F162" i="15"/>
  <c r="D163" i="15"/>
  <c r="E163" i="15"/>
  <c r="F163" i="15"/>
  <c r="D164" i="15"/>
  <c r="E164" i="15"/>
  <c r="F164" i="15"/>
  <c r="D165" i="15"/>
  <c r="E165" i="15" s="1"/>
  <c r="G165" i="15" s="1"/>
  <c r="F165" i="15"/>
  <c r="D166" i="15"/>
  <c r="E166" i="15"/>
  <c r="G166" i="15" s="1"/>
  <c r="F166" i="15"/>
  <c r="D167" i="15"/>
  <c r="E167" i="15" s="1"/>
  <c r="G167" i="15" s="1"/>
  <c r="F167" i="15"/>
  <c r="H153" i="15"/>
  <c r="F143" i="15"/>
  <c r="F144" i="15"/>
  <c r="F145" i="15"/>
  <c r="F146" i="15"/>
  <c r="F147" i="15"/>
  <c r="F148" i="15"/>
  <c r="F149" i="15"/>
  <c r="F150" i="15"/>
  <c r="F151" i="15"/>
  <c r="F152" i="15"/>
  <c r="G153" i="15"/>
  <c r="G154" i="15"/>
  <c r="H154" i="15"/>
  <c r="I154" i="15"/>
  <c r="I155" i="15" s="1"/>
  <c r="E154" i="15"/>
  <c r="E153" i="15"/>
  <c r="Q115" i="15"/>
  <c r="Q116" i="15"/>
  <c r="Q117" i="15"/>
  <c r="Q118" i="15"/>
  <c r="Q119" i="15"/>
  <c r="Q120" i="15"/>
  <c r="Q121" i="15"/>
  <c r="Q122" i="15"/>
  <c r="Q123" i="15"/>
  <c r="Q124" i="15"/>
  <c r="I116" i="15"/>
  <c r="P116" i="15" s="1"/>
  <c r="I117" i="15"/>
  <c r="P117" i="15" s="1"/>
  <c r="I118" i="15"/>
  <c r="P118" i="15"/>
  <c r="I119" i="15"/>
  <c r="P119" i="15" s="1"/>
  <c r="P121" i="15"/>
  <c r="P123" i="15"/>
  <c r="I124" i="15"/>
  <c r="P124" i="15" s="1"/>
  <c r="I115" i="15"/>
  <c r="P115" i="15"/>
  <c r="O116" i="15"/>
  <c r="O117" i="15"/>
  <c r="O118" i="15"/>
  <c r="O119" i="15"/>
  <c r="O120" i="15"/>
  <c r="O121" i="15"/>
  <c r="O122" i="15"/>
  <c r="O123" i="15"/>
  <c r="O124" i="15"/>
  <c r="O115" i="15"/>
  <c r="R116" i="15"/>
  <c r="R117" i="15"/>
  <c r="R118" i="15"/>
  <c r="R119" i="15"/>
  <c r="R120" i="15"/>
  <c r="R121" i="15"/>
  <c r="R122" i="15"/>
  <c r="R123" i="15"/>
  <c r="R124" i="15"/>
  <c r="R115" i="15"/>
  <c r="N116" i="15"/>
  <c r="N117" i="15"/>
  <c r="N118" i="15"/>
  <c r="N119" i="15"/>
  <c r="N120" i="15"/>
  <c r="N121" i="15"/>
  <c r="N122" i="15"/>
  <c r="N123" i="15"/>
  <c r="N124" i="15"/>
  <c r="N115" i="15"/>
  <c r="J125" i="15"/>
  <c r="J126" i="15"/>
  <c r="E71" i="15"/>
  <c r="D74" i="15"/>
  <c r="F74" i="15" s="1"/>
  <c r="D71" i="15"/>
  <c r="D70" i="15" s="1"/>
  <c r="C71" i="15"/>
  <c r="D75" i="15"/>
  <c r="F75" i="15" s="1"/>
  <c r="D76" i="15"/>
  <c r="F76" i="15"/>
  <c r="D77" i="15"/>
  <c r="F77" i="15" s="1"/>
  <c r="D78" i="15"/>
  <c r="F78" i="15"/>
  <c r="D79" i="15"/>
  <c r="F79" i="15" s="1"/>
  <c r="D80" i="15"/>
  <c r="F80" i="15"/>
  <c r="D81" i="15"/>
  <c r="F81" i="15"/>
  <c r="D82" i="15"/>
  <c r="F82" i="15" s="1"/>
  <c r="D83" i="15"/>
  <c r="F83" i="15" s="1"/>
  <c r="F99" i="15"/>
  <c r="F100" i="15"/>
  <c r="G100" i="15" s="1"/>
  <c r="H100" i="15" s="1"/>
  <c r="F105" i="15"/>
  <c r="G105" i="15" s="1"/>
  <c r="H105" i="15" s="1"/>
  <c r="F106" i="15"/>
  <c r="G106" i="15" s="1"/>
  <c r="H106" i="15" s="1"/>
  <c r="F107" i="15"/>
  <c r="F108" i="15"/>
  <c r="G108" i="15" s="1"/>
  <c r="H108" i="15" s="1"/>
  <c r="F109" i="15"/>
  <c r="G109" i="15"/>
  <c r="H109" i="15" s="1"/>
  <c r="F110" i="15"/>
  <c r="G110" i="15" s="1"/>
  <c r="H110" i="15" s="1"/>
  <c r="C112" i="15"/>
  <c r="B112" i="15"/>
  <c r="C111" i="15"/>
  <c r="F111" i="15" s="1"/>
  <c r="D111" i="15"/>
  <c r="B111" i="15"/>
  <c r="I110" i="15"/>
  <c r="I109" i="15"/>
  <c r="I108" i="15"/>
  <c r="I107" i="15"/>
  <c r="G107" i="15"/>
  <c r="H107" i="15" s="1"/>
  <c r="I106" i="15"/>
  <c r="I105" i="15"/>
  <c r="I100" i="15"/>
  <c r="I99" i="15"/>
  <c r="G99" i="15"/>
  <c r="H99" i="15" s="1"/>
  <c r="B75" i="15"/>
  <c r="G75" i="15" s="1"/>
  <c r="B76" i="15"/>
  <c r="G76" i="15" s="1"/>
  <c r="B77" i="15"/>
  <c r="G77" i="15"/>
  <c r="B78" i="15"/>
  <c r="G78" i="15" s="1"/>
  <c r="B79" i="15"/>
  <c r="G79" i="15"/>
  <c r="B80" i="15"/>
  <c r="B81" i="15"/>
  <c r="G81" i="15"/>
  <c r="B82" i="15"/>
  <c r="G82" i="15" s="1"/>
  <c r="B83" i="15"/>
  <c r="G83" i="15"/>
  <c r="B74" i="15"/>
  <c r="G74" i="15" s="1"/>
  <c r="H69" i="15"/>
  <c r="I69" i="15"/>
  <c r="I70" i="15"/>
  <c r="I71" i="15" s="1"/>
  <c r="H70" i="15"/>
  <c r="H71" i="15" s="1"/>
  <c r="E28" i="8"/>
  <c r="D28" i="8"/>
  <c r="C91" i="14"/>
  <c r="C92" i="14" s="1"/>
  <c r="D91" i="14"/>
  <c r="D92" i="14" s="1"/>
  <c r="E80" i="14"/>
  <c r="E81" i="14"/>
  <c r="E82" i="14"/>
  <c r="E83" i="14"/>
  <c r="E84" i="14"/>
  <c r="E85" i="14"/>
  <c r="E86" i="14"/>
  <c r="E87" i="14"/>
  <c r="C90" i="14"/>
  <c r="D90" i="14"/>
  <c r="B90" i="14"/>
  <c r="I90" i="14" s="1"/>
  <c r="B91" i="14"/>
  <c r="C34" i="14"/>
  <c r="D34" i="14"/>
  <c r="E34" i="14"/>
  <c r="B34" i="14"/>
  <c r="G83" i="14"/>
  <c r="H83" i="14"/>
  <c r="I83" i="14"/>
  <c r="H93" i="14"/>
  <c r="H84" i="14"/>
  <c r="H85" i="14"/>
  <c r="H86" i="14"/>
  <c r="H87" i="14"/>
  <c r="H80" i="14"/>
  <c r="H81" i="14"/>
  <c r="H82" i="14"/>
  <c r="G80" i="14"/>
  <c r="G81" i="14"/>
  <c r="G91" i="14" s="1"/>
  <c r="G82" i="14"/>
  <c r="G84" i="14"/>
  <c r="G85" i="14"/>
  <c r="G86" i="14"/>
  <c r="G87" i="14"/>
  <c r="F90" i="14"/>
  <c r="F93" i="14" s="1"/>
  <c r="I87" i="14"/>
  <c r="I86" i="14"/>
  <c r="I85" i="14"/>
  <c r="I84" i="14"/>
  <c r="I82" i="14"/>
  <c r="I81" i="14"/>
  <c r="I80" i="14"/>
  <c r="F23" i="14"/>
  <c r="G23" i="14"/>
  <c r="K25" i="14"/>
  <c r="B51" i="14"/>
  <c r="A51" i="14"/>
  <c r="E59" i="14"/>
  <c r="G59" i="14" s="1"/>
  <c r="C51" i="14"/>
  <c r="E60" i="14" s="1"/>
  <c r="E51" i="14"/>
  <c r="E55" i="14" s="1"/>
  <c r="G43" i="14"/>
  <c r="G51" i="14" s="1"/>
  <c r="G44" i="14"/>
  <c r="G45" i="14"/>
  <c r="G46" i="14"/>
  <c r="G47" i="14"/>
  <c r="G48" i="14"/>
  <c r="G49" i="14"/>
  <c r="G50" i="14"/>
  <c r="F51" i="14"/>
  <c r="F52" i="14"/>
  <c r="E52" i="14"/>
  <c r="B52" i="14"/>
  <c r="C52" i="14"/>
  <c r="A52" i="14"/>
  <c r="J2" i="8"/>
  <c r="H2" i="8" s="1"/>
  <c r="AA2" i="8"/>
  <c r="AH2" i="8" s="1"/>
  <c r="AB2" i="8"/>
  <c r="AI2" i="8" s="1"/>
  <c r="AE3" i="8"/>
  <c r="AF3" i="8"/>
  <c r="Q4" i="8"/>
  <c r="M7" i="8"/>
  <c r="C20" i="8"/>
  <c r="D20" i="8"/>
  <c r="F20" i="8"/>
  <c r="C21" i="8"/>
  <c r="K22" i="8"/>
  <c r="K23" i="8" s="1"/>
  <c r="Q22" i="8"/>
  <c r="O31" i="8"/>
  <c r="K25" i="8"/>
  <c r="O27" i="8"/>
  <c r="O28" i="8"/>
  <c r="O30" i="8"/>
  <c r="O36" i="8" s="1"/>
  <c r="K36" i="8"/>
  <c r="K38" i="8" s="1"/>
  <c r="L38" i="8" s="1"/>
  <c r="M38" i="8" s="1"/>
  <c r="K37" i="8"/>
  <c r="L37" i="8" s="1"/>
  <c r="V39" i="8"/>
  <c r="J41" i="8"/>
  <c r="O42" i="8"/>
  <c r="Q42" i="8" s="1"/>
  <c r="AF42" i="8"/>
  <c r="Q43" i="8"/>
  <c r="K44" i="8"/>
  <c r="M46" i="8"/>
  <c r="K48" i="8"/>
  <c r="K51" i="8"/>
  <c r="K64" i="8"/>
  <c r="O69" i="8"/>
  <c r="K75" i="8"/>
  <c r="K76" i="8"/>
  <c r="L76" i="8" s="1"/>
  <c r="J2" i="15"/>
  <c r="G2" i="15"/>
  <c r="J41" i="15"/>
  <c r="I2" i="15" s="1"/>
  <c r="N83" i="15" s="1"/>
  <c r="AE3" i="15"/>
  <c r="I19" i="15"/>
  <c r="I21" i="15"/>
  <c r="Z29" i="15"/>
  <c r="Z32" i="15"/>
  <c r="K36" i="15"/>
  <c r="K37" i="15"/>
  <c r="M37" i="15" s="1"/>
  <c r="V39" i="15"/>
  <c r="AE42" i="15"/>
  <c r="O45" i="15"/>
  <c r="O66" i="15"/>
  <c r="Z68" i="15"/>
  <c r="Z71" i="15"/>
  <c r="K75" i="15"/>
  <c r="K76" i="15"/>
  <c r="M76" i="15" s="1"/>
  <c r="V78" i="15"/>
  <c r="L2" i="12"/>
  <c r="G2" i="12" s="1"/>
  <c r="L41" i="12"/>
  <c r="I2" i="12" s="1"/>
  <c r="Q2" i="12"/>
  <c r="U4" i="12"/>
  <c r="AB2" i="12"/>
  <c r="AI2" i="12" s="1"/>
  <c r="V4" i="12"/>
  <c r="AC2" i="12" s="1"/>
  <c r="AJ2" i="12" s="1"/>
  <c r="W4" i="12"/>
  <c r="AD2" i="12"/>
  <c r="AK2" i="12" s="1"/>
  <c r="X4" i="12"/>
  <c r="AE2" i="12" s="1"/>
  <c r="AL2" i="12" s="1"/>
  <c r="Q3" i="12"/>
  <c r="C19" i="12" s="1"/>
  <c r="C20" i="12" s="1"/>
  <c r="R3" i="12" s="1"/>
  <c r="U5" i="12"/>
  <c r="AB3" i="12" s="1"/>
  <c r="AI3" i="12" s="1"/>
  <c r="V5" i="12"/>
  <c r="AC3" i="12"/>
  <c r="AJ3" i="12" s="1"/>
  <c r="W5" i="12"/>
  <c r="AD3" i="12" s="1"/>
  <c r="AK3" i="12" s="1"/>
  <c r="X5" i="12"/>
  <c r="AE3" i="12" s="1"/>
  <c r="AL3" i="12" s="1"/>
  <c r="Y5" i="12"/>
  <c r="AF3" i="12" s="1"/>
  <c r="AG3" i="12"/>
  <c r="G4" i="12"/>
  <c r="Y7" i="12" s="1"/>
  <c r="U10" i="12" s="1"/>
  <c r="Q4" i="12"/>
  <c r="R4" i="12" s="1"/>
  <c r="S4" i="12" s="1"/>
  <c r="U6" i="12"/>
  <c r="W6" i="12"/>
  <c r="W7" i="12" s="1"/>
  <c r="X6" i="12"/>
  <c r="X7" i="12" s="1"/>
  <c r="M9" i="12"/>
  <c r="M11" i="12"/>
  <c r="D19" i="12"/>
  <c r="D20" i="12" s="1"/>
  <c r="N11" i="12" s="1"/>
  <c r="M5" i="12"/>
  <c r="Q5" i="12"/>
  <c r="G6" i="12"/>
  <c r="M48" i="12"/>
  <c r="M50" i="12"/>
  <c r="M51" i="12" s="1"/>
  <c r="F21" i="12" s="1"/>
  <c r="F22" i="12" s="1"/>
  <c r="M6" i="12"/>
  <c r="M14" i="12"/>
  <c r="M15" i="12" s="1"/>
  <c r="M13" i="12"/>
  <c r="E19" i="12" s="1"/>
  <c r="E20" i="12" s="1"/>
  <c r="Q17" i="12"/>
  <c r="Q18" i="12"/>
  <c r="M17" i="12"/>
  <c r="M18" i="12"/>
  <c r="M8" i="12"/>
  <c r="M25" i="12" s="1"/>
  <c r="M7" i="12"/>
  <c r="N7" i="12"/>
  <c r="O7" i="12" s="1"/>
  <c r="Q22" i="12"/>
  <c r="R22" i="12" s="1"/>
  <c r="Q19" i="12"/>
  <c r="Q20" i="12"/>
  <c r="Q10" i="12"/>
  <c r="R10" i="12" s="1"/>
  <c r="S10" i="12" s="1"/>
  <c r="Q11" i="12"/>
  <c r="Q13" i="12"/>
  <c r="R13" i="12" s="1"/>
  <c r="Q14" i="12"/>
  <c r="Q21" i="12"/>
  <c r="U44" i="12"/>
  <c r="AB42" i="12" s="1"/>
  <c r="AI42" i="12" s="1"/>
  <c r="Q56" i="12"/>
  <c r="Q44" i="12"/>
  <c r="Q45" i="12"/>
  <c r="Q42" i="12"/>
  <c r="C21" i="12" s="1"/>
  <c r="C22" i="12" s="1"/>
  <c r="R42" i="12" s="1"/>
  <c r="S42" i="12" s="1"/>
  <c r="Q41" i="12"/>
  <c r="B21" i="12" s="1"/>
  <c r="B22" i="12" s="1"/>
  <c r="R41" i="12" s="1"/>
  <c r="Q57" i="12"/>
  <c r="M56" i="12"/>
  <c r="M57" i="12" s="1"/>
  <c r="M47" i="12"/>
  <c r="M64" i="12" s="1"/>
  <c r="M52" i="12"/>
  <c r="E21" i="12" s="1"/>
  <c r="E22" i="12"/>
  <c r="M44" i="12"/>
  <c r="M46" i="12"/>
  <c r="N46" i="12"/>
  <c r="O46" i="12" s="1"/>
  <c r="M53" i="12"/>
  <c r="M54" i="12" s="1"/>
  <c r="M45" i="12"/>
  <c r="Q61" i="12"/>
  <c r="R61" i="12" s="1"/>
  <c r="Q58" i="12"/>
  <c r="Q59" i="12"/>
  <c r="Y44" i="12"/>
  <c r="AF42" i="12" s="1"/>
  <c r="U43" i="12"/>
  <c r="V44" i="12"/>
  <c r="AC42" i="12" s="1"/>
  <c r="AJ42" i="12" s="1"/>
  <c r="V43" i="12"/>
  <c r="V45" i="12" s="1"/>
  <c r="W44" i="12"/>
  <c r="W43" i="12"/>
  <c r="W45" i="12" s="1"/>
  <c r="X44" i="12"/>
  <c r="AE42" i="12" s="1"/>
  <c r="AL42" i="12" s="1"/>
  <c r="X43" i="12"/>
  <c r="AE41" i="12" s="1"/>
  <c r="AL41" i="12" s="1"/>
  <c r="Q43" i="12"/>
  <c r="R43" i="12"/>
  <c r="S43" i="12" s="1"/>
  <c r="Q49" i="12"/>
  <c r="R49" i="12" s="1"/>
  <c r="S49" i="12" s="1"/>
  <c r="Q50" i="12"/>
  <c r="Q52" i="12"/>
  <c r="R52" i="12"/>
  <c r="Q53" i="12"/>
  <c r="Q60" i="12"/>
  <c r="Q69" i="12" s="1"/>
  <c r="AD42" i="12"/>
  <c r="AK42" i="12" s="1"/>
  <c r="I19" i="12"/>
  <c r="I21" i="12"/>
  <c r="M22" i="12"/>
  <c r="M23" i="12" s="1"/>
  <c r="M24" i="12"/>
  <c r="AB28" i="12"/>
  <c r="AB29" i="12"/>
  <c r="Q30" i="12"/>
  <c r="AB30" i="12"/>
  <c r="AD32" i="12" s="1"/>
  <c r="AB32" i="12"/>
  <c r="AC32" i="12"/>
  <c r="M36" i="12"/>
  <c r="M38" i="12" s="1"/>
  <c r="O38" i="12" s="1"/>
  <c r="M37" i="12"/>
  <c r="O37" i="12"/>
  <c r="X39" i="12"/>
  <c r="AG42" i="12"/>
  <c r="M61" i="12"/>
  <c r="M62" i="12" s="1"/>
  <c r="AB67" i="12"/>
  <c r="AB68" i="12"/>
  <c r="AB69" i="12"/>
  <c r="AC71" i="12" s="1"/>
  <c r="Q71" i="12"/>
  <c r="AB71" i="12"/>
  <c r="M75" i="12"/>
  <c r="Q75" i="12"/>
  <c r="M76" i="12"/>
  <c r="O76" i="12" s="1"/>
  <c r="X78" i="12"/>
  <c r="J2" i="6"/>
  <c r="H2" i="6"/>
  <c r="AD3" i="6"/>
  <c r="AK3" i="6" s="1"/>
  <c r="AF3" i="6"/>
  <c r="O4" i="6"/>
  <c r="P4" i="6"/>
  <c r="Q4" i="6" s="1"/>
  <c r="O17" i="6"/>
  <c r="O18" i="6"/>
  <c r="O19" i="6"/>
  <c r="O20" i="6"/>
  <c r="O10" i="6"/>
  <c r="P10" i="6" s="1"/>
  <c r="Q10" i="6" s="1"/>
  <c r="O11" i="6"/>
  <c r="O13" i="6"/>
  <c r="P13" i="6" s="1"/>
  <c r="O14" i="6"/>
  <c r="O21" i="6"/>
  <c r="O7" i="6"/>
  <c r="I17" i="6"/>
  <c r="I19" i="6"/>
  <c r="O22" i="6"/>
  <c r="Q22" i="6"/>
  <c r="AA32" i="6"/>
  <c r="K36" i="6"/>
  <c r="K37" i="6"/>
  <c r="M37" i="6"/>
  <c r="V39" i="6"/>
  <c r="P4" i="16"/>
  <c r="I125" i="16" s="1"/>
  <c r="W6" i="16"/>
  <c r="X6" i="16" s="1"/>
  <c r="W8" i="16"/>
  <c r="P7" i="16"/>
  <c r="AR8" i="16"/>
  <c r="AS8" i="16"/>
  <c r="AR9" i="16"/>
  <c r="AS9" i="16"/>
  <c r="W12" i="16"/>
  <c r="X12" i="16"/>
  <c r="Y12" i="16" s="1"/>
  <c r="AR10" i="16"/>
  <c r="AS10" i="16"/>
  <c r="W13" i="16"/>
  <c r="W15" i="16"/>
  <c r="X15" i="16" s="1"/>
  <c r="W16" i="16"/>
  <c r="W23" i="16"/>
  <c r="W32" i="16" s="1"/>
  <c r="W24" i="16"/>
  <c r="Y24" i="16" s="1"/>
  <c r="AR32" i="16"/>
  <c r="J33" i="16"/>
  <c r="J35" i="16" s="1"/>
  <c r="S36" i="16"/>
  <c r="S37" i="16"/>
  <c r="U37" i="16" s="1"/>
  <c r="J38" i="16"/>
  <c r="J40" i="16"/>
  <c r="AD41" i="16"/>
  <c r="R43" i="16"/>
  <c r="W47" i="16"/>
  <c r="AR49" i="16"/>
  <c r="AS49" i="16"/>
  <c r="AR50" i="16"/>
  <c r="AS50" i="16"/>
  <c r="W53" i="16"/>
  <c r="X53" i="16" s="1"/>
  <c r="Y53" i="16" s="1"/>
  <c r="AR51" i="16"/>
  <c r="AS51" i="16"/>
  <c r="W54" i="16"/>
  <c r="W56" i="16"/>
  <c r="X56" i="16"/>
  <c r="W57" i="16"/>
  <c r="W64" i="16"/>
  <c r="W73" i="16" s="1"/>
  <c r="W65" i="16"/>
  <c r="Y65" i="16"/>
  <c r="AR73" i="16"/>
  <c r="S77" i="16"/>
  <c r="S78" i="16"/>
  <c r="T78" i="16" s="1"/>
  <c r="U78" i="16" s="1"/>
  <c r="AD82" i="16"/>
  <c r="AF98" i="16"/>
  <c r="AF99" i="16"/>
  <c r="AF100" i="16"/>
  <c r="AF101" i="16"/>
  <c r="AF102" i="16"/>
  <c r="J2" i="14"/>
  <c r="G2" i="14"/>
  <c r="J41" i="14"/>
  <c r="I2" i="14"/>
  <c r="AA2" i="14"/>
  <c r="AH2" i="14" s="1"/>
  <c r="AB2" i="14"/>
  <c r="AI2" i="14" s="1"/>
  <c r="AD2" i="14"/>
  <c r="AK2" i="14"/>
  <c r="Q3" i="14"/>
  <c r="AA3" i="14"/>
  <c r="AH3" i="14" s="1"/>
  <c r="AB3" i="14"/>
  <c r="AI3" i="14" s="1"/>
  <c r="AE3" i="14"/>
  <c r="AF3" i="14"/>
  <c r="O4" i="14"/>
  <c r="P4" i="14"/>
  <c r="AA8" i="14"/>
  <c r="AA9" i="14"/>
  <c r="AA10" i="14"/>
  <c r="O10" i="14"/>
  <c r="P10" i="14" s="1"/>
  <c r="Q10" i="14" s="1"/>
  <c r="O11" i="14"/>
  <c r="P11" i="14"/>
  <c r="Q11" i="14" s="1"/>
  <c r="O13" i="14"/>
  <c r="P13" i="14"/>
  <c r="O14" i="14"/>
  <c r="P14" i="14" s="1"/>
  <c r="Q14" i="14" s="1"/>
  <c r="O43" i="14"/>
  <c r="P43" i="14" s="1"/>
  <c r="O49" i="14"/>
  <c r="P49" i="14" s="1"/>
  <c r="Q49" i="14" s="1"/>
  <c r="O50" i="14"/>
  <c r="O52" i="14"/>
  <c r="P52" i="14" s="1"/>
  <c r="O53" i="14"/>
  <c r="O17" i="14"/>
  <c r="O23" i="14" s="1"/>
  <c r="H17" i="14"/>
  <c r="H18" i="14" s="1"/>
  <c r="O18" i="14"/>
  <c r="O22" i="14"/>
  <c r="P22" i="14" s="1"/>
  <c r="O19" i="14"/>
  <c r="O24" i="14" s="1"/>
  <c r="G17" i="14" s="1"/>
  <c r="G18" i="14" s="1"/>
  <c r="O20" i="14"/>
  <c r="O21" i="14"/>
  <c r="O30" i="14" s="1"/>
  <c r="O36" i="14" s="1"/>
  <c r="AA42" i="14"/>
  <c r="AH42" i="14" s="1"/>
  <c r="O56" i="14"/>
  <c r="O62" i="14" s="1"/>
  <c r="H19" i="14" s="1"/>
  <c r="H20" i="14" s="1"/>
  <c r="O57" i="14"/>
  <c r="O70" i="14" s="1"/>
  <c r="O61" i="14"/>
  <c r="P61" i="14"/>
  <c r="O58" i="14"/>
  <c r="O63" i="14" s="1"/>
  <c r="G19" i="14" s="1"/>
  <c r="G20" i="14" s="1"/>
  <c r="O59" i="14"/>
  <c r="O67" i="14" s="1"/>
  <c r="O60" i="14"/>
  <c r="AB42" i="14"/>
  <c r="I17" i="14"/>
  <c r="I19" i="14"/>
  <c r="K36" i="14"/>
  <c r="K37" i="14"/>
  <c r="K38" i="14" s="1"/>
  <c r="M38" i="14" s="1"/>
  <c r="L36" i="14"/>
  <c r="M36" i="14" s="1"/>
  <c r="V39" i="14"/>
  <c r="AD41" i="14"/>
  <c r="AK41" i="14"/>
  <c r="AE42" i="14"/>
  <c r="AF42" i="14"/>
  <c r="K64" i="14"/>
  <c r="O69" i="14"/>
  <c r="AA71" i="14"/>
  <c r="AB71" i="14"/>
  <c r="AC71" i="14"/>
  <c r="K75" i="14"/>
  <c r="K76" i="14"/>
  <c r="K77" i="14"/>
  <c r="M77" i="14" s="1"/>
  <c r="M76" i="14"/>
  <c r="V78" i="14"/>
  <c r="J2" i="13"/>
  <c r="H2" i="13" s="1"/>
  <c r="O2" i="13"/>
  <c r="B18" i="13" s="1"/>
  <c r="B19" i="13"/>
  <c r="P2" i="13" s="1"/>
  <c r="S4" i="13"/>
  <c r="Z2" i="13" s="1"/>
  <c r="AG2" i="13" s="1"/>
  <c r="T4" i="13"/>
  <c r="AA2" i="13" s="1"/>
  <c r="AH2" i="13" s="1"/>
  <c r="U4" i="13"/>
  <c r="V4" i="13"/>
  <c r="O3" i="13"/>
  <c r="C18" i="13" s="1"/>
  <c r="C19" i="13" s="1"/>
  <c r="S5" i="13"/>
  <c r="T5" i="13"/>
  <c r="AA3" i="13" s="1"/>
  <c r="AH3" i="13" s="1"/>
  <c r="U5" i="13"/>
  <c r="AB3" i="13" s="1"/>
  <c r="AI3" i="13" s="1"/>
  <c r="V5" i="13"/>
  <c r="AC3" i="13" s="1"/>
  <c r="AJ3" i="13" s="1"/>
  <c r="W5" i="13"/>
  <c r="AD3" i="13"/>
  <c r="AE3" i="13"/>
  <c r="G4" i="13"/>
  <c r="K9" i="13"/>
  <c r="K11" i="13"/>
  <c r="D18" i="13" s="1"/>
  <c r="D19" i="13" s="1"/>
  <c r="D20" i="13" s="1"/>
  <c r="O4" i="13"/>
  <c r="P4" i="13" s="1"/>
  <c r="Q4" i="13" s="1"/>
  <c r="K5" i="13"/>
  <c r="K12" i="13" s="1"/>
  <c r="F18" i="13" s="1"/>
  <c r="F19" i="13" s="1"/>
  <c r="O5" i="13"/>
  <c r="O6" i="13" s="1"/>
  <c r="G6" i="13"/>
  <c r="K6" i="13"/>
  <c r="K14" i="13"/>
  <c r="K15" i="13" s="1"/>
  <c r="K16" i="13" s="1"/>
  <c r="K13" i="13"/>
  <c r="E18" i="13"/>
  <c r="E19" i="13"/>
  <c r="E20" i="13" s="1"/>
  <c r="K7" i="13"/>
  <c r="L7" i="13" s="1"/>
  <c r="M7" i="13" s="1"/>
  <c r="Z11" i="13"/>
  <c r="K17" i="13"/>
  <c r="K18" i="13" s="1"/>
  <c r="K8" i="13"/>
  <c r="Z8" i="13"/>
  <c r="B10" i="13"/>
  <c r="Z10" i="13" s="1"/>
  <c r="O10" i="13"/>
  <c r="P10" i="13" s="1"/>
  <c r="Q10" i="13" s="1"/>
  <c r="O11" i="13"/>
  <c r="O13" i="13"/>
  <c r="P13" i="13"/>
  <c r="O14" i="13"/>
  <c r="O17" i="13"/>
  <c r="O23" i="13" s="1"/>
  <c r="H18" i="13" s="1"/>
  <c r="H19" i="13" s="1"/>
  <c r="H20" i="13" s="1"/>
  <c r="O18" i="13"/>
  <c r="O27" i="13" s="1"/>
  <c r="O19" i="13"/>
  <c r="O24" i="13" s="1"/>
  <c r="G18" i="13" s="1"/>
  <c r="G19" i="13" s="1"/>
  <c r="O20" i="13"/>
  <c r="O21" i="13"/>
  <c r="C12" i="13"/>
  <c r="F12" i="13"/>
  <c r="C13" i="13"/>
  <c r="F13" i="13"/>
  <c r="O22" i="13"/>
  <c r="Q22" i="13" s="1"/>
  <c r="K25" i="13"/>
  <c r="Z29" i="13"/>
  <c r="K37" i="13"/>
  <c r="L37" i="13"/>
  <c r="K36" i="13"/>
  <c r="Z32" i="13"/>
  <c r="V39" i="13"/>
  <c r="J2" i="9"/>
  <c r="H2" i="9" s="1"/>
  <c r="O2" i="9"/>
  <c r="O7" i="9" s="1"/>
  <c r="S4" i="9"/>
  <c r="T4" i="9"/>
  <c r="AB2" i="9" s="1"/>
  <c r="AI2" i="9" s="1"/>
  <c r="AO2" i="9" s="1"/>
  <c r="AU2" i="9" s="1"/>
  <c r="U4" i="9"/>
  <c r="V4" i="9"/>
  <c r="AD2" i="9"/>
  <c r="AK2" i="9" s="1"/>
  <c r="AQ2" i="9" s="1"/>
  <c r="AW2" i="9" s="1"/>
  <c r="O3" i="9"/>
  <c r="C15" i="9" s="1"/>
  <c r="C16" i="9"/>
  <c r="C17" i="9" s="1"/>
  <c r="S5" i="9"/>
  <c r="AA3" i="9"/>
  <c r="T5" i="9"/>
  <c r="AB3" i="9" s="1"/>
  <c r="U5" i="9"/>
  <c r="V5" i="9"/>
  <c r="AD3" i="9" s="1"/>
  <c r="AQ3" i="9"/>
  <c r="W5" i="9"/>
  <c r="AE3" i="9" s="1"/>
  <c r="X5" i="9"/>
  <c r="AF3" i="9"/>
  <c r="H4" i="9"/>
  <c r="G5" i="9" s="1"/>
  <c r="K9" i="9"/>
  <c r="K11" i="9"/>
  <c r="O4" i="9"/>
  <c r="P4" i="9"/>
  <c r="Q4" i="9" s="1"/>
  <c r="V6" i="9"/>
  <c r="AD4" i="9" s="1"/>
  <c r="AK4" i="9" s="1"/>
  <c r="AQ4" i="9"/>
  <c r="AW4" i="9" s="1"/>
  <c r="K5" i="9"/>
  <c r="K22" i="9" s="1"/>
  <c r="O5" i="9"/>
  <c r="K6" i="9"/>
  <c r="K14" i="9"/>
  <c r="K13" i="9"/>
  <c r="E15" i="9" s="1"/>
  <c r="E16" i="9" s="1"/>
  <c r="K7" i="9"/>
  <c r="L7" i="9" s="1"/>
  <c r="M7" i="9" s="1"/>
  <c r="K17" i="9"/>
  <c r="K8" i="9"/>
  <c r="K25" i="9" s="1"/>
  <c r="O17" i="9"/>
  <c r="O27" i="9" s="1"/>
  <c r="O18" i="9"/>
  <c r="O19" i="9"/>
  <c r="O20" i="9"/>
  <c r="AA8" i="9"/>
  <c r="O10" i="9"/>
  <c r="P10" i="9" s="1"/>
  <c r="Q10" i="9" s="1"/>
  <c r="O11" i="9"/>
  <c r="O13" i="9"/>
  <c r="P13" i="9" s="1"/>
  <c r="O14" i="9"/>
  <c r="O21" i="9"/>
  <c r="AB8" i="9"/>
  <c r="E13" i="9"/>
  <c r="F13" i="9"/>
  <c r="I15" i="9"/>
  <c r="I16" i="9" s="1"/>
  <c r="I17" i="9" s="1"/>
  <c r="E17" i="9"/>
  <c r="O22" i="9"/>
  <c r="Q22" i="9" s="1"/>
  <c r="O30" i="9"/>
  <c r="K36" i="9"/>
  <c r="K37" i="9"/>
  <c r="L37" i="9"/>
  <c r="V39" i="9"/>
  <c r="K2" i="10"/>
  <c r="H2" i="10" s="1"/>
  <c r="P2" i="10"/>
  <c r="P7" i="10" s="1"/>
  <c r="T4" i="10"/>
  <c r="T6" i="10" s="1"/>
  <c r="U4" i="10"/>
  <c r="AB2" i="10" s="1"/>
  <c r="AI2" i="10" s="1"/>
  <c r="AO2" i="10" s="1"/>
  <c r="AU2" i="10" s="1"/>
  <c r="V4" i="10"/>
  <c r="AC2" i="10" s="1"/>
  <c r="AJ2" i="10" s="1"/>
  <c r="AP2" i="10" s="1"/>
  <c r="AV2" i="10" s="1"/>
  <c r="V6" i="10"/>
  <c r="W4" i="10"/>
  <c r="AD2" i="10" s="1"/>
  <c r="AK2" i="10" s="1"/>
  <c r="AQ2" i="10" s="1"/>
  <c r="AW2" i="10" s="1"/>
  <c r="P3" i="10"/>
  <c r="C17" i="10" s="1"/>
  <c r="C18" i="10" s="1"/>
  <c r="B4" i="10"/>
  <c r="T5" i="10"/>
  <c r="U5" i="10"/>
  <c r="AB3" i="10"/>
  <c r="AI3" i="10" s="1"/>
  <c r="D4" i="10"/>
  <c r="V5" i="10" s="1"/>
  <c r="AC3" i="10" s="1"/>
  <c r="AJ3" i="10" s="1"/>
  <c r="X5" i="10"/>
  <c r="AE3" i="10"/>
  <c r="L9" i="10"/>
  <c r="L11" i="10"/>
  <c r="P4" i="10"/>
  <c r="Q4" i="10"/>
  <c r="R4" i="10" s="1"/>
  <c r="W6" i="10"/>
  <c r="W7" i="10" s="1"/>
  <c r="L5" i="10"/>
  <c r="L12" i="10" s="1"/>
  <c r="F17" i="10" s="1"/>
  <c r="F18" i="10" s="1"/>
  <c r="P5" i="10"/>
  <c r="AA8" i="10"/>
  <c r="AA11" i="10" s="1"/>
  <c r="L7" i="10"/>
  <c r="M7" i="10" s="1"/>
  <c r="N7" i="10" s="1"/>
  <c r="L14" i="10"/>
  <c r="L15" i="10"/>
  <c r="L16" i="10" s="1"/>
  <c r="L6" i="10"/>
  <c r="L13" i="10"/>
  <c r="E17" i="10" s="1"/>
  <c r="E18" i="10" s="1"/>
  <c r="L17" i="10"/>
  <c r="L8" i="10"/>
  <c r="P6" i="10"/>
  <c r="P17" i="10"/>
  <c r="P23" i="10" s="1"/>
  <c r="H17" i="10" s="1"/>
  <c r="H18" i="10" s="1"/>
  <c r="P18" i="10"/>
  <c r="P19" i="10"/>
  <c r="P24" i="10" s="1"/>
  <c r="G17" i="10" s="1"/>
  <c r="G18" i="10" s="1"/>
  <c r="P20" i="10"/>
  <c r="P10" i="10"/>
  <c r="Q10" i="10"/>
  <c r="R10" i="10" s="1"/>
  <c r="P11" i="10"/>
  <c r="P13" i="10"/>
  <c r="Q13" i="10"/>
  <c r="P21" i="10"/>
  <c r="AA10" i="10"/>
  <c r="P14" i="10"/>
  <c r="R14" i="10" s="1"/>
  <c r="I17" i="10"/>
  <c r="I18" i="10" s="1"/>
  <c r="I19" i="10" s="1"/>
  <c r="P22" i="10"/>
  <c r="R22" i="10" s="1"/>
  <c r="L25" i="10"/>
  <c r="P27" i="10"/>
  <c r="L36" i="10"/>
  <c r="L37" i="10"/>
  <c r="M37" i="10"/>
  <c r="W39" i="10"/>
  <c r="H2" i="11"/>
  <c r="J2" i="11"/>
  <c r="K6" i="11"/>
  <c r="K5" i="11"/>
  <c r="K11" i="11"/>
  <c r="D16" i="11" s="1"/>
  <c r="D17" i="11" s="1"/>
  <c r="K13" i="11"/>
  <c r="O2" i="11"/>
  <c r="B16" i="11" s="1"/>
  <c r="B17" i="11" s="1"/>
  <c r="B18" i="11" s="1"/>
  <c r="S4" i="11"/>
  <c r="Z2" i="11" s="1"/>
  <c r="AG2" i="11" s="1"/>
  <c r="T4" i="11"/>
  <c r="T43" i="11" s="1"/>
  <c r="U4" i="11"/>
  <c r="AB2" i="11" s="1"/>
  <c r="AI2" i="11" s="1"/>
  <c r="V4" i="11"/>
  <c r="V6" i="11" s="1"/>
  <c r="O3" i="11"/>
  <c r="O42" i="11" s="1"/>
  <c r="S5" i="11"/>
  <c r="Z3" i="11"/>
  <c r="AG3" i="11" s="1"/>
  <c r="T5" i="11"/>
  <c r="AA3" i="11" s="1"/>
  <c r="AH3" i="11" s="1"/>
  <c r="U5" i="11"/>
  <c r="AB3" i="11" s="1"/>
  <c r="AI3" i="11" s="1"/>
  <c r="V5" i="11"/>
  <c r="AC3" i="11" s="1"/>
  <c r="AJ3" i="11" s="1"/>
  <c r="W5" i="11"/>
  <c r="AD3" i="11" s="1"/>
  <c r="AE3" i="11"/>
  <c r="G4" i="11"/>
  <c r="K9" i="11"/>
  <c r="O4" i="11"/>
  <c r="P4" i="11"/>
  <c r="Q4" i="11" s="1"/>
  <c r="O5" i="11"/>
  <c r="K14" i="11"/>
  <c r="E16" i="11"/>
  <c r="E17" i="11" s="1"/>
  <c r="E18" i="11" s="1"/>
  <c r="O6" i="11"/>
  <c r="K7" i="11"/>
  <c r="L7" i="11"/>
  <c r="M7" i="11" s="1"/>
  <c r="K17" i="11"/>
  <c r="K18" i="11" s="1"/>
  <c r="K19" i="11" s="1"/>
  <c r="K8" i="11"/>
  <c r="K25" i="11" s="1"/>
  <c r="O10" i="11"/>
  <c r="P10" i="11" s="1"/>
  <c r="Q10" i="11" s="1"/>
  <c r="O11" i="11"/>
  <c r="O13" i="11"/>
  <c r="P13" i="11" s="1"/>
  <c r="O14" i="11"/>
  <c r="O17" i="11"/>
  <c r="O18" i="11"/>
  <c r="O19" i="11"/>
  <c r="O32" i="11" s="1"/>
  <c r="O20" i="11"/>
  <c r="O21" i="11"/>
  <c r="S44" i="11"/>
  <c r="Z42" i="11"/>
  <c r="AG42" i="11" s="1"/>
  <c r="O44" i="11"/>
  <c r="O41" i="11"/>
  <c r="O57" i="11"/>
  <c r="O56" i="11"/>
  <c r="O62" i="11" s="1"/>
  <c r="K56" i="11"/>
  <c r="K57" i="11" s="1"/>
  <c r="K50" i="11"/>
  <c r="K47" i="11"/>
  <c r="K64" i="11" s="1"/>
  <c r="K52" i="11"/>
  <c r="I16" i="11"/>
  <c r="I17" i="11" s="1"/>
  <c r="K46" i="11"/>
  <c r="K53" i="11"/>
  <c r="K45" i="11"/>
  <c r="K61" i="11" s="1"/>
  <c r="O58" i="11"/>
  <c r="O59" i="11"/>
  <c r="O67" i="11" s="1"/>
  <c r="W44" i="11"/>
  <c r="T44" i="11"/>
  <c r="AA42" i="11" s="1"/>
  <c r="AH42" i="11" s="1"/>
  <c r="U44" i="11"/>
  <c r="V44" i="11"/>
  <c r="AC42" i="11" s="1"/>
  <c r="AJ42" i="11" s="1"/>
  <c r="O43" i="11"/>
  <c r="P43" i="11" s="1"/>
  <c r="Q43" i="11" s="1"/>
  <c r="O49" i="11"/>
  <c r="P49" i="11" s="1"/>
  <c r="Q49" i="11" s="1"/>
  <c r="O50" i="11"/>
  <c r="O52" i="11"/>
  <c r="P52" i="11"/>
  <c r="O53" i="11"/>
  <c r="O60" i="11"/>
  <c r="O69" i="11" s="1"/>
  <c r="O75" i="11" s="1"/>
  <c r="AB42" i="11"/>
  <c r="AI42" i="11" s="1"/>
  <c r="O22" i="11"/>
  <c r="K36" i="11"/>
  <c r="K37" i="11"/>
  <c r="K38" i="11" s="1"/>
  <c r="L38" i="11" s="1"/>
  <c r="M38" i="11" s="1"/>
  <c r="V39" i="11"/>
  <c r="J41" i="11"/>
  <c r="AD42" i="11"/>
  <c r="AE42" i="11"/>
  <c r="K44" i="11"/>
  <c r="K51" i="11" s="1"/>
  <c r="K48" i="11"/>
  <c r="O61" i="11"/>
  <c r="Q61" i="11" s="1"/>
  <c r="O66" i="11"/>
  <c r="K75" i="11"/>
  <c r="K77" i="11" s="1"/>
  <c r="L77" i="11" s="1"/>
  <c r="M77" i="11" s="1"/>
  <c r="K76" i="11"/>
  <c r="L76" i="11"/>
  <c r="V89" i="11"/>
  <c r="J2" i="17"/>
  <c r="O2" i="17"/>
  <c r="P2" i="17"/>
  <c r="Q2" i="17" s="1"/>
  <c r="S4" i="17"/>
  <c r="AN4" i="17" s="1"/>
  <c r="T4" i="17"/>
  <c r="T6" i="17" s="1"/>
  <c r="U4" i="17"/>
  <c r="AC2" i="17" s="1"/>
  <c r="AJ2" i="17" s="1"/>
  <c r="V4" i="17"/>
  <c r="V6" i="17" s="1"/>
  <c r="O3" i="17"/>
  <c r="P3" i="17"/>
  <c r="S5" i="17"/>
  <c r="AA3" i="17" s="1"/>
  <c r="AH3" i="17" s="1"/>
  <c r="T5" i="17"/>
  <c r="AB3" i="17" s="1"/>
  <c r="AI3" i="17" s="1"/>
  <c r="U5" i="17"/>
  <c r="AP5" i="17" s="1"/>
  <c r="V5" i="17"/>
  <c r="AD3" i="17"/>
  <c r="AK3" i="17" s="1"/>
  <c r="W5" i="17"/>
  <c r="AE3" i="17" s="1"/>
  <c r="AF3" i="17"/>
  <c r="A4" i="17"/>
  <c r="H4" i="17"/>
  <c r="O4" i="17"/>
  <c r="P4" i="17" s="1"/>
  <c r="K9" i="17"/>
  <c r="K11" i="17"/>
  <c r="K18" i="17" s="1"/>
  <c r="AP4" i="17"/>
  <c r="K5" i="17"/>
  <c r="K12" i="17" s="1"/>
  <c r="F59" i="17" s="1"/>
  <c r="F60" i="17" s="1"/>
  <c r="O5" i="17"/>
  <c r="AO5" i="17"/>
  <c r="AQ5" i="17"/>
  <c r="AR5" i="17"/>
  <c r="W57" i="17"/>
  <c r="S57" i="17"/>
  <c r="T57" i="17"/>
  <c r="U57" i="17"/>
  <c r="V57" i="17"/>
  <c r="K61" i="17"/>
  <c r="K63" i="17"/>
  <c r="D61" i="17" s="1"/>
  <c r="D62" i="17" s="1"/>
  <c r="L63" i="17" s="1"/>
  <c r="W109" i="17"/>
  <c r="S109" i="17"/>
  <c r="T109" i="17"/>
  <c r="U109" i="17"/>
  <c r="V109" i="17"/>
  <c r="K113" i="17"/>
  <c r="K115" i="17"/>
  <c r="D63" i="17"/>
  <c r="D64" i="17" s="1"/>
  <c r="L115" i="17" s="1"/>
  <c r="W161" i="17"/>
  <c r="S161" i="17"/>
  <c r="AA159" i="17" s="1"/>
  <c r="T161" i="17"/>
  <c r="AB159" i="17" s="1"/>
  <c r="AI159" i="17" s="1"/>
  <c r="U161" i="17"/>
  <c r="V161" i="17"/>
  <c r="K165" i="17"/>
  <c r="K167" i="17"/>
  <c r="D65" i="17" s="1"/>
  <c r="D66" i="17" s="1"/>
  <c r="L167" i="17" s="1"/>
  <c r="W213" i="17"/>
  <c r="AR61" i="17" s="1"/>
  <c r="S213" i="17"/>
  <c r="T213" i="17"/>
  <c r="U213" i="17"/>
  <c r="V213" i="17"/>
  <c r="K217" i="17"/>
  <c r="K219" i="17"/>
  <c r="D67" i="17"/>
  <c r="D68" i="17" s="1"/>
  <c r="L219" i="17" s="1"/>
  <c r="W265" i="17"/>
  <c r="S265" i="17"/>
  <c r="T265" i="17"/>
  <c r="U265" i="17"/>
  <c r="V265" i="17"/>
  <c r="K269" i="17"/>
  <c r="K271" i="17"/>
  <c r="D69" i="17" s="1"/>
  <c r="D70" i="17" s="1"/>
  <c r="L271" i="17" s="1"/>
  <c r="W317" i="17"/>
  <c r="S317" i="17"/>
  <c r="AN89" i="17" s="1"/>
  <c r="T317" i="17"/>
  <c r="U317" i="17"/>
  <c r="V317" i="17"/>
  <c r="K321" i="17"/>
  <c r="K323" i="17"/>
  <c r="D71" i="17"/>
  <c r="D72" i="17" s="1"/>
  <c r="L323" i="17" s="1"/>
  <c r="W369" i="17"/>
  <c r="S369" i="17"/>
  <c r="T369" i="17"/>
  <c r="U369" i="17"/>
  <c r="AP103" i="17" s="1"/>
  <c r="V369" i="17"/>
  <c r="K373" i="17"/>
  <c r="K375" i="17"/>
  <c r="D73" i="17"/>
  <c r="D74" i="17" s="1"/>
  <c r="L375" i="17" s="1"/>
  <c r="P378" i="17" s="1"/>
  <c r="W421" i="17"/>
  <c r="S421" i="17"/>
  <c r="T421" i="17"/>
  <c r="U421" i="17"/>
  <c r="V421" i="17"/>
  <c r="K425" i="17"/>
  <c r="K427" i="17"/>
  <c r="D75" i="17"/>
  <c r="D76" i="17" s="1"/>
  <c r="L427" i="17" s="1"/>
  <c r="W473" i="17"/>
  <c r="AR131" i="17" s="1"/>
  <c r="S473" i="17"/>
  <c r="T473" i="17"/>
  <c r="U473" i="17"/>
  <c r="AC471" i="17" s="1"/>
  <c r="AJ471" i="17" s="1"/>
  <c r="V473" i="17"/>
  <c r="K477" i="17"/>
  <c r="K479" i="17"/>
  <c r="D77" i="17" s="1"/>
  <c r="D78" i="17" s="1"/>
  <c r="L479" i="17" s="1"/>
  <c r="W525" i="17"/>
  <c r="AR145" i="17" s="1"/>
  <c r="S525" i="17"/>
  <c r="T525" i="17"/>
  <c r="U525" i="17"/>
  <c r="V525" i="17"/>
  <c r="K529" i="17"/>
  <c r="K531" i="17"/>
  <c r="D79" i="17"/>
  <c r="D80" i="17" s="1"/>
  <c r="L531" i="17" s="1"/>
  <c r="W577" i="17"/>
  <c r="S577" i="17"/>
  <c r="AA575" i="17" s="1"/>
  <c r="AH575" i="17" s="1"/>
  <c r="T577" i="17"/>
  <c r="U577" i="17"/>
  <c r="AC575" i="17" s="1"/>
  <c r="AJ575" i="17" s="1"/>
  <c r="V577" i="17"/>
  <c r="K581" i="17"/>
  <c r="K583" i="17"/>
  <c r="D81" i="17" s="1"/>
  <c r="D82" i="17" s="1"/>
  <c r="L583" i="17" s="1"/>
  <c r="W629" i="17"/>
  <c r="AR173" i="17" s="1"/>
  <c r="S629" i="17"/>
  <c r="T629" i="17"/>
  <c r="U629" i="17"/>
  <c r="V629" i="17"/>
  <c r="K633" i="17"/>
  <c r="K635" i="17"/>
  <c r="D83" i="17"/>
  <c r="D84" i="17" s="1"/>
  <c r="L635" i="17" s="1"/>
  <c r="W681" i="17"/>
  <c r="S681" i="17"/>
  <c r="AN187" i="17" s="1"/>
  <c r="T681" i="17"/>
  <c r="U681" i="17"/>
  <c r="AC679" i="17" s="1"/>
  <c r="AJ679" i="17" s="1"/>
  <c r="V681" i="17"/>
  <c r="AQ187" i="17" s="1"/>
  <c r="K685" i="17"/>
  <c r="K687" i="17"/>
  <c r="D85" i="17" s="1"/>
  <c r="D86" i="17" s="1"/>
  <c r="L687" i="17" s="1"/>
  <c r="W733" i="17"/>
  <c r="S733" i="17"/>
  <c r="AA731" i="17" s="1"/>
  <c r="AH731" i="17" s="1"/>
  <c r="T733" i="17"/>
  <c r="U733" i="17"/>
  <c r="AC731" i="17" s="1"/>
  <c r="AJ731" i="17" s="1"/>
  <c r="V733" i="17"/>
  <c r="K737" i="17"/>
  <c r="K739" i="17"/>
  <c r="D87" i="17" s="1"/>
  <c r="D88" i="17" s="1"/>
  <c r="L739" i="17" s="1"/>
  <c r="P742" i="17" s="1"/>
  <c r="W785" i="17"/>
  <c r="S785" i="17"/>
  <c r="T785" i="17"/>
  <c r="U785" i="17"/>
  <c r="V785" i="17"/>
  <c r="K789" i="17"/>
  <c r="K791" i="17"/>
  <c r="D89" i="17"/>
  <c r="D90" i="17" s="1"/>
  <c r="L791" i="17" s="1"/>
  <c r="J54" i="17"/>
  <c r="A6" i="17" s="1"/>
  <c r="H6" i="17"/>
  <c r="K6" i="17"/>
  <c r="K14" i="17"/>
  <c r="K15" i="17" s="1"/>
  <c r="K13" i="17"/>
  <c r="O6" i="17"/>
  <c r="K7" i="17"/>
  <c r="L7" i="17" s="1"/>
  <c r="O7" i="17"/>
  <c r="AA8" i="17"/>
  <c r="K17" i="17"/>
  <c r="K8" i="17"/>
  <c r="K57" i="17"/>
  <c r="K64" i="17" s="1"/>
  <c r="F61" i="17" s="1"/>
  <c r="F62" i="17" s="1"/>
  <c r="O57" i="17"/>
  <c r="C62" i="17"/>
  <c r="P55" i="17"/>
  <c r="P57" i="17" s="1"/>
  <c r="Q57" i="17" s="1"/>
  <c r="B62" i="17"/>
  <c r="P54" i="17" s="1"/>
  <c r="O54" i="17"/>
  <c r="K59" i="17"/>
  <c r="L59" i="17" s="1"/>
  <c r="K66" i="17"/>
  <c r="K58" i="17"/>
  <c r="K65" i="17"/>
  <c r="E61" i="17"/>
  <c r="E62" i="17"/>
  <c r="K69" i="17"/>
  <c r="K60" i="17"/>
  <c r="S56" i="17"/>
  <c r="AN18" i="17" s="1"/>
  <c r="S58" i="17"/>
  <c r="T56" i="17"/>
  <c r="T58" i="17" s="1"/>
  <c r="T59" i="17" s="1"/>
  <c r="U56" i="17"/>
  <c r="V56" i="17"/>
  <c r="K109" i="17"/>
  <c r="K116" i="17" s="1"/>
  <c r="F63" i="17" s="1"/>
  <c r="F64" i="17" s="1"/>
  <c r="O109" i="17"/>
  <c r="B64" i="17"/>
  <c r="P106" i="17" s="1"/>
  <c r="O106" i="17"/>
  <c r="K111" i="17"/>
  <c r="L111" i="17"/>
  <c r="M111" i="17" s="1"/>
  <c r="K118" i="17"/>
  <c r="K119" i="17"/>
  <c r="K110" i="17"/>
  <c r="K126" i="17" s="1"/>
  <c r="K117" i="17"/>
  <c r="E63" i="17" s="1"/>
  <c r="E64" i="17" s="1"/>
  <c r="K121" i="17"/>
  <c r="K112" i="17"/>
  <c r="S108" i="17"/>
  <c r="T108" i="17"/>
  <c r="T110" i="17"/>
  <c r="U108" i="17"/>
  <c r="U110" i="17" s="1"/>
  <c r="U111" i="17" s="1"/>
  <c r="V108" i="17"/>
  <c r="V110" i="17" s="1"/>
  <c r="V111" i="17" s="1"/>
  <c r="K161" i="17"/>
  <c r="O161" i="17"/>
  <c r="O158" i="17"/>
  <c r="K163" i="17"/>
  <c r="L163" i="17" s="1"/>
  <c r="K170" i="17"/>
  <c r="K171" i="17" s="1"/>
  <c r="K172" i="17" s="1"/>
  <c r="K162" i="17"/>
  <c r="K169" i="17"/>
  <c r="E65" i="17" s="1"/>
  <c r="E66" i="17"/>
  <c r="K173" i="17"/>
  <c r="K174" i="17" s="1"/>
  <c r="K175" i="17" s="1"/>
  <c r="K164" i="17"/>
  <c r="S160" i="17"/>
  <c r="S162" i="17" s="1"/>
  <c r="T160" i="17"/>
  <c r="U160" i="17"/>
  <c r="U162" i="17" s="1"/>
  <c r="V160" i="17"/>
  <c r="V162" i="17" s="1"/>
  <c r="V163" i="17" s="1"/>
  <c r="K213" i="17"/>
  <c r="K220" i="17"/>
  <c r="F67" i="17" s="1"/>
  <c r="F68" i="17" s="1"/>
  <c r="O213" i="17"/>
  <c r="O210" i="17"/>
  <c r="K215" i="17"/>
  <c r="K230" i="17" s="1"/>
  <c r="L215" i="17"/>
  <c r="M215" i="17" s="1"/>
  <c r="K222" i="17"/>
  <c r="K214" i="17"/>
  <c r="K221" i="17"/>
  <c r="E67" i="17"/>
  <c r="E68" i="17" s="1"/>
  <c r="K225" i="17"/>
  <c r="K216" i="17"/>
  <c r="K233" i="17" s="1"/>
  <c r="S212" i="17"/>
  <c r="S214" i="17" s="1"/>
  <c r="S215" i="17" s="1"/>
  <c r="T212" i="17"/>
  <c r="T214" i="17"/>
  <c r="T215" i="17" s="1"/>
  <c r="U212" i="17"/>
  <c r="U214" i="17" s="1"/>
  <c r="U215" i="17" s="1"/>
  <c r="V212" i="17"/>
  <c r="V214" i="17"/>
  <c r="V215" i="17" s="1"/>
  <c r="K265" i="17"/>
  <c r="O265" i="17"/>
  <c r="O262" i="17"/>
  <c r="K267" i="17"/>
  <c r="L267" i="17" s="1"/>
  <c r="K274" i="17"/>
  <c r="K266" i="17"/>
  <c r="K273" i="17"/>
  <c r="E69" i="17" s="1"/>
  <c r="E70" i="17" s="1"/>
  <c r="K277" i="17"/>
  <c r="K268" i="17"/>
  <c r="S264" i="17"/>
  <c r="T264" i="17"/>
  <c r="T266" i="17" s="1"/>
  <c r="T267" i="17" s="1"/>
  <c r="U264" i="17"/>
  <c r="U266" i="17" s="1"/>
  <c r="V264" i="17"/>
  <c r="V266" i="17" s="1"/>
  <c r="V267" i="17" s="1"/>
  <c r="K317" i="17"/>
  <c r="K324" i="17"/>
  <c r="F71" i="17" s="1"/>
  <c r="F72" i="17" s="1"/>
  <c r="O317" i="17"/>
  <c r="O314" i="17"/>
  <c r="K319" i="17"/>
  <c r="L319" i="17" s="1"/>
  <c r="K326" i="17"/>
  <c r="K327" i="17"/>
  <c r="K318" i="17"/>
  <c r="K325" i="17"/>
  <c r="E71" i="17" s="1"/>
  <c r="E72" i="17" s="1"/>
  <c r="K329" i="17"/>
  <c r="K330" i="17" s="1"/>
  <c r="K320" i="17"/>
  <c r="S316" i="17"/>
  <c r="S318" i="17" s="1"/>
  <c r="S319" i="17" s="1"/>
  <c r="T316" i="17"/>
  <c r="T318" i="17"/>
  <c r="T319" i="17" s="1"/>
  <c r="U316" i="17"/>
  <c r="V316" i="17"/>
  <c r="V318" i="17"/>
  <c r="V319" i="17" s="1"/>
  <c r="K369" i="17"/>
  <c r="K376" i="17" s="1"/>
  <c r="F73" i="17" s="1"/>
  <c r="F74" i="17" s="1"/>
  <c r="O369" i="17"/>
  <c r="O366" i="17"/>
  <c r="K371" i="17"/>
  <c r="L371" i="17" s="1"/>
  <c r="K378" i="17"/>
  <c r="K379" i="17" s="1"/>
  <c r="K370" i="17"/>
  <c r="K377" i="17"/>
  <c r="E73" i="17" s="1"/>
  <c r="E74" i="17" s="1"/>
  <c r="K381" i="17"/>
  <c r="K382" i="17" s="1"/>
  <c r="K372" i="17"/>
  <c r="S368" i="17"/>
  <c r="S370" i="17" s="1"/>
  <c r="S371" i="17" s="1"/>
  <c r="T368" i="17"/>
  <c r="T370" i="17" s="1"/>
  <c r="T371" i="17" s="1"/>
  <c r="U368" i="17"/>
  <c r="V368" i="17"/>
  <c r="V370" i="17" s="1"/>
  <c r="V371" i="17"/>
  <c r="K421" i="17"/>
  <c r="K428" i="17"/>
  <c r="F75" i="17" s="1"/>
  <c r="F76" i="17" s="1"/>
  <c r="O421" i="17"/>
  <c r="O418" i="17"/>
  <c r="K423" i="17"/>
  <c r="L423" i="17"/>
  <c r="M423" i="17" s="1"/>
  <c r="K430" i="17"/>
  <c r="K422" i="17"/>
  <c r="K429" i="17"/>
  <c r="E75" i="17" s="1"/>
  <c r="E76" i="17" s="1"/>
  <c r="K433" i="17"/>
  <c r="K434" i="17" s="1"/>
  <c r="K424" i="17"/>
  <c r="S420" i="17"/>
  <c r="T420" i="17"/>
  <c r="T422" i="17"/>
  <c r="T423" i="17" s="1"/>
  <c r="U420" i="17"/>
  <c r="V420" i="17"/>
  <c r="V422" i="17" s="1"/>
  <c r="K473" i="17"/>
  <c r="O473" i="17"/>
  <c r="O470" i="17"/>
  <c r="K475" i="17"/>
  <c r="L475" i="17" s="1"/>
  <c r="K482" i="17"/>
  <c r="K483" i="17" s="1"/>
  <c r="K484" i="17"/>
  <c r="K474" i="17"/>
  <c r="K481" i="17"/>
  <c r="E77" i="17" s="1"/>
  <c r="E78" i="17" s="1"/>
  <c r="K485" i="17"/>
  <c r="K476" i="17"/>
  <c r="S472" i="17"/>
  <c r="S474" i="17"/>
  <c r="S475" i="17" s="1"/>
  <c r="T472" i="17"/>
  <c r="U472" i="17"/>
  <c r="U474" i="17"/>
  <c r="U475" i="17" s="1"/>
  <c r="V472" i="17"/>
  <c r="V474" i="17" s="1"/>
  <c r="V475" i="17" s="1"/>
  <c r="K525" i="17"/>
  <c r="O525" i="17"/>
  <c r="O522" i="17"/>
  <c r="K527" i="17"/>
  <c r="L527" i="17" s="1"/>
  <c r="K534" i="17"/>
  <c r="K535" i="17"/>
  <c r="K526" i="17"/>
  <c r="K533" i="17"/>
  <c r="E79" i="17"/>
  <c r="E80" i="17" s="1"/>
  <c r="K537" i="17"/>
  <c r="K538" i="17" s="1"/>
  <c r="K539" i="17" s="1"/>
  <c r="K528" i="17"/>
  <c r="S524" i="17"/>
  <c r="S526" i="17" s="1"/>
  <c r="S527" i="17" s="1"/>
  <c r="T524" i="17"/>
  <c r="T526" i="17"/>
  <c r="U524" i="17"/>
  <c r="U526" i="17" s="1"/>
  <c r="U527" i="17"/>
  <c r="V524" i="17"/>
  <c r="V526" i="17" s="1"/>
  <c r="V527" i="17" s="1"/>
  <c r="K577" i="17"/>
  <c r="K584" i="17" s="1"/>
  <c r="F81" i="17" s="1"/>
  <c r="F82" i="17" s="1"/>
  <c r="O577" i="17"/>
  <c r="O574" i="17"/>
  <c r="K579" i="17"/>
  <c r="L579" i="17" s="1"/>
  <c r="K586" i="17"/>
  <c r="K587" i="17" s="1"/>
  <c r="K578" i="17"/>
  <c r="K585" i="17"/>
  <c r="E81" i="17" s="1"/>
  <c r="E82" i="17" s="1"/>
  <c r="K589" i="17"/>
  <c r="K590" i="17" s="1"/>
  <c r="K580" i="17"/>
  <c r="S576" i="17"/>
  <c r="S578" i="17"/>
  <c r="T576" i="17"/>
  <c r="T578" i="17" s="1"/>
  <c r="T579" i="17"/>
  <c r="U576" i="17"/>
  <c r="U578" i="17" s="1"/>
  <c r="V576" i="17"/>
  <c r="V578" i="17" s="1"/>
  <c r="V579" i="17" s="1"/>
  <c r="K629" i="17"/>
  <c r="K636" i="17"/>
  <c r="F83" i="17" s="1"/>
  <c r="F84" i="17" s="1"/>
  <c r="O629" i="17"/>
  <c r="O630" i="17" s="1"/>
  <c r="O626" i="17"/>
  <c r="K631" i="17"/>
  <c r="L631" i="17"/>
  <c r="K638" i="17"/>
  <c r="K630" i="17"/>
  <c r="K637" i="17"/>
  <c r="E83" i="17"/>
  <c r="E84" i="17" s="1"/>
  <c r="K641" i="17"/>
  <c r="K642" i="17" s="1"/>
  <c r="K632" i="17"/>
  <c r="S628" i="17"/>
  <c r="S630" i="17" s="1"/>
  <c r="S631" i="17" s="1"/>
  <c r="T628" i="17"/>
  <c r="T630" i="17"/>
  <c r="T631" i="17" s="1"/>
  <c r="U628" i="17"/>
  <c r="U630" i="17" s="1"/>
  <c r="U631" i="17" s="1"/>
  <c r="V628" i="17"/>
  <c r="V630" i="17"/>
  <c r="V631" i="17" s="1"/>
  <c r="K681" i="17"/>
  <c r="K688" i="17" s="1"/>
  <c r="F85" i="17" s="1"/>
  <c r="F86" i="17" s="1"/>
  <c r="O681" i="17"/>
  <c r="O678" i="17"/>
  <c r="B85" i="17" s="1"/>
  <c r="K683" i="17"/>
  <c r="L683" i="17" s="1"/>
  <c r="K690" i="17"/>
  <c r="K691" i="17" s="1"/>
  <c r="K682" i="17"/>
  <c r="K689" i="17"/>
  <c r="E85" i="17" s="1"/>
  <c r="E86" i="17" s="1"/>
  <c r="K693" i="17"/>
  <c r="K684" i="17"/>
  <c r="S680" i="17"/>
  <c r="T680" i="17"/>
  <c r="T682" i="17" s="1"/>
  <c r="T683" i="17" s="1"/>
  <c r="U680" i="17"/>
  <c r="U682" i="17" s="1"/>
  <c r="U683" i="17" s="1"/>
  <c r="V680" i="17"/>
  <c r="V682" i="17" s="1"/>
  <c r="V683" i="17" s="1"/>
  <c r="K733" i="17"/>
  <c r="K750" i="17" s="1"/>
  <c r="K751" i="17" s="1"/>
  <c r="K752" i="17" s="1"/>
  <c r="K740" i="17"/>
  <c r="F87" i="17" s="1"/>
  <c r="F88" i="17" s="1"/>
  <c r="O733" i="17"/>
  <c r="O730" i="17"/>
  <c r="O735" i="17" s="1"/>
  <c r="K735" i="17"/>
  <c r="L735" i="17" s="1"/>
  <c r="K742" i="17"/>
  <c r="K743" i="17"/>
  <c r="K744" i="17" s="1"/>
  <c r="K734" i="17"/>
  <c r="K741" i="17"/>
  <c r="E87" i="17" s="1"/>
  <c r="E88" i="17" s="1"/>
  <c r="K745" i="17"/>
  <c r="K736" i="17"/>
  <c r="S732" i="17"/>
  <c r="S734" i="17" s="1"/>
  <c r="S735" i="17" s="1"/>
  <c r="T732" i="17"/>
  <c r="T734" i="17"/>
  <c r="U732" i="17"/>
  <c r="U734" i="17" s="1"/>
  <c r="U735" i="17"/>
  <c r="V732" i="17"/>
  <c r="K785" i="17"/>
  <c r="K792" i="17" s="1"/>
  <c r="F89" i="17" s="1"/>
  <c r="F90" i="17" s="1"/>
  <c r="O785" i="17"/>
  <c r="O782" i="17"/>
  <c r="K787" i="17"/>
  <c r="K794" i="17"/>
  <c r="K795" i="17" s="1"/>
  <c r="K796" i="17" s="1"/>
  <c r="K786" i="17"/>
  <c r="K793" i="17"/>
  <c r="E89" i="17"/>
  <c r="E90" i="17" s="1"/>
  <c r="K797" i="17"/>
  <c r="K798" i="17" s="1"/>
  <c r="K788" i="17"/>
  <c r="S784" i="17"/>
  <c r="S786" i="17"/>
  <c r="AA784" i="17" s="1"/>
  <c r="AA785" i="17" s="1"/>
  <c r="S787" i="17"/>
  <c r="T784" i="17"/>
  <c r="T786" i="17" s="1"/>
  <c r="U784" i="17"/>
  <c r="U786" i="17" s="1"/>
  <c r="V784" i="17"/>
  <c r="V786" i="17"/>
  <c r="V787" i="17" s="1"/>
  <c r="AA9" i="17"/>
  <c r="AA10" i="17"/>
  <c r="AT7" i="17"/>
  <c r="J106" i="17"/>
  <c r="A8" i="17" s="1"/>
  <c r="H8" i="17"/>
  <c r="AN8" i="17"/>
  <c r="K20" i="17"/>
  <c r="L20" i="17" s="1"/>
  <c r="M20" i="17" s="1"/>
  <c r="J158" i="17"/>
  <c r="A10" i="17" s="1"/>
  <c r="H10" i="17"/>
  <c r="O10" i="17"/>
  <c r="P10" i="17" s="1"/>
  <c r="Q10" i="17" s="1"/>
  <c r="O11" i="17"/>
  <c r="J210" i="17"/>
  <c r="A12" i="17"/>
  <c r="H12" i="17"/>
  <c r="O13" i="17"/>
  <c r="P13" i="17" s="1"/>
  <c r="J262" i="17"/>
  <c r="A14" i="17" s="1"/>
  <c r="H14" i="17"/>
  <c r="O14" i="17"/>
  <c r="O17" i="17"/>
  <c r="O23" i="17" s="1"/>
  <c r="H59" i="17" s="1"/>
  <c r="H60" i="17" s="1"/>
  <c r="O18" i="17"/>
  <c r="O22" i="17"/>
  <c r="P22" i="17"/>
  <c r="Q22" i="17" s="1"/>
  <c r="O19" i="17"/>
  <c r="O24" i="17" s="1"/>
  <c r="G59" i="17" s="1"/>
  <c r="G60" i="17" s="1"/>
  <c r="O20" i="17"/>
  <c r="O21" i="17"/>
  <c r="J314" i="17"/>
  <c r="A16" i="17" s="1"/>
  <c r="H16" i="17"/>
  <c r="K22" i="17"/>
  <c r="K23" i="17" s="1"/>
  <c r="O62" i="17"/>
  <c r="P62" i="17" s="1"/>
  <c r="O63" i="17"/>
  <c r="O114" i="17"/>
  <c r="P114" i="17"/>
  <c r="Q114" i="17" s="1"/>
  <c r="O115" i="17"/>
  <c r="O166" i="17"/>
  <c r="P166" i="17" s="1"/>
  <c r="O167" i="17"/>
  <c r="K231" i="17"/>
  <c r="K232" i="17" s="1"/>
  <c r="O218" i="17"/>
  <c r="P218" i="17" s="1"/>
  <c r="O219" i="17"/>
  <c r="O270" i="17"/>
  <c r="P270" i="17" s="1"/>
  <c r="O271" i="17"/>
  <c r="O322" i="17"/>
  <c r="P322" i="17"/>
  <c r="O323" i="17"/>
  <c r="O374" i="17"/>
  <c r="P374" i="17" s="1"/>
  <c r="O375" i="17"/>
  <c r="K438" i="17"/>
  <c r="K439" i="17"/>
  <c r="K440" i="17" s="1"/>
  <c r="O426" i="17"/>
  <c r="P426" i="17" s="1"/>
  <c r="O427" i="17"/>
  <c r="O478" i="17"/>
  <c r="P478" i="17" s="1"/>
  <c r="O479" i="17"/>
  <c r="O530" i="17"/>
  <c r="P530" i="17"/>
  <c r="O531" i="17"/>
  <c r="O582" i="17"/>
  <c r="P582" i="17" s="1"/>
  <c r="O583" i="17"/>
  <c r="K646" i="17"/>
  <c r="K647" i="17" s="1"/>
  <c r="K648" i="17" s="1"/>
  <c r="O634" i="17"/>
  <c r="P634" i="17" s="1"/>
  <c r="O635" i="17"/>
  <c r="O686" i="17"/>
  <c r="P686" i="17" s="1"/>
  <c r="O687" i="17"/>
  <c r="O738" i="17"/>
  <c r="P738" i="17"/>
  <c r="O739" i="17"/>
  <c r="O790" i="17"/>
  <c r="P790" i="17" s="1"/>
  <c r="O791" i="17"/>
  <c r="K72" i="17"/>
  <c r="L72" i="17" s="1"/>
  <c r="M72" i="17" s="1"/>
  <c r="K124" i="17"/>
  <c r="L124" i="17" s="1"/>
  <c r="M124" i="17" s="1"/>
  <c r="K176" i="17"/>
  <c r="L176" i="17"/>
  <c r="K228" i="17"/>
  <c r="L228" i="17" s="1"/>
  <c r="K280" i="17"/>
  <c r="L280" i="17" s="1"/>
  <c r="M280" i="17" s="1"/>
  <c r="K332" i="17"/>
  <c r="L332" i="17" s="1"/>
  <c r="K384" i="17"/>
  <c r="L384" i="17"/>
  <c r="K436" i="17"/>
  <c r="L436" i="17"/>
  <c r="K488" i="17"/>
  <c r="L488" i="17" s="1"/>
  <c r="K540" i="17"/>
  <c r="L540" i="17" s="1"/>
  <c r="K592" i="17"/>
  <c r="L592" i="17"/>
  <c r="K644" i="17"/>
  <c r="L644" i="17"/>
  <c r="L696" i="17"/>
  <c r="K748" i="17"/>
  <c r="L748" i="17" s="1"/>
  <c r="K800" i="17"/>
  <c r="L800" i="17" s="1"/>
  <c r="AV17" i="17"/>
  <c r="AW17" i="17"/>
  <c r="AX17" i="17"/>
  <c r="D43" i="17" s="1"/>
  <c r="J366" i="17"/>
  <c r="A18" i="17" s="1"/>
  <c r="H18" i="17"/>
  <c r="O65" i="17"/>
  <c r="P65" i="17" s="1"/>
  <c r="O66" i="17"/>
  <c r="P66" i="17" s="1"/>
  <c r="Q66" i="17" s="1"/>
  <c r="O117" i="17"/>
  <c r="P117" i="17" s="1"/>
  <c r="O118" i="17"/>
  <c r="O169" i="17"/>
  <c r="P169" i="17" s="1"/>
  <c r="O170" i="17"/>
  <c r="O221" i="17"/>
  <c r="P221" i="17" s="1"/>
  <c r="O222" i="17"/>
  <c r="P222" i="17" s="1"/>
  <c r="Q222" i="17" s="1"/>
  <c r="O273" i="17"/>
  <c r="P273" i="17" s="1"/>
  <c r="O274" i="17"/>
  <c r="P274" i="17"/>
  <c r="Q274" i="17" s="1"/>
  <c r="O325" i="17"/>
  <c r="P325" i="17"/>
  <c r="O326" i="17"/>
  <c r="P326" i="17" s="1"/>
  <c r="O377" i="17"/>
  <c r="P377" i="17" s="1"/>
  <c r="O378" i="17"/>
  <c r="O429" i="17"/>
  <c r="P429" i="17" s="1"/>
  <c r="O430" i="17"/>
  <c r="P430" i="17" s="1"/>
  <c r="O481" i="17"/>
  <c r="P481" i="17" s="1"/>
  <c r="O482" i="17"/>
  <c r="P482" i="17" s="1"/>
  <c r="O533" i="17"/>
  <c r="P533" i="17"/>
  <c r="O534" i="17"/>
  <c r="P534" i="17" s="1"/>
  <c r="O585" i="17"/>
  <c r="P585" i="17" s="1"/>
  <c r="O586" i="17"/>
  <c r="O637" i="17"/>
  <c r="P637" i="17" s="1"/>
  <c r="O638" i="17"/>
  <c r="P638" i="17"/>
  <c r="O689" i="17"/>
  <c r="P689" i="17" s="1"/>
  <c r="O690" i="17"/>
  <c r="P690" i="17" s="1"/>
  <c r="O741" i="17"/>
  <c r="P741" i="17"/>
  <c r="O742" i="17"/>
  <c r="O793" i="17"/>
  <c r="P793" i="17" s="1"/>
  <c r="O794" i="17"/>
  <c r="AO18" i="17"/>
  <c r="AO20" i="17" s="1"/>
  <c r="AO22" i="17"/>
  <c r="AV18" i="17"/>
  <c r="AW18" i="17"/>
  <c r="AX19" i="17" s="1"/>
  <c r="B44" i="17" s="1"/>
  <c r="AO19" i="17"/>
  <c r="AP19" i="17"/>
  <c r="AQ19" i="17"/>
  <c r="AR19" i="17"/>
  <c r="AV19" i="17"/>
  <c r="J418" i="17"/>
  <c r="A20" i="17" s="1"/>
  <c r="H20" i="17"/>
  <c r="O56" i="17"/>
  <c r="P56" i="17" s="1"/>
  <c r="O108" i="17"/>
  <c r="P108" i="17" s="1"/>
  <c r="O160" i="17"/>
  <c r="P160" i="17" s="1"/>
  <c r="O212" i="17"/>
  <c r="P212" i="17" s="1"/>
  <c r="Q212" i="17" s="1"/>
  <c r="O264" i="17"/>
  <c r="P264" i="17"/>
  <c r="Q264" i="17" s="1"/>
  <c r="O316" i="17"/>
  <c r="P316" i="17" s="1"/>
  <c r="O368" i="17"/>
  <c r="P368" i="17" s="1"/>
  <c r="O420" i="17"/>
  <c r="P420" i="17" s="1"/>
  <c r="O472" i="17"/>
  <c r="P472" i="17"/>
  <c r="O524" i="17"/>
  <c r="P524" i="17" s="1"/>
  <c r="O576" i="17"/>
  <c r="P576" i="17" s="1"/>
  <c r="O628" i="17"/>
  <c r="P628" i="17" s="1"/>
  <c r="O680" i="17"/>
  <c r="P680" i="17"/>
  <c r="O732" i="17"/>
  <c r="P732" i="17" s="1"/>
  <c r="O784" i="17"/>
  <c r="P784" i="17" s="1"/>
  <c r="AB56" i="17"/>
  <c r="AC108" i="17"/>
  <c r="AD108" i="17"/>
  <c r="AD160" i="17"/>
  <c r="AD161" i="17" s="1"/>
  <c r="AA212" i="17"/>
  <c r="AC212" i="17"/>
  <c r="AC213" i="17" s="1"/>
  <c r="AB264" i="17"/>
  <c r="AB265" i="17" s="1"/>
  <c r="AD264" i="17"/>
  <c r="AD265" i="17" s="1"/>
  <c r="AA316" i="17"/>
  <c r="AA317" i="17"/>
  <c r="AD316" i="17"/>
  <c r="AB368" i="17"/>
  <c r="AD368" i="17"/>
  <c r="AD369" i="17" s="1"/>
  <c r="AA472" i="17"/>
  <c r="AA473" i="17" s="1"/>
  <c r="AC472" i="17"/>
  <c r="AC473" i="17" s="1"/>
  <c r="AD472" i="17"/>
  <c r="AD473" i="17" s="1"/>
  <c r="AA524" i="17"/>
  <c r="AA525" i="17" s="1"/>
  <c r="AC524" i="17"/>
  <c r="AC525" i="17" s="1"/>
  <c r="AD524" i="17"/>
  <c r="AD525" i="17" s="1"/>
  <c r="AB576" i="17"/>
  <c r="AB577" i="17"/>
  <c r="AD576" i="17"/>
  <c r="AD577" i="17" s="1"/>
  <c r="AB628" i="17"/>
  <c r="AC628" i="17"/>
  <c r="AC629" i="17" s="1"/>
  <c r="AD628" i="17"/>
  <c r="AD629" i="17" s="1"/>
  <c r="AB680" i="17"/>
  <c r="AB681" i="17" s="1"/>
  <c r="AA732" i="17"/>
  <c r="AA733" i="17" s="1"/>
  <c r="AC732" i="17"/>
  <c r="AC733" i="17" s="1"/>
  <c r="AY20" i="17"/>
  <c r="B45" i="17" s="1"/>
  <c r="B52" i="17" s="1"/>
  <c r="J470" i="17"/>
  <c r="A22" i="17" s="1"/>
  <c r="H22" i="17"/>
  <c r="AN22" i="17"/>
  <c r="AC109" i="17"/>
  <c r="AD109" i="17"/>
  <c r="AA213" i="17"/>
  <c r="AD317" i="17"/>
  <c r="J522" i="17"/>
  <c r="A24" i="17" s="1"/>
  <c r="H24" i="17"/>
  <c r="AH25" i="17"/>
  <c r="AI25" i="17"/>
  <c r="AJ25" i="17"/>
  <c r="AK25" i="17"/>
  <c r="J574" i="17"/>
  <c r="A26" i="17" s="1"/>
  <c r="H26" i="17"/>
  <c r="O27" i="17"/>
  <c r="O29" i="17" s="1"/>
  <c r="J626" i="17"/>
  <c r="A28" i="17" s="1"/>
  <c r="H28" i="17"/>
  <c r="O28" i="17"/>
  <c r="J678" i="17"/>
  <c r="A30" i="17" s="1"/>
  <c r="H30" i="17"/>
  <c r="O30" i="17"/>
  <c r="O31" i="17"/>
  <c r="J730" i="17"/>
  <c r="A32" i="17" s="1"/>
  <c r="H32" i="17"/>
  <c r="O32" i="17"/>
  <c r="AO32" i="17"/>
  <c r="AO36" i="17" s="1"/>
  <c r="AP32" i="17"/>
  <c r="AP35" i="17" s="1"/>
  <c r="AQ32" i="17"/>
  <c r="AN33" i="17"/>
  <c r="AO33" i="17"/>
  <c r="AP33" i="17"/>
  <c r="AQ33" i="17"/>
  <c r="J782" i="17"/>
  <c r="A34" i="17" s="1"/>
  <c r="H34" i="17"/>
  <c r="AP34" i="17"/>
  <c r="AQ34" i="17"/>
  <c r="AQ35" i="17"/>
  <c r="K36" i="17"/>
  <c r="K38" i="17" s="1"/>
  <c r="L38" i="17" s="1"/>
  <c r="M38" i="17" s="1"/>
  <c r="K37" i="17"/>
  <c r="L37" i="17" s="1"/>
  <c r="AQ36" i="17"/>
  <c r="O69" i="17"/>
  <c r="O70" i="17"/>
  <c r="O74" i="17"/>
  <c r="O71" i="17"/>
  <c r="O84" i="17" s="1"/>
  <c r="O72" i="17"/>
  <c r="O73" i="17"/>
  <c r="AH77" i="17"/>
  <c r="AB55" i="17"/>
  <c r="AI55" i="17" s="1"/>
  <c r="AI77" i="17"/>
  <c r="AC55" i="17"/>
  <c r="AJ55" i="17" s="1"/>
  <c r="AJ77" i="17"/>
  <c r="AD55" i="17"/>
  <c r="AK55" i="17" s="1"/>
  <c r="AK77" i="17"/>
  <c r="AA107" i="17"/>
  <c r="AH107" i="17"/>
  <c r="O121" i="17"/>
  <c r="O127" i="17" s="1"/>
  <c r="H63" i="17" s="1"/>
  <c r="H64" i="17" s="1"/>
  <c r="O122" i="17"/>
  <c r="O126" i="17"/>
  <c r="P126" i="17"/>
  <c r="Q126" i="17" s="1"/>
  <c r="O123" i="17"/>
  <c r="O136" i="17" s="1"/>
  <c r="O124" i="17"/>
  <c r="O125" i="17"/>
  <c r="AH129" i="17"/>
  <c r="AB107" i="17"/>
  <c r="AI107" i="17" s="1"/>
  <c r="AI129" i="17"/>
  <c r="AC107" i="17"/>
  <c r="AJ107" i="17" s="1"/>
  <c r="AJ129" i="17"/>
  <c r="AD107" i="17"/>
  <c r="AK107" i="17" s="1"/>
  <c r="AK129" i="17"/>
  <c r="AH159" i="17"/>
  <c r="AH195" i="17" s="1"/>
  <c r="O173" i="17"/>
  <c r="O174" i="17"/>
  <c r="O178" i="17"/>
  <c r="P178" i="17" s="1"/>
  <c r="O175" i="17"/>
  <c r="O176" i="17"/>
  <c r="O177" i="17"/>
  <c r="AH181" i="17"/>
  <c r="AI181" i="17"/>
  <c r="AC159" i="17"/>
  <c r="AJ159" i="17" s="1"/>
  <c r="AJ181" i="17"/>
  <c r="AD159" i="17"/>
  <c r="AK159" i="17" s="1"/>
  <c r="AK181" i="17"/>
  <c r="AA211" i="17"/>
  <c r="AH211" i="17"/>
  <c r="O225" i="17"/>
  <c r="O231" i="17"/>
  <c r="H67" i="17" s="1"/>
  <c r="H68" i="17" s="1"/>
  <c r="O226" i="17"/>
  <c r="O230" i="17"/>
  <c r="P230" i="17" s="1"/>
  <c r="O227" i="17"/>
  <c r="O236" i="17" s="1"/>
  <c r="O228" i="17"/>
  <c r="O229" i="17"/>
  <c r="O238" i="17" s="1"/>
  <c r="AH233" i="17"/>
  <c r="AB211" i="17"/>
  <c r="AI211" i="17" s="1"/>
  <c r="AI233" i="17"/>
  <c r="AC211" i="17"/>
  <c r="AJ211" i="17"/>
  <c r="AJ233" i="17"/>
  <c r="AD211" i="17"/>
  <c r="AK211" i="17" s="1"/>
  <c r="AK233" i="17"/>
  <c r="AA263" i="17"/>
  <c r="AH263" i="17" s="1"/>
  <c r="O277" i="17"/>
  <c r="O283" i="17" s="1"/>
  <c r="H69" i="17" s="1"/>
  <c r="H70" i="17" s="1"/>
  <c r="O278" i="17"/>
  <c r="O282" i="17"/>
  <c r="P282" i="17" s="1"/>
  <c r="Q282" i="17" s="1"/>
  <c r="O279" i="17"/>
  <c r="O284" i="17" s="1"/>
  <c r="G69" i="17" s="1"/>
  <c r="G70" i="17" s="1"/>
  <c r="O280" i="17"/>
  <c r="O288" i="17" s="1"/>
  <c r="O289" i="17" s="1"/>
  <c r="O281" i="17"/>
  <c r="AH285" i="17"/>
  <c r="AI285" i="17"/>
  <c r="AC263" i="17"/>
  <c r="AJ263" i="17" s="1"/>
  <c r="AJ285" i="17"/>
  <c r="AD263" i="17"/>
  <c r="AK263" i="17" s="1"/>
  <c r="AK285" i="17"/>
  <c r="AA315" i="17"/>
  <c r="AH315" i="17" s="1"/>
  <c r="O329" i="17"/>
  <c r="O335" i="17" s="1"/>
  <c r="H71" i="17" s="1"/>
  <c r="H72" i="17" s="1"/>
  <c r="O330" i="17"/>
  <c r="O334" i="17"/>
  <c r="P334" i="17" s="1"/>
  <c r="O331" i="17"/>
  <c r="O332" i="17"/>
  <c r="O333" i="17"/>
  <c r="AH337" i="17"/>
  <c r="AB315" i="17"/>
  <c r="AI315" i="17" s="1"/>
  <c r="AI337" i="17"/>
  <c r="AC315" i="17"/>
  <c r="AJ315" i="17"/>
  <c r="AJ337" i="17"/>
  <c r="AD315" i="17"/>
  <c r="AK315" i="17" s="1"/>
  <c r="AK337" i="17"/>
  <c r="AA367" i="17"/>
  <c r="AH367" i="17" s="1"/>
  <c r="O381" i="17"/>
  <c r="O387" i="17" s="1"/>
  <c r="H73" i="17" s="1"/>
  <c r="H74" i="17" s="1"/>
  <c r="O382" i="17"/>
  <c r="O391" i="17" s="1"/>
  <c r="O386" i="17"/>
  <c r="P386" i="17" s="1"/>
  <c r="O383" i="17"/>
  <c r="O388" i="17" s="1"/>
  <c r="G73" i="17" s="1"/>
  <c r="G74" i="17" s="1"/>
  <c r="O384" i="17"/>
  <c r="O385" i="17"/>
  <c r="AH389" i="17"/>
  <c r="AB367" i="17"/>
  <c r="AI367" i="17" s="1"/>
  <c r="AI389" i="17"/>
  <c r="AC367" i="17"/>
  <c r="AJ367" i="17"/>
  <c r="AJ389" i="17"/>
  <c r="AD367" i="17"/>
  <c r="AK367" i="17" s="1"/>
  <c r="AK389" i="17"/>
  <c r="AA419" i="17"/>
  <c r="AH419" i="17" s="1"/>
  <c r="O433" i="17"/>
  <c r="O439" i="17"/>
  <c r="H75" i="17" s="1"/>
  <c r="H76" i="17" s="1"/>
  <c r="O434" i="17"/>
  <c r="O438" i="17"/>
  <c r="P438" i="17" s="1"/>
  <c r="Q438" i="17" s="1"/>
  <c r="O435" i="17"/>
  <c r="O440" i="17"/>
  <c r="G75" i="17" s="1"/>
  <c r="G76" i="17" s="1"/>
  <c r="O436" i="17"/>
  <c r="O444" i="17" s="1"/>
  <c r="O437" i="17"/>
  <c r="AH441" i="17"/>
  <c r="AB419" i="17"/>
  <c r="AI419" i="17" s="1"/>
  <c r="AI441" i="17"/>
  <c r="AC419" i="17"/>
  <c r="AJ419" i="17" s="1"/>
  <c r="AJ441" i="17"/>
  <c r="AD419" i="17"/>
  <c r="AK419" i="17" s="1"/>
  <c r="AK441" i="17"/>
  <c r="AA471" i="17"/>
  <c r="AH471" i="17"/>
  <c r="O485" i="17"/>
  <c r="O491" i="17" s="1"/>
  <c r="H77" i="17" s="1"/>
  <c r="H78" i="17" s="1"/>
  <c r="O486" i="17"/>
  <c r="O490" i="17"/>
  <c r="P490" i="17" s="1"/>
  <c r="O487" i="17"/>
  <c r="O492" i="17"/>
  <c r="G77" i="17"/>
  <c r="G78" i="17" s="1"/>
  <c r="O488" i="17"/>
  <c r="O489" i="17"/>
  <c r="AH493" i="17"/>
  <c r="AB471" i="17"/>
  <c r="AI471" i="17" s="1"/>
  <c r="AI493" i="17"/>
  <c r="AJ493" i="17"/>
  <c r="AD471" i="17"/>
  <c r="AK471" i="17" s="1"/>
  <c r="AK493" i="17"/>
  <c r="AA523" i="17"/>
  <c r="AH523" i="17"/>
  <c r="O537" i="17"/>
  <c r="O543" i="17" s="1"/>
  <c r="H79" i="17" s="1"/>
  <c r="H80" i="17" s="1"/>
  <c r="O538" i="17"/>
  <c r="O542" i="17"/>
  <c r="P542" i="17" s="1"/>
  <c r="O539" i="17"/>
  <c r="O544" i="17" s="1"/>
  <c r="G79" i="17" s="1"/>
  <c r="G80" i="17" s="1"/>
  <c r="O540" i="17"/>
  <c r="O541" i="17"/>
  <c r="AH545" i="17"/>
  <c r="AI545" i="17"/>
  <c r="AC523" i="17"/>
  <c r="AJ523" i="17" s="1"/>
  <c r="AJ545" i="17"/>
  <c r="AD523" i="17"/>
  <c r="AK523" i="17" s="1"/>
  <c r="AK545" i="17"/>
  <c r="O589" i="17"/>
  <c r="O595" i="17" s="1"/>
  <c r="H81" i="17" s="1"/>
  <c r="H82" i="17" s="1"/>
  <c r="O590" i="17"/>
  <c r="O603" i="17" s="1"/>
  <c r="O594" i="17"/>
  <c r="P594" i="17"/>
  <c r="O591" i="17"/>
  <c r="O596" i="17" s="1"/>
  <c r="G81" i="17" s="1"/>
  <c r="G82" i="17" s="1"/>
  <c r="O592" i="17"/>
  <c r="O593" i="17"/>
  <c r="AH597" i="17"/>
  <c r="AB575" i="17"/>
  <c r="AI575" i="17" s="1"/>
  <c r="AI597" i="17"/>
  <c r="AJ597" i="17"/>
  <c r="AD575" i="17"/>
  <c r="AK575" i="17" s="1"/>
  <c r="AK597" i="17"/>
  <c r="AA627" i="17"/>
  <c r="AH627" i="17" s="1"/>
  <c r="O641" i="17"/>
  <c r="O647" i="17" s="1"/>
  <c r="H83" i="17" s="1"/>
  <c r="H84" i="17" s="1"/>
  <c r="O642" i="17"/>
  <c r="O646" i="17"/>
  <c r="P646" i="17" s="1"/>
  <c r="Q646" i="17" s="1"/>
  <c r="O643" i="17"/>
  <c r="O648" i="17" s="1"/>
  <c r="G83" i="17" s="1"/>
  <c r="G84" i="17" s="1"/>
  <c r="O644" i="17"/>
  <c r="O645" i="17"/>
  <c r="AH649" i="17"/>
  <c r="AI649" i="17"/>
  <c r="AC627" i="17"/>
  <c r="AJ627" i="17" s="1"/>
  <c r="AJ649" i="17"/>
  <c r="AD627" i="17"/>
  <c r="AK627" i="17" s="1"/>
  <c r="AK663" i="17" s="1"/>
  <c r="AK649" i="17"/>
  <c r="AA679" i="17"/>
  <c r="AH679" i="17" s="1"/>
  <c r="O693" i="17"/>
  <c r="O699" i="17" s="1"/>
  <c r="H85" i="17" s="1"/>
  <c r="H86" i="17" s="1"/>
  <c r="O694" i="17"/>
  <c r="O698" i="17"/>
  <c r="P698" i="17" s="1"/>
  <c r="O695" i="17"/>
  <c r="O700" i="17" s="1"/>
  <c r="G85" i="17" s="1"/>
  <c r="G86" i="17" s="1"/>
  <c r="O696" i="17"/>
  <c r="O697" i="17"/>
  <c r="AH701" i="17"/>
  <c r="AB679" i="17"/>
  <c r="AI679" i="17" s="1"/>
  <c r="AI701" i="17"/>
  <c r="AJ701" i="17"/>
  <c r="AK701" i="17"/>
  <c r="O745" i="17"/>
  <c r="O751" i="17" s="1"/>
  <c r="H87" i="17" s="1"/>
  <c r="H88" i="17" s="1"/>
  <c r="O746" i="17"/>
  <c r="O750" i="17"/>
  <c r="P750" i="17" s="1"/>
  <c r="O747" i="17"/>
  <c r="O752" i="17"/>
  <c r="G87" i="17" s="1"/>
  <c r="G88" i="17" s="1"/>
  <c r="O748" i="17"/>
  <c r="O749" i="17"/>
  <c r="AH753" i="17"/>
  <c r="AB731" i="17"/>
  <c r="AI731" i="17" s="1"/>
  <c r="AI753" i="17"/>
  <c r="AJ753" i="17"/>
  <c r="AD731" i="17"/>
  <c r="AK731" i="17" s="1"/>
  <c r="AK753" i="17"/>
  <c r="AA783" i="17"/>
  <c r="AH783" i="17"/>
  <c r="O797" i="17"/>
  <c r="O803" i="17"/>
  <c r="H89" i="17" s="1"/>
  <c r="H90" i="17" s="1"/>
  <c r="O798" i="17"/>
  <c r="O802" i="17"/>
  <c r="P802" i="17" s="1"/>
  <c r="O799" i="17"/>
  <c r="O804" i="17" s="1"/>
  <c r="G89" i="17" s="1"/>
  <c r="G90" i="17" s="1"/>
  <c r="O800" i="17"/>
  <c r="O801" i="17"/>
  <c r="AC783" i="17"/>
  <c r="AJ783" i="17" s="1"/>
  <c r="AD783" i="17"/>
  <c r="AK783" i="17" s="1"/>
  <c r="B42" i="17"/>
  <c r="D42" i="17"/>
  <c r="B43" i="17"/>
  <c r="B50" i="17" s="1"/>
  <c r="D45" i="17"/>
  <c r="D46" i="17"/>
  <c r="AN46" i="17"/>
  <c r="AP46" i="17"/>
  <c r="AP48" i="17" s="1"/>
  <c r="AQ46" i="17"/>
  <c r="AQ49" i="17" s="1"/>
  <c r="D47" i="17"/>
  <c r="AN47" i="17"/>
  <c r="AO47" i="17"/>
  <c r="AP47" i="17"/>
  <c r="AQ47" i="17"/>
  <c r="AR47" i="17"/>
  <c r="D48" i="17"/>
  <c r="AN50" i="17"/>
  <c r="AQ50" i="17"/>
  <c r="Q54" i="17"/>
  <c r="AA54" i="17"/>
  <c r="AB54" i="17"/>
  <c r="AI54" i="17" s="1"/>
  <c r="AC54" i="17"/>
  <c r="AJ54" i="17" s="1"/>
  <c r="AH54" i="17"/>
  <c r="O55" i="17"/>
  <c r="AE55" i="17"/>
  <c r="AF55" i="17"/>
  <c r="B59" i="17"/>
  <c r="C59" i="17"/>
  <c r="I59" i="17"/>
  <c r="M59" i="17"/>
  <c r="AA60" i="17"/>
  <c r="AN60" i="17"/>
  <c r="AO60" i="17"/>
  <c r="AP60" i="17"/>
  <c r="AP64" i="17" s="1"/>
  <c r="AQ60" i="17"/>
  <c r="AQ64" i="17"/>
  <c r="I61" i="17"/>
  <c r="AA61" i="17"/>
  <c r="AN61" i="17"/>
  <c r="AO61" i="17"/>
  <c r="AP61" i="17"/>
  <c r="AQ61" i="17"/>
  <c r="Q62" i="17"/>
  <c r="AA62" i="17"/>
  <c r="AQ62" i="17"/>
  <c r="B63" i="17"/>
  <c r="O107" i="17"/>
  <c r="C63" i="17" s="1"/>
  <c r="I63" i="17"/>
  <c r="AQ63" i="17"/>
  <c r="B65" i="17"/>
  <c r="O159" i="17"/>
  <c r="C65" i="17" s="1"/>
  <c r="I65" i="17"/>
  <c r="B67" i="17"/>
  <c r="O211" i="17"/>
  <c r="C67" i="17" s="1"/>
  <c r="I67" i="17"/>
  <c r="B69" i="17"/>
  <c r="O263" i="17"/>
  <c r="C69" i="17" s="1"/>
  <c r="I69" i="17"/>
  <c r="O315" i="17"/>
  <c r="C71" i="17"/>
  <c r="I71" i="17"/>
  <c r="B73" i="17"/>
  <c r="O367" i="17"/>
  <c r="C73" i="17" s="1"/>
  <c r="I73" i="17"/>
  <c r="AN74" i="17"/>
  <c r="AO74" i="17"/>
  <c r="AO76" i="17" s="1"/>
  <c r="AP74" i="17"/>
  <c r="AQ74" i="17"/>
  <c r="O419" i="17"/>
  <c r="C75" i="17" s="1"/>
  <c r="I75" i="17"/>
  <c r="AN75" i="17"/>
  <c r="AP75" i="17"/>
  <c r="AQ75" i="17"/>
  <c r="AR75" i="17"/>
  <c r="AN76" i="17"/>
  <c r="AP76" i="17"/>
  <c r="B77" i="17"/>
  <c r="O471" i="17"/>
  <c r="C77" i="17" s="1"/>
  <c r="I77" i="17"/>
  <c r="K77" i="17"/>
  <c r="AO77" i="17"/>
  <c r="AP77" i="17"/>
  <c r="AP78" i="17"/>
  <c r="B79" i="17"/>
  <c r="O523" i="17"/>
  <c r="C79" i="17" s="1"/>
  <c r="I79" i="17"/>
  <c r="O80" i="17"/>
  <c r="B81" i="17"/>
  <c r="O575" i="17"/>
  <c r="C81" i="17" s="1"/>
  <c r="I81" i="17"/>
  <c r="O82" i="17"/>
  <c r="O88" i="17" s="1"/>
  <c r="B83" i="17"/>
  <c r="O627" i="17"/>
  <c r="C83" i="17" s="1"/>
  <c r="I83" i="17"/>
  <c r="O679" i="17"/>
  <c r="C85" i="17" s="1"/>
  <c r="I85" i="17"/>
  <c r="O731" i="17"/>
  <c r="C87" i="17" s="1"/>
  <c r="I87" i="17"/>
  <c r="K88" i="17"/>
  <c r="K90" i="17" s="1"/>
  <c r="L90" i="17" s="1"/>
  <c r="M90" i="17" s="1"/>
  <c r="K89" i="17"/>
  <c r="AN88" i="17"/>
  <c r="AN92" i="17" s="1"/>
  <c r="AO88" i="17"/>
  <c r="AO90" i="17"/>
  <c r="AQ88" i="17"/>
  <c r="AQ90" i="17" s="1"/>
  <c r="B89" i="17"/>
  <c r="O783" i="17"/>
  <c r="C89" i="17" s="1"/>
  <c r="I89" i="17"/>
  <c r="AO89" i="17"/>
  <c r="AP89" i="17"/>
  <c r="AQ89" i="17"/>
  <c r="AR89" i="17"/>
  <c r="AN90" i="17"/>
  <c r="AN91" i="17"/>
  <c r="AQ91" i="17"/>
  <c r="AN102" i="17"/>
  <c r="AN104" i="17" s="1"/>
  <c r="AO102" i="17"/>
  <c r="AO104" i="17" s="1"/>
  <c r="AQ102" i="17"/>
  <c r="AQ105" i="17" s="1"/>
  <c r="AN103" i="17"/>
  <c r="AO103" i="17"/>
  <c r="AQ103" i="17"/>
  <c r="AR103" i="17"/>
  <c r="AQ104" i="17"/>
  <c r="AN105" i="17"/>
  <c r="Q106" i="17"/>
  <c r="AB106" i="17"/>
  <c r="AI106" i="17" s="1"/>
  <c r="AC106" i="17"/>
  <c r="AJ106" i="17" s="1"/>
  <c r="AD106" i="17"/>
  <c r="AK106" i="17" s="1"/>
  <c r="AN106" i="17"/>
  <c r="AO106" i="17"/>
  <c r="AF107" i="17"/>
  <c r="AJ108" i="17"/>
  <c r="AK108" i="17"/>
  <c r="O110" i="17"/>
  <c r="O111" i="17"/>
  <c r="AA112" i="17"/>
  <c r="AA113" i="17"/>
  <c r="AA114" i="17"/>
  <c r="AO116" i="17"/>
  <c r="AO118" i="17" s="1"/>
  <c r="AP116" i="17"/>
  <c r="AQ116" i="17"/>
  <c r="AQ120" i="17" s="1"/>
  <c r="AN117" i="17"/>
  <c r="AO117" i="17"/>
  <c r="AS117" i="17" s="1"/>
  <c r="AP117" i="17"/>
  <c r="AQ117" i="17"/>
  <c r="AR117" i="17"/>
  <c r="AQ119" i="17"/>
  <c r="K129" i="17"/>
  <c r="AN130" i="17"/>
  <c r="AN133" i="17" s="1"/>
  <c r="AP130" i="17"/>
  <c r="AP132" i="17" s="1"/>
  <c r="AQ130" i="17"/>
  <c r="O131" i="17"/>
  <c r="O133" i="17" s="1"/>
  <c r="AN131" i="17"/>
  <c r="AS131" i="17" s="1"/>
  <c r="AO131" i="17"/>
  <c r="AP131" i="17"/>
  <c r="AQ131" i="17"/>
  <c r="O132" i="17"/>
  <c r="AN132" i="17"/>
  <c r="O134" i="17"/>
  <c r="AP134" i="17"/>
  <c r="O135" i="17"/>
  <c r="K140" i="17"/>
  <c r="K141" i="17"/>
  <c r="L141" i="17" s="1"/>
  <c r="M141" i="17" s="1"/>
  <c r="O140" i="17"/>
  <c r="AN144" i="17"/>
  <c r="AN146" i="17" s="1"/>
  <c r="AO144" i="17"/>
  <c r="AO147" i="17" s="1"/>
  <c r="AP144" i="17"/>
  <c r="AP148" i="17" s="1"/>
  <c r="AQ144" i="17"/>
  <c r="AQ146" i="17" s="1"/>
  <c r="AN145" i="17"/>
  <c r="AP145" i="17"/>
  <c r="AQ145" i="17"/>
  <c r="AQ147" i="17"/>
  <c r="AN148" i="17"/>
  <c r="AQ148" i="17"/>
  <c r="AA158" i="17"/>
  <c r="AH158" i="17" s="1"/>
  <c r="AC158" i="17"/>
  <c r="AD158" i="17"/>
  <c r="AK158" i="17" s="1"/>
  <c r="AJ158" i="17"/>
  <c r="AN158" i="17"/>
  <c r="AN162" i="17" s="1"/>
  <c r="AO158" i="17"/>
  <c r="AP158" i="17"/>
  <c r="AP161" i="17" s="1"/>
  <c r="AQ158" i="17"/>
  <c r="AQ161" i="17" s="1"/>
  <c r="AE159" i="17"/>
  <c r="AF159" i="17"/>
  <c r="AN159" i="17"/>
  <c r="AO159" i="17"/>
  <c r="AP159" i="17"/>
  <c r="AQ159" i="17"/>
  <c r="AR159" i="17"/>
  <c r="Q160" i="17"/>
  <c r="AK160" i="17"/>
  <c r="AN160" i="17"/>
  <c r="AQ160" i="17"/>
  <c r="AN161" i="17"/>
  <c r="O162" i="17"/>
  <c r="AO162" i="17"/>
  <c r="M163" i="17"/>
  <c r="O163" i="17"/>
  <c r="AA164" i="17"/>
  <c r="AA165" i="17"/>
  <c r="Q166" i="17"/>
  <c r="AA166" i="17"/>
  <c r="AN172" i="17"/>
  <c r="AO172" i="17"/>
  <c r="AO176" i="17" s="1"/>
  <c r="AP172" i="17"/>
  <c r="AP175" i="17" s="1"/>
  <c r="AQ172" i="17"/>
  <c r="AQ174" i="17"/>
  <c r="AN173" i="17"/>
  <c r="AP173" i="17"/>
  <c r="AQ173" i="17"/>
  <c r="AO174" i="17"/>
  <c r="AP174" i="17"/>
  <c r="AN175" i="17"/>
  <c r="AO175" i="17"/>
  <c r="AQ175" i="17"/>
  <c r="M176" i="17"/>
  <c r="AQ176" i="17"/>
  <c r="Q178" i="17"/>
  <c r="K181" i="17"/>
  <c r="O184" i="17"/>
  <c r="O186" i="17"/>
  <c r="O192" i="17" s="1"/>
  <c r="AO186" i="17"/>
  <c r="AO188" i="17" s="1"/>
  <c r="AP186" i="17"/>
  <c r="AQ186" i="17"/>
  <c r="AQ188" i="17" s="1"/>
  <c r="AQ190" i="17"/>
  <c r="AO187" i="17"/>
  <c r="AP187" i="17"/>
  <c r="AR187" i="17"/>
  <c r="O188" i="17"/>
  <c r="AO189" i="17"/>
  <c r="AQ189" i="17"/>
  <c r="K192" i="17"/>
  <c r="K194" i="17" s="1"/>
  <c r="L194" i="17" s="1"/>
  <c r="M194" i="17" s="1"/>
  <c r="K193" i="17"/>
  <c r="L193" i="17" s="1"/>
  <c r="AN200" i="17"/>
  <c r="AO200" i="17"/>
  <c r="AO202" i="17" s="1"/>
  <c r="AP200" i="17"/>
  <c r="AN201" i="17"/>
  <c r="AS201" i="17"/>
  <c r="AO201" i="17"/>
  <c r="AP201" i="17"/>
  <c r="AQ201" i="17"/>
  <c r="AR201" i="17"/>
  <c r="AA210" i="17"/>
  <c r="AH210" i="17" s="1"/>
  <c r="AB210" i="17"/>
  <c r="AC210" i="17"/>
  <c r="AJ210" i="17" s="1"/>
  <c r="AD210" i="17"/>
  <c r="AK210" i="17" s="1"/>
  <c r="AI210" i="17"/>
  <c r="AE211" i="17"/>
  <c r="AF211" i="17"/>
  <c r="AH212" i="17"/>
  <c r="AJ212" i="17"/>
  <c r="O214" i="17"/>
  <c r="AN214" i="17"/>
  <c r="AN218" i="17" s="1"/>
  <c r="AO214" i="17"/>
  <c r="AO217" i="17" s="1"/>
  <c r="AP214" i="17"/>
  <c r="AP217" i="17" s="1"/>
  <c r="AQ214" i="17"/>
  <c r="AQ218" i="17" s="1"/>
  <c r="O215" i="17"/>
  <c r="AN215" i="17"/>
  <c r="AP215" i="17"/>
  <c r="AQ215" i="17"/>
  <c r="AR215" i="17"/>
  <c r="AA216" i="17"/>
  <c r="AA217" i="17"/>
  <c r="AQ217" i="17"/>
  <c r="Q218" i="17"/>
  <c r="AA218" i="17"/>
  <c r="M228" i="17"/>
  <c r="Q230" i="17"/>
  <c r="O235" i="17"/>
  <c r="O237" i="17" s="1"/>
  <c r="O239" i="17"/>
  <c r="K244" i="17"/>
  <c r="K245" i="17"/>
  <c r="L245" i="17" s="1"/>
  <c r="AB262" i="17"/>
  <c r="AC262" i="17"/>
  <c r="AD262" i="17"/>
  <c r="AI262" i="17"/>
  <c r="AJ262" i="17"/>
  <c r="AK262" i="17"/>
  <c r="AE263" i="17"/>
  <c r="AF263" i="17"/>
  <c r="AI264" i="17"/>
  <c r="AK264" i="17"/>
  <c r="O266" i="17"/>
  <c r="M267" i="17"/>
  <c r="O267" i="17"/>
  <c r="AA268" i="17"/>
  <c r="AA269" i="17"/>
  <c r="Q270" i="17"/>
  <c r="AA270" i="17"/>
  <c r="K285" i="17"/>
  <c r="O287" i="17"/>
  <c r="O290" i="17"/>
  <c r="O296" i="17" s="1"/>
  <c r="O291" i="17"/>
  <c r="Q291" i="17" s="1"/>
  <c r="K296" i="17"/>
  <c r="K297" i="17"/>
  <c r="L297" i="17" s="1"/>
  <c r="M297" i="17" s="1"/>
  <c r="AA314" i="17"/>
  <c r="AH314" i="17" s="1"/>
  <c r="AB314" i="17"/>
  <c r="AD314" i="17"/>
  <c r="AK314" i="17" s="1"/>
  <c r="AI314" i="17"/>
  <c r="AE315" i="17"/>
  <c r="AF315" i="17"/>
  <c r="Q316" i="17"/>
  <c r="AH316" i="17"/>
  <c r="AK316" i="17"/>
  <c r="M319" i="17"/>
  <c r="AA320" i="17"/>
  <c r="AA321" i="17"/>
  <c r="Q322" i="17"/>
  <c r="AA322" i="17"/>
  <c r="Q326" i="17"/>
  <c r="M332" i="17"/>
  <c r="Q334" i="17"/>
  <c r="K337" i="17"/>
  <c r="O339" i="17"/>
  <c r="O342" i="17"/>
  <c r="O343" i="17"/>
  <c r="Q343" i="17" s="1"/>
  <c r="K348" i="17"/>
  <c r="K350" i="17" s="1"/>
  <c r="L350" i="17" s="1"/>
  <c r="M350" i="17" s="1"/>
  <c r="K349" i="17"/>
  <c r="L349" i="17"/>
  <c r="AA366" i="17"/>
  <c r="AB366" i="17"/>
  <c r="AI366" i="17" s="1"/>
  <c r="AD366" i="17"/>
  <c r="AK366" i="17" s="1"/>
  <c r="AH366" i="17"/>
  <c r="AE367" i="17"/>
  <c r="AF367" i="17"/>
  <c r="Q368" i="17"/>
  <c r="AK368" i="17"/>
  <c r="O370" i="17"/>
  <c r="M371" i="17"/>
  <c r="O371" i="17"/>
  <c r="AA372" i="17"/>
  <c r="AA373" i="17"/>
  <c r="Q374" i="17"/>
  <c r="AA374" i="17"/>
  <c r="Q378" i="17"/>
  <c r="M384" i="17"/>
  <c r="Q386" i="17"/>
  <c r="K389" i="17"/>
  <c r="O392" i="17"/>
  <c r="O394" i="17"/>
  <c r="O400" i="17" s="1"/>
  <c r="O395" i="17"/>
  <c r="Q395" i="17" s="1"/>
  <c r="O396" i="17"/>
  <c r="K400" i="17"/>
  <c r="K401" i="17"/>
  <c r="AB418" i="17"/>
  <c r="AI418" i="17" s="1"/>
  <c r="AD418" i="17"/>
  <c r="AK418" i="17" s="1"/>
  <c r="AE419" i="17"/>
  <c r="AF419" i="17"/>
  <c r="Q420" i="17"/>
  <c r="O422" i="17"/>
  <c r="AA424" i="17"/>
  <c r="AA425" i="17"/>
  <c r="Q426" i="17"/>
  <c r="AA426" i="17"/>
  <c r="Q430" i="17"/>
  <c r="M436" i="17"/>
  <c r="K441" i="17"/>
  <c r="O443" i="17"/>
  <c r="K444" i="17"/>
  <c r="O446" i="17"/>
  <c r="O447" i="17"/>
  <c r="Q447" i="17" s="1"/>
  <c r="K452" i="17"/>
  <c r="K454" i="17" s="1"/>
  <c r="L454" i="17" s="1"/>
  <c r="M454" i="17" s="1"/>
  <c r="K453" i="17"/>
  <c r="L453" i="17" s="1"/>
  <c r="M453" i="17" s="1"/>
  <c r="O452" i="17"/>
  <c r="AA470" i="17"/>
  <c r="AH470" i="17" s="1"/>
  <c r="AB470" i="17"/>
  <c r="AI470" i="17" s="1"/>
  <c r="AC470" i="17"/>
  <c r="AJ470" i="17" s="1"/>
  <c r="AD470" i="17"/>
  <c r="AK470" i="17" s="1"/>
  <c r="AE471" i="17"/>
  <c r="AF471" i="17"/>
  <c r="Q472" i="17"/>
  <c r="AH472" i="17"/>
  <c r="AJ472" i="17"/>
  <c r="AK472" i="17"/>
  <c r="O474" i="17"/>
  <c r="M475" i="17"/>
  <c r="O475" i="17"/>
  <c r="AA476" i="17"/>
  <c r="AA477" i="17"/>
  <c r="Q478" i="17"/>
  <c r="AA478" i="17"/>
  <c r="Q482" i="17"/>
  <c r="M488" i="17"/>
  <c r="Q490" i="17"/>
  <c r="K493" i="17"/>
  <c r="O496" i="17"/>
  <c r="O498" i="17"/>
  <c r="O504" i="17" s="1"/>
  <c r="O500" i="17"/>
  <c r="K504" i="17"/>
  <c r="K505" i="17"/>
  <c r="L505" i="17"/>
  <c r="AA522" i="17"/>
  <c r="AB522" i="17"/>
  <c r="AC522" i="17"/>
  <c r="AJ522" i="17" s="1"/>
  <c r="AD522" i="17"/>
  <c r="AH522" i="17"/>
  <c r="AI522" i="17"/>
  <c r="AK522" i="17"/>
  <c r="AE523" i="17"/>
  <c r="AF523" i="17"/>
  <c r="Q524" i="17"/>
  <c r="AH524" i="17"/>
  <c r="AJ524" i="17"/>
  <c r="AK524" i="17"/>
  <c r="O526" i="17"/>
  <c r="M527" i="17"/>
  <c r="O527" i="17"/>
  <c r="AA528" i="17"/>
  <c r="AA529" i="17"/>
  <c r="Q530" i="17"/>
  <c r="AA530" i="17"/>
  <c r="Q534" i="17"/>
  <c r="M540" i="17"/>
  <c r="Q542" i="17"/>
  <c r="K545" i="17"/>
  <c r="O547" i="17"/>
  <c r="O548" i="17"/>
  <c r="O550" i="17"/>
  <c r="O556" i="17" s="1"/>
  <c r="O552" i="17"/>
  <c r="K556" i="17"/>
  <c r="K558" i="17" s="1"/>
  <c r="L558" i="17" s="1"/>
  <c r="M558" i="17" s="1"/>
  <c r="K557" i="17"/>
  <c r="L557" i="17" s="1"/>
  <c r="M557" i="17" s="1"/>
  <c r="AA574" i="17"/>
  <c r="AH574" i="17" s="1"/>
  <c r="AB574" i="17"/>
  <c r="AC574" i="17"/>
  <c r="AJ574" i="17" s="1"/>
  <c r="AD574" i="17"/>
  <c r="AK574" i="17" s="1"/>
  <c r="AI574" i="17"/>
  <c r="AE575" i="17"/>
  <c r="AF575" i="17"/>
  <c r="Q576" i="17"/>
  <c r="AI576" i="17"/>
  <c r="AK576" i="17"/>
  <c r="O578" i="17"/>
  <c r="M579" i="17"/>
  <c r="O579" i="17"/>
  <c r="AA580" i="17"/>
  <c r="AA581" i="17"/>
  <c r="Q582" i="17"/>
  <c r="AA582" i="17"/>
  <c r="M592" i="17"/>
  <c r="Q594" i="17"/>
  <c r="K597" i="17"/>
  <c r="O599" i="17"/>
  <c r="O602" i="17"/>
  <c r="O608" i="17" s="1"/>
  <c r="K608" i="17"/>
  <c r="K609" i="17"/>
  <c r="L609" i="17" s="1"/>
  <c r="AA626" i="17"/>
  <c r="AH626" i="17" s="1"/>
  <c r="AB626" i="17"/>
  <c r="AI626" i="17" s="1"/>
  <c r="AC626" i="17"/>
  <c r="AD626" i="17"/>
  <c r="AK626" i="17" s="1"/>
  <c r="AJ626" i="17"/>
  <c r="AE627" i="17"/>
  <c r="AF627" i="17"/>
  <c r="Q628" i="17"/>
  <c r="AJ628" i="17"/>
  <c r="AK628" i="17"/>
  <c r="M631" i="17"/>
  <c r="O631" i="17"/>
  <c r="AA632" i="17"/>
  <c r="AA633" i="17"/>
  <c r="Q634" i="17"/>
  <c r="AA634" i="17"/>
  <c r="Q638" i="17"/>
  <c r="M644" i="17"/>
  <c r="K649" i="17"/>
  <c r="O651" i="17"/>
  <c r="K652" i="17"/>
  <c r="O652" i="17"/>
  <c r="O654" i="17"/>
  <c r="O660" i="17" s="1"/>
  <c r="O655" i="17"/>
  <c r="Q655" i="17"/>
  <c r="O656" i="17"/>
  <c r="K660" i="17"/>
  <c r="K662" i="17" s="1"/>
  <c r="L662" i="17" s="1"/>
  <c r="M662" i="17" s="1"/>
  <c r="K661" i="17"/>
  <c r="L661" i="17"/>
  <c r="AA678" i="17"/>
  <c r="AH678" i="17" s="1"/>
  <c r="AB678" i="17"/>
  <c r="AI678" i="17" s="1"/>
  <c r="AC678" i="17"/>
  <c r="AD678" i="17"/>
  <c r="AK678" i="17" s="1"/>
  <c r="AJ678" i="17"/>
  <c r="AE679" i="17"/>
  <c r="AF679" i="17"/>
  <c r="Q680" i="17"/>
  <c r="AI680" i="17"/>
  <c r="O682" i="17"/>
  <c r="M683" i="17"/>
  <c r="O683" i="17"/>
  <c r="AA684" i="17"/>
  <c r="AA685" i="17"/>
  <c r="Q686" i="17"/>
  <c r="AA686" i="17"/>
  <c r="Q690" i="17"/>
  <c r="K696" i="17"/>
  <c r="M696" i="17"/>
  <c r="Q698" i="17"/>
  <c r="K701" i="17"/>
  <c r="O703" i="17"/>
  <c r="O705" i="17" s="1"/>
  <c r="O704" i="17"/>
  <c r="O706" i="17"/>
  <c r="O712" i="17" s="1"/>
  <c r="O707" i="17"/>
  <c r="Q707" i="17" s="1"/>
  <c r="O708" i="17"/>
  <c r="K712" i="17"/>
  <c r="K713" i="17"/>
  <c r="L713" i="17" s="1"/>
  <c r="M713" i="17" s="1"/>
  <c r="AA730" i="17"/>
  <c r="AB730" i="17"/>
  <c r="AI730" i="17" s="1"/>
  <c r="AC730" i="17"/>
  <c r="AD730" i="17"/>
  <c r="AK730" i="17" s="1"/>
  <c r="AH730" i="17"/>
  <c r="AJ730" i="17"/>
  <c r="AE731" i="17"/>
  <c r="AF731" i="17"/>
  <c r="Q732" i="17"/>
  <c r="AH732" i="17"/>
  <c r="AJ732" i="17"/>
  <c r="M735" i="17"/>
  <c r="AA736" i="17"/>
  <c r="AA737" i="17"/>
  <c r="Q738" i="17"/>
  <c r="AA738" i="17"/>
  <c r="Q742" i="17"/>
  <c r="M748" i="17"/>
  <c r="Q750" i="17"/>
  <c r="K753" i="17"/>
  <c r="O764" i="17" s="1"/>
  <c r="O755" i="17"/>
  <c r="K756" i="17"/>
  <c r="O756" i="17"/>
  <c r="O758" i="17"/>
  <c r="O760" i="17"/>
  <c r="K764" i="17"/>
  <c r="K765" i="17"/>
  <c r="L765" i="17"/>
  <c r="M765" i="17" s="1"/>
  <c r="K766" i="17"/>
  <c r="L766" i="17" s="1"/>
  <c r="M766" i="17" s="1"/>
  <c r="AA782" i="17"/>
  <c r="AH782" i="17" s="1"/>
  <c r="AB782" i="17"/>
  <c r="AI782" i="17" s="1"/>
  <c r="AC782" i="17"/>
  <c r="AJ782" i="17" s="1"/>
  <c r="AD782" i="17"/>
  <c r="AK782" i="17"/>
  <c r="AE783" i="17"/>
  <c r="AF783" i="17"/>
  <c r="Q784" i="17"/>
  <c r="AH784" i="17"/>
  <c r="O786" i="17"/>
  <c r="O787" i="17"/>
  <c r="AA788" i="17"/>
  <c r="AA789" i="17"/>
  <c r="Q790" i="17"/>
  <c r="AA790" i="17"/>
  <c r="M800" i="17"/>
  <c r="Q802" i="17"/>
  <c r="K805" i="17"/>
  <c r="O807" i="17"/>
  <c r="O809" i="17" s="1"/>
  <c r="O808" i="17"/>
  <c r="O810" i="17"/>
  <c r="O816" i="17" s="1"/>
  <c r="O811" i="17"/>
  <c r="Q811" i="17" s="1"/>
  <c r="O812" i="17"/>
  <c r="K816" i="17"/>
  <c r="K817" i="17"/>
  <c r="L817" i="17" s="1"/>
  <c r="M817" i="17" s="1"/>
  <c r="J2" i="20"/>
  <c r="B3" i="20" s="1"/>
  <c r="O2" i="20"/>
  <c r="B32" i="20"/>
  <c r="B33" i="20"/>
  <c r="P2" i="20" s="1"/>
  <c r="S4" i="20"/>
  <c r="S6" i="20" s="1"/>
  <c r="Y26" i="20" s="1"/>
  <c r="E3" i="20"/>
  <c r="O3" i="20"/>
  <c r="C32" i="20"/>
  <c r="C33" i="20" s="1"/>
  <c r="P3" i="20" s="1"/>
  <c r="S5" i="20"/>
  <c r="AA3" i="20"/>
  <c r="AH3" i="20" s="1"/>
  <c r="AE3" i="20"/>
  <c r="AF3" i="20"/>
  <c r="J41" i="20"/>
  <c r="B4" i="20" s="1"/>
  <c r="E4" i="20"/>
  <c r="O4" i="20"/>
  <c r="P4" i="20"/>
  <c r="Q4" i="20"/>
  <c r="K9" i="20"/>
  <c r="K11" i="20"/>
  <c r="D32" i="20"/>
  <c r="D33" i="20" s="1"/>
  <c r="L11" i="20" s="1"/>
  <c r="M11" i="20" s="1"/>
  <c r="K48" i="20"/>
  <c r="K50" i="20"/>
  <c r="E5" i="20"/>
  <c r="K87" i="20"/>
  <c r="K89" i="20"/>
  <c r="D36" i="20" s="1"/>
  <c r="D37" i="20" s="1"/>
  <c r="L89" i="20" s="1"/>
  <c r="E6" i="20"/>
  <c r="K126" i="20"/>
  <c r="K128" i="20"/>
  <c r="E7" i="20"/>
  <c r="K165" i="20"/>
  <c r="K167" i="20"/>
  <c r="E8" i="20"/>
  <c r="K204" i="20"/>
  <c r="K206" i="20"/>
  <c r="D42" i="20" s="1"/>
  <c r="D43" i="20" s="1"/>
  <c r="L206" i="20" s="1"/>
  <c r="E9" i="20"/>
  <c r="K243" i="20"/>
  <c r="K245" i="20"/>
  <c r="D44" i="20" s="1"/>
  <c r="D45" i="20" s="1"/>
  <c r="L245" i="20" s="1"/>
  <c r="M245" i="20" s="1"/>
  <c r="E10" i="20"/>
  <c r="K282" i="20"/>
  <c r="K284" i="20"/>
  <c r="J80" i="20"/>
  <c r="B5" i="20"/>
  <c r="K5" i="20"/>
  <c r="O5" i="20"/>
  <c r="O6" i="20" s="1"/>
  <c r="J119" i="20"/>
  <c r="B6" i="20" s="1"/>
  <c r="K6" i="20"/>
  <c r="K14" i="20"/>
  <c r="K15" i="20" s="1"/>
  <c r="K16" i="20" s="1"/>
  <c r="K13" i="20"/>
  <c r="E32" i="20"/>
  <c r="E33" i="20" s="1"/>
  <c r="I33" i="20"/>
  <c r="J158" i="20"/>
  <c r="B7" i="20" s="1"/>
  <c r="K7" i="20"/>
  <c r="L7" i="20"/>
  <c r="M7" i="20" s="1"/>
  <c r="O7" i="20"/>
  <c r="AA19" i="20"/>
  <c r="K17" i="20"/>
  <c r="K8" i="20"/>
  <c r="K25" i="20" s="1"/>
  <c r="K44" i="20"/>
  <c r="O44" i="20"/>
  <c r="O42" i="20"/>
  <c r="C34" i="20" s="1"/>
  <c r="C35" i="20" s="1"/>
  <c r="P42" i="20" s="1"/>
  <c r="Q42" i="20" s="1"/>
  <c r="O41" i="20"/>
  <c r="K46" i="20"/>
  <c r="L46" i="20"/>
  <c r="I35" i="20"/>
  <c r="K53" i="20"/>
  <c r="K54" i="20" s="1"/>
  <c r="K45" i="20"/>
  <c r="K61" i="20" s="1"/>
  <c r="K52" i="20"/>
  <c r="E34" i="20" s="1"/>
  <c r="E35" i="20" s="1"/>
  <c r="K56" i="20"/>
  <c r="K57" i="20" s="1"/>
  <c r="K47" i="20"/>
  <c r="K64" i="20" s="1"/>
  <c r="S43" i="20"/>
  <c r="AA41" i="20" s="1"/>
  <c r="AH41" i="20" s="1"/>
  <c r="S45" i="20"/>
  <c r="K83" i="20"/>
  <c r="O83" i="20"/>
  <c r="O81" i="20"/>
  <c r="C36" i="20"/>
  <c r="C37" i="20" s="1"/>
  <c r="P81" i="20" s="1"/>
  <c r="Q81" i="20" s="1"/>
  <c r="O80" i="20"/>
  <c r="B36" i="20" s="1"/>
  <c r="B37" i="20" s="1"/>
  <c r="P80" i="20" s="1"/>
  <c r="K85" i="20"/>
  <c r="L85" i="20" s="1"/>
  <c r="M85" i="20" s="1"/>
  <c r="I37" i="20"/>
  <c r="K92" i="20"/>
  <c r="K93" i="20" s="1"/>
  <c r="K94" i="20" s="1"/>
  <c r="K84" i="20"/>
  <c r="K91" i="20"/>
  <c r="E36" i="20" s="1"/>
  <c r="E37" i="20" s="1"/>
  <c r="K95" i="20"/>
  <c r="K86" i="20"/>
  <c r="S82" i="20"/>
  <c r="S84" i="20"/>
  <c r="Y105" i="20" s="1"/>
  <c r="K122" i="20"/>
  <c r="O122" i="20"/>
  <c r="O120" i="20"/>
  <c r="C38" i="20" s="1"/>
  <c r="C39" i="20" s="1"/>
  <c r="P120" i="20" s="1"/>
  <c r="O119" i="20"/>
  <c r="B38" i="20"/>
  <c r="B39" i="20" s="1"/>
  <c r="P119" i="20" s="1"/>
  <c r="P124" i="20" s="1"/>
  <c r="K124" i="20"/>
  <c r="L124" i="20" s="1"/>
  <c r="I39" i="20"/>
  <c r="K131" i="20"/>
  <c r="K123" i="20"/>
  <c r="K130" i="20"/>
  <c r="E38" i="20" s="1"/>
  <c r="E39" i="20" s="1"/>
  <c r="K134" i="20"/>
  <c r="K125" i="20"/>
  <c r="K142" i="20" s="1"/>
  <c r="S121" i="20"/>
  <c r="K161" i="20"/>
  <c r="O161" i="20"/>
  <c r="O162" i="20" s="1"/>
  <c r="O159" i="20"/>
  <c r="C40" i="20" s="1"/>
  <c r="C41" i="20" s="1"/>
  <c r="P159" i="20" s="1"/>
  <c r="O158" i="20"/>
  <c r="B40" i="20" s="1"/>
  <c r="B41" i="20" s="1"/>
  <c r="P158" i="20" s="1"/>
  <c r="K163" i="20"/>
  <c r="I41" i="20"/>
  <c r="L163" i="20" s="1"/>
  <c r="M163" i="20" s="1"/>
  <c r="K170" i="20"/>
  <c r="K171" i="20" s="1"/>
  <c r="K172" i="20" s="1"/>
  <c r="K162" i="20"/>
  <c r="K169" i="20"/>
  <c r="E40" i="20"/>
  <c r="E41" i="20" s="1"/>
  <c r="K173" i="20"/>
  <c r="K164" i="20"/>
  <c r="S160" i="20"/>
  <c r="K200" i="20"/>
  <c r="K207" i="20"/>
  <c r="F42" i="20" s="1"/>
  <c r="F43" i="20" s="1"/>
  <c r="O200" i="20"/>
  <c r="O201" i="20" s="1"/>
  <c r="O198" i="20"/>
  <c r="C42" i="20" s="1"/>
  <c r="C43" i="20" s="1"/>
  <c r="P198" i="20"/>
  <c r="Q198" i="20" s="1"/>
  <c r="O197" i="20"/>
  <c r="B42" i="20"/>
  <c r="B43" i="20" s="1"/>
  <c r="P197" i="20" s="1"/>
  <c r="Q197" i="20" s="1"/>
  <c r="K202" i="20"/>
  <c r="I43" i="20"/>
  <c r="K209" i="20"/>
  <c r="K201" i="20"/>
  <c r="K208" i="20"/>
  <c r="E42" i="20" s="1"/>
  <c r="E43" i="20" s="1"/>
  <c r="K212" i="20"/>
  <c r="K213" i="20" s="1"/>
  <c r="K214" i="20" s="1"/>
  <c r="L214" i="20" s="1"/>
  <c r="M214" i="20" s="1"/>
  <c r="K203" i="20"/>
  <c r="S199" i="20"/>
  <c r="S201" i="20"/>
  <c r="S202" i="20" s="1"/>
  <c r="K239" i="20"/>
  <c r="K246" i="20" s="1"/>
  <c r="F44" i="20" s="1"/>
  <c r="F45" i="20" s="1"/>
  <c r="O239" i="20"/>
  <c r="O240" i="20" s="1"/>
  <c r="O237" i="20"/>
  <c r="C44" i="20"/>
  <c r="C45" i="20" s="1"/>
  <c r="P237" i="20" s="1"/>
  <c r="Q237" i="20" s="1"/>
  <c r="O236" i="20"/>
  <c r="B44" i="20"/>
  <c r="B45" i="20"/>
  <c r="P236" i="20" s="1"/>
  <c r="K241" i="20"/>
  <c r="L241" i="20" s="1"/>
  <c r="M241" i="20" s="1"/>
  <c r="I45" i="20"/>
  <c r="K248" i="20"/>
  <c r="K249" i="20"/>
  <c r="K250" i="20" s="1"/>
  <c r="K240" i="20"/>
  <c r="K247" i="20"/>
  <c r="E44" i="20"/>
  <c r="E45" i="20" s="1"/>
  <c r="K251" i="20"/>
  <c r="K252" i="20" s="1"/>
  <c r="K253" i="20" s="1"/>
  <c r="K242" i="20"/>
  <c r="K259" i="20" s="1"/>
  <c r="S238" i="20"/>
  <c r="K278" i="20"/>
  <c r="K285" i="20" s="1"/>
  <c r="F46" i="20" s="1"/>
  <c r="F47" i="20" s="1"/>
  <c r="O278" i="20"/>
  <c r="O276" i="20"/>
  <c r="C46" i="20"/>
  <c r="C47" i="20" s="1"/>
  <c r="P276" i="20"/>
  <c r="O275" i="20"/>
  <c r="B46" i="20" s="1"/>
  <c r="B47" i="20" s="1"/>
  <c r="P275" i="20" s="1"/>
  <c r="K280" i="20"/>
  <c r="I47" i="20"/>
  <c r="K287" i="20"/>
  <c r="K279" i="20"/>
  <c r="K286" i="20"/>
  <c r="E46" i="20"/>
  <c r="E47" i="20" s="1"/>
  <c r="K290" i="20"/>
  <c r="K281" i="20"/>
  <c r="K298" i="20" s="1"/>
  <c r="S277" i="20"/>
  <c r="AA275" i="20" s="1"/>
  <c r="AH275" i="20" s="1"/>
  <c r="AA20" i="20"/>
  <c r="AA18" i="20"/>
  <c r="AC18" i="20"/>
  <c r="AC19" i="20"/>
  <c r="AC20" i="20"/>
  <c r="O10" i="20"/>
  <c r="P10" i="20" s="1"/>
  <c r="Q10" i="20" s="1"/>
  <c r="O11" i="20"/>
  <c r="O49" i="20"/>
  <c r="P49" i="20" s="1"/>
  <c r="Q49" i="20" s="1"/>
  <c r="O50" i="20"/>
  <c r="O88" i="20"/>
  <c r="P88" i="20" s="1"/>
  <c r="Q88" i="20" s="1"/>
  <c r="O89" i="20"/>
  <c r="O127" i="20"/>
  <c r="P127" i="20" s="1"/>
  <c r="Q127" i="20" s="1"/>
  <c r="O128" i="20"/>
  <c r="O166" i="20"/>
  <c r="P166" i="20" s="1"/>
  <c r="O167" i="20"/>
  <c r="O205" i="20"/>
  <c r="P205" i="20" s="1"/>
  <c r="O206" i="20"/>
  <c r="O244" i="20"/>
  <c r="P244" i="20" s="1"/>
  <c r="O245" i="20"/>
  <c r="O283" i="20"/>
  <c r="P283" i="20" s="1"/>
  <c r="Q283" i="20" s="1"/>
  <c r="O284" i="20"/>
  <c r="O13" i="20"/>
  <c r="P13" i="20" s="1"/>
  <c r="O14" i="20"/>
  <c r="P14" i="20" s="1"/>
  <c r="Q14" i="20" s="1"/>
  <c r="O52" i="20"/>
  <c r="P52" i="20" s="1"/>
  <c r="O53" i="20"/>
  <c r="O91" i="20"/>
  <c r="P91" i="20"/>
  <c r="O92" i="20"/>
  <c r="O130" i="20"/>
  <c r="P130" i="20"/>
  <c r="O131" i="20"/>
  <c r="O169" i="20"/>
  <c r="P169" i="20" s="1"/>
  <c r="O170" i="20"/>
  <c r="O208" i="20"/>
  <c r="P208" i="20" s="1"/>
  <c r="O209" i="20"/>
  <c r="O247" i="20"/>
  <c r="P247" i="20" s="1"/>
  <c r="O248" i="20"/>
  <c r="O286" i="20"/>
  <c r="P286" i="20" s="1"/>
  <c r="O287" i="20"/>
  <c r="J197" i="20"/>
  <c r="B8" i="20" s="1"/>
  <c r="AA8" i="20"/>
  <c r="AA47" i="20" s="1"/>
  <c r="AA86" i="20" s="1"/>
  <c r="AA125" i="20" s="1"/>
  <c r="AA164" i="20" s="1"/>
  <c r="AA203" i="20" s="1"/>
  <c r="AA242" i="20" s="1"/>
  <c r="AA281" i="20" s="1"/>
  <c r="J236" i="20"/>
  <c r="B9" i="20" s="1"/>
  <c r="J275" i="20"/>
  <c r="B10" i="20" s="1"/>
  <c r="AA10" i="20"/>
  <c r="O17" i="20"/>
  <c r="O23" i="20" s="1"/>
  <c r="H32" i="20" s="1"/>
  <c r="H33" i="20" s="1"/>
  <c r="O18" i="20"/>
  <c r="O22" i="20"/>
  <c r="P22" i="20" s="1"/>
  <c r="Q22" i="20" s="1"/>
  <c r="O19" i="20"/>
  <c r="O20" i="20"/>
  <c r="O28" i="20" s="1"/>
  <c r="O21" i="20"/>
  <c r="S44" i="20"/>
  <c r="AA42" i="20" s="1"/>
  <c r="AH42" i="20" s="1"/>
  <c r="O56" i="20"/>
  <c r="O57" i="20"/>
  <c r="O61" i="20"/>
  <c r="P61" i="20"/>
  <c r="O58" i="20"/>
  <c r="O63" i="20" s="1"/>
  <c r="G34" i="20"/>
  <c r="G35" i="20" s="1"/>
  <c r="O59" i="20"/>
  <c r="O43" i="20"/>
  <c r="O60" i="20"/>
  <c r="S83" i="20"/>
  <c r="AA81" i="20" s="1"/>
  <c r="AH81" i="20" s="1"/>
  <c r="O95" i="20"/>
  <c r="O96" i="20"/>
  <c r="O100" i="20"/>
  <c r="O97" i="20"/>
  <c r="O106" i="20" s="1"/>
  <c r="O98" i="20"/>
  <c r="O82" i="20"/>
  <c r="P82" i="20" s="1"/>
  <c r="Q82" i="20" s="1"/>
  <c r="O99" i="20"/>
  <c r="O108" i="20" s="1"/>
  <c r="S122" i="20"/>
  <c r="AA120" i="20" s="1"/>
  <c r="AH120" i="20" s="1"/>
  <c r="O134" i="20"/>
  <c r="O135" i="20"/>
  <c r="O139" i="20"/>
  <c r="P139" i="20" s="1"/>
  <c r="Q139" i="20" s="1"/>
  <c r="O136" i="20"/>
  <c r="O137" i="20"/>
  <c r="O121" i="20"/>
  <c r="P121" i="20" s="1"/>
  <c r="Q121" i="20" s="1"/>
  <c r="O138" i="20"/>
  <c r="O147" i="20" s="1"/>
  <c r="S161" i="20"/>
  <c r="AA159" i="20"/>
  <c r="AH159" i="20"/>
  <c r="O173" i="20"/>
  <c r="O174" i="20"/>
  <c r="O183" i="20" s="1"/>
  <c r="O185" i="20" s="1"/>
  <c r="O178" i="20"/>
  <c r="P178" i="20" s="1"/>
  <c r="Q178" i="20" s="1"/>
  <c r="O175" i="20"/>
  <c r="O176" i="20"/>
  <c r="O160" i="20"/>
  <c r="O163" i="20" s="1"/>
  <c r="O177" i="20"/>
  <c r="O186" i="20" s="1"/>
  <c r="O192" i="20" s="1"/>
  <c r="S200" i="20"/>
  <c r="AA198" i="20"/>
  <c r="AH198" i="20" s="1"/>
  <c r="O212" i="20"/>
  <c r="O213" i="20"/>
  <c r="O217" i="20"/>
  <c r="P217" i="20" s="1"/>
  <c r="Q217" i="20" s="1"/>
  <c r="O214" i="20"/>
  <c r="O219" i="20" s="1"/>
  <c r="G42" i="20" s="1"/>
  <c r="G43" i="20" s="1"/>
  <c r="O215" i="20"/>
  <c r="O199" i="20"/>
  <c r="O216" i="20"/>
  <c r="S239" i="20"/>
  <c r="AA237" i="20"/>
  <c r="AH237" i="20" s="1"/>
  <c r="O251" i="20"/>
  <c r="O257" i="20" s="1"/>
  <c r="H44" i="20" s="1"/>
  <c r="H45" i="20" s="1"/>
  <c r="O252" i="20"/>
  <c r="O265" i="20" s="1"/>
  <c r="O256" i="20"/>
  <c r="O253" i="20"/>
  <c r="O258" i="20" s="1"/>
  <c r="G44" i="20" s="1"/>
  <c r="G45" i="20"/>
  <c r="O254" i="20"/>
  <c r="O238" i="20"/>
  <c r="O255" i="20"/>
  <c r="S278" i="20"/>
  <c r="AA276" i="20"/>
  <c r="AH276" i="20"/>
  <c r="O290" i="20"/>
  <c r="O291" i="20"/>
  <c r="O300" i="20" s="1"/>
  <c r="O295" i="20"/>
  <c r="P295" i="20" s="1"/>
  <c r="O292" i="20"/>
  <c r="O297" i="20" s="1"/>
  <c r="G46" i="20" s="1"/>
  <c r="G47" i="20" s="1"/>
  <c r="O293" i="20"/>
  <c r="O305" i="20" s="1"/>
  <c r="O277" i="20"/>
  <c r="O280" i="20" s="1"/>
  <c r="P277" i="20"/>
  <c r="O294" i="20"/>
  <c r="O30" i="20"/>
  <c r="O36" i="20" s="1"/>
  <c r="V31" i="20"/>
  <c r="I32" i="20"/>
  <c r="I34" i="20"/>
  <c r="I36" i="20"/>
  <c r="K36" i="20"/>
  <c r="K38" i="20" s="1"/>
  <c r="L38" i="20" s="1"/>
  <c r="M38" i="20" s="1"/>
  <c r="K37" i="20"/>
  <c r="L37" i="20"/>
  <c r="I38" i="20"/>
  <c r="I40" i="20"/>
  <c r="I42" i="20"/>
  <c r="AE42" i="20"/>
  <c r="AF42" i="20"/>
  <c r="I44" i="20"/>
  <c r="I46" i="20"/>
  <c r="M46" i="20"/>
  <c r="Q61" i="20"/>
  <c r="O66" i="20"/>
  <c r="V70" i="20"/>
  <c r="O71" i="20"/>
  <c r="K75" i="20"/>
  <c r="K76" i="20"/>
  <c r="AA80" i="20"/>
  <c r="AH80" i="20" s="1"/>
  <c r="AE81" i="20"/>
  <c r="AF81" i="20"/>
  <c r="O84" i="20"/>
  <c r="O85" i="20"/>
  <c r="K100" i="20"/>
  <c r="K103" i="20"/>
  <c r="V109" i="20"/>
  <c r="K114" i="20"/>
  <c r="K115" i="20"/>
  <c r="L115" i="20"/>
  <c r="M115" i="20" s="1"/>
  <c r="AE120" i="20"/>
  <c r="AF120" i="20"/>
  <c r="M124" i="20"/>
  <c r="O144" i="20"/>
  <c r="O153" i="20"/>
  <c r="V148" i="20"/>
  <c r="K153" i="20"/>
  <c r="K154" i="20"/>
  <c r="L154" i="20"/>
  <c r="AE159" i="20"/>
  <c r="AF159" i="20"/>
  <c r="Q166" i="20"/>
  <c r="K178" i="20"/>
  <c r="K181" i="20"/>
  <c r="O184" i="20"/>
  <c r="O187" i="20"/>
  <c r="Q187" i="20" s="1"/>
  <c r="V187" i="20"/>
  <c r="K192" i="20"/>
  <c r="K193" i="20"/>
  <c r="L193" i="20" s="1"/>
  <c r="M193" i="20" s="1"/>
  <c r="AA197" i="20"/>
  <c r="AH197" i="20" s="1"/>
  <c r="AE198" i="20"/>
  <c r="AF198" i="20"/>
  <c r="K220" i="20"/>
  <c r="V226" i="20"/>
  <c r="O227" i="20"/>
  <c r="K231" i="20"/>
  <c r="K232" i="20"/>
  <c r="L232" i="20" s="1"/>
  <c r="AE237" i="20"/>
  <c r="AF237" i="20"/>
  <c r="Q244" i="20"/>
  <c r="O262" i="20"/>
  <c r="O264" i="20"/>
  <c r="O270" i="20" s="1"/>
  <c r="V265" i="20"/>
  <c r="O266" i="20"/>
  <c r="K270" i="20"/>
  <c r="K271" i="20"/>
  <c r="L271" i="20"/>
  <c r="M271" i="20" s="1"/>
  <c r="AE276" i="20"/>
  <c r="AF276" i="20"/>
  <c r="K295" i="20"/>
  <c r="K296" i="20" s="1"/>
  <c r="K297" i="20" s="1"/>
  <c r="Q295" i="20"/>
  <c r="O303" i="20"/>
  <c r="V304" i="20"/>
  <c r="K309" i="20"/>
  <c r="K310" i="20"/>
  <c r="L310" i="20"/>
  <c r="J2" i="23"/>
  <c r="B3" i="23" s="1"/>
  <c r="O2" i="23"/>
  <c r="S4" i="23"/>
  <c r="AA2" i="23"/>
  <c r="AH2" i="23" s="1"/>
  <c r="E3" i="23"/>
  <c r="O3" i="23"/>
  <c r="C35" i="23" s="1"/>
  <c r="C36" i="23" s="1"/>
  <c r="P3" i="23" s="1"/>
  <c r="Q3" i="23" s="1"/>
  <c r="S5" i="23"/>
  <c r="AA3" i="23" s="1"/>
  <c r="AH3" i="23" s="1"/>
  <c r="AE3" i="23"/>
  <c r="AF3" i="23"/>
  <c r="J41" i="23"/>
  <c r="B4" i="23"/>
  <c r="E4" i="23"/>
  <c r="O4" i="23"/>
  <c r="P4" i="23" s="1"/>
  <c r="Q4" i="23" s="1"/>
  <c r="K9" i="23"/>
  <c r="K11" i="23"/>
  <c r="D35" i="23"/>
  <c r="D36" i="23"/>
  <c r="L11" i="23" s="1"/>
  <c r="M11" i="23" s="1"/>
  <c r="L9" i="23" s="1"/>
  <c r="K48" i="23"/>
  <c r="K50" i="23"/>
  <c r="D37" i="23"/>
  <c r="D38" i="23" s="1"/>
  <c r="L50" i="23" s="1"/>
  <c r="E5" i="23"/>
  <c r="K87" i="23"/>
  <c r="K89" i="23"/>
  <c r="D39" i="23" s="1"/>
  <c r="D40" i="23" s="1"/>
  <c r="L89" i="23" s="1"/>
  <c r="E6" i="23"/>
  <c r="K126" i="23"/>
  <c r="K128" i="23"/>
  <c r="D41" i="23" s="1"/>
  <c r="D42" i="23" s="1"/>
  <c r="L128" i="23" s="1"/>
  <c r="E7" i="23"/>
  <c r="K165" i="23"/>
  <c r="K167" i="23"/>
  <c r="E8" i="23"/>
  <c r="K204" i="23"/>
  <c r="K206" i="23"/>
  <c r="D45" i="23"/>
  <c r="D46" i="23" s="1"/>
  <c r="L206" i="23" s="1"/>
  <c r="E9" i="23"/>
  <c r="K243" i="23"/>
  <c r="K245" i="23"/>
  <c r="E10" i="23"/>
  <c r="K282" i="23"/>
  <c r="K284" i="23"/>
  <c r="D49" i="23"/>
  <c r="D50" i="23" s="1"/>
  <c r="L284" i="23" s="1"/>
  <c r="S6" i="23"/>
  <c r="Y27" i="23" s="1"/>
  <c r="J80" i="23"/>
  <c r="B5" i="23" s="1"/>
  <c r="K5" i="23"/>
  <c r="K12" i="23" s="1"/>
  <c r="F35" i="23" s="1"/>
  <c r="F36" i="23" s="1"/>
  <c r="O5" i="23"/>
  <c r="J119" i="23"/>
  <c r="B6" i="23" s="1"/>
  <c r="K6" i="23"/>
  <c r="K22" i="23" s="1"/>
  <c r="K14" i="23"/>
  <c r="K15" i="23" s="1"/>
  <c r="K13" i="23"/>
  <c r="E35" i="23"/>
  <c r="E36" i="23" s="1"/>
  <c r="I36" i="23"/>
  <c r="J158" i="23"/>
  <c r="B7" i="23" s="1"/>
  <c r="K7" i="23"/>
  <c r="L7" i="23" s="1"/>
  <c r="M7" i="23" s="1"/>
  <c r="AB18" i="23"/>
  <c r="AC18" i="23" s="1"/>
  <c r="AA19" i="23"/>
  <c r="AA9" i="23" s="1"/>
  <c r="K17" i="23"/>
  <c r="K18" i="23" s="1"/>
  <c r="K19" i="23" s="1"/>
  <c r="K8" i="23"/>
  <c r="K44" i="23"/>
  <c r="K61" i="23" s="1"/>
  <c r="O44" i="23"/>
  <c r="O42" i="23"/>
  <c r="C37" i="23" s="1"/>
  <c r="C38" i="23" s="1"/>
  <c r="P42" i="23" s="1"/>
  <c r="Q42" i="23" s="1"/>
  <c r="O41" i="23"/>
  <c r="B37" i="23"/>
  <c r="B38" i="23" s="1"/>
  <c r="P41" i="23" s="1"/>
  <c r="K46" i="23"/>
  <c r="I38" i="23"/>
  <c r="K53" i="23"/>
  <c r="K54" i="23" s="1"/>
  <c r="K45" i="23"/>
  <c r="K52" i="23"/>
  <c r="E37" i="23" s="1"/>
  <c r="E38" i="23" s="1"/>
  <c r="K56" i="23"/>
  <c r="K57" i="23" s="1"/>
  <c r="K58" i="23" s="1"/>
  <c r="K47" i="23"/>
  <c r="S43" i="23"/>
  <c r="S45" i="23"/>
  <c r="K83" i="23"/>
  <c r="K90" i="23" s="1"/>
  <c r="F39" i="23" s="1"/>
  <c r="F40" i="23" s="1"/>
  <c r="O83" i="23"/>
  <c r="O81" i="23"/>
  <c r="C39" i="23"/>
  <c r="C40" i="23" s="1"/>
  <c r="P81" i="23" s="1"/>
  <c r="O80" i="23"/>
  <c r="B39" i="23" s="1"/>
  <c r="B40" i="23" s="1"/>
  <c r="P80" i="23" s="1"/>
  <c r="K85" i="23"/>
  <c r="I40" i="23"/>
  <c r="L85" i="23"/>
  <c r="M85" i="23" s="1"/>
  <c r="K92" i="23"/>
  <c r="K93" i="23" s="1"/>
  <c r="K84" i="23"/>
  <c r="K100" i="23" s="1"/>
  <c r="K91" i="23"/>
  <c r="E39" i="23" s="1"/>
  <c r="E40" i="23" s="1"/>
  <c r="K95" i="23"/>
  <c r="K96" i="23" s="1"/>
  <c r="K86" i="23"/>
  <c r="K103" i="23" s="1"/>
  <c r="O114" i="23" s="1"/>
  <c r="S82" i="23"/>
  <c r="S84" i="23" s="1"/>
  <c r="K122" i="23"/>
  <c r="O122" i="23"/>
  <c r="O120" i="23"/>
  <c r="C41" i="23" s="1"/>
  <c r="C42" i="23" s="1"/>
  <c r="P120" i="23" s="1"/>
  <c r="O119" i="23"/>
  <c r="B41" i="23"/>
  <c r="B42" i="23" s="1"/>
  <c r="P119" i="23" s="1"/>
  <c r="Q119" i="23" s="1"/>
  <c r="K124" i="23"/>
  <c r="I42" i="23"/>
  <c r="P139" i="23" s="1"/>
  <c r="Q139" i="23" s="1"/>
  <c r="K131" i="23"/>
  <c r="K132" i="23" s="1"/>
  <c r="K123" i="23"/>
  <c r="K139" i="23" s="1"/>
  <c r="K130" i="23"/>
  <c r="E41" i="23"/>
  <c r="E42" i="23" s="1"/>
  <c r="K134" i="23"/>
  <c r="K135" i="23" s="1"/>
  <c r="K136" i="23" s="1"/>
  <c r="K125" i="23"/>
  <c r="S121" i="23"/>
  <c r="S123" i="23" s="1"/>
  <c r="AA121" i="23" s="1"/>
  <c r="AH121" i="23" s="1"/>
  <c r="K161" i="23"/>
  <c r="K168" i="23" s="1"/>
  <c r="F43" i="23" s="1"/>
  <c r="F44" i="23" s="1"/>
  <c r="O161" i="23"/>
  <c r="O159" i="23"/>
  <c r="C43" i="23" s="1"/>
  <c r="C44" i="23" s="1"/>
  <c r="P159" i="23" s="1"/>
  <c r="O158" i="23"/>
  <c r="B43" i="23" s="1"/>
  <c r="B44" i="23" s="1"/>
  <c r="P158" i="23" s="1"/>
  <c r="K163" i="23"/>
  <c r="I44" i="23"/>
  <c r="K170" i="23"/>
  <c r="K162" i="23"/>
  <c r="K178" i="23" s="1"/>
  <c r="K169" i="23"/>
  <c r="E43" i="23" s="1"/>
  <c r="E44" i="23" s="1"/>
  <c r="K173" i="23"/>
  <c r="K164" i="23"/>
  <c r="S160" i="23"/>
  <c r="K200" i="23"/>
  <c r="K207" i="23" s="1"/>
  <c r="F45" i="23" s="1"/>
  <c r="F46" i="23" s="1"/>
  <c r="O200" i="23"/>
  <c r="O201" i="23" s="1"/>
  <c r="O198" i="23"/>
  <c r="C45" i="23" s="1"/>
  <c r="C46" i="23" s="1"/>
  <c r="P198" i="23" s="1"/>
  <c r="O197" i="23"/>
  <c r="B45" i="23" s="1"/>
  <c r="B46" i="23" s="1"/>
  <c r="P197" i="23" s="1"/>
  <c r="K202" i="23"/>
  <c r="I46" i="23"/>
  <c r="L202" i="23" s="1"/>
  <c r="M202" i="23" s="1"/>
  <c r="K209" i="23"/>
  <c r="K201" i="23"/>
  <c r="K208" i="23"/>
  <c r="E45" i="23" s="1"/>
  <c r="E46" i="23" s="1"/>
  <c r="K212" i="23"/>
  <c r="K203" i="23"/>
  <c r="S199" i="23"/>
  <c r="S201" i="23" s="1"/>
  <c r="K239" i="23"/>
  <c r="K246" i="23" s="1"/>
  <c r="F47" i="23" s="1"/>
  <c r="F48" i="23" s="1"/>
  <c r="O239" i="23"/>
  <c r="O237" i="23"/>
  <c r="C47" i="23" s="1"/>
  <c r="C48" i="23" s="1"/>
  <c r="P237" i="23" s="1"/>
  <c r="Q237" i="23" s="1"/>
  <c r="O236" i="23"/>
  <c r="B47" i="23"/>
  <c r="B48" i="23"/>
  <c r="P236" i="23" s="1"/>
  <c r="K241" i="23"/>
  <c r="I48" i="23"/>
  <c r="K248" i="23"/>
  <c r="K240" i="23"/>
  <c r="K247" i="23"/>
  <c r="E47" i="23" s="1"/>
  <c r="E48" i="23" s="1"/>
  <c r="K251" i="23"/>
  <c r="K252" i="23" s="1"/>
  <c r="K242" i="23"/>
  <c r="S238" i="23"/>
  <c r="S240" i="23"/>
  <c r="K278" i="23"/>
  <c r="K285" i="23" s="1"/>
  <c r="F49" i="23" s="1"/>
  <c r="F50" i="23" s="1"/>
  <c r="O278" i="23"/>
  <c r="O276" i="23"/>
  <c r="C49" i="23" s="1"/>
  <c r="C50" i="23" s="1"/>
  <c r="P276" i="23" s="1"/>
  <c r="O275" i="23"/>
  <c r="B49" i="23"/>
  <c r="B50" i="23"/>
  <c r="P275" i="23" s="1"/>
  <c r="Q275" i="23" s="1"/>
  <c r="K280" i="23"/>
  <c r="L280" i="23" s="1"/>
  <c r="M280" i="23" s="1"/>
  <c r="I50" i="23"/>
  <c r="K287" i="23"/>
  <c r="K288" i="23" s="1"/>
  <c r="K279" i="23"/>
  <c r="K286" i="23"/>
  <c r="E49" i="23" s="1"/>
  <c r="E50" i="23" s="1"/>
  <c r="K290" i="23"/>
  <c r="K291" i="23"/>
  <c r="K281" i="23"/>
  <c r="S277" i="23"/>
  <c r="S279" i="23" s="1"/>
  <c r="AA20" i="23"/>
  <c r="AA18" i="23"/>
  <c r="AB19" i="23"/>
  <c r="AC19" i="23" s="1"/>
  <c r="AB20" i="23"/>
  <c r="AC20" i="23" s="1"/>
  <c r="O10" i="23"/>
  <c r="P10" i="23" s="1"/>
  <c r="Q10" i="23" s="1"/>
  <c r="O11" i="23"/>
  <c r="O49" i="23"/>
  <c r="P49" i="23" s="1"/>
  <c r="Q49" i="23" s="1"/>
  <c r="O50" i="23"/>
  <c r="P50" i="23" s="1"/>
  <c r="Q50" i="23" s="1"/>
  <c r="O88" i="23"/>
  <c r="P88" i="23" s="1"/>
  <c r="Q88" i="23" s="1"/>
  <c r="O89" i="23"/>
  <c r="O127" i="23"/>
  <c r="P127" i="23" s="1"/>
  <c r="Q127" i="23" s="1"/>
  <c r="O128" i="23"/>
  <c r="P128" i="23" s="1"/>
  <c r="Q128" i="23" s="1"/>
  <c r="O166" i="23"/>
  <c r="P166" i="23" s="1"/>
  <c r="Q166" i="23" s="1"/>
  <c r="O167" i="23"/>
  <c r="O205" i="23"/>
  <c r="P205" i="23" s="1"/>
  <c r="Q205" i="23" s="1"/>
  <c r="O206" i="23"/>
  <c r="O244" i="23"/>
  <c r="P244" i="23" s="1"/>
  <c r="Q244" i="23" s="1"/>
  <c r="O245" i="23"/>
  <c r="Y260" i="23"/>
  <c r="O283" i="23"/>
  <c r="P283" i="23"/>
  <c r="Q283" i="23" s="1"/>
  <c r="O284" i="23"/>
  <c r="O13" i="23"/>
  <c r="P13" i="23" s="1"/>
  <c r="O14" i="23"/>
  <c r="O52" i="23"/>
  <c r="P52" i="23" s="1"/>
  <c r="O53" i="23"/>
  <c r="O91" i="23"/>
  <c r="P91" i="23"/>
  <c r="O92" i="23"/>
  <c r="O130" i="23"/>
  <c r="P130" i="23" s="1"/>
  <c r="O131" i="23"/>
  <c r="P131" i="23" s="1"/>
  <c r="Q131" i="23" s="1"/>
  <c r="O169" i="23"/>
  <c r="P169" i="23" s="1"/>
  <c r="O170" i="23"/>
  <c r="O208" i="23"/>
  <c r="P208" i="23"/>
  <c r="O209" i="23"/>
  <c r="O247" i="23"/>
  <c r="P247" i="23" s="1"/>
  <c r="O248" i="23"/>
  <c r="O286" i="23"/>
  <c r="P286" i="23" s="1"/>
  <c r="O287" i="23"/>
  <c r="J197" i="23"/>
  <c r="B8" i="23" s="1"/>
  <c r="J236" i="23"/>
  <c r="B9" i="23" s="1"/>
  <c r="J275" i="23"/>
  <c r="B10" i="23" s="1"/>
  <c r="AA10" i="23"/>
  <c r="O17" i="23"/>
  <c r="O23" i="23" s="1"/>
  <c r="H35" i="23" s="1"/>
  <c r="H36" i="23" s="1"/>
  <c r="O18" i="23"/>
  <c r="O27" i="23" s="1"/>
  <c r="O22" i="23"/>
  <c r="P22" i="23"/>
  <c r="Q22" i="23" s="1"/>
  <c r="O19" i="23"/>
  <c r="O24" i="23"/>
  <c r="G35" i="23" s="1"/>
  <c r="G36" i="23" s="1"/>
  <c r="O20" i="23"/>
  <c r="O32" i="23" s="1"/>
  <c r="O21" i="23"/>
  <c r="O30" i="23" s="1"/>
  <c r="O36" i="23" s="1"/>
  <c r="S44" i="23"/>
  <c r="AA42" i="23"/>
  <c r="AH42" i="23" s="1"/>
  <c r="O56" i="23"/>
  <c r="O57" i="23"/>
  <c r="O61" i="23"/>
  <c r="P61" i="23" s="1"/>
  <c r="Q61" i="23" s="1"/>
  <c r="O58" i="23"/>
  <c r="O63" i="23" s="1"/>
  <c r="G37" i="23" s="1"/>
  <c r="G38" i="23" s="1"/>
  <c r="O59" i="23"/>
  <c r="O43" i="23"/>
  <c r="O46" i="23" s="1"/>
  <c r="O60" i="23"/>
  <c r="O69" i="23" s="1"/>
  <c r="O75" i="23" s="1"/>
  <c r="S83" i="23"/>
  <c r="AA81" i="23" s="1"/>
  <c r="AH81" i="23" s="1"/>
  <c r="O95" i="23"/>
  <c r="O101" i="23" s="1"/>
  <c r="H39" i="23"/>
  <c r="H40" i="23" s="1"/>
  <c r="O96" i="23"/>
  <c r="O100" i="23"/>
  <c r="P100" i="23" s="1"/>
  <c r="Q100" i="23" s="1"/>
  <c r="O97" i="23"/>
  <c r="O102" i="23" s="1"/>
  <c r="G39" i="23" s="1"/>
  <c r="G40" i="23" s="1"/>
  <c r="O98" i="23"/>
  <c r="O82" i="23"/>
  <c r="P82" i="23" s="1"/>
  <c r="Q82" i="23" s="1"/>
  <c r="O99" i="23"/>
  <c r="S122" i="23"/>
  <c r="AA120" i="23" s="1"/>
  <c r="AH120" i="23" s="1"/>
  <c r="O134" i="23"/>
  <c r="O144" i="23" s="1"/>
  <c r="O135" i="23"/>
  <c r="O139" i="23"/>
  <c r="O136" i="23"/>
  <c r="O137" i="23"/>
  <c r="O121" i="23"/>
  <c r="P121" i="23" s="1"/>
  <c r="Q121" i="23" s="1"/>
  <c r="O138" i="23"/>
  <c r="S161" i="23"/>
  <c r="AA159" i="23" s="1"/>
  <c r="AH159" i="23" s="1"/>
  <c r="O173" i="23"/>
  <c r="O183" i="23" s="1"/>
  <c r="O185" i="23" s="1"/>
  <c r="O174" i="23"/>
  <c r="O178" i="23"/>
  <c r="O175" i="23"/>
  <c r="O180" i="23" s="1"/>
  <c r="G43" i="23" s="1"/>
  <c r="G44" i="23" s="1"/>
  <c r="O176" i="23"/>
  <c r="O160" i="23"/>
  <c r="P160" i="23" s="1"/>
  <c r="Q160" i="23" s="1"/>
  <c r="O177" i="23"/>
  <c r="O186" i="23" s="1"/>
  <c r="O192" i="23" s="1"/>
  <c r="S200" i="23"/>
  <c r="AA198" i="23"/>
  <c r="AH198" i="23" s="1"/>
  <c r="O212" i="23"/>
  <c r="O218" i="23"/>
  <c r="H45" i="23" s="1"/>
  <c r="H46" i="23" s="1"/>
  <c r="O213" i="23"/>
  <c r="O217" i="23"/>
  <c r="O214" i="23"/>
  <c r="O219" i="23" s="1"/>
  <c r="G45" i="23" s="1"/>
  <c r="G46" i="23" s="1"/>
  <c r="O215" i="23"/>
  <c r="O199" i="23"/>
  <c r="P199" i="23" s="1"/>
  <c r="Q199" i="23" s="1"/>
  <c r="O216" i="23"/>
  <c r="S239" i="23"/>
  <c r="AA237" i="23"/>
  <c r="AH237" i="23" s="1"/>
  <c r="AH273" i="23" s="1"/>
  <c r="O251" i="23"/>
  <c r="O252" i="23"/>
  <c r="O256" i="23"/>
  <c r="O253" i="23"/>
  <c r="O254" i="23"/>
  <c r="O238" i="23"/>
  <c r="P238" i="23" s="1"/>
  <c r="Q238" i="23" s="1"/>
  <c r="O255" i="23"/>
  <c r="O264" i="23" s="1"/>
  <c r="S278" i="23"/>
  <c r="AA276" i="23" s="1"/>
  <c r="AH276" i="23" s="1"/>
  <c r="O290" i="23"/>
  <c r="O291" i="23"/>
  <c r="O295" i="23"/>
  <c r="P295" i="23" s="1"/>
  <c r="Q295" i="23" s="1"/>
  <c r="O292" i="23"/>
  <c r="O293" i="23"/>
  <c r="O277" i="23"/>
  <c r="P277" i="23" s="1"/>
  <c r="Q277" i="23" s="1"/>
  <c r="O294" i="23"/>
  <c r="O303" i="23" s="1"/>
  <c r="O309" i="23" s="1"/>
  <c r="B14" i="23"/>
  <c r="D20" i="23"/>
  <c r="E20" i="23"/>
  <c r="D21" i="23"/>
  <c r="E21" i="23"/>
  <c r="D22" i="23"/>
  <c r="E22" i="23"/>
  <c r="K25" i="23"/>
  <c r="V31" i="23"/>
  <c r="I35" i="23"/>
  <c r="K36" i="23"/>
  <c r="K38" i="23" s="1"/>
  <c r="L38" i="23" s="1"/>
  <c r="M38" i="23" s="1"/>
  <c r="K37" i="23"/>
  <c r="L37" i="23" s="1"/>
  <c r="I37" i="23"/>
  <c r="I39" i="23"/>
  <c r="I41" i="23"/>
  <c r="AA41" i="23"/>
  <c r="AH41" i="23" s="1"/>
  <c r="AE42" i="23"/>
  <c r="AF42" i="23"/>
  <c r="I43" i="23"/>
  <c r="I45" i="23"/>
  <c r="I47" i="23"/>
  <c r="I49" i="23"/>
  <c r="AA49" i="23"/>
  <c r="AA88" i="23" s="1"/>
  <c r="AA127" i="23" s="1"/>
  <c r="AA166" i="23" s="1"/>
  <c r="AA205" i="23" s="1"/>
  <c r="AA244" i="23" s="1"/>
  <c r="AA283" i="23" s="1"/>
  <c r="K64" i="23"/>
  <c r="V70" i="23"/>
  <c r="K75" i="23"/>
  <c r="K76" i="23"/>
  <c r="L76" i="23" s="1"/>
  <c r="M76" i="23" s="1"/>
  <c r="AA80" i="23"/>
  <c r="AH80" i="23" s="1"/>
  <c r="AE81" i="23"/>
  <c r="AF81" i="23"/>
  <c r="O84" i="23"/>
  <c r="O85" i="23"/>
  <c r="O105" i="23"/>
  <c r="O108" i="23"/>
  <c r="O109" i="23"/>
  <c r="Q109" i="23" s="1"/>
  <c r="V109" i="23"/>
  <c r="O110" i="23"/>
  <c r="K114" i="23"/>
  <c r="K115" i="23"/>
  <c r="L115" i="23" s="1"/>
  <c r="AA119" i="23"/>
  <c r="AH119" i="23"/>
  <c r="AE120" i="23"/>
  <c r="AF120" i="23"/>
  <c r="O123" i="23"/>
  <c r="O124" i="23"/>
  <c r="K142" i="23"/>
  <c r="O147" i="23"/>
  <c r="V148" i="23"/>
  <c r="K153" i="23"/>
  <c r="K154" i="23"/>
  <c r="L154" i="23" s="1"/>
  <c r="M154" i="23" s="1"/>
  <c r="AE159" i="23"/>
  <c r="AF159" i="23"/>
  <c r="K181" i="23"/>
  <c r="O184" i="23"/>
  <c r="V187" i="23"/>
  <c r="O188" i="23"/>
  <c r="K192" i="23"/>
  <c r="K193" i="23"/>
  <c r="L193" i="23" s="1"/>
  <c r="AA197" i="23"/>
  <c r="AH197" i="23" s="1"/>
  <c r="AE198" i="23"/>
  <c r="AF198" i="23"/>
  <c r="O202" i="23"/>
  <c r="K220" i="23"/>
  <c r="O222" i="23"/>
  <c r="O224" i="23" s="1"/>
  <c r="O223" i="23"/>
  <c r="O225" i="23"/>
  <c r="O231" i="23" s="1"/>
  <c r="O226" i="23"/>
  <c r="Q226" i="23" s="1"/>
  <c r="V226" i="23"/>
  <c r="O227" i="23"/>
  <c r="K231" i="23"/>
  <c r="K232" i="23"/>
  <c r="L232" i="23"/>
  <c r="M232" i="23" s="1"/>
  <c r="K233" i="23"/>
  <c r="L233" i="23" s="1"/>
  <c r="AA236" i="23"/>
  <c r="AH236" i="23" s="1"/>
  <c r="AE237" i="23"/>
  <c r="AF237" i="23"/>
  <c r="O241" i="23"/>
  <c r="K259" i="23"/>
  <c r="V265" i="23"/>
  <c r="K270" i="23"/>
  <c r="K271" i="23"/>
  <c r="L271" i="23" s="1"/>
  <c r="AE276" i="23"/>
  <c r="AF276" i="23"/>
  <c r="O279" i="23"/>
  <c r="K298" i="23"/>
  <c r="O301" i="23"/>
  <c r="O304" i="23"/>
  <c r="Q304" i="23"/>
  <c r="V304" i="23"/>
  <c r="K309" i="23"/>
  <c r="K311" i="23" s="1"/>
  <c r="L311" i="23" s="1"/>
  <c r="M311" i="23" s="1"/>
  <c r="K310" i="23"/>
  <c r="L310" i="23"/>
  <c r="M310" i="23" s="1"/>
  <c r="I6" i="51"/>
  <c r="Q6" i="51"/>
  <c r="Y6" i="51"/>
  <c r="I7" i="51"/>
  <c r="Q7" i="51"/>
  <c r="Y7" i="51"/>
  <c r="I8" i="51"/>
  <c r="Q8" i="51"/>
  <c r="Y8" i="51"/>
  <c r="I9" i="51"/>
  <c r="Q9" i="51"/>
  <c r="Y9" i="51"/>
  <c r="I10" i="51"/>
  <c r="Q10" i="51"/>
  <c r="Y10" i="51"/>
  <c r="I11" i="51"/>
  <c r="Q11" i="51"/>
  <c r="Y11" i="51"/>
  <c r="I12" i="51"/>
  <c r="Q12" i="51"/>
  <c r="Y12" i="51"/>
  <c r="I13" i="51"/>
  <c r="Q13" i="51"/>
  <c r="Y13" i="51"/>
  <c r="I14" i="51"/>
  <c r="Q14" i="51"/>
  <c r="Y14" i="51"/>
  <c r="I15" i="51"/>
  <c r="Q15" i="51"/>
  <c r="Y15" i="51"/>
  <c r="I16" i="51"/>
  <c r="Q16" i="51"/>
  <c r="Y16" i="51"/>
  <c r="I17" i="51"/>
  <c r="Q17" i="51"/>
  <c r="Y17" i="51"/>
  <c r="I18" i="51"/>
  <c r="Q18" i="51"/>
  <c r="I19" i="51"/>
  <c r="Q19" i="51"/>
  <c r="I20" i="51"/>
  <c r="Q20" i="51"/>
  <c r="Y20" i="51"/>
  <c r="I21" i="51"/>
  <c r="Q21" i="51"/>
  <c r="Y21" i="51"/>
  <c r="I22" i="51"/>
  <c r="Q22" i="51"/>
  <c r="Y22" i="51"/>
  <c r="I23" i="51"/>
  <c r="Q23" i="51"/>
  <c r="Y23" i="51"/>
  <c r="I24" i="51"/>
  <c r="Q24" i="51"/>
  <c r="Y24" i="51"/>
  <c r="I25" i="51"/>
  <c r="Q25" i="51"/>
  <c r="Y25" i="51"/>
  <c r="I26" i="51"/>
  <c r="Q26" i="51"/>
  <c r="Y26" i="51"/>
  <c r="I27" i="51"/>
  <c r="Q27" i="51"/>
  <c r="Y27" i="51"/>
  <c r="I28" i="51"/>
  <c r="Q28" i="51"/>
  <c r="Y28" i="51"/>
  <c r="I29" i="51"/>
  <c r="Q29" i="51"/>
  <c r="Y29" i="51"/>
  <c r="Y30" i="51"/>
  <c r="Y31" i="51"/>
  <c r="Q32" i="51"/>
  <c r="Q33" i="51"/>
  <c r="Q34" i="51"/>
  <c r="Y34" i="51"/>
  <c r="Q35" i="51"/>
  <c r="Y35" i="51"/>
  <c r="Q36" i="51"/>
  <c r="Y36" i="51"/>
  <c r="Q37" i="51"/>
  <c r="Y37" i="51"/>
  <c r="Q38" i="51"/>
  <c r="Y38" i="51"/>
  <c r="Q39" i="51"/>
  <c r="Y39" i="51"/>
  <c r="Q40" i="51"/>
  <c r="Y40" i="51"/>
  <c r="Q41" i="51"/>
  <c r="Y41" i="51"/>
  <c r="Q42" i="51"/>
  <c r="Y42" i="51"/>
  <c r="Q43" i="51"/>
  <c r="Y43" i="51"/>
  <c r="Q44" i="51"/>
  <c r="Y44" i="51"/>
  <c r="Q45" i="51"/>
  <c r="Y45" i="51"/>
  <c r="Q46" i="51"/>
  <c r="Q47" i="51"/>
  <c r="Q48" i="51"/>
  <c r="Q49" i="51"/>
  <c r="Q50" i="51"/>
  <c r="Q51" i="51"/>
  <c r="Q52" i="51"/>
  <c r="Q53" i="51"/>
  <c r="Q54" i="51"/>
  <c r="Q55" i="51"/>
  <c r="K2" i="5"/>
  <c r="I2" i="5" s="1"/>
  <c r="AG3" i="5"/>
  <c r="D20" i="5"/>
  <c r="G21" i="5"/>
  <c r="P22" i="5"/>
  <c r="R22" i="5" s="1"/>
  <c r="L36" i="5"/>
  <c r="L37" i="5"/>
  <c r="W39" i="5"/>
  <c r="K41" i="5"/>
  <c r="AG42" i="5"/>
  <c r="L48" i="5"/>
  <c r="W89" i="5"/>
  <c r="Y49" i="5"/>
  <c r="X49" i="5"/>
  <c r="AF42" i="5"/>
  <c r="AF3" i="5"/>
  <c r="S38" i="16"/>
  <c r="U38" i="16" s="1"/>
  <c r="AA8" i="23"/>
  <c r="K23" i="23"/>
  <c r="K24" i="23" s="1"/>
  <c r="Y105" i="23"/>
  <c r="Y300" i="23"/>
  <c r="Y303" i="23" s="1"/>
  <c r="AA238" i="23"/>
  <c r="AH238" i="23" s="1"/>
  <c r="S241" i="23"/>
  <c r="Y261" i="23"/>
  <c r="K16" i="23"/>
  <c r="Q275" i="20"/>
  <c r="M206" i="20"/>
  <c r="L204" i="20" s="1"/>
  <c r="P206" i="20"/>
  <c r="P7" i="20"/>
  <c r="Q2" i="20"/>
  <c r="O141" i="23"/>
  <c r="G41" i="23" s="1"/>
  <c r="G42" i="23" s="1"/>
  <c r="L124" i="23"/>
  <c r="M124" i="23" s="1"/>
  <c r="K272" i="20"/>
  <c r="L272" i="20" s="1"/>
  <c r="AA199" i="20"/>
  <c r="AH199" i="20"/>
  <c r="O145" i="20"/>
  <c r="P209" i="20"/>
  <c r="Q209" i="20" s="1"/>
  <c r="Y27" i="20"/>
  <c r="P11" i="20"/>
  <c r="P239" i="20"/>
  <c r="K217" i="20"/>
  <c r="P83" i="20"/>
  <c r="AA9" i="20"/>
  <c r="L9" i="20"/>
  <c r="K818" i="17"/>
  <c r="L818" i="17"/>
  <c r="M818" i="17" s="1"/>
  <c r="L660" i="17"/>
  <c r="M660" i="17" s="1"/>
  <c r="M661" i="17"/>
  <c r="K443" i="17"/>
  <c r="K445" i="17"/>
  <c r="K446" i="17"/>
  <c r="K450" i="17" s="1"/>
  <c r="K402" i="17"/>
  <c r="L402" i="17" s="1"/>
  <c r="M402" i="17" s="1"/>
  <c r="L401" i="17"/>
  <c r="M245" i="17"/>
  <c r="O28" i="23"/>
  <c r="S202" i="23"/>
  <c r="AA199" i="23"/>
  <c r="AH199" i="23" s="1"/>
  <c r="K129" i="23"/>
  <c r="F41" i="23"/>
  <c r="F42" i="23" s="1"/>
  <c r="O225" i="20"/>
  <c r="O231" i="20"/>
  <c r="O69" i="20"/>
  <c r="O75" i="20"/>
  <c r="O301" i="20"/>
  <c r="O302" i="20" s="1"/>
  <c r="O306" i="20" s="1"/>
  <c r="O296" i="20"/>
  <c r="H46" i="20" s="1"/>
  <c r="H47" i="20" s="1"/>
  <c r="O304" i="20"/>
  <c r="O223" i="20"/>
  <c r="O148" i="20"/>
  <c r="P100" i="20"/>
  <c r="O67" i="20"/>
  <c r="O68" i="20" s="1"/>
  <c r="K288" i="20"/>
  <c r="K289" i="20" s="1"/>
  <c r="S85" i="20"/>
  <c r="AA82" i="20"/>
  <c r="AH82" i="20"/>
  <c r="S7" i="20"/>
  <c r="D46" i="20"/>
  <c r="D47" i="20" s="1"/>
  <c r="L284" i="20" s="1"/>
  <c r="D40" i="20"/>
  <c r="D41" i="20" s="1"/>
  <c r="L167" i="20" s="1"/>
  <c r="K714" i="17"/>
  <c r="L714" i="17" s="1"/>
  <c r="O348" i="17"/>
  <c r="M310" i="20"/>
  <c r="K303" i="20"/>
  <c r="K302" i="20"/>
  <c r="K300" i="20"/>
  <c r="M232" i="20"/>
  <c r="L36" i="20"/>
  <c r="M36" i="20" s="1"/>
  <c r="M37" i="20"/>
  <c r="O180" i="20"/>
  <c r="G40" i="20" s="1"/>
  <c r="G41" i="20" s="1"/>
  <c r="O188" i="20"/>
  <c r="AA49" i="20"/>
  <c r="AA88" i="20" s="1"/>
  <c r="AA127" i="20" s="1"/>
  <c r="AA166" i="20" s="1"/>
  <c r="AA205" i="20" s="1"/>
  <c r="AA244" i="20" s="1"/>
  <c r="AA283" i="20" s="1"/>
  <c r="B14" i="20"/>
  <c r="O279" i="20"/>
  <c r="Y222" i="20"/>
  <c r="Y221" i="20"/>
  <c r="O123" i="20"/>
  <c r="Y66" i="20"/>
  <c r="K755" i="17"/>
  <c r="K759" i="17" s="1"/>
  <c r="K757" i="17"/>
  <c r="K758" i="17"/>
  <c r="K651" i="17"/>
  <c r="K655" i="17" s="1"/>
  <c r="K653" i="17"/>
  <c r="K654" i="17"/>
  <c r="K658" i="17" s="1"/>
  <c r="L452" i="17"/>
  <c r="M452" i="17" s="1"/>
  <c r="P44" i="23"/>
  <c r="P199" i="20"/>
  <c r="Q199" i="20" s="1"/>
  <c r="O202" i="20"/>
  <c r="P43" i="20"/>
  <c r="Q43" i="20" s="1"/>
  <c r="O46" i="20"/>
  <c r="O24" i="20"/>
  <c r="G32" i="20"/>
  <c r="G33" i="20" s="1"/>
  <c r="O32" i="20"/>
  <c r="O27" i="20"/>
  <c r="K291" i="20"/>
  <c r="K292" i="20" s="1"/>
  <c r="P202" i="20"/>
  <c r="P200" i="20"/>
  <c r="S162" i="20"/>
  <c r="AA158" i="20"/>
  <c r="AH158" i="20" s="1"/>
  <c r="P122" i="20"/>
  <c r="Q120" i="20"/>
  <c r="K62" i="20"/>
  <c r="K63" i="20" s="1"/>
  <c r="L764" i="17"/>
  <c r="M764" i="17" s="1"/>
  <c r="O661" i="17"/>
  <c r="O662" i="17"/>
  <c r="L556" i="17"/>
  <c r="M556" i="17" s="1"/>
  <c r="Q239" i="17"/>
  <c r="L348" i="17"/>
  <c r="M348" i="17" s="1"/>
  <c r="M349" i="17"/>
  <c r="K235" i="17"/>
  <c r="K237" i="17"/>
  <c r="K238" i="17"/>
  <c r="L89" i="17"/>
  <c r="AP216" i="17"/>
  <c r="M193" i="17"/>
  <c r="AP218" i="17"/>
  <c r="AO216" i="17"/>
  <c r="AO203" i="17"/>
  <c r="AP202" i="17"/>
  <c r="AP176" i="17"/>
  <c r="AP133" i="17"/>
  <c r="AP119" i="17"/>
  <c r="AO105" i="17"/>
  <c r="AP62" i="17"/>
  <c r="B51" i="17"/>
  <c r="D50" i="17"/>
  <c r="AO218" i="17"/>
  <c r="AP162" i="17"/>
  <c r="AO92" i="17"/>
  <c r="AO91" i="17"/>
  <c r="O232" i="17"/>
  <c r="G67" i="17"/>
  <c r="G68" i="17" s="1"/>
  <c r="O180" i="17"/>
  <c r="G65" i="17" s="1"/>
  <c r="G66" i="17" s="1"/>
  <c r="O128" i="17"/>
  <c r="G63" i="17" s="1"/>
  <c r="G64" i="17" s="1"/>
  <c r="O76" i="17"/>
  <c r="G61" i="17" s="1"/>
  <c r="G62" i="17" s="1"/>
  <c r="M479" i="17"/>
  <c r="L477" i="17" s="1"/>
  <c r="P479" i="17"/>
  <c r="Q479" i="17"/>
  <c r="M427" i="17"/>
  <c r="L425" i="17" s="1"/>
  <c r="P427" i="17"/>
  <c r="Q427" i="17" s="1"/>
  <c r="M63" i="17"/>
  <c r="L61" i="17" s="1"/>
  <c r="P63" i="17"/>
  <c r="Q63" i="17" s="1"/>
  <c r="Q4" i="17"/>
  <c r="P7" i="17"/>
  <c r="Q7" i="17" s="1"/>
  <c r="M583" i="17"/>
  <c r="L581" i="17" s="1"/>
  <c r="P583" i="17"/>
  <c r="Q583" i="17" s="1"/>
  <c r="P531" i="17"/>
  <c r="Q531" i="17" s="1"/>
  <c r="M531" i="17"/>
  <c r="L529" i="17" s="1"/>
  <c r="M167" i="17"/>
  <c r="L165" i="17" s="1"/>
  <c r="P167" i="17"/>
  <c r="Q167" i="17" s="1"/>
  <c r="P115" i="17"/>
  <c r="Q115" i="17" s="1"/>
  <c r="M115" i="17"/>
  <c r="L113" i="17" s="1"/>
  <c r="V7" i="17"/>
  <c r="AD4" i="17"/>
  <c r="AO34" i="17"/>
  <c r="M7" i="17"/>
  <c r="M687" i="17"/>
  <c r="L685" i="17" s="1"/>
  <c r="P687" i="17"/>
  <c r="Q687" i="17" s="1"/>
  <c r="M635" i="17"/>
  <c r="L633" i="17" s="1"/>
  <c r="P635" i="17"/>
  <c r="Q635" i="17" s="1"/>
  <c r="M271" i="17"/>
  <c r="L269" i="17"/>
  <c r="P271" i="17"/>
  <c r="Q271" i="17" s="1"/>
  <c r="M219" i="17"/>
  <c r="L217" i="17" s="1"/>
  <c r="P219" i="17"/>
  <c r="Q219" i="17" s="1"/>
  <c r="P118" i="17"/>
  <c r="Q118" i="17"/>
  <c r="M791" i="17"/>
  <c r="L789" i="17" s="1"/>
  <c r="M789" i="17" s="1"/>
  <c r="P791" i="17"/>
  <c r="Q791" i="17" s="1"/>
  <c r="P739" i="17"/>
  <c r="Q739" i="17"/>
  <c r="M739" i="17"/>
  <c r="L737" i="17" s="1"/>
  <c r="M375" i="17"/>
  <c r="L373" i="17" s="1"/>
  <c r="X372" i="17" s="1"/>
  <c r="P375" i="17"/>
  <c r="Q375" i="17" s="1"/>
  <c r="P323" i="17"/>
  <c r="Q323" i="17" s="1"/>
  <c r="M323" i="17"/>
  <c r="L321" i="17" s="1"/>
  <c r="AB4" i="17"/>
  <c r="T7" i="17"/>
  <c r="L75" i="11"/>
  <c r="M75" i="11" s="1"/>
  <c r="O31" i="11"/>
  <c r="L50" i="11"/>
  <c r="P53" i="11" s="1"/>
  <c r="D18" i="11"/>
  <c r="L11" i="11"/>
  <c r="P11" i="11" s="1"/>
  <c r="Q11" i="11" s="1"/>
  <c r="AI39" i="10"/>
  <c r="C13" i="10" s="1"/>
  <c r="AO3" i="10"/>
  <c r="AI38" i="10"/>
  <c r="C12" i="10" s="1"/>
  <c r="M37" i="9"/>
  <c r="K694" i="17"/>
  <c r="K695" i="17" s="1"/>
  <c r="K639" i="17"/>
  <c r="K640" i="17"/>
  <c r="K486" i="17"/>
  <c r="K487" i="17" s="1"/>
  <c r="K431" i="17"/>
  <c r="K432" i="17" s="1"/>
  <c r="K278" i="17"/>
  <c r="K279" i="17" s="1"/>
  <c r="K223" i="17"/>
  <c r="K224" i="17" s="1"/>
  <c r="B66" i="17"/>
  <c r="C64" i="17"/>
  <c r="K70" i="17"/>
  <c r="K71" i="17" s="1"/>
  <c r="AQ4" i="17"/>
  <c r="U6" i="17"/>
  <c r="S6" i="17"/>
  <c r="S7" i="17" s="1"/>
  <c r="AD2" i="17"/>
  <c r="AK2" i="17" s="1"/>
  <c r="AB2" i="17"/>
  <c r="AI2" i="17" s="1"/>
  <c r="Q22" i="11"/>
  <c r="O24" i="11"/>
  <c r="G16" i="11" s="1"/>
  <c r="G17" i="11" s="1"/>
  <c r="G18" i="11" s="1"/>
  <c r="O28" i="11"/>
  <c r="G19" i="10"/>
  <c r="E19" i="10"/>
  <c r="B19" i="11"/>
  <c r="P2" i="11"/>
  <c r="P41" i="11"/>
  <c r="N37" i="10"/>
  <c r="F19" i="10"/>
  <c r="AA3" i="10"/>
  <c r="AH3" i="10" s="1"/>
  <c r="AN3" i="10" s="1"/>
  <c r="T7" i="10"/>
  <c r="AI3" i="9"/>
  <c r="AO3" i="9"/>
  <c r="AO4" i="17"/>
  <c r="M76" i="11"/>
  <c r="O30" i="11"/>
  <c r="O36" i="11" s="1"/>
  <c r="H19" i="10"/>
  <c r="AP3" i="10"/>
  <c r="C19" i="10"/>
  <c r="Q3" i="10"/>
  <c r="C20" i="10"/>
  <c r="AC4" i="10"/>
  <c r="AJ4" i="10" s="1"/>
  <c r="AP4" i="10" s="1"/>
  <c r="AV4" i="10" s="1"/>
  <c r="V7" i="10"/>
  <c r="AW3" i="9"/>
  <c r="K12" i="11"/>
  <c r="AK3" i="9"/>
  <c r="P3" i="9"/>
  <c r="P5" i="9" s="1"/>
  <c r="C21" i="13"/>
  <c r="P3" i="13"/>
  <c r="V37" i="13" s="1"/>
  <c r="C20" i="13"/>
  <c r="Q2" i="13"/>
  <c r="P7" i="13"/>
  <c r="Q22" i="14"/>
  <c r="L18" i="10"/>
  <c r="L19" i="10"/>
  <c r="O6" i="9"/>
  <c r="AA2" i="9"/>
  <c r="AH2" i="9" s="1"/>
  <c r="AN2" i="9" s="1"/>
  <c r="AT2" i="9" s="1"/>
  <c r="S6" i="9"/>
  <c r="S43" i="11"/>
  <c r="S45" i="11" s="1"/>
  <c r="S73" i="11" s="1"/>
  <c r="P30" i="10"/>
  <c r="P36" i="10" s="1"/>
  <c r="O32" i="9"/>
  <c r="C18" i="9"/>
  <c r="AH3" i="9"/>
  <c r="AN3" i="9"/>
  <c r="AC2" i="9"/>
  <c r="AJ2" i="9" s="1"/>
  <c r="AP2" i="9"/>
  <c r="AV2" i="9" s="1"/>
  <c r="U6" i="9"/>
  <c r="G20" i="13"/>
  <c r="F20" i="13"/>
  <c r="P46" i="14"/>
  <c r="Q43" i="14"/>
  <c r="Q4" i="14"/>
  <c r="U43" i="11"/>
  <c r="U45" i="11" s="1"/>
  <c r="P28" i="10"/>
  <c r="P29" i="10" s="1"/>
  <c r="V7" i="9"/>
  <c r="B15" i="9"/>
  <c r="B16" i="9" s="1"/>
  <c r="M37" i="13"/>
  <c r="Q61" i="14"/>
  <c r="O11" i="12"/>
  <c r="N9" i="12" s="1"/>
  <c r="N36" i="12"/>
  <c r="O36" i="12"/>
  <c r="R11" i="12"/>
  <c r="S11" i="12" s="1"/>
  <c r="O32" i="13"/>
  <c r="O30" i="13"/>
  <c r="O36" i="13" s="1"/>
  <c r="O28" i="13"/>
  <c r="O29" i="13" s="1"/>
  <c r="O7" i="13"/>
  <c r="O46" i="14"/>
  <c r="O32" i="14"/>
  <c r="O28" i="14"/>
  <c r="AA4" i="14"/>
  <c r="AH4" i="14" s="1"/>
  <c r="W75" i="16"/>
  <c r="M67" i="12"/>
  <c r="M63" i="12"/>
  <c r="M66" i="12" s="1"/>
  <c r="B20" i="13"/>
  <c r="O7" i="14"/>
  <c r="AD4" i="14"/>
  <c r="AK4" i="14" s="1"/>
  <c r="S79" i="16"/>
  <c r="T79" i="16" s="1"/>
  <c r="U79" i="16" s="1"/>
  <c r="W71" i="16"/>
  <c r="W29" i="16"/>
  <c r="W33" i="16"/>
  <c r="W46" i="12"/>
  <c r="AD43" i="12"/>
  <c r="AK43" i="12" s="1"/>
  <c r="R46" i="12"/>
  <c r="S41" i="12"/>
  <c r="Q6" i="12"/>
  <c r="Q7" i="12"/>
  <c r="M76" i="8"/>
  <c r="M37" i="8"/>
  <c r="Q70" i="12"/>
  <c r="M68" i="12"/>
  <c r="S61" i="12"/>
  <c r="AD41" i="12"/>
  <c r="AK41" i="12" s="1"/>
  <c r="Q36" i="12"/>
  <c r="M28" i="12"/>
  <c r="M55" i="12"/>
  <c r="R14" i="12"/>
  <c r="S14" i="12"/>
  <c r="Q24" i="12"/>
  <c r="G19" i="12" s="1"/>
  <c r="G20" i="12" s="1"/>
  <c r="Q28" i="12"/>
  <c r="Q32" i="12"/>
  <c r="M19" i="12"/>
  <c r="Q66" i="12"/>
  <c r="U45" i="12"/>
  <c r="AB41" i="12"/>
  <c r="AI41" i="12"/>
  <c r="M58" i="12"/>
  <c r="R44" i="12"/>
  <c r="S22" i="12"/>
  <c r="Y46" i="12"/>
  <c r="U49" i="12" s="1"/>
  <c r="U50" i="12" s="1"/>
  <c r="AD4" i="12"/>
  <c r="AK4" i="12" s="1"/>
  <c r="M29" i="12"/>
  <c r="M27" i="12"/>
  <c r="M30" i="12"/>
  <c r="Q63" i="12"/>
  <c r="G21" i="12" s="1"/>
  <c r="G22" i="12" s="1"/>
  <c r="R63" i="12" s="1"/>
  <c r="S63" i="12" s="1"/>
  <c r="S3" i="12"/>
  <c r="B19" i="12"/>
  <c r="B20" i="12" s="1"/>
  <c r="R2" i="12" s="1"/>
  <c r="S2" i="12" s="1"/>
  <c r="O29" i="8"/>
  <c r="E56" i="14"/>
  <c r="F112" i="15"/>
  <c r="I125" i="15"/>
  <c r="I127" i="15" s="1"/>
  <c r="P125" i="15"/>
  <c r="P166" i="15"/>
  <c r="E90" i="14"/>
  <c r="I126" i="15"/>
  <c r="K169" i="15"/>
  <c r="K170" i="15" s="1"/>
  <c r="P162" i="15"/>
  <c r="Q162" i="15"/>
  <c r="J127" i="15"/>
  <c r="Q125" i="15"/>
  <c r="Q126" i="15"/>
  <c r="Q127" i="15" s="1"/>
  <c r="F153" i="15"/>
  <c r="N146" i="15"/>
  <c r="Q146" i="15" s="1"/>
  <c r="T146" i="15" s="1"/>
  <c r="P161" i="15"/>
  <c r="P160" i="15"/>
  <c r="E50" i="15"/>
  <c r="I52" i="15"/>
  <c r="I48" i="15"/>
  <c r="R139" i="15"/>
  <c r="R137" i="15"/>
  <c r="R135" i="15"/>
  <c r="R133" i="15"/>
  <c r="R131" i="15"/>
  <c r="U7" i="15"/>
  <c r="L9" i="14"/>
  <c r="AA42" i="8"/>
  <c r="AH42" i="8"/>
  <c r="O307" i="20"/>
  <c r="O308" i="20"/>
  <c r="AA41" i="8"/>
  <c r="AH41" i="8" s="1"/>
  <c r="R45" i="12"/>
  <c r="N55" i="12" s="1"/>
  <c r="S44" i="12"/>
  <c r="Z41" i="11"/>
  <c r="AG41" i="11" s="1"/>
  <c r="P158" i="17"/>
  <c r="B68" i="17"/>
  <c r="AU3" i="10"/>
  <c r="AU39" i="10" s="1"/>
  <c r="AO39" i="10"/>
  <c r="M50" i="11"/>
  <c r="L48" i="11" s="1"/>
  <c r="M48" i="11" s="1"/>
  <c r="P50" i="11"/>
  <c r="Q50" i="11" s="1"/>
  <c r="AD5" i="17"/>
  <c r="AK4" i="17"/>
  <c r="Q122" i="20"/>
  <c r="Q148" i="20"/>
  <c r="Q7" i="20"/>
  <c r="V29" i="20"/>
  <c r="Y264" i="23"/>
  <c r="B12" i="23"/>
  <c r="AA47" i="23"/>
  <c r="AA86" i="23"/>
  <c r="AA125" i="23" s="1"/>
  <c r="AA164" i="23" s="1"/>
  <c r="AA203" i="23" s="1"/>
  <c r="AA242" i="23" s="1"/>
  <c r="AA281" i="23" s="1"/>
  <c r="H130" i="16"/>
  <c r="N58" i="12"/>
  <c r="O58" i="12" s="1"/>
  <c r="M69" i="12"/>
  <c r="AT3" i="9"/>
  <c r="AA4" i="9"/>
  <c r="AH4" i="9" s="1"/>
  <c r="AN4" i="9" s="1"/>
  <c r="AT4" i="9" s="1"/>
  <c r="S7" i="9"/>
  <c r="Q5" i="9"/>
  <c r="Q53" i="11"/>
  <c r="AA4" i="17"/>
  <c r="AH4" i="17" s="1"/>
  <c r="M373" i="17"/>
  <c r="K241" i="17"/>
  <c r="P201" i="20"/>
  <c r="L207" i="20" s="1"/>
  <c r="M207" i="20" s="1"/>
  <c r="Q200" i="20"/>
  <c r="K762" i="17"/>
  <c r="K761" i="17"/>
  <c r="K218" i="20"/>
  <c r="AB41" i="8"/>
  <c r="AI41" i="8" s="1"/>
  <c r="AB41" i="11"/>
  <c r="AI41" i="11" s="1"/>
  <c r="R3" i="10"/>
  <c r="Q5" i="10"/>
  <c r="R5" i="10" s="1"/>
  <c r="AV3" i="10"/>
  <c r="P46" i="11"/>
  <c r="Q41" i="11"/>
  <c r="AC4" i="17"/>
  <c r="U7" i="17"/>
  <c r="P14" i="11"/>
  <c r="Q14" i="11" s="1"/>
  <c r="X320" i="17"/>
  <c r="M321" i="17"/>
  <c r="X268" i="17"/>
  <c r="M269" i="17"/>
  <c r="X164" i="17"/>
  <c r="AF165" i="17" s="1"/>
  <c r="M165" i="17"/>
  <c r="X580" i="17"/>
  <c r="AF581" i="17" s="1"/>
  <c r="M581" i="17"/>
  <c r="Q202" i="20"/>
  <c r="K657" i="17"/>
  <c r="L712" i="17"/>
  <c r="M712" i="17" s="1"/>
  <c r="M714" i="17"/>
  <c r="AA48" i="20"/>
  <c r="AA87" i="20" s="1"/>
  <c r="AA126" i="20" s="1"/>
  <c r="AA165" i="20" s="1"/>
  <c r="AA204" i="20" s="1"/>
  <c r="AA243" i="20" s="1"/>
  <c r="AA282" i="20" s="1"/>
  <c r="B13" i="20"/>
  <c r="Q83" i="20"/>
  <c r="P240" i="20"/>
  <c r="Q239" i="20"/>
  <c r="AD41" i="8"/>
  <c r="AK41" i="8"/>
  <c r="W12" i="14"/>
  <c r="AF4" i="14" s="1"/>
  <c r="AA23" i="14" s="1"/>
  <c r="M9" i="14"/>
  <c r="U46" i="12"/>
  <c r="AB43" i="12"/>
  <c r="AI43" i="12" s="1"/>
  <c r="O55" i="12"/>
  <c r="Q77" i="12"/>
  <c r="Q76" i="12"/>
  <c r="P2" i="9"/>
  <c r="P7" i="9" s="1"/>
  <c r="V37" i="9" s="1"/>
  <c r="B18" i="9"/>
  <c r="B17" i="9"/>
  <c r="V76" i="14"/>
  <c r="Q46" i="14"/>
  <c r="U7" i="9"/>
  <c r="Q7" i="13"/>
  <c r="AU3" i="9"/>
  <c r="P7" i="11"/>
  <c r="Q2" i="11"/>
  <c r="AQ8" i="17"/>
  <c r="AQ7" i="17"/>
  <c r="AQ6" i="17"/>
  <c r="AI4" i="17"/>
  <c r="AB5" i="17"/>
  <c r="M113" i="17"/>
  <c r="X528" i="17"/>
  <c r="M529" i="17"/>
  <c r="L88" i="17"/>
  <c r="M88" i="17"/>
  <c r="M89" i="17"/>
  <c r="K67" i="20"/>
  <c r="S163" i="20"/>
  <c r="Y182" i="20"/>
  <c r="AA160" i="20"/>
  <c r="AH160" i="20"/>
  <c r="Y183" i="20"/>
  <c r="O29" i="20"/>
  <c r="M284" i="20"/>
  <c r="Q100" i="20"/>
  <c r="O310" i="20"/>
  <c r="O311" i="20"/>
  <c r="Q304" i="20"/>
  <c r="M401" i="17"/>
  <c r="L400" i="17"/>
  <c r="M400" i="17"/>
  <c r="M9" i="20"/>
  <c r="T4" i="20"/>
  <c r="AF4" i="20" s="1"/>
  <c r="L816" i="17"/>
  <c r="M816" i="17" s="1"/>
  <c r="K28" i="23"/>
  <c r="M271" i="23"/>
  <c r="AC5" i="17"/>
  <c r="AJ4" i="17"/>
  <c r="M73" i="12"/>
  <c r="K29" i="23"/>
  <c r="AU38" i="10"/>
  <c r="AT3" i="10"/>
  <c r="U70" i="12"/>
  <c r="U71" i="12"/>
  <c r="Q2" i="9"/>
  <c r="AF374" i="17"/>
  <c r="AB379" i="17" s="1"/>
  <c r="AI373" i="17" s="1"/>
  <c r="AF372" i="17"/>
  <c r="AF373" i="17"/>
  <c r="AA5" i="17"/>
  <c r="P210" i="17"/>
  <c r="B70" i="17"/>
  <c r="P163" i="17"/>
  <c r="Q163" i="17" s="1"/>
  <c r="Q158" i="17"/>
  <c r="N53" i="12"/>
  <c r="O53" i="12" s="1"/>
  <c r="S45" i="12"/>
  <c r="N56" i="12"/>
  <c r="N51" i="12"/>
  <c r="O51" i="12" s="1"/>
  <c r="N52" i="12"/>
  <c r="O52" i="12" s="1"/>
  <c r="K30" i="23"/>
  <c r="AF320" i="17"/>
  <c r="AF321" i="17"/>
  <c r="AF322" i="17"/>
  <c r="L208" i="20"/>
  <c r="P219" i="20"/>
  <c r="Q219" i="20" s="1"/>
  <c r="P215" i="20" s="1"/>
  <c r="Q215" i="20" s="1"/>
  <c r="P6" i="9"/>
  <c r="U74" i="11"/>
  <c r="AA325" i="17"/>
  <c r="AH319" i="17"/>
  <c r="AA326" i="17"/>
  <c r="AH320" i="17"/>
  <c r="AD325" i="17"/>
  <c r="AK319" i="17" s="1"/>
  <c r="AD326" i="17"/>
  <c r="AK320" i="17" s="1"/>
  <c r="L200" i="20"/>
  <c r="M200" i="20" s="1"/>
  <c r="AA21" i="14"/>
  <c r="P262" i="17"/>
  <c r="Q262" i="17" s="1"/>
  <c r="B72" i="17"/>
  <c r="P314" i="17" s="1"/>
  <c r="P319" i="17" s="1"/>
  <c r="AA327" i="17"/>
  <c r="AH321" i="17"/>
  <c r="AD327" i="17"/>
  <c r="AK321" i="17" s="1"/>
  <c r="P215" i="17"/>
  <c r="Q215" i="17" s="1"/>
  <c r="Q210" i="17"/>
  <c r="Q7" i="9"/>
  <c r="Q36" i="8"/>
  <c r="Q77" i="8"/>
  <c r="Q38" i="8"/>
  <c r="H16" i="8"/>
  <c r="I16" i="8" s="1"/>
  <c r="AJ73" i="17"/>
  <c r="AJ74" i="17"/>
  <c r="AI73" i="17"/>
  <c r="AI74" i="17"/>
  <c r="AH294" i="23"/>
  <c r="AI293" i="23" s="1"/>
  <c r="AH295" i="23"/>
  <c r="AK73" i="17"/>
  <c r="AK74" i="17"/>
  <c r="AH256" i="23"/>
  <c r="AH255" i="23"/>
  <c r="AI254" i="23" s="1"/>
  <c r="AH217" i="23"/>
  <c r="AH216" i="23"/>
  <c r="AI215" i="23" s="1"/>
  <c r="AH177" i="23"/>
  <c r="AI176" i="23" s="1"/>
  <c r="AH178" i="23"/>
  <c r="AK125" i="17"/>
  <c r="AK126" i="17"/>
  <c r="AJ125" i="17"/>
  <c r="AJ126" i="17"/>
  <c r="AH125" i="17"/>
  <c r="AH126" i="17"/>
  <c r="AI125" i="17"/>
  <c r="AI126" i="17"/>
  <c r="AJ177" i="17"/>
  <c r="AJ178" i="17"/>
  <c r="AH177" i="17"/>
  <c r="AL176" i="17" s="1"/>
  <c r="AH178" i="17"/>
  <c r="AI177" i="17"/>
  <c r="AI178" i="17"/>
  <c r="AK177" i="17"/>
  <c r="AK178" i="17"/>
  <c r="AH229" i="17"/>
  <c r="AL228" i="17" s="1"/>
  <c r="AH230" i="17"/>
  <c r="AK230" i="17"/>
  <c r="AK229" i="17"/>
  <c r="AI229" i="17"/>
  <c r="AI230" i="17"/>
  <c r="AJ229" i="17"/>
  <c r="AJ230" i="17"/>
  <c r="AI22" i="14"/>
  <c r="AI21" i="14"/>
  <c r="AH281" i="17"/>
  <c r="AH282" i="17"/>
  <c r="AJ281" i="17"/>
  <c r="AJ282" i="17"/>
  <c r="AK281" i="17"/>
  <c r="AK282" i="17"/>
  <c r="AH333" i="17"/>
  <c r="AH334" i="17"/>
  <c r="AI333" i="17"/>
  <c r="AI334" i="17"/>
  <c r="AK333" i="17"/>
  <c r="AK334" i="17"/>
  <c r="AJ333" i="17"/>
  <c r="AL332" i="17" s="1"/>
  <c r="AJ334" i="17"/>
  <c r="AJ385" i="17"/>
  <c r="AL384" i="17" s="1"/>
  <c r="AJ386" i="17"/>
  <c r="AH385" i="17"/>
  <c r="AH386" i="17"/>
  <c r="AK385" i="17"/>
  <c r="AK386" i="17"/>
  <c r="AI39" i="14"/>
  <c r="AI38" i="14"/>
  <c r="C8" i="14" s="1"/>
  <c r="AI385" i="17"/>
  <c r="AI386" i="17"/>
  <c r="AK437" i="17"/>
  <c r="AK438" i="17"/>
  <c r="AJ437" i="17"/>
  <c r="AJ438" i="17"/>
  <c r="AH437" i="17"/>
  <c r="AH438" i="17"/>
  <c r="AI437" i="17"/>
  <c r="AI438" i="17"/>
  <c r="AK489" i="17"/>
  <c r="AK490" i="17"/>
  <c r="AJ489" i="17"/>
  <c r="AJ490" i="17"/>
  <c r="AI489" i="17"/>
  <c r="AI490" i="17"/>
  <c r="AH489" i="17"/>
  <c r="AH490" i="17"/>
  <c r="AJ541" i="17"/>
  <c r="AJ542" i="17"/>
  <c r="AK541" i="17"/>
  <c r="AK542" i="17"/>
  <c r="AH541" i="17"/>
  <c r="AH542" i="17"/>
  <c r="AH312" i="23"/>
  <c r="AH311" i="23"/>
  <c r="C32" i="23" s="1"/>
  <c r="AH593" i="17"/>
  <c r="AH594" i="17"/>
  <c r="AK593" i="17"/>
  <c r="AK594" i="17"/>
  <c r="AU21" i="10"/>
  <c r="AH645" i="17"/>
  <c r="AH646" i="17"/>
  <c r="AI310" i="23"/>
  <c r="AO21" i="10"/>
  <c r="AJ645" i="17"/>
  <c r="AJ646" i="17"/>
  <c r="AH234" i="23"/>
  <c r="AH233" i="23"/>
  <c r="AH272" i="23"/>
  <c r="AK646" i="17"/>
  <c r="AI21" i="10"/>
  <c r="AJ593" i="17"/>
  <c r="AJ594" i="17"/>
  <c r="AO38" i="10"/>
  <c r="AI594" i="17"/>
  <c r="AI593" i="17"/>
  <c r="AH195" i="23"/>
  <c r="AH194" i="23"/>
  <c r="AI193" i="23" s="1"/>
  <c r="AH697" i="17"/>
  <c r="AH698" i="17"/>
  <c r="AI698" i="17"/>
  <c r="AI697" i="17"/>
  <c r="AJ697" i="17"/>
  <c r="AJ698" i="17"/>
  <c r="C29" i="23"/>
  <c r="C30" i="23"/>
  <c r="AI232" i="23"/>
  <c r="AJ801" i="17"/>
  <c r="AJ802" i="17"/>
  <c r="AH749" i="17"/>
  <c r="AH750" i="17"/>
  <c r="AI749" i="17"/>
  <c r="AI750" i="17"/>
  <c r="AJ749" i="17"/>
  <c r="AJ750" i="17"/>
  <c r="AH802" i="17"/>
  <c r="AH801" i="17"/>
  <c r="AK801" i="17"/>
  <c r="AK802" i="17"/>
  <c r="AK749" i="17"/>
  <c r="AK750" i="17"/>
  <c r="AI22" i="17"/>
  <c r="AI21" i="17"/>
  <c r="AK21" i="17"/>
  <c r="AK22" i="17"/>
  <c r="AK38" i="17"/>
  <c r="F93" i="17" s="1"/>
  <c r="AK39" i="17"/>
  <c r="AJ91" i="17"/>
  <c r="AJ90" i="17"/>
  <c r="E94" i="17" s="1"/>
  <c r="AI38" i="17"/>
  <c r="D93" i="17" s="1"/>
  <c r="AI39" i="17"/>
  <c r="AK91" i="17"/>
  <c r="AK90" i="17"/>
  <c r="F94" i="17" s="1"/>
  <c r="AI91" i="17"/>
  <c r="AI90" i="17"/>
  <c r="D94" i="17"/>
  <c r="AI143" i="17"/>
  <c r="AI142" i="17"/>
  <c r="D95" i="17" s="1"/>
  <c r="H95" i="17" s="1"/>
  <c r="AK143" i="17"/>
  <c r="AK142" i="17"/>
  <c r="F95" i="17" s="1"/>
  <c r="AJ143" i="17"/>
  <c r="AJ142" i="17"/>
  <c r="E95" i="17"/>
  <c r="AJ195" i="17"/>
  <c r="AJ194" i="17"/>
  <c r="E96" i="17"/>
  <c r="AK195" i="17"/>
  <c r="AK194" i="17"/>
  <c r="F96" i="17" s="1"/>
  <c r="AI195" i="17"/>
  <c r="AI194" i="17"/>
  <c r="D96" i="17" s="1"/>
  <c r="AK247" i="17"/>
  <c r="AK246" i="17"/>
  <c r="F97" i="17"/>
  <c r="AI247" i="17"/>
  <c r="AI246" i="17"/>
  <c r="D97" i="17" s="1"/>
  <c r="H97" i="17" s="1"/>
  <c r="AH143" i="17"/>
  <c r="AH142" i="17"/>
  <c r="AJ247" i="17"/>
  <c r="AJ246" i="17"/>
  <c r="E97" i="17" s="1"/>
  <c r="AH247" i="17"/>
  <c r="AH246" i="17"/>
  <c r="AK299" i="17"/>
  <c r="AK298" i="17"/>
  <c r="F98" i="17" s="1"/>
  <c r="AJ298" i="17"/>
  <c r="E98" i="17" s="1"/>
  <c r="AJ299" i="17"/>
  <c r="C95" i="17"/>
  <c r="AH299" i="17"/>
  <c r="AH298" i="17"/>
  <c r="C97" i="17"/>
  <c r="AK351" i="17"/>
  <c r="AK350" i="17"/>
  <c r="F99" i="17" s="1"/>
  <c r="AH351" i="17"/>
  <c r="AH350" i="17"/>
  <c r="AK403" i="17"/>
  <c r="AK402" i="17"/>
  <c r="F100" i="17" s="1"/>
  <c r="AJ351" i="17"/>
  <c r="AJ350" i="17"/>
  <c r="E99" i="17" s="1"/>
  <c r="AI351" i="17"/>
  <c r="AI350" i="17"/>
  <c r="D99" i="17"/>
  <c r="AI402" i="17"/>
  <c r="D100" i="17"/>
  <c r="AI403" i="17"/>
  <c r="AH403" i="17"/>
  <c r="AH402" i="17"/>
  <c r="AJ402" i="17"/>
  <c r="E100" i="17" s="1"/>
  <c r="AJ403" i="17"/>
  <c r="AI454" i="17"/>
  <c r="D101" i="17" s="1"/>
  <c r="AI455" i="17"/>
  <c r="AK507" i="17"/>
  <c r="AK506" i="17"/>
  <c r="F102" i="17" s="1"/>
  <c r="C100" i="17"/>
  <c r="AK455" i="17"/>
  <c r="AK454" i="17"/>
  <c r="F101" i="17" s="1"/>
  <c r="AI506" i="17"/>
  <c r="D102" i="17" s="1"/>
  <c r="AI507" i="17"/>
  <c r="AH507" i="17"/>
  <c r="AH506" i="17"/>
  <c r="C102" i="17" s="1"/>
  <c r="AH455" i="17"/>
  <c r="AH454" i="17"/>
  <c r="AJ506" i="17"/>
  <c r="E102" i="17" s="1"/>
  <c r="AJ507" i="17"/>
  <c r="AJ454" i="17"/>
  <c r="E101" i="17"/>
  <c r="AJ455" i="17"/>
  <c r="AK559" i="17"/>
  <c r="AK558" i="17"/>
  <c r="F103" i="17" s="1"/>
  <c r="AH559" i="17"/>
  <c r="AH558" i="17"/>
  <c r="AJ558" i="17"/>
  <c r="AJ559" i="17"/>
  <c r="C101" i="17"/>
  <c r="AJ610" i="17"/>
  <c r="E104" i="17"/>
  <c r="AJ611" i="17"/>
  <c r="AK610" i="17"/>
  <c r="F104" i="17" s="1"/>
  <c r="AK611" i="17"/>
  <c r="AJ663" i="17"/>
  <c r="AJ662" i="17"/>
  <c r="E105" i="17" s="1"/>
  <c r="AI610" i="17"/>
  <c r="D104" i="17" s="1"/>
  <c r="AI611" i="17"/>
  <c r="AH611" i="17"/>
  <c r="AH610" i="17"/>
  <c r="C103" i="17"/>
  <c r="AH662" i="17"/>
  <c r="C105" i="17" s="1"/>
  <c r="AH663" i="17"/>
  <c r="AI714" i="17"/>
  <c r="D106" i="17" s="1"/>
  <c r="AI715" i="17"/>
  <c r="C104" i="17"/>
  <c r="AL609" i="17"/>
  <c r="AJ715" i="17"/>
  <c r="AJ714" i="17"/>
  <c r="E106" i="17" s="1"/>
  <c r="AJ767" i="17"/>
  <c r="AJ766" i="17"/>
  <c r="E107" i="17" s="1"/>
  <c r="AK767" i="17"/>
  <c r="AK766" i="17"/>
  <c r="F107" i="17" s="1"/>
  <c r="AH714" i="17"/>
  <c r="C106" i="17" s="1"/>
  <c r="AH715" i="17"/>
  <c r="AJ819" i="17"/>
  <c r="AJ818" i="17"/>
  <c r="E108" i="17"/>
  <c r="AH766" i="17"/>
  <c r="AL765" i="17" s="1"/>
  <c r="AH767" i="17"/>
  <c r="AI766" i="17"/>
  <c r="D107" i="17" s="1"/>
  <c r="AI767" i="17"/>
  <c r="AH818" i="17"/>
  <c r="AH819" i="17"/>
  <c r="AK819" i="17"/>
  <c r="AK818" i="17"/>
  <c r="F108" i="17" s="1"/>
  <c r="C108" i="17"/>
  <c r="W52" i="5"/>
  <c r="V52" i="5"/>
  <c r="U52" i="5"/>
  <c r="T52" i="5"/>
  <c r="T47" i="5"/>
  <c r="C25" i="5" s="1"/>
  <c r="C26" i="5"/>
  <c r="R3" i="5"/>
  <c r="P42" i="5"/>
  <c r="R42" i="5" s="1"/>
  <c r="AA82" i="5"/>
  <c r="AA87" i="5"/>
  <c r="AB82" i="5"/>
  <c r="AB87" i="5"/>
  <c r="AC82" i="5"/>
  <c r="AA91" i="5" s="1"/>
  <c r="AB80" i="5"/>
  <c r="AB95" i="5" s="1"/>
  <c r="AC80" i="5"/>
  <c r="AA99" i="5"/>
  <c r="AA80" i="5"/>
  <c r="AA95" i="5"/>
  <c r="D26" i="5"/>
  <c r="F26" i="5"/>
  <c r="W47" i="5"/>
  <c r="F25" i="5" s="1"/>
  <c r="E26" i="5"/>
  <c r="V47" i="5"/>
  <c r="E25" i="5" s="1"/>
  <c r="Q47" i="48"/>
  <c r="Q46" i="48"/>
  <c r="Q52" i="48"/>
  <c r="Q59" i="48"/>
  <c r="Q65" i="48"/>
  <c r="Q51" i="48"/>
  <c r="Q68" i="48"/>
  <c r="Q43" i="48"/>
  <c r="Q37" i="48"/>
  <c r="Q55" i="48"/>
  <c r="Q53" i="48"/>
  <c r="Q34" i="48"/>
  <c r="Q72" i="48"/>
  <c r="Q56" i="48"/>
  <c r="Q35" i="48"/>
  <c r="Q31" i="48"/>
  <c r="Q66" i="48"/>
  <c r="Q58" i="48"/>
  <c r="Q29" i="48"/>
  <c r="Q94" i="48" s="1"/>
  <c r="Q71" i="48"/>
  <c r="Q74" i="48"/>
  <c r="Q38" i="48"/>
  <c r="Q50" i="48"/>
  <c r="Q49" i="48"/>
  <c r="Q40" i="48"/>
  <c r="Q48" i="48"/>
  <c r="Q62" i="48"/>
  <c r="Q60" i="48"/>
  <c r="Q32" i="48"/>
  <c r="Q63" i="48"/>
  <c r="Q70" i="48"/>
  <c r="Q42" i="48"/>
  <c r="Q73" i="48"/>
  <c r="Q45" i="48"/>
  <c r="Q64" i="48"/>
  <c r="Q61" i="48"/>
  <c r="Q41" i="48"/>
  <c r="Q54" i="48"/>
  <c r="Q39" i="48"/>
  <c r="Q36" i="48"/>
  <c r="Q67" i="48"/>
  <c r="Q69" i="48"/>
  <c r="Q33" i="48"/>
  <c r="Q57" i="48"/>
  <c r="Q44" i="48"/>
  <c r="Q30" i="48"/>
  <c r="N75" i="48"/>
  <c r="P71" i="48" s="1"/>
  <c r="AA3" i="6"/>
  <c r="U4" i="6"/>
  <c r="U6" i="6" s="1"/>
  <c r="U7" i="6" s="1"/>
  <c r="V4" i="6"/>
  <c r="AD2" i="6" s="1"/>
  <c r="AK2" i="6" s="1"/>
  <c r="Q75" i="48"/>
  <c r="N94" i="48"/>
  <c r="P62" i="48"/>
  <c r="P40" i="48"/>
  <c r="P44" i="48"/>
  <c r="T4" i="6"/>
  <c r="AB2" i="6"/>
  <c r="AI2" i="6"/>
  <c r="S4" i="6"/>
  <c r="AA2" i="6" s="1"/>
  <c r="AH2" i="6" s="1"/>
  <c r="K18" i="6"/>
  <c r="K19" i="6" s="1"/>
  <c r="P29" i="48"/>
  <c r="P75" i="48" s="1"/>
  <c r="P73" i="48"/>
  <c r="P64" i="48"/>
  <c r="P70" i="48"/>
  <c r="P67" i="48"/>
  <c r="P74" i="48"/>
  <c r="P57" i="48"/>
  <c r="P47" i="48"/>
  <c r="P34" i="48"/>
  <c r="P60" i="48"/>
  <c r="P94" i="48"/>
  <c r="P52" i="48"/>
  <c r="P41" i="48"/>
  <c r="P54" i="48"/>
  <c r="P35" i="48"/>
  <c r="P68" i="48"/>
  <c r="P31" i="48"/>
  <c r="P39" i="48"/>
  <c r="P63" i="48"/>
  <c r="P50" i="48"/>
  <c r="P46" i="48"/>
  <c r="P72" i="48"/>
  <c r="P66" i="48"/>
  <c r="P55" i="48"/>
  <c r="P7" i="5"/>
  <c r="P6" i="5"/>
  <c r="P28" i="5"/>
  <c r="P29" i="5" s="1"/>
  <c r="L22" i="5"/>
  <c r="M37" i="5"/>
  <c r="N37" i="5" s="1"/>
  <c r="O31" i="6"/>
  <c r="B20" i="6"/>
  <c r="O27" i="6"/>
  <c r="K22" i="6"/>
  <c r="K23" i="6" s="1"/>
  <c r="O6" i="6"/>
  <c r="O23" i="6"/>
  <c r="H17" i="6" s="1"/>
  <c r="H19" i="6" s="1"/>
  <c r="K12" i="6"/>
  <c r="F17" i="6" s="1"/>
  <c r="F18" i="6" s="1"/>
  <c r="P53" i="48"/>
  <c r="P69" i="48"/>
  <c r="K38" i="6"/>
  <c r="M38" i="6" s="1"/>
  <c r="W30" i="16"/>
  <c r="W31" i="16"/>
  <c r="AB43" i="8"/>
  <c r="V6" i="8"/>
  <c r="AD4" i="8"/>
  <c r="AK4" i="8" s="1"/>
  <c r="AF8" i="8"/>
  <c r="AC47" i="8"/>
  <c r="AF9" i="8"/>
  <c r="AC48" i="8"/>
  <c r="W46" i="8"/>
  <c r="S49" i="8" s="1"/>
  <c r="U43" i="8"/>
  <c r="U45" i="8" s="1"/>
  <c r="U6" i="8"/>
  <c r="U7" i="8"/>
  <c r="AD43" i="8"/>
  <c r="AI43" i="8"/>
  <c r="AB4" i="8"/>
  <c r="AC3" i="6"/>
  <c r="AJ3" i="6" s="1"/>
  <c r="W7" i="6"/>
  <c r="X7" i="6" s="1"/>
  <c r="E2" i="6"/>
  <c r="E19" i="6"/>
  <c r="B19" i="6"/>
  <c r="V7" i="8"/>
  <c r="AF47" i="8"/>
  <c r="AC4" i="8"/>
  <c r="AJ4" i="8" s="1"/>
  <c r="AC41" i="8"/>
  <c r="AJ41" i="8"/>
  <c r="AK43" i="8"/>
  <c r="AC15" i="8"/>
  <c r="AJ9" i="8" s="1"/>
  <c r="AA8" i="6"/>
  <c r="AA9" i="6"/>
  <c r="AA10" i="6"/>
  <c r="AB10" i="6"/>
  <c r="D19" i="6"/>
  <c r="L11" i="6"/>
  <c r="P11" i="6" s="1"/>
  <c r="O30" i="6"/>
  <c r="O36" i="6" s="1"/>
  <c r="O24" i="6"/>
  <c r="G17" i="6"/>
  <c r="G18" i="6" s="1"/>
  <c r="O32" i="6"/>
  <c r="O28" i="6"/>
  <c r="O29" i="6" s="1"/>
  <c r="P7" i="6"/>
  <c r="Q2" i="6"/>
  <c r="P3" i="6"/>
  <c r="C19" i="6"/>
  <c r="C20" i="6"/>
  <c r="C36" i="16"/>
  <c r="C35" i="16"/>
  <c r="Q7" i="6"/>
  <c r="V37" i="6"/>
  <c r="P14" i="6"/>
  <c r="Q14" i="6" s="1"/>
  <c r="L36" i="6"/>
  <c r="AA30" i="6" s="1"/>
  <c r="Q3" i="6"/>
  <c r="P5" i="6"/>
  <c r="Q5" i="6" s="1"/>
  <c r="Y4" i="16"/>
  <c r="T6" i="6"/>
  <c r="T7" i="6" s="1"/>
  <c r="O71" i="15"/>
  <c r="O67" i="15"/>
  <c r="O68" i="15"/>
  <c r="O74" i="15" s="1"/>
  <c r="K22" i="15"/>
  <c r="K15" i="15"/>
  <c r="K16" i="15" s="1"/>
  <c r="O6" i="15"/>
  <c r="K38" i="15"/>
  <c r="M38" i="15" s="1"/>
  <c r="K12" i="15"/>
  <c r="F19" i="15" s="1"/>
  <c r="F20" i="15" s="1"/>
  <c r="O23" i="15"/>
  <c r="H19" i="15" s="1"/>
  <c r="H20" i="15" s="1"/>
  <c r="AA2" i="15"/>
  <c r="AH2" i="15" s="1"/>
  <c r="G6" i="15"/>
  <c r="W46" i="15" s="1"/>
  <c r="S49" i="15" s="1"/>
  <c r="K77" i="15"/>
  <c r="M77" i="15" s="1"/>
  <c r="K57" i="15"/>
  <c r="K58" i="15" s="1"/>
  <c r="L58" i="15" s="1"/>
  <c r="M58" i="15" s="1"/>
  <c r="K61" i="15"/>
  <c r="K62" i="15"/>
  <c r="K63" i="15" s="1"/>
  <c r="K69" i="15" s="1"/>
  <c r="K54" i="15"/>
  <c r="K55" i="15" s="1"/>
  <c r="L55" i="15" s="1"/>
  <c r="M55" i="15" s="1"/>
  <c r="O46" i="15"/>
  <c r="O32" i="15"/>
  <c r="O28" i="15"/>
  <c r="O29" i="15" s="1"/>
  <c r="AB2" i="15"/>
  <c r="AI2" i="15" s="1"/>
  <c r="Z2" i="15"/>
  <c r="AG2" i="15" s="1"/>
  <c r="P167" i="15"/>
  <c r="Q167" i="15"/>
  <c r="P154" i="15"/>
  <c r="P155" i="15" s="1"/>
  <c r="P163" i="15"/>
  <c r="Q163" i="15"/>
  <c r="T145" i="15"/>
  <c r="R154" i="15"/>
  <c r="R153" i="15"/>
  <c r="S145" i="15"/>
  <c r="R132" i="15"/>
  <c r="AC2" i="15"/>
  <c r="AJ2" i="15"/>
  <c r="V6" i="15"/>
  <c r="AC4" i="15" s="1"/>
  <c r="AJ4" i="15" s="1"/>
  <c r="M130" i="15"/>
  <c r="O130" i="15" s="1"/>
  <c r="R134" i="15"/>
  <c r="K18" i="15"/>
  <c r="O143" i="15"/>
  <c r="N147" i="15"/>
  <c r="Q147" i="15" s="1"/>
  <c r="N152" i="15"/>
  <c r="Q152" i="15" s="1"/>
  <c r="T152" i="15" s="1"/>
  <c r="S143" i="15"/>
  <c r="V7" i="15"/>
  <c r="K19" i="15"/>
  <c r="S7" i="15"/>
  <c r="T7" i="15"/>
  <c r="Q49" i="15"/>
  <c r="C40" i="16"/>
  <c r="C41" i="16"/>
  <c r="X47" i="16"/>
  <c r="X50" i="16" s="1"/>
  <c r="Y45" i="16"/>
  <c r="S43" i="15"/>
  <c r="Z41" i="15" s="1"/>
  <c r="AG41" i="15"/>
  <c r="AG3" i="15"/>
  <c r="Z4" i="15"/>
  <c r="AG4" i="15" s="1"/>
  <c r="C5" i="15"/>
  <c r="T43" i="15" s="1"/>
  <c r="T45" i="15" s="1"/>
  <c r="AA43" i="15" s="1"/>
  <c r="AH43" i="15" s="1"/>
  <c r="E5" i="15"/>
  <c r="V43" i="15"/>
  <c r="V45" i="15" s="1"/>
  <c r="U43" i="15"/>
  <c r="U45" i="15" s="1"/>
  <c r="AB43" i="15" s="1"/>
  <c r="AI43" i="15" s="1"/>
  <c r="G4" i="15"/>
  <c r="V5" i="15"/>
  <c r="AC3" i="15" s="1"/>
  <c r="U5" i="15"/>
  <c r="AB3" i="15" s="1"/>
  <c r="P61" i="15"/>
  <c r="Q61" i="15" s="1"/>
  <c r="P22" i="15"/>
  <c r="Q22" i="15" s="1"/>
  <c r="L46" i="15"/>
  <c r="M46" i="15" s="1"/>
  <c r="AG42" i="15"/>
  <c r="AI42" i="15"/>
  <c r="Q41" i="15"/>
  <c r="P46" i="15"/>
  <c r="V76" i="15" s="1"/>
  <c r="Q42" i="15"/>
  <c r="P44" i="15"/>
  <c r="P45" i="15" s="1"/>
  <c r="P62" i="15" s="1"/>
  <c r="P50" i="15"/>
  <c r="Q50" i="15" s="1"/>
  <c r="L75" i="15"/>
  <c r="M75" i="15" s="1"/>
  <c r="M50" i="15"/>
  <c r="L48" i="15" s="1"/>
  <c r="H6" i="15" s="1"/>
  <c r="P53" i="15"/>
  <c r="Q53" i="15" s="1"/>
  <c r="M11" i="15"/>
  <c r="L9" i="15"/>
  <c r="M9" i="15" s="1"/>
  <c r="L36" i="15"/>
  <c r="P14" i="15"/>
  <c r="Q14" i="15"/>
  <c r="P11" i="15"/>
  <c r="Q11" i="15" s="1"/>
  <c r="Q3" i="15"/>
  <c r="P5" i="15"/>
  <c r="Q5" i="15" s="1"/>
  <c r="O36" i="15"/>
  <c r="Q44" i="15"/>
  <c r="K68" i="15"/>
  <c r="L53" i="15"/>
  <c r="M53" i="15" s="1"/>
  <c r="AA4" i="15"/>
  <c r="AH4" i="15" s="1"/>
  <c r="AH3" i="15"/>
  <c r="S45" i="15"/>
  <c r="Z43" i="15" s="1"/>
  <c r="AG43" i="15" s="1"/>
  <c r="T46" i="15"/>
  <c r="AJ3" i="15"/>
  <c r="AN37" i="16"/>
  <c r="BD37" i="16"/>
  <c r="AQ37" i="16"/>
  <c r="BC37" i="16"/>
  <c r="AP37" i="16"/>
  <c r="BB37" i="16"/>
  <c r="BA37" i="16"/>
  <c r="AS40" i="16"/>
  <c r="AS37" i="16" s="1"/>
  <c r="S63" i="16"/>
  <c r="S69" i="16" s="1"/>
  <c r="W9" i="16"/>
  <c r="W34" i="16"/>
  <c r="AF45" i="16"/>
  <c r="AF47" i="16"/>
  <c r="W66" i="16"/>
  <c r="I38" i="16" s="1"/>
  <c r="I39" i="16" s="1"/>
  <c r="W25" i="16"/>
  <c r="I33" i="16" s="1"/>
  <c r="I34" i="16" s="1"/>
  <c r="AE45" i="16"/>
  <c r="AE47" i="16"/>
  <c r="AM46" i="16"/>
  <c r="AV44" i="16" s="1"/>
  <c r="AM5" i="16"/>
  <c r="AD2" i="5"/>
  <c r="AK2" i="5" s="1"/>
  <c r="N76" i="5"/>
  <c r="P67" i="5"/>
  <c r="P71" i="5"/>
  <c r="P70" i="5"/>
  <c r="AH4" i="16"/>
  <c r="AH6" i="16"/>
  <c r="AH7" i="16" s="1"/>
  <c r="AH45" i="16"/>
  <c r="AH47" i="16" s="1"/>
  <c r="AK45" i="16"/>
  <c r="AK47" i="16" s="1"/>
  <c r="AK48" i="16" s="1"/>
  <c r="H127" i="16"/>
  <c r="H131" i="16" s="1"/>
  <c r="AA4" i="16"/>
  <c r="AR2" i="16" s="1"/>
  <c r="AY2" i="16" s="1"/>
  <c r="AA6" i="16"/>
  <c r="AA7" i="16" s="1"/>
  <c r="AN98" i="16"/>
  <c r="AA45" i="16"/>
  <c r="AR43" i="16" s="1"/>
  <c r="AY43" i="16" s="1"/>
  <c r="AI45" i="16"/>
  <c r="AI47" i="16" s="1"/>
  <c r="AQ98" i="16"/>
  <c r="AU43" i="16"/>
  <c r="BB43" i="16"/>
  <c r="AC4" i="16"/>
  <c r="AT2" i="16" s="1"/>
  <c r="BA2" i="16"/>
  <c r="AP98" i="16"/>
  <c r="AC45" i="16"/>
  <c r="AT43" i="16" s="1"/>
  <c r="BA43" i="16" s="1"/>
  <c r="AO98" i="16"/>
  <c r="AS43" i="16"/>
  <c r="AZ43" i="16" s="1"/>
  <c r="AB5" i="16"/>
  <c r="AS3" i="16" s="1"/>
  <c r="AZ3" i="16" s="1"/>
  <c r="AL45" i="16"/>
  <c r="AL47" i="16"/>
  <c r="AL48" i="16"/>
  <c r="S53" i="16"/>
  <c r="G38" i="16" s="1"/>
  <c r="G39" i="16" s="1"/>
  <c r="M11" i="5"/>
  <c r="Q11" i="5"/>
  <c r="R11" i="5" s="1"/>
  <c r="H19" i="5"/>
  <c r="P27" i="5"/>
  <c r="L15" i="5"/>
  <c r="L16" i="5" s="1"/>
  <c r="L38" i="5"/>
  <c r="M38" i="5" s="1"/>
  <c r="P62" i="5"/>
  <c r="L18" i="5"/>
  <c r="L19" i="5" s="1"/>
  <c r="P31" i="5"/>
  <c r="W49" i="16"/>
  <c r="S15" i="16"/>
  <c r="S16" i="16"/>
  <c r="AA5" i="16"/>
  <c r="AR3" i="16" s="1"/>
  <c r="AY3" i="16" s="1"/>
  <c r="T6" i="5"/>
  <c r="T43" i="5"/>
  <c r="T45" i="5" s="1"/>
  <c r="U43" i="5"/>
  <c r="AC41" i="5" s="1"/>
  <c r="AJ41" i="5" s="1"/>
  <c r="U6" i="5"/>
  <c r="AC4" i="5" s="1"/>
  <c r="AJ4" i="5" s="1"/>
  <c r="AC2" i="5"/>
  <c r="AJ2" i="5" s="1"/>
  <c r="J5" i="16"/>
  <c r="AI4" i="16" s="1"/>
  <c r="AI6" i="16" s="1"/>
  <c r="AC6" i="16"/>
  <c r="AT4" i="16" s="1"/>
  <c r="BA4" i="16" s="1"/>
  <c r="AB48" i="16"/>
  <c r="AS45" i="16"/>
  <c r="AZ45" i="16" s="1"/>
  <c r="R5" i="5"/>
  <c r="R49" i="5"/>
  <c r="G19" i="5"/>
  <c r="R44" i="5"/>
  <c r="R61" i="5"/>
  <c r="P75" i="5"/>
  <c r="V6" i="5"/>
  <c r="AD4" i="5" s="1"/>
  <c r="AK4" i="5" s="1"/>
  <c r="V43" i="5"/>
  <c r="V45" i="5" s="1"/>
  <c r="K5" i="16"/>
  <c r="AJ4" i="16" s="1"/>
  <c r="AJ6" i="16" s="1"/>
  <c r="AJ45" i="16"/>
  <c r="AJ47" i="16" s="1"/>
  <c r="S18" i="16"/>
  <c r="S19" i="16" s="1"/>
  <c r="O6" i="16"/>
  <c r="O11" i="16" s="1"/>
  <c r="H61" i="16" s="1"/>
  <c r="S59" i="16"/>
  <c r="S60" i="16" s="1"/>
  <c r="W74" i="16"/>
  <c r="W70" i="16"/>
  <c r="W72" i="16" s="1"/>
  <c r="S56" i="16"/>
  <c r="S57" i="16"/>
  <c r="W79" i="16"/>
  <c r="T11" i="16"/>
  <c r="X13" i="16" s="1"/>
  <c r="Y13" i="16" s="1"/>
  <c r="E35" i="16"/>
  <c r="S22" i="16"/>
  <c r="S23" i="16" s="1"/>
  <c r="S12" i="16"/>
  <c r="G33" i="16" s="1"/>
  <c r="G34" i="16" s="1"/>
  <c r="W38" i="16"/>
  <c r="E40" i="16"/>
  <c r="T52" i="16"/>
  <c r="U52" i="16" s="1"/>
  <c r="T50" i="16" s="1"/>
  <c r="AN46" i="16" s="1"/>
  <c r="X46" i="16"/>
  <c r="D40" i="16"/>
  <c r="D41" i="16"/>
  <c r="H40" i="16"/>
  <c r="F40" i="16"/>
  <c r="S64" i="16"/>
  <c r="S68" i="16" s="1"/>
  <c r="S65" i="16"/>
  <c r="Y47" i="16"/>
  <c r="F35" i="16"/>
  <c r="H35" i="16"/>
  <c r="X5" i="16"/>
  <c r="D35" i="16"/>
  <c r="D36" i="16"/>
  <c r="Y6" i="16"/>
  <c r="X9" i="16"/>
  <c r="AM7" i="16"/>
  <c r="AD5" i="16"/>
  <c r="AU3" i="16" s="1"/>
  <c r="BB3" i="16" s="1"/>
  <c r="AG48" i="16"/>
  <c r="AG7" i="16"/>
  <c r="AF7" i="16"/>
  <c r="AF48" i="16"/>
  <c r="AE48" i="16"/>
  <c r="AE7" i="16"/>
  <c r="AU45" i="16"/>
  <c r="BB45" i="16" s="1"/>
  <c r="AD48" i="16"/>
  <c r="AD6" i="16"/>
  <c r="AD7" i="16" s="1"/>
  <c r="AU2" i="16"/>
  <c r="BB2" i="16"/>
  <c r="AC7" i="16"/>
  <c r="AS2" i="16"/>
  <c r="AZ2" i="16" s="1"/>
  <c r="AB6" i="16"/>
  <c r="AS4" i="16" s="1"/>
  <c r="AZ4" i="16" s="1"/>
  <c r="AD41" i="5"/>
  <c r="AK41" i="5" s="1"/>
  <c r="X54" i="16"/>
  <c r="Y54" i="16" s="1"/>
  <c r="T77" i="16"/>
  <c r="U77" i="16" s="1"/>
  <c r="X57" i="16"/>
  <c r="Y57" i="16" s="1"/>
  <c r="X7" i="16"/>
  <c r="X8" i="16" s="1"/>
  <c r="Y5" i="16"/>
  <c r="AU4" i="16"/>
  <c r="BB4" i="16" s="1"/>
  <c r="P68" i="5"/>
  <c r="E19" i="5"/>
  <c r="M50" i="5"/>
  <c r="Q50" i="5" s="1"/>
  <c r="N11" i="5"/>
  <c r="M9" i="5" s="1"/>
  <c r="Q14" i="5"/>
  <c r="R14" i="5" s="1"/>
  <c r="P32" i="5"/>
  <c r="AE4" i="5" l="1"/>
  <c r="AL4" i="5" s="1"/>
  <c r="W43" i="5"/>
  <c r="AE41" i="5" s="1"/>
  <c r="AL41" i="5" s="1"/>
  <c r="AE2" i="5"/>
  <c r="AL2" i="5" s="1"/>
  <c r="V9" i="12"/>
  <c r="V10" i="12" s="1"/>
  <c r="U11" i="12"/>
  <c r="K28" i="6"/>
  <c r="K24" i="6"/>
  <c r="K39" i="6"/>
  <c r="K27" i="6"/>
  <c r="K35" i="6"/>
  <c r="O33" i="6"/>
  <c r="O37" i="6"/>
  <c r="T16" i="16"/>
  <c r="U16" i="16" s="1"/>
  <c r="Y8" i="16"/>
  <c r="T14" i="16"/>
  <c r="T15" i="16" s="1"/>
  <c r="T13" i="16"/>
  <c r="T17" i="16"/>
  <c r="U17" i="16" s="1"/>
  <c r="X26" i="16"/>
  <c r="Y26" i="16" s="1"/>
  <c r="H4" i="6"/>
  <c r="G5" i="6" s="1"/>
  <c r="S10" i="6"/>
  <c r="S50" i="15"/>
  <c r="T48" i="15"/>
  <c r="T49" i="15" s="1"/>
  <c r="U48" i="15" s="1"/>
  <c r="H104" i="17"/>
  <c r="AB32" i="6"/>
  <c r="AC32" i="6"/>
  <c r="C16" i="15"/>
  <c r="C15" i="15"/>
  <c r="V46" i="15"/>
  <c r="AC43" i="15"/>
  <c r="AJ43" i="15" s="1"/>
  <c r="S50" i="8"/>
  <c r="T48" i="8"/>
  <c r="V77" i="15"/>
  <c r="AL245" i="17"/>
  <c r="L16" i="9"/>
  <c r="M16" i="9" s="1"/>
  <c r="L17" i="9"/>
  <c r="AD379" i="17"/>
  <c r="AK373" i="17" s="1"/>
  <c r="K307" i="20"/>
  <c r="K306" i="20"/>
  <c r="Q81" i="23"/>
  <c r="P83" i="23"/>
  <c r="D15" i="9"/>
  <c r="D16" i="9" s="1"/>
  <c r="K15" i="9"/>
  <c r="K16" i="9" s="1"/>
  <c r="K38" i="9"/>
  <c r="L38" i="9" s="1"/>
  <c r="M38" i="9" s="1"/>
  <c r="O23" i="9"/>
  <c r="H15" i="9" s="1"/>
  <c r="H16" i="9" s="1"/>
  <c r="K12" i="9"/>
  <c r="F15" i="9" s="1"/>
  <c r="F16" i="9" s="1"/>
  <c r="AB377" i="17"/>
  <c r="AF529" i="17"/>
  <c r="AF528" i="17"/>
  <c r="X736" i="17"/>
  <c r="M737" i="17"/>
  <c r="P85" i="20"/>
  <c r="Q80" i="20"/>
  <c r="P84" i="20"/>
  <c r="D38" i="20"/>
  <c r="D39" i="20" s="1"/>
  <c r="L128" i="20" s="1"/>
  <c r="K135" i="20"/>
  <c r="K136" i="20" s="1"/>
  <c r="K155" i="20"/>
  <c r="L155" i="20" s="1"/>
  <c r="M155" i="20" s="1"/>
  <c r="O140" i="20"/>
  <c r="H38" i="20" s="1"/>
  <c r="H39" i="20" s="1"/>
  <c r="O241" i="17"/>
  <c r="O243" i="17"/>
  <c r="R155" i="15"/>
  <c r="AB41" i="15"/>
  <c r="AI41" i="15" s="1"/>
  <c r="X76" i="12"/>
  <c r="O336" i="17"/>
  <c r="G71" i="17" s="1"/>
  <c r="G72" i="17" s="1"/>
  <c r="O340" i="17"/>
  <c r="O344" i="17"/>
  <c r="V423" i="17"/>
  <c r="AD420" i="17"/>
  <c r="U318" i="17"/>
  <c r="AC314" i="17"/>
  <c r="AJ314" i="17" s="1"/>
  <c r="AP88" i="17"/>
  <c r="U267" i="17"/>
  <c r="AC264" i="17"/>
  <c r="T162" i="17"/>
  <c r="AB158" i="17"/>
  <c r="AI158" i="17" s="1"/>
  <c r="AO46" i="17"/>
  <c r="S59" i="17"/>
  <c r="AA56" i="17"/>
  <c r="AC41" i="15"/>
  <c r="AJ41" i="15" s="1"/>
  <c r="M36" i="6"/>
  <c r="AK645" i="17"/>
  <c r="AO8" i="17"/>
  <c r="AO6" i="17"/>
  <c r="AO7" i="17"/>
  <c r="X424" i="17"/>
  <c r="M425" i="17"/>
  <c r="O124" i="20"/>
  <c r="Q124" i="20" s="1"/>
  <c r="K210" i="20"/>
  <c r="K211" i="20" s="1"/>
  <c r="L211" i="20" s="1"/>
  <c r="M211" i="20" s="1"/>
  <c r="L209" i="20"/>
  <c r="U579" i="17"/>
  <c r="AC576" i="17"/>
  <c r="S110" i="17"/>
  <c r="AA106" i="17"/>
  <c r="AH106" i="17" s="1"/>
  <c r="AN32" i="17"/>
  <c r="L251" i="20"/>
  <c r="L247" i="20"/>
  <c r="M247" i="20" s="1"/>
  <c r="AF270" i="17"/>
  <c r="AF268" i="17"/>
  <c r="AF269" i="17"/>
  <c r="Q119" i="20"/>
  <c r="Y66" i="23"/>
  <c r="Y65" i="23"/>
  <c r="AA43" i="23"/>
  <c r="AH43" i="23" s="1"/>
  <c r="O146" i="20"/>
  <c r="P89" i="20"/>
  <c r="Q89" i="20" s="1"/>
  <c r="M89" i="20"/>
  <c r="P92" i="20"/>
  <c r="Q92" i="20" s="1"/>
  <c r="AN202" i="17"/>
  <c r="AN203" i="17"/>
  <c r="AN204" i="17"/>
  <c r="AZ21" i="17"/>
  <c r="B46" i="17" s="1"/>
  <c r="D55" i="17" s="1"/>
  <c r="K25" i="17"/>
  <c r="O36" i="17" s="1"/>
  <c r="BA22" i="17"/>
  <c r="B47" i="17" s="1"/>
  <c r="Q23" i="12"/>
  <c r="H19" i="12" s="1"/>
  <c r="H20" i="12" s="1"/>
  <c r="Q31" i="12"/>
  <c r="Q37" i="12" s="1"/>
  <c r="W76" i="16"/>
  <c r="N50" i="5"/>
  <c r="M48" i="5" s="1"/>
  <c r="N48" i="5" s="1"/>
  <c r="Y7" i="16"/>
  <c r="U46" i="15"/>
  <c r="P6" i="6"/>
  <c r="AH194" i="17"/>
  <c r="Q201" i="20"/>
  <c r="L2" i="11"/>
  <c r="F16" i="11"/>
  <c r="F18" i="11" s="1"/>
  <c r="P5" i="23"/>
  <c r="M37" i="23"/>
  <c r="L36" i="23"/>
  <c r="M36" i="23" s="1"/>
  <c r="K210" i="23"/>
  <c r="K211" i="23" s="1"/>
  <c r="P238" i="20"/>
  <c r="Q238" i="20" s="1"/>
  <c r="O241" i="20"/>
  <c r="L87" i="20"/>
  <c r="O600" i="17"/>
  <c r="O604" i="17"/>
  <c r="O499" i="17"/>
  <c r="O495" i="17"/>
  <c r="AF166" i="17"/>
  <c r="AF164" i="17"/>
  <c r="K213" i="23"/>
  <c r="K214" i="23" s="1"/>
  <c r="O601" i="17"/>
  <c r="AB783" i="17"/>
  <c r="AI783" i="17" s="1"/>
  <c r="AO215" i="17"/>
  <c r="V7" i="5"/>
  <c r="L212" i="20"/>
  <c r="L213" i="20" s="1"/>
  <c r="M213" i="20" s="1"/>
  <c r="K219" i="20"/>
  <c r="K225" i="20" s="1"/>
  <c r="P123" i="20"/>
  <c r="L130" i="20" s="1"/>
  <c r="M130" i="20" s="1"/>
  <c r="M477" i="17"/>
  <c r="X476" i="17"/>
  <c r="M167" i="20"/>
  <c r="L165" i="20" s="1"/>
  <c r="P167" i="20"/>
  <c r="Q167" i="20" s="1"/>
  <c r="S46" i="23"/>
  <c r="P241" i="20"/>
  <c r="Q236" i="20"/>
  <c r="S46" i="20"/>
  <c r="Y65" i="20"/>
  <c r="AA43" i="20"/>
  <c r="AH43" i="20" s="1"/>
  <c r="L282" i="20"/>
  <c r="S422" i="17"/>
  <c r="AN116" i="17"/>
  <c r="AN118" i="17" s="1"/>
  <c r="AA418" i="17"/>
  <c r="AH418" i="17" s="1"/>
  <c r="K127" i="17"/>
  <c r="K132" i="17"/>
  <c r="AE107" i="17"/>
  <c r="AR33" i="17"/>
  <c r="X112" i="17"/>
  <c r="H100" i="17"/>
  <c r="AL141" i="17"/>
  <c r="L13" i="9"/>
  <c r="K447" i="17"/>
  <c r="K449" i="17"/>
  <c r="P284" i="20"/>
  <c r="P287" i="20"/>
  <c r="Q287" i="20" s="1"/>
  <c r="P278" i="20"/>
  <c r="Q276" i="20"/>
  <c r="AA47" i="16"/>
  <c r="B74" i="17"/>
  <c r="K68" i="20"/>
  <c r="O74" i="20"/>
  <c r="O73" i="20"/>
  <c r="B35" i="23"/>
  <c r="B36" i="23" s="1"/>
  <c r="P2" i="23" s="1"/>
  <c r="O7" i="23"/>
  <c r="O450" i="17"/>
  <c r="AB4" i="6"/>
  <c r="AI4" i="6" s="1"/>
  <c r="C107" i="17"/>
  <c r="H107" i="17" s="1"/>
  <c r="AK662" i="17"/>
  <c r="F105" i="17" s="1"/>
  <c r="V6" i="6"/>
  <c r="Q6" i="9"/>
  <c r="L241" i="23"/>
  <c r="M241" i="23" s="1"/>
  <c r="Q198" i="23"/>
  <c r="P200" i="23"/>
  <c r="M206" i="23"/>
  <c r="L204" i="23" s="1"/>
  <c r="P209" i="23"/>
  <c r="Q209" i="23" s="1"/>
  <c r="T4" i="23"/>
  <c r="AF4" i="23" s="1"/>
  <c r="M9" i="23"/>
  <c r="P256" i="20"/>
  <c r="Q256" i="20" s="1"/>
  <c r="Q603" i="17"/>
  <c r="L14" i="9"/>
  <c r="Q277" i="20"/>
  <c r="P280" i="20"/>
  <c r="AB369" i="17"/>
  <c r="AI368" i="17"/>
  <c r="AB7" i="16"/>
  <c r="AL436" i="17"/>
  <c r="Q206" i="20"/>
  <c r="V225" i="20"/>
  <c r="AC4" i="6"/>
  <c r="AJ4" i="6" s="1"/>
  <c r="AF48" i="8"/>
  <c r="AD54" i="8" s="1"/>
  <c r="S70" i="11"/>
  <c r="K304" i="20"/>
  <c r="O258" i="23"/>
  <c r="G47" i="23" s="1"/>
  <c r="G48" i="23" s="1"/>
  <c r="O262" i="23"/>
  <c r="AA158" i="23"/>
  <c r="AH158" i="23" s="1"/>
  <c r="S162" i="23"/>
  <c r="K27" i="23"/>
  <c r="P170" i="20"/>
  <c r="Q170" i="20" s="1"/>
  <c r="K55" i="20"/>
  <c r="T19" i="16"/>
  <c r="U19" i="16" s="1"/>
  <c r="AA41" i="15"/>
  <c r="AH41" i="15" s="1"/>
  <c r="L54" i="15"/>
  <c r="S6" i="6"/>
  <c r="S7" i="6" s="1"/>
  <c r="M11" i="6"/>
  <c r="L9" i="6" s="1"/>
  <c r="AC13" i="8"/>
  <c r="AJ7" i="8" s="1"/>
  <c r="P267" i="17"/>
  <c r="Q267" i="17" s="1"/>
  <c r="K33" i="23"/>
  <c r="X788" i="17"/>
  <c r="Q11" i="20"/>
  <c r="V30" i="20"/>
  <c r="P256" i="23"/>
  <c r="Q256" i="23" s="1"/>
  <c r="Q41" i="23"/>
  <c r="K171" i="23"/>
  <c r="K172" i="23" s="1"/>
  <c r="D43" i="23"/>
  <c r="D44" i="23" s="1"/>
  <c r="L167" i="23" s="1"/>
  <c r="K174" i="23"/>
  <c r="K175" i="23" s="1"/>
  <c r="Q205" i="20"/>
  <c r="V224" i="20"/>
  <c r="L94" i="20"/>
  <c r="M94" i="20" s="1"/>
  <c r="F54" i="17"/>
  <c r="F53" i="17"/>
  <c r="Q319" i="17"/>
  <c r="AB41" i="5"/>
  <c r="AI41" i="5" s="1"/>
  <c r="AL401" i="17"/>
  <c r="AL124" i="17"/>
  <c r="V146" i="20"/>
  <c r="O261" i="23"/>
  <c r="O265" i="23"/>
  <c r="Q265" i="23" s="1"/>
  <c r="M154" i="20"/>
  <c r="L153" i="20"/>
  <c r="M153" i="20" s="1"/>
  <c r="O101" i="20"/>
  <c r="H36" i="20" s="1"/>
  <c r="H37" i="20" s="1"/>
  <c r="P101" i="20" s="1"/>
  <c r="O109" i="20"/>
  <c r="O105" i="20"/>
  <c r="O107" i="20" s="1"/>
  <c r="K132" i="20"/>
  <c r="K133" i="20" s="1"/>
  <c r="AP189" i="17"/>
  <c r="AP188" i="17"/>
  <c r="AP190" i="17"/>
  <c r="AB629" i="17"/>
  <c r="AI628" i="17"/>
  <c r="K66" i="20"/>
  <c r="R7" i="12"/>
  <c r="O148" i="23"/>
  <c r="Q148" i="23" s="1"/>
  <c r="O305" i="23"/>
  <c r="O71" i="23"/>
  <c r="L163" i="23"/>
  <c r="M163" i="23" s="1"/>
  <c r="K55" i="23"/>
  <c r="P160" i="20"/>
  <c r="Q160" i="20" s="1"/>
  <c r="O734" i="17"/>
  <c r="O292" i="17"/>
  <c r="AC2" i="14"/>
  <c r="AJ2" i="14" s="1"/>
  <c r="U6" i="14"/>
  <c r="U7" i="14" s="1"/>
  <c r="K272" i="23"/>
  <c r="L272" i="23" s="1"/>
  <c r="M272" i="23" s="1"/>
  <c r="K194" i="23"/>
  <c r="L194" i="23" s="1"/>
  <c r="M194" i="23" s="1"/>
  <c r="O153" i="23"/>
  <c r="O759" i="17"/>
  <c r="O766" i="17" s="1"/>
  <c r="O240" i="17"/>
  <c r="AC3" i="9"/>
  <c r="W7" i="9"/>
  <c r="C85" i="15"/>
  <c r="G80" i="15"/>
  <c r="G37" i="658"/>
  <c r="K69" i="20"/>
  <c r="O106" i="23"/>
  <c r="P178" i="23"/>
  <c r="Q178" i="23" s="1"/>
  <c r="L46" i="23"/>
  <c r="M46" i="23" s="1"/>
  <c r="K610" i="17"/>
  <c r="L610" i="17" s="1"/>
  <c r="M610" i="17" s="1"/>
  <c r="Q55" i="17"/>
  <c r="C61" i="17"/>
  <c r="K380" i="17"/>
  <c r="K236" i="17"/>
  <c r="P586" i="17"/>
  <c r="Q586" i="17" s="1"/>
  <c r="F154" i="15"/>
  <c r="F155" i="15" s="1"/>
  <c r="O300" i="23"/>
  <c r="O187" i="23"/>
  <c r="K12" i="20"/>
  <c r="F32" i="20" s="1"/>
  <c r="F33" i="20" s="1"/>
  <c r="AA2" i="20"/>
  <c r="AH2" i="20" s="1"/>
  <c r="O242" i="17"/>
  <c r="AN174" i="17"/>
  <c r="AN176" i="17"/>
  <c r="AQ76" i="17"/>
  <c r="AQ78" i="17"/>
  <c r="O58" i="17"/>
  <c r="O59" i="17"/>
  <c r="B61" i="17"/>
  <c r="AN19" i="17"/>
  <c r="AS19" i="17" s="1"/>
  <c r="AA55" i="17"/>
  <c r="AH55" i="17" s="1"/>
  <c r="N144" i="15"/>
  <c r="Q144" i="15" s="1"/>
  <c r="T144" i="15" s="1"/>
  <c r="H49" i="15"/>
  <c r="E49" i="15" s="1"/>
  <c r="O7" i="15"/>
  <c r="B19" i="15"/>
  <c r="B20" i="15" s="1"/>
  <c r="P2" i="15" s="1"/>
  <c r="O45" i="8"/>
  <c r="O46" i="8"/>
  <c r="P5" i="8"/>
  <c r="O6" i="8"/>
  <c r="O179" i="23"/>
  <c r="H43" i="23" s="1"/>
  <c r="H44" i="23" s="1"/>
  <c r="O257" i="23"/>
  <c r="H47" i="23" s="1"/>
  <c r="H48" i="23" s="1"/>
  <c r="K116" i="20"/>
  <c r="L116" i="20" s="1"/>
  <c r="B12" i="20"/>
  <c r="O445" i="17"/>
  <c r="B87" i="17"/>
  <c r="L787" i="17"/>
  <c r="M787" i="17" s="1"/>
  <c r="K802" i="17"/>
  <c r="B71" i="17"/>
  <c r="O318" i="17"/>
  <c r="O319" i="17"/>
  <c r="K272" i="17"/>
  <c r="F69" i="17" s="1"/>
  <c r="F70" i="17" s="1"/>
  <c r="K282" i="17"/>
  <c r="AB263" i="17"/>
  <c r="AI263" i="17" s="1"/>
  <c r="AO75" i="17"/>
  <c r="AS75" i="17" s="1"/>
  <c r="N149" i="15"/>
  <c r="Q149" i="15" s="1"/>
  <c r="M50" i="14"/>
  <c r="L48" i="14" s="1"/>
  <c r="M48" i="14" s="1"/>
  <c r="P53" i="14"/>
  <c r="Q53" i="14" s="1"/>
  <c r="L75" i="14"/>
  <c r="M75" i="14" s="1"/>
  <c r="P43" i="23"/>
  <c r="Q43" i="23" s="1"/>
  <c r="P217" i="23"/>
  <c r="Q217" i="23" s="1"/>
  <c r="B75" i="17"/>
  <c r="O423" i="17"/>
  <c r="AS187" i="17"/>
  <c r="M11" i="11"/>
  <c r="L9" i="11" s="1"/>
  <c r="AA4" i="10"/>
  <c r="AH4" i="10" s="1"/>
  <c r="AN4" i="10" s="1"/>
  <c r="AT4" i="10" s="1"/>
  <c r="O270" i="23"/>
  <c r="O66" i="23"/>
  <c r="O114" i="20"/>
  <c r="K139" i="20"/>
  <c r="AP118" i="17"/>
  <c r="AP120" i="17"/>
  <c r="AN78" i="17"/>
  <c r="AN77" i="17"/>
  <c r="AN48" i="17"/>
  <c r="AN49" i="17"/>
  <c r="O75" i="17"/>
  <c r="H61" i="17" s="1"/>
  <c r="H62" i="17" s="1"/>
  <c r="O83" i="17"/>
  <c r="Q83" i="17" s="1"/>
  <c r="V58" i="17"/>
  <c r="AD54" i="17"/>
  <c r="AK54" i="17" s="1"/>
  <c r="AQ18" i="17"/>
  <c r="S45" i="14"/>
  <c r="AA41" i="14"/>
  <c r="AH41" i="14" s="1"/>
  <c r="AC49" i="8"/>
  <c r="AF49" i="8" s="1"/>
  <c r="K292" i="23"/>
  <c r="K506" i="17"/>
  <c r="L506" i="17" s="1"/>
  <c r="M506" i="17" s="1"/>
  <c r="AD679" i="17"/>
  <c r="AK679" i="17" s="1"/>
  <c r="T111" i="17"/>
  <c r="AB108" i="17"/>
  <c r="AP18" i="17"/>
  <c r="AP21" i="17" s="1"/>
  <c r="U58" i="17"/>
  <c r="G161" i="15"/>
  <c r="K256" i="23"/>
  <c r="K253" i="23"/>
  <c r="O45" i="23"/>
  <c r="K256" i="20"/>
  <c r="K90" i="20"/>
  <c r="F36" i="20" s="1"/>
  <c r="F37" i="20" s="1"/>
  <c r="L90" i="20" s="1"/>
  <c r="O179" i="17"/>
  <c r="H65" i="17" s="1"/>
  <c r="H66" i="17" s="1"/>
  <c r="O187" i="17"/>
  <c r="O183" i="17"/>
  <c r="AB57" i="17"/>
  <c r="AI56" i="17"/>
  <c r="V734" i="17"/>
  <c r="AQ200" i="17"/>
  <c r="K542" i="17"/>
  <c r="K532" i="17"/>
  <c r="F79" i="17" s="1"/>
  <c r="F80" i="17" s="1"/>
  <c r="K480" i="17"/>
  <c r="F77" i="17" s="1"/>
  <c r="F78" i="17" s="1"/>
  <c r="K490" i="17"/>
  <c r="U163" i="17"/>
  <c r="AC160" i="17"/>
  <c r="P5" i="17"/>
  <c r="O149" i="23"/>
  <c r="K295" i="23"/>
  <c r="K97" i="23"/>
  <c r="O6" i="23"/>
  <c r="O31" i="20"/>
  <c r="D49" i="17"/>
  <c r="P59" i="17"/>
  <c r="Q59" i="17" s="1"/>
  <c r="Q56" i="17"/>
  <c r="T527" i="17"/>
  <c r="AB524" i="17"/>
  <c r="U422" i="17"/>
  <c r="AC418" i="17"/>
  <c r="AJ418" i="17" s="1"/>
  <c r="S163" i="17"/>
  <c r="AA160" i="17"/>
  <c r="AN20" i="17"/>
  <c r="AN21" i="17"/>
  <c r="AP8" i="17"/>
  <c r="AP7" i="17"/>
  <c r="AP6" i="17"/>
  <c r="B17" i="14"/>
  <c r="B18" i="14" s="1"/>
  <c r="P2" i="14" s="1"/>
  <c r="O6" i="14"/>
  <c r="K289" i="23"/>
  <c r="L280" i="20"/>
  <c r="M280" i="20" s="1"/>
  <c r="K96" i="20"/>
  <c r="K97" i="20" s="1"/>
  <c r="L97" i="20" s="1"/>
  <c r="M97" i="20" s="1"/>
  <c r="AP203" i="17"/>
  <c r="AP204" i="17"/>
  <c r="AQ132" i="17"/>
  <c r="AQ133" i="17"/>
  <c r="AQ134" i="17"/>
  <c r="O393" i="17"/>
  <c r="T735" i="17"/>
  <c r="AB732" i="17"/>
  <c r="U370" i="17"/>
  <c r="AC366" i="17"/>
  <c r="AJ366" i="17" s="1"/>
  <c r="AP102" i="17"/>
  <c r="AA262" i="17"/>
  <c r="AH262" i="17" s="1"/>
  <c r="S266" i="17"/>
  <c r="O244" i="17"/>
  <c r="AB43" i="14"/>
  <c r="AI43" i="14" s="1"/>
  <c r="AI42" i="14"/>
  <c r="E20" i="8"/>
  <c r="O261" i="20"/>
  <c r="O280" i="23"/>
  <c r="K58" i="20"/>
  <c r="AQ216" i="17"/>
  <c r="D52" i="17"/>
  <c r="D51" i="17"/>
  <c r="AN186" i="17"/>
  <c r="S682" i="17"/>
  <c r="S579" i="17"/>
  <c r="AA576" i="17"/>
  <c r="T474" i="17"/>
  <c r="T475" i="17" s="1"/>
  <c r="AO130" i="17"/>
  <c r="AN6" i="17"/>
  <c r="AN7" i="17"/>
  <c r="O159" i="15"/>
  <c r="O63" i="8"/>
  <c r="O67" i="8"/>
  <c r="O68" i="8" s="1"/>
  <c r="O71" i="8"/>
  <c r="K155" i="23"/>
  <c r="L155" i="23" s="1"/>
  <c r="M155" i="23" s="1"/>
  <c r="K77" i="23"/>
  <c r="L77" i="23" s="1"/>
  <c r="M77" i="23" s="1"/>
  <c r="Y26" i="23"/>
  <c r="K133" i="23"/>
  <c r="S7" i="23"/>
  <c r="AA4" i="23"/>
  <c r="AH4" i="23" s="1"/>
  <c r="K22" i="20"/>
  <c r="O448" i="17"/>
  <c r="AB523" i="17"/>
  <c r="AI523" i="17" s="1"/>
  <c r="AO145" i="17"/>
  <c r="AS145" i="17" s="1"/>
  <c r="K18" i="9"/>
  <c r="K19" i="9" s="1"/>
  <c r="L19" i="9" s="1"/>
  <c r="AC2" i="13"/>
  <c r="AJ2" i="13" s="1"/>
  <c r="V6" i="13"/>
  <c r="V7" i="13" s="1"/>
  <c r="S7" i="8"/>
  <c r="AA4" i="8"/>
  <c r="AH4" i="8" s="1"/>
  <c r="O29" i="23"/>
  <c r="K94" i="23"/>
  <c r="L202" i="20"/>
  <c r="M202" i="20" s="1"/>
  <c r="L192" i="17"/>
  <c r="M192" i="17" s="1"/>
  <c r="Q135" i="17"/>
  <c r="AB627" i="17"/>
  <c r="AI627" i="17" s="1"/>
  <c r="AO173" i="17"/>
  <c r="P170" i="17"/>
  <c r="Q170" i="17" s="1"/>
  <c r="O23" i="11"/>
  <c r="H16" i="11" s="1"/>
  <c r="H17" i="11" s="1"/>
  <c r="H18" i="11" s="1"/>
  <c r="O27" i="11"/>
  <c r="O29" i="11" s="1"/>
  <c r="G164" i="15"/>
  <c r="I139" i="2"/>
  <c r="W50" i="16"/>
  <c r="Y50" i="16" s="1"/>
  <c r="AN147" i="17"/>
  <c r="K435" i="17"/>
  <c r="AN5" i="17"/>
  <c r="AS5" i="17" s="1"/>
  <c r="O68" i="11"/>
  <c r="K15" i="11"/>
  <c r="K16" i="11" s="1"/>
  <c r="O28" i="9"/>
  <c r="O29" i="9" s="1"/>
  <c r="M16" i="12"/>
  <c r="O164" i="15"/>
  <c r="G35" i="658"/>
  <c r="K58" i="14"/>
  <c r="AS215" i="17"/>
  <c r="AS173" i="17"/>
  <c r="F52" i="17"/>
  <c r="AB316" i="17"/>
  <c r="O71" i="11"/>
  <c r="T6" i="9"/>
  <c r="O70" i="8"/>
  <c r="P5" i="14"/>
  <c r="O23" i="8"/>
  <c r="H18" i="8" s="1"/>
  <c r="H19" i="8" s="1"/>
  <c r="H20" i="8" s="1"/>
  <c r="K168" i="17"/>
  <c r="F65" i="17" s="1"/>
  <c r="F66" i="17" s="1"/>
  <c r="L22" i="10"/>
  <c r="O75" i="8"/>
  <c r="O126" i="15"/>
  <c r="H155" i="15"/>
  <c r="X162" i="16"/>
  <c r="K298" i="17"/>
  <c r="L298" i="17" s="1"/>
  <c r="L36" i="17"/>
  <c r="M36" i="17" s="1"/>
  <c r="K74" i="17"/>
  <c r="K746" i="17"/>
  <c r="K747" i="17" s="1"/>
  <c r="K331" i="17"/>
  <c r="O70" i="11"/>
  <c r="O7" i="11"/>
  <c r="K54" i="11"/>
  <c r="K55" i="11" s="1"/>
  <c r="U6" i="11"/>
  <c r="U7" i="11" s="1"/>
  <c r="P31" i="10"/>
  <c r="O36" i="9"/>
  <c r="AC41" i="12"/>
  <c r="AJ41" i="12" s="1"/>
  <c r="G155" i="15"/>
  <c r="N151" i="15"/>
  <c r="Q151" i="15" s="1"/>
  <c r="T151" i="15" s="1"/>
  <c r="U43" i="14"/>
  <c r="K12" i="14"/>
  <c r="F17" i="14" s="1"/>
  <c r="F18" i="14" s="1"/>
  <c r="P23" i="5"/>
  <c r="I17" i="5" s="1"/>
  <c r="I18" i="5" s="1"/>
  <c r="I19" i="5" s="1"/>
  <c r="AV25" i="17" a="1"/>
  <c r="S6" i="11"/>
  <c r="Z4" i="11" s="1"/>
  <c r="AG4" i="11" s="1"/>
  <c r="O27" i="14"/>
  <c r="O29" i="14" s="1"/>
  <c r="O125" i="15"/>
  <c r="O127" i="15" s="1"/>
  <c r="K61" i="14"/>
  <c r="AQ92" i="17"/>
  <c r="AW19" i="17"/>
  <c r="AX18" i="17" s="1"/>
  <c r="D44" i="17" s="1"/>
  <c r="D54" i="17" s="1"/>
  <c r="K334" i="17"/>
  <c r="K226" i="17"/>
  <c r="K227" i="17" s="1"/>
  <c r="D59" i="17"/>
  <c r="D60" i="17" s="1"/>
  <c r="L11" i="17" s="1"/>
  <c r="Q3" i="17"/>
  <c r="U6" i="10"/>
  <c r="K22" i="13"/>
  <c r="Z3" i="13"/>
  <c r="AG3" i="13" s="1"/>
  <c r="M77" i="12"/>
  <c r="O77" i="12" s="1"/>
  <c r="M12" i="12"/>
  <c r="F19" i="12" s="1"/>
  <c r="F20" i="12" s="1"/>
  <c r="Q2" i="8"/>
  <c r="O158" i="15"/>
  <c r="H51" i="15"/>
  <c r="H44" i="15"/>
  <c r="G46" i="658"/>
  <c r="B18" i="8"/>
  <c r="B19" i="8" s="1"/>
  <c r="P126" i="15"/>
  <c r="P127" i="15" s="1"/>
  <c r="S147" i="15"/>
  <c r="L61" i="5"/>
  <c r="L62" i="5" s="1"/>
  <c r="L63" i="5" s="1"/>
  <c r="P73" i="5" s="1"/>
  <c r="O341" i="17"/>
  <c r="AA628" i="17"/>
  <c r="AB420" i="17"/>
  <c r="AD212" i="17"/>
  <c r="W46" i="11"/>
  <c r="S49" i="11" s="1"/>
  <c r="AB41" i="14"/>
  <c r="AI41" i="14" s="1"/>
  <c r="E91" i="14"/>
  <c r="E92" i="14" s="1"/>
  <c r="C17" i="5"/>
  <c r="C18" i="5" s="1"/>
  <c r="C20" i="5" s="1"/>
  <c r="K178" i="17"/>
  <c r="K122" i="17"/>
  <c r="K123" i="17" s="1"/>
  <c r="P794" i="17"/>
  <c r="Q794" i="17" s="1"/>
  <c r="K58" i="11"/>
  <c r="L38" i="10"/>
  <c r="M38" i="10" s="1"/>
  <c r="N38" i="10" s="1"/>
  <c r="Q67" i="12"/>
  <c r="Q68" i="12" s="1"/>
  <c r="G38" i="658"/>
  <c r="K15" i="14"/>
  <c r="K16" i="14" s="1"/>
  <c r="P46" i="5"/>
  <c r="K594" i="17"/>
  <c r="K275" i="17"/>
  <c r="K276" i="17" s="1"/>
  <c r="K19" i="13"/>
  <c r="G44" i="658"/>
  <c r="K15" i="6"/>
  <c r="K16" i="6" s="1"/>
  <c r="B46" i="2159"/>
  <c r="K120" i="17"/>
  <c r="O46" i="11"/>
  <c r="Q46" i="11" s="1"/>
  <c r="K22" i="11"/>
  <c r="P50" i="14"/>
  <c r="B92" i="14"/>
  <c r="V37" i="8"/>
  <c r="AS159" i="17"/>
  <c r="AS61" i="17"/>
  <c r="A55" i="17"/>
  <c r="O79" i="17"/>
  <c r="O45" i="11"/>
  <c r="W7" i="13"/>
  <c r="S10" i="13" s="1"/>
  <c r="O75" i="14"/>
  <c r="Q62" i="12"/>
  <c r="H21" i="12" s="1"/>
  <c r="H22" i="12" s="1"/>
  <c r="R62" i="12" s="1"/>
  <c r="S62" i="12" s="1"/>
  <c r="K61" i="8"/>
  <c r="O165" i="15"/>
  <c r="G43" i="658"/>
  <c r="G36" i="658"/>
  <c r="K799" i="17"/>
  <c r="K536" i="17"/>
  <c r="Q46" i="12"/>
  <c r="S46" i="12" s="1"/>
  <c r="K77" i="8"/>
  <c r="L77" i="8" s="1"/>
  <c r="M77" i="8" s="1"/>
  <c r="G163" i="15"/>
  <c r="G158" i="15"/>
  <c r="R130" i="15"/>
  <c r="W7" i="14"/>
  <c r="S10" i="14" s="1"/>
  <c r="X46" i="5"/>
  <c r="T49" i="5" s="1"/>
  <c r="U48" i="5" s="1"/>
  <c r="X7" i="5"/>
  <c r="T10" i="5" s="1"/>
  <c r="T11" i="5" s="1"/>
  <c r="T31" i="5" s="1"/>
  <c r="C5" i="5"/>
  <c r="E5" i="5"/>
  <c r="W45" i="5"/>
  <c r="W72" i="5" s="1"/>
  <c r="B42" i="2159"/>
  <c r="B47" i="2159"/>
  <c r="U7" i="5"/>
  <c r="AB43" i="5"/>
  <c r="AI43" i="5" s="1"/>
  <c r="T46" i="5"/>
  <c r="N38" i="5"/>
  <c r="M36" i="5"/>
  <c r="N36" i="5" s="1"/>
  <c r="I4" i="5"/>
  <c r="C13" i="5" s="1"/>
  <c r="N9" i="5"/>
  <c r="F21" i="5"/>
  <c r="Q41" i="5"/>
  <c r="Q45" i="5" s="1"/>
  <c r="L51" i="5"/>
  <c r="P45" i="5"/>
  <c r="L77" i="5"/>
  <c r="M77" i="5" s="1"/>
  <c r="AJ7" i="16"/>
  <c r="V71" i="5"/>
  <c r="R50" i="5"/>
  <c r="V72" i="5"/>
  <c r="T70" i="5"/>
  <c r="T71" i="5"/>
  <c r="V70" i="5"/>
  <c r="T72" i="5"/>
  <c r="I40" i="16"/>
  <c r="P77" i="5"/>
  <c r="L66" i="5"/>
  <c r="P74" i="5"/>
  <c r="P72" i="5"/>
  <c r="L68" i="5"/>
  <c r="B77" i="5" s="1"/>
  <c r="L69" i="5"/>
  <c r="F36" i="16"/>
  <c r="U13" i="16"/>
  <c r="AJ48" i="16"/>
  <c r="AI7" i="16"/>
  <c r="AV3" i="16"/>
  <c r="Q62" i="15"/>
  <c r="P56" i="15"/>
  <c r="K23" i="15"/>
  <c r="K24" i="15" s="1"/>
  <c r="O37" i="15" s="1"/>
  <c r="K30" i="15"/>
  <c r="X23" i="16"/>
  <c r="X22" i="16"/>
  <c r="Y22" i="16" s="1"/>
  <c r="Z30" i="15"/>
  <c r="Z69" i="15"/>
  <c r="M36" i="15"/>
  <c r="T12" i="16"/>
  <c r="G35" i="16"/>
  <c r="Q53" i="5"/>
  <c r="U14" i="16"/>
  <c r="AI48" i="16"/>
  <c r="M54" i="15"/>
  <c r="T6" i="16"/>
  <c r="U6" i="16" s="1"/>
  <c r="U15" i="16"/>
  <c r="S24" i="16"/>
  <c r="S30" i="16" s="1"/>
  <c r="S27" i="16"/>
  <c r="S29" i="16"/>
  <c r="B77" i="16" s="1"/>
  <c r="S28" i="16"/>
  <c r="G40" i="16"/>
  <c r="AI3" i="15"/>
  <c r="AB4" i="15"/>
  <c r="AI4" i="15" s="1"/>
  <c r="L19" i="6"/>
  <c r="M19" i="6" s="1"/>
  <c r="L16" i="6"/>
  <c r="M16" i="6" s="1"/>
  <c r="P23" i="6"/>
  <c r="L14" i="6"/>
  <c r="L17" i="6"/>
  <c r="Q6" i="6"/>
  <c r="L13" i="6"/>
  <c r="M9" i="6"/>
  <c r="W12" i="6"/>
  <c r="I4" i="6"/>
  <c r="W9" i="6"/>
  <c r="Q11" i="6"/>
  <c r="V38" i="6"/>
  <c r="L23" i="5"/>
  <c r="L28" i="5" s="1"/>
  <c r="B13" i="2159" s="1"/>
  <c r="H101" i="17"/>
  <c r="AN48" i="16"/>
  <c r="AW44" i="16"/>
  <c r="I35" i="16"/>
  <c r="X25" i="16"/>
  <c r="AH48" i="16"/>
  <c r="X21" i="16"/>
  <c r="AD80" i="16"/>
  <c r="X48" i="16"/>
  <c r="AD81" i="16"/>
  <c r="Y46" i="16"/>
  <c r="AA48" i="16"/>
  <c r="AR45" i="16"/>
  <c r="AY45" i="16" s="1"/>
  <c r="AD43" i="5"/>
  <c r="AK43" i="5" s="1"/>
  <c r="V46" i="5"/>
  <c r="W7" i="15"/>
  <c r="S10" i="15" s="1"/>
  <c r="H4" i="15"/>
  <c r="AM50" i="16"/>
  <c r="P9" i="16"/>
  <c r="U50" i="16"/>
  <c r="W80" i="16"/>
  <c r="S70" i="16"/>
  <c r="W78" i="16"/>
  <c r="W77" i="16"/>
  <c r="W81" i="16"/>
  <c r="S71" i="16"/>
  <c r="S72" i="16" s="1"/>
  <c r="AB4" i="5"/>
  <c r="AI4" i="5" s="1"/>
  <c r="T7" i="5"/>
  <c r="H36" i="16"/>
  <c r="U9" i="5"/>
  <c r="T49" i="8"/>
  <c r="U48" i="8" s="1"/>
  <c r="Y9" i="16"/>
  <c r="X16" i="16"/>
  <c r="Y16" i="16" s="1"/>
  <c r="S71" i="15"/>
  <c r="M48" i="15"/>
  <c r="L56" i="15"/>
  <c r="L52" i="15"/>
  <c r="M52" i="15" s="1"/>
  <c r="L51" i="15"/>
  <c r="T147" i="15"/>
  <c r="O76" i="15"/>
  <c r="O73" i="15"/>
  <c r="K66" i="15"/>
  <c r="K70" i="15" s="1"/>
  <c r="O72" i="15"/>
  <c r="O77" i="15"/>
  <c r="AK48" i="8"/>
  <c r="H102" i="17"/>
  <c r="AD39" i="16"/>
  <c r="AR4" i="16"/>
  <c r="AY4" i="16" s="1"/>
  <c r="U45" i="5"/>
  <c r="U70" i="5" s="1"/>
  <c r="AB13" i="8"/>
  <c r="AA4" i="6"/>
  <c r="AH4" i="6" s="1"/>
  <c r="AH3" i="6"/>
  <c r="T18" i="16"/>
  <c r="U11" i="16"/>
  <c r="T9" i="16" s="1"/>
  <c r="I127" i="16" s="1"/>
  <c r="T50" i="15"/>
  <c r="AC43" i="8"/>
  <c r="AC52" i="8" s="1"/>
  <c r="U46" i="8"/>
  <c r="C99" i="17"/>
  <c r="H99" i="17" s="1"/>
  <c r="AL349" i="17"/>
  <c r="T36" i="16"/>
  <c r="AC47" i="16"/>
  <c r="S46" i="15"/>
  <c r="P63" i="15"/>
  <c r="Q63" i="15" s="1"/>
  <c r="Q46" i="15"/>
  <c r="W51" i="15"/>
  <c r="C14" i="15"/>
  <c r="G19" i="6"/>
  <c r="P24" i="6"/>
  <c r="AI4" i="8"/>
  <c r="AB15" i="8"/>
  <c r="F19" i="6"/>
  <c r="L12" i="6"/>
  <c r="S70" i="15"/>
  <c r="Q45" i="15"/>
  <c r="O35" i="6"/>
  <c r="C98" i="17"/>
  <c r="C31" i="23"/>
  <c r="AI271" i="23"/>
  <c r="AC2" i="6"/>
  <c r="AJ2" i="6" s="1"/>
  <c r="S11" i="6"/>
  <c r="P37" i="48"/>
  <c r="P45" i="48"/>
  <c r="P43" i="48"/>
  <c r="P33" i="48"/>
  <c r="P30" i="48"/>
  <c r="P58" i="48"/>
  <c r="AL453" i="17"/>
  <c r="AC14" i="8"/>
  <c r="P49" i="48"/>
  <c r="AB52" i="8"/>
  <c r="E103" i="17"/>
  <c r="AD13" i="8"/>
  <c r="K67" i="15"/>
  <c r="AD52" i="8"/>
  <c r="P51" i="48"/>
  <c r="P32" i="48"/>
  <c r="P42" i="48"/>
  <c r="P48" i="48"/>
  <c r="P65" i="48"/>
  <c r="AL505" i="17"/>
  <c r="AD15" i="8"/>
  <c r="P38" i="48"/>
  <c r="P36" i="48"/>
  <c r="P59" i="48"/>
  <c r="P61" i="48"/>
  <c r="P56" i="48"/>
  <c r="AL592" i="17"/>
  <c r="AL748" i="17"/>
  <c r="AL488" i="17"/>
  <c r="M208" i="20"/>
  <c r="L203" i="20"/>
  <c r="Q314" i="17"/>
  <c r="O56" i="12"/>
  <c r="M19" i="9"/>
  <c r="P216" i="20"/>
  <c r="P214" i="20"/>
  <c r="AI371" i="17"/>
  <c r="AB378" i="17"/>
  <c r="AI372" i="17" s="1"/>
  <c r="R60" i="12"/>
  <c r="R59" i="12"/>
  <c r="S59" i="12" s="1"/>
  <c r="R58" i="12"/>
  <c r="L210" i="20"/>
  <c r="M209" i="20"/>
  <c r="U73" i="11"/>
  <c r="U70" i="11"/>
  <c r="U71" i="11"/>
  <c r="U75" i="11"/>
  <c r="S7" i="12"/>
  <c r="X38" i="12"/>
  <c r="X37" i="12"/>
  <c r="X216" i="17"/>
  <c r="M217" i="17"/>
  <c r="X684" i="17"/>
  <c r="M685" i="17"/>
  <c r="P107" i="17"/>
  <c r="C66" i="17"/>
  <c r="AA22" i="14"/>
  <c r="AA24" i="14" s="1"/>
  <c r="AB25" i="14" s="1"/>
  <c r="AD377" i="17"/>
  <c r="U46" i="11"/>
  <c r="F17" i="9"/>
  <c r="L12" i="9"/>
  <c r="AB43" i="11"/>
  <c r="AI43" i="11" s="1"/>
  <c r="AF582" i="17"/>
  <c r="AF580" i="17"/>
  <c r="M70" i="12"/>
  <c r="M72" i="12"/>
  <c r="U72" i="11"/>
  <c r="C10" i="12"/>
  <c r="C12" i="12"/>
  <c r="Y12" i="12"/>
  <c r="C11" i="12"/>
  <c r="O9" i="12"/>
  <c r="M61" i="17"/>
  <c r="X60" i="17"/>
  <c r="P258" i="20"/>
  <c r="Q258" i="20" s="1"/>
  <c r="L246" i="20"/>
  <c r="P257" i="20"/>
  <c r="L253" i="20"/>
  <c r="M253" i="20" s="1"/>
  <c r="L250" i="20"/>
  <c r="M250" i="20" s="1"/>
  <c r="Q240" i="20"/>
  <c r="L248" i="20"/>
  <c r="AF43" i="14"/>
  <c r="S71" i="11"/>
  <c r="S72" i="11"/>
  <c r="S46" i="11"/>
  <c r="Z43" i="11"/>
  <c r="AG43" i="11" s="1"/>
  <c r="S74" i="11"/>
  <c r="S75" i="11"/>
  <c r="K239" i="17"/>
  <c r="K242" i="17"/>
  <c r="M204" i="20"/>
  <c r="T199" i="20"/>
  <c r="M212" i="20"/>
  <c r="AF530" i="17"/>
  <c r="Q7" i="11"/>
  <c r="K223" i="20"/>
  <c r="P140" i="20"/>
  <c r="M33" i="12"/>
  <c r="M34" i="12"/>
  <c r="P45" i="23"/>
  <c r="Q44" i="23"/>
  <c r="O72" i="20"/>
  <c r="K224" i="20"/>
  <c r="V48" i="12"/>
  <c r="M31" i="12"/>
  <c r="Q3" i="13"/>
  <c r="P5" i="13"/>
  <c r="L270" i="20"/>
  <c r="M270" i="20" s="1"/>
  <c r="M272" i="20"/>
  <c r="Q38" i="12"/>
  <c r="X632" i="17"/>
  <c r="M633" i="17"/>
  <c r="L192" i="23"/>
  <c r="M192" i="23" s="1"/>
  <c r="M193" i="23"/>
  <c r="Y104" i="23"/>
  <c r="S85" i="23"/>
  <c r="P287" i="23"/>
  <c r="Q287" i="23" s="1"/>
  <c r="P284" i="23"/>
  <c r="Q284" i="23" s="1"/>
  <c r="M284" i="23"/>
  <c r="L282" i="23" s="1"/>
  <c r="M282" i="23" s="1"/>
  <c r="L153" i="23"/>
  <c r="M153" i="23" s="1"/>
  <c r="M128" i="23"/>
  <c r="L126" i="23" s="1"/>
  <c r="V107" i="20"/>
  <c r="P202" i="23"/>
  <c r="Q197" i="23"/>
  <c r="P163" i="23"/>
  <c r="Q158" i="23"/>
  <c r="K62" i="23"/>
  <c r="K63" i="23" s="1"/>
  <c r="P11" i="23"/>
  <c r="P14" i="23"/>
  <c r="Q3" i="9"/>
  <c r="P278" i="23"/>
  <c r="Q276" i="23"/>
  <c r="Q159" i="23"/>
  <c r="P161" i="23"/>
  <c r="Q158" i="20"/>
  <c r="P163" i="20"/>
  <c r="O302" i="23"/>
  <c r="Q187" i="23"/>
  <c r="P239" i="23"/>
  <c r="Q80" i="23"/>
  <c r="P85" i="23"/>
  <c r="T277" i="23"/>
  <c r="P89" i="23"/>
  <c r="Q89" i="23" s="1"/>
  <c r="P92" i="23"/>
  <c r="Q92" i="23" s="1"/>
  <c r="M89" i="23"/>
  <c r="L87" i="23" s="1"/>
  <c r="L309" i="23"/>
  <c r="M309" i="23" s="1"/>
  <c r="M115" i="23"/>
  <c r="B13" i="23"/>
  <c r="AA48" i="23"/>
  <c r="AA87" i="23" s="1"/>
  <c r="AA126" i="23" s="1"/>
  <c r="AA165" i="23" s="1"/>
  <c r="AA204" i="23" s="1"/>
  <c r="AA243" i="23" s="1"/>
  <c r="AA282" i="23" s="1"/>
  <c r="M116" i="20"/>
  <c r="L114" i="20"/>
  <c r="M114" i="20" s="1"/>
  <c r="S280" i="23"/>
  <c r="Y299" i="23"/>
  <c r="AA277" i="23"/>
  <c r="AH277" i="23" s="1"/>
  <c r="Y221" i="23"/>
  <c r="Y222" i="23"/>
  <c r="K179" i="23"/>
  <c r="K184" i="23" s="1"/>
  <c r="K140" i="23"/>
  <c r="K141" i="23" s="1"/>
  <c r="K147" i="23"/>
  <c r="O154" i="23"/>
  <c r="P122" i="23"/>
  <c r="Q120" i="23"/>
  <c r="L231" i="23"/>
  <c r="M231" i="23" s="1"/>
  <c r="M233" i="23"/>
  <c r="M50" i="23"/>
  <c r="L48" i="23" s="1"/>
  <c r="AA82" i="23"/>
  <c r="AH82" i="23" s="1"/>
  <c r="P53" i="23"/>
  <c r="Q53" i="23" s="1"/>
  <c r="Q236" i="23"/>
  <c r="P241" i="23"/>
  <c r="O222" i="20"/>
  <c r="O226" i="20"/>
  <c r="O149" i="20"/>
  <c r="O141" i="20"/>
  <c r="G38" i="20" s="1"/>
  <c r="G39" i="20" s="1"/>
  <c r="P141" i="20" s="1"/>
  <c r="Q141" i="20" s="1"/>
  <c r="B34" i="20"/>
  <c r="B35" i="20" s="1"/>
  <c r="P41" i="20" s="1"/>
  <c r="O45" i="20"/>
  <c r="O179" i="20"/>
  <c r="H40" i="20" s="1"/>
  <c r="H41" i="20" s="1"/>
  <c r="K168" i="20"/>
  <c r="F40" i="20" s="1"/>
  <c r="F41" i="20" s="1"/>
  <c r="O549" i="17"/>
  <c r="P280" i="23"/>
  <c r="Q109" i="20"/>
  <c r="P248" i="20"/>
  <c r="Q248" i="20" s="1"/>
  <c r="P245" i="20"/>
  <c r="K174" i="20"/>
  <c r="K175" i="20" s="1"/>
  <c r="AA119" i="20"/>
  <c r="AH119" i="20" s="1"/>
  <c r="S123" i="20"/>
  <c r="O266" i="23"/>
  <c r="K217" i="23"/>
  <c r="O70" i="23"/>
  <c r="P124" i="23"/>
  <c r="Y144" i="23"/>
  <c r="K249" i="23"/>
  <c r="K250" i="23" s="1"/>
  <c r="S124" i="23"/>
  <c r="K311" i="20"/>
  <c r="L311" i="20" s="1"/>
  <c r="M311" i="20" s="1"/>
  <c r="P128" i="20"/>
  <c r="P44" i="20"/>
  <c r="L243" i="20"/>
  <c r="Q3" i="20"/>
  <c r="P5" i="20"/>
  <c r="M298" i="17"/>
  <c r="L296" i="17"/>
  <c r="M296" i="17" s="1"/>
  <c r="AA275" i="23"/>
  <c r="AH275" i="23" s="1"/>
  <c r="O163" i="23"/>
  <c r="O297" i="23"/>
  <c r="G49" i="23" s="1"/>
  <c r="G50" i="23" s="1"/>
  <c r="O296" i="23"/>
  <c r="H49" i="23" s="1"/>
  <c r="H50" i="23" s="1"/>
  <c r="O62" i="23"/>
  <c r="H37" i="23" s="1"/>
  <c r="H38" i="23" s="1"/>
  <c r="P62" i="23" s="1"/>
  <c r="Y143" i="23"/>
  <c r="K51" i="23"/>
  <c r="F37" i="23" s="1"/>
  <c r="F38" i="23" s="1"/>
  <c r="L51" i="23" s="1"/>
  <c r="D47" i="23"/>
  <c r="D48" i="23" s="1"/>
  <c r="L245" i="23" s="1"/>
  <c r="K233" i="20"/>
  <c r="L233" i="20" s="1"/>
  <c r="Q265" i="20"/>
  <c r="AA4" i="20"/>
  <c r="AH4" i="20" s="1"/>
  <c r="K51" i="20"/>
  <c r="F34" i="20" s="1"/>
  <c r="F35" i="20" s="1"/>
  <c r="D34" i="20"/>
  <c r="D35" i="20" s="1"/>
  <c r="L50" i="20" s="1"/>
  <c r="O240" i="23"/>
  <c r="O145" i="23"/>
  <c r="O146" i="23" s="1"/>
  <c r="O150" i="23" s="1"/>
  <c r="K116" i="23"/>
  <c r="L116" i="23" s="1"/>
  <c r="M116" i="23" s="1"/>
  <c r="O107" i="23"/>
  <c r="O31" i="23"/>
  <c r="P206" i="23"/>
  <c r="Q206" i="23" s="1"/>
  <c r="O653" i="17"/>
  <c r="M505" i="17"/>
  <c r="L504" i="17"/>
  <c r="M504" i="17" s="1"/>
  <c r="K257" i="23"/>
  <c r="O162" i="23"/>
  <c r="O67" i="23"/>
  <c r="O309" i="20"/>
  <c r="O110" i="20"/>
  <c r="O102" i="20"/>
  <c r="G36" i="20" s="1"/>
  <c r="G37" i="20" s="1"/>
  <c r="P102" i="20" s="1"/>
  <c r="Q102" i="20" s="1"/>
  <c r="Q159" i="20"/>
  <c r="P161" i="20"/>
  <c r="Q759" i="17"/>
  <c r="O765" i="17"/>
  <c r="K101" i="23"/>
  <c r="K102" i="23" s="1"/>
  <c r="O115" i="23" s="1"/>
  <c r="O140" i="23"/>
  <c r="H41" i="23" s="1"/>
  <c r="H42" i="23" s="1"/>
  <c r="K301" i="20"/>
  <c r="K101" i="20"/>
  <c r="K77" i="20"/>
  <c r="L77" i="20" s="1"/>
  <c r="M77" i="20" s="1"/>
  <c r="L76" i="20"/>
  <c r="S279" i="20"/>
  <c r="S240" i="20"/>
  <c r="AA236" i="20"/>
  <c r="AH236" i="20" s="1"/>
  <c r="K194" i="20"/>
  <c r="L194" i="20" s="1"/>
  <c r="K179" i="20"/>
  <c r="O70" i="20"/>
  <c r="O62" i="20"/>
  <c r="H34" i="20" s="1"/>
  <c r="H35" i="20" s="1"/>
  <c r="L608" i="17"/>
  <c r="M608" i="17" s="1"/>
  <c r="M609" i="17"/>
  <c r="P111" i="17"/>
  <c r="Q111" i="17" s="1"/>
  <c r="Q108" i="17"/>
  <c r="AC784" i="17"/>
  <c r="U787" i="17"/>
  <c r="AN217" i="17"/>
  <c r="AS103" i="17"/>
  <c r="AS89" i="17"/>
  <c r="AO63" i="17"/>
  <c r="AO62" i="17"/>
  <c r="AO64" i="17"/>
  <c r="AP20" i="17"/>
  <c r="AP22" i="17"/>
  <c r="T787" i="17"/>
  <c r="AB784" i="17"/>
  <c r="AO148" i="17"/>
  <c r="AN62" i="17"/>
  <c r="AN64" i="17"/>
  <c r="AP50" i="17"/>
  <c r="AP49" i="17"/>
  <c r="AS33" i="17"/>
  <c r="Q31" i="17"/>
  <c r="K24" i="17"/>
  <c r="O37" i="17" s="1"/>
  <c r="K28" i="17"/>
  <c r="Y104" i="20"/>
  <c r="K18" i="20"/>
  <c r="K19" i="20" s="1"/>
  <c r="K246" i="17"/>
  <c r="L246" i="17" s="1"/>
  <c r="AN216" i="17"/>
  <c r="AQ204" i="17"/>
  <c r="O185" i="17"/>
  <c r="K142" i="17"/>
  <c r="L142" i="17" s="1"/>
  <c r="AN134" i="17"/>
  <c r="AO120" i="17"/>
  <c r="D53" i="17"/>
  <c r="K129" i="20"/>
  <c r="F38" i="20" s="1"/>
  <c r="F39" i="20" s="1"/>
  <c r="L129" i="20" s="1"/>
  <c r="O551" i="17"/>
  <c r="AO204" i="17"/>
  <c r="AO190" i="17"/>
  <c r="AP160" i="17"/>
  <c r="AN120" i="17"/>
  <c r="AN63" i="17"/>
  <c r="AO35" i="17"/>
  <c r="O218" i="20"/>
  <c r="H42" i="20" s="1"/>
  <c r="H43" i="20" s="1"/>
  <c r="P218" i="20" s="1"/>
  <c r="O757" i="17"/>
  <c r="O761" i="17" s="1"/>
  <c r="AN190" i="17"/>
  <c r="AO146" i="17"/>
  <c r="AP146" i="17"/>
  <c r="AP147" i="17"/>
  <c r="P74" i="17"/>
  <c r="O81" i="17"/>
  <c r="AQ162" i="17"/>
  <c r="AO161" i="17"/>
  <c r="AO160" i="17"/>
  <c r="AN119" i="17"/>
  <c r="AO119" i="17"/>
  <c r="AQ106" i="17"/>
  <c r="AQ48" i="17"/>
  <c r="AS47" i="17"/>
  <c r="F55" i="17"/>
  <c r="M37" i="17"/>
  <c r="B53" i="17"/>
  <c r="H51" i="17"/>
  <c r="K19" i="17"/>
  <c r="E59" i="17"/>
  <c r="E60" i="17" s="1"/>
  <c r="K643" i="17"/>
  <c r="K16" i="17"/>
  <c r="K62" i="11"/>
  <c r="K63" i="11" s="1"/>
  <c r="O77" i="11" s="1"/>
  <c r="K68" i="11"/>
  <c r="K69" i="11"/>
  <c r="AC4" i="11"/>
  <c r="AJ4" i="11" s="1"/>
  <c r="V7" i="11"/>
  <c r="AD784" i="17"/>
  <c r="K692" i="17"/>
  <c r="K588" i="17"/>
  <c r="K328" i="17"/>
  <c r="AQ118" i="17"/>
  <c r="AO78" i="17"/>
  <c r="AO50" i="17"/>
  <c r="B49" i="17"/>
  <c r="AP36" i="17"/>
  <c r="AO21" i="17"/>
  <c r="AB472" i="17"/>
  <c r="AB212" i="17"/>
  <c r="K698" i="17"/>
  <c r="K383" i="17"/>
  <c r="P58" i="17"/>
  <c r="P75" i="17" s="1"/>
  <c r="K23" i="11"/>
  <c r="K28" i="11"/>
  <c r="AD680" i="17"/>
  <c r="L46" i="11"/>
  <c r="M46" i="11" s="1"/>
  <c r="I18" i="11"/>
  <c r="T45" i="11"/>
  <c r="AA41" i="11"/>
  <c r="AH41" i="11" s="1"/>
  <c r="AQ77" i="17"/>
  <c r="F50" i="17"/>
  <c r="AN36" i="17"/>
  <c r="K591" i="17"/>
  <c r="K23" i="9"/>
  <c r="K28" i="9" s="1"/>
  <c r="AP63" i="17"/>
  <c r="AC680" i="17"/>
  <c r="AA368" i="17"/>
  <c r="AA377" i="17" s="1"/>
  <c r="O74" i="11"/>
  <c r="K386" i="17"/>
  <c r="O76" i="11"/>
  <c r="AC3" i="17"/>
  <c r="AJ3" i="17" s="1"/>
  <c r="C16" i="11"/>
  <c r="C17" i="11" s="1"/>
  <c r="P32" i="10"/>
  <c r="E4" i="10"/>
  <c r="AA2" i="10"/>
  <c r="AH2" i="10" s="1"/>
  <c r="AN2" i="10" s="1"/>
  <c r="AT2" i="10" s="1"/>
  <c r="T6" i="13"/>
  <c r="S152" i="15"/>
  <c r="Q160" i="15"/>
  <c r="AB4" i="11"/>
  <c r="AI4" i="11" s="1"/>
  <c r="AA2" i="11"/>
  <c r="AH2" i="11" s="1"/>
  <c r="D17" i="10"/>
  <c r="D18" i="10" s="1"/>
  <c r="O31" i="9"/>
  <c r="O24" i="9"/>
  <c r="G15" i="9" s="1"/>
  <c r="G16" i="9" s="1"/>
  <c r="O31" i="13"/>
  <c r="B21" i="13"/>
  <c r="S6" i="13"/>
  <c r="AB2" i="13"/>
  <c r="AI2" i="13" s="1"/>
  <c r="U6" i="13"/>
  <c r="Q27" i="12"/>
  <c r="R5" i="12"/>
  <c r="AB4" i="12"/>
  <c r="AI4" i="12" s="1"/>
  <c r="E58" i="14"/>
  <c r="T149" i="15"/>
  <c r="S151" i="15"/>
  <c r="AJ3" i="14"/>
  <c r="AC4" i="14"/>
  <c r="AJ4" i="14" s="1"/>
  <c r="O150" i="15"/>
  <c r="S150" i="15" s="1"/>
  <c r="N150" i="15"/>
  <c r="Q150" i="15" s="1"/>
  <c r="T150" i="15" s="1"/>
  <c r="I168" i="15"/>
  <c r="I169" i="15"/>
  <c r="I170" i="15" s="1"/>
  <c r="K67" i="17"/>
  <c r="K68" i="17" s="1"/>
  <c r="AA2" i="17"/>
  <c r="AH2" i="17" s="1"/>
  <c r="L37" i="11"/>
  <c r="O63" i="11"/>
  <c r="AC2" i="11"/>
  <c r="AJ2" i="11" s="1"/>
  <c r="K38" i="13"/>
  <c r="L38" i="13" s="1"/>
  <c r="M38" i="13" s="1"/>
  <c r="L11" i="13"/>
  <c r="K28" i="8"/>
  <c r="K24" i="8"/>
  <c r="G90" i="14"/>
  <c r="G93" i="14" s="1"/>
  <c r="V46" i="12"/>
  <c r="AC43" i="12"/>
  <c r="AJ43" i="12" s="1"/>
  <c r="S144" i="15"/>
  <c r="S7" i="11"/>
  <c r="W7" i="11"/>
  <c r="S10" i="11" s="1"/>
  <c r="T6" i="11"/>
  <c r="B17" i="10"/>
  <c r="B18" i="10" s="1"/>
  <c r="AC4" i="13"/>
  <c r="AJ4" i="13" s="1"/>
  <c r="H90" i="14"/>
  <c r="T143" i="15"/>
  <c r="N148" i="15"/>
  <c r="Q148" i="15" s="1"/>
  <c r="O148" i="15"/>
  <c r="S148" i="15" s="1"/>
  <c r="F187" i="15"/>
  <c r="V43" i="11"/>
  <c r="E155" i="15"/>
  <c r="M37" i="14"/>
  <c r="O31" i="14"/>
  <c r="X45" i="12"/>
  <c r="U7" i="12"/>
  <c r="D21" i="12"/>
  <c r="D22" i="12" s="1"/>
  <c r="N50" i="12" s="1"/>
  <c r="N57" i="12" s="1"/>
  <c r="AE4" i="12"/>
  <c r="AL4" i="12" s="1"/>
  <c r="AD2" i="8"/>
  <c r="AK2" i="8" s="1"/>
  <c r="E57" i="14"/>
  <c r="R138" i="15"/>
  <c r="H45" i="15"/>
  <c r="E45" i="15" s="1"/>
  <c r="U44" i="14"/>
  <c r="AC42" i="14" s="1"/>
  <c r="E6" i="14"/>
  <c r="H53" i="15"/>
  <c r="E53" i="15" s="1"/>
  <c r="I53" i="15"/>
  <c r="G47" i="658"/>
  <c r="AD71" i="12"/>
  <c r="O37" i="8"/>
  <c r="Q37" i="8" s="1"/>
  <c r="M136" i="15"/>
  <c r="O136" i="15" s="1"/>
  <c r="O140" i="15" s="1"/>
  <c r="K19" i="8"/>
  <c r="O66" i="14"/>
  <c r="AB4" i="14"/>
  <c r="AI4" i="14" s="1"/>
  <c r="V6" i="12"/>
  <c r="G52" i="14"/>
  <c r="K22" i="14"/>
  <c r="H47" i="15"/>
  <c r="E47" i="15" s="1"/>
  <c r="P44" i="8"/>
  <c r="K55" i="14"/>
  <c r="H46" i="15"/>
  <c r="P44" i="14"/>
  <c r="AA43" i="8"/>
  <c r="AA52" i="8" s="1"/>
  <c r="L50" i="8"/>
  <c r="L11" i="8"/>
  <c r="O71" i="14"/>
  <c r="D51" i="658"/>
  <c r="I140" i="2"/>
  <c r="I141" i="2" s="1"/>
  <c r="J11" i="2"/>
  <c r="W7" i="8"/>
  <c r="S10" i="8" s="1"/>
  <c r="K15" i="8"/>
  <c r="K16" i="8" s="1"/>
  <c r="S11" i="13" l="1"/>
  <c r="T9" i="13"/>
  <c r="O111" i="23"/>
  <c r="K67" i="11"/>
  <c r="K296" i="23"/>
  <c r="O68" i="23"/>
  <c r="O72" i="23" s="1"/>
  <c r="W70" i="5"/>
  <c r="G169" i="15"/>
  <c r="G168" i="15"/>
  <c r="G170" i="15" s="1"/>
  <c r="M11" i="17"/>
  <c r="L9" i="17" s="1"/>
  <c r="P14" i="17"/>
  <c r="Q14" i="17" s="1"/>
  <c r="Q164" i="15"/>
  <c r="P164" i="15"/>
  <c r="AN189" i="17"/>
  <c r="AN188" i="17"/>
  <c r="Q2" i="14"/>
  <c r="P7" i="14"/>
  <c r="Y182" i="23"/>
  <c r="AA160" i="23"/>
  <c r="AH160" i="23" s="1"/>
  <c r="Y183" i="23"/>
  <c r="S163" i="23"/>
  <c r="Q278" i="20"/>
  <c r="P279" i="20"/>
  <c r="L11" i="9"/>
  <c r="D17" i="9"/>
  <c r="K67" i="23"/>
  <c r="K107" i="23"/>
  <c r="P11" i="17"/>
  <c r="Q11" i="17" s="1"/>
  <c r="U371" i="17"/>
  <c r="AC368" i="17"/>
  <c r="Q187" i="17"/>
  <c r="S423" i="17"/>
  <c r="AA420" i="17"/>
  <c r="AP90" i="17"/>
  <c r="AP91" i="17"/>
  <c r="AP92" i="17"/>
  <c r="P84" i="23"/>
  <c r="L97" i="23" s="1"/>
  <c r="M97" i="23" s="1"/>
  <c r="Q83" i="23"/>
  <c r="V303" i="20"/>
  <c r="Q284" i="20"/>
  <c r="T277" i="20"/>
  <c r="AF277" i="20" s="1"/>
  <c r="M282" i="20"/>
  <c r="AF426" i="17"/>
  <c r="AF424" i="17"/>
  <c r="AF425" i="17"/>
  <c r="Q73" i="12"/>
  <c r="Q74" i="12"/>
  <c r="Q72" i="12"/>
  <c r="L28" i="10"/>
  <c r="L23" i="10"/>
  <c r="AB733" i="17"/>
  <c r="AI732" i="17"/>
  <c r="O72" i="11"/>
  <c r="K30" i="17"/>
  <c r="L75" i="23"/>
  <c r="M75" i="23" s="1"/>
  <c r="L94" i="23"/>
  <c r="M94" i="23" s="1"/>
  <c r="V7" i="6"/>
  <c r="AD4" i="6"/>
  <c r="AK4" i="6" s="1"/>
  <c r="U319" i="17"/>
  <c r="AC316" i="17"/>
  <c r="M128" i="20"/>
  <c r="L126" i="20" s="1"/>
  <c r="P131" i="20"/>
  <c r="Q131" i="20" s="1"/>
  <c r="K335" i="17"/>
  <c r="K336" i="17" s="1"/>
  <c r="O349" i="17" s="1"/>
  <c r="O345" i="17"/>
  <c r="K341" i="17"/>
  <c r="O73" i="11"/>
  <c r="K106" i="23"/>
  <c r="K66" i="23"/>
  <c r="K29" i="15"/>
  <c r="P41" i="8"/>
  <c r="B20" i="8"/>
  <c r="B21" i="8"/>
  <c r="O33" i="23"/>
  <c r="O35" i="23"/>
  <c r="O34" i="23"/>
  <c r="M90" i="20"/>
  <c r="L83" i="20"/>
  <c r="K140" i="20"/>
  <c r="L133" i="20"/>
  <c r="M133" i="20" s="1"/>
  <c r="AF790" i="17"/>
  <c r="AA795" i="17" s="1"/>
  <c r="AH789" i="17" s="1"/>
  <c r="AF788" i="17"/>
  <c r="AF789" i="17"/>
  <c r="Q280" i="20"/>
  <c r="V302" i="20"/>
  <c r="F51" i="17"/>
  <c r="B54" i="17"/>
  <c r="F49" i="17"/>
  <c r="AD273" i="17"/>
  <c r="AB273" i="17"/>
  <c r="AI267" i="17" s="1"/>
  <c r="AC274" i="17"/>
  <c r="AJ268" i="17" s="1"/>
  <c r="AC273" i="17"/>
  <c r="AJ267" i="17" s="1"/>
  <c r="AD421" i="17"/>
  <c r="AK420" i="17"/>
  <c r="L95" i="20"/>
  <c r="L92" i="20"/>
  <c r="Q84" i="20"/>
  <c r="L91" i="20"/>
  <c r="M91" i="20" s="1"/>
  <c r="K69" i="23"/>
  <c r="T50" i="8"/>
  <c r="O33" i="15"/>
  <c r="Q50" i="14"/>
  <c r="V77" i="14"/>
  <c r="K62" i="14"/>
  <c r="K63" i="14" s="1"/>
  <c r="K67" i="14"/>
  <c r="K66" i="14"/>
  <c r="K70" i="14" s="1"/>
  <c r="K69" i="14"/>
  <c r="K68" i="14"/>
  <c r="P6" i="17"/>
  <c r="Q5" i="17"/>
  <c r="K257" i="20"/>
  <c r="K258" i="20" s="1"/>
  <c r="K264" i="20"/>
  <c r="K262" i="20"/>
  <c r="P6" i="8"/>
  <c r="Q6" i="8" s="1"/>
  <c r="Q5" i="8"/>
  <c r="O297" i="17"/>
  <c r="M13" i="9"/>
  <c r="E18" i="9"/>
  <c r="AI801" i="17"/>
  <c r="AL800" i="17" s="1"/>
  <c r="AI802" i="17"/>
  <c r="AI819" i="17"/>
  <c r="AI818" i="17"/>
  <c r="AC275" i="17"/>
  <c r="AJ269" i="17" s="1"/>
  <c r="AB275" i="17"/>
  <c r="AI269" i="17" s="1"/>
  <c r="AD275" i="17"/>
  <c r="AK269" i="17" s="1"/>
  <c r="O112" i="23"/>
  <c r="E44" i="15"/>
  <c r="I44" i="15"/>
  <c r="P6" i="14"/>
  <c r="Q5" i="14"/>
  <c r="AA161" i="17"/>
  <c r="AH160" i="17"/>
  <c r="AC161" i="17"/>
  <c r="AJ160" i="17"/>
  <c r="S46" i="14"/>
  <c r="AA43" i="14"/>
  <c r="AH43" i="14" s="1"/>
  <c r="AI298" i="17"/>
  <c r="AI281" i="17"/>
  <c r="AL280" i="17" s="1"/>
  <c r="AI299" i="17"/>
  <c r="AI282" i="17"/>
  <c r="M14" i="9"/>
  <c r="L15" i="9"/>
  <c r="Q85" i="20"/>
  <c r="V108" i="20"/>
  <c r="U49" i="15"/>
  <c r="V48" i="15" s="1"/>
  <c r="K27" i="15"/>
  <c r="K179" i="17"/>
  <c r="I51" i="15"/>
  <c r="E51" i="15"/>
  <c r="P159" i="15"/>
  <c r="Q159" i="15"/>
  <c r="K288" i="17"/>
  <c r="K283" i="17"/>
  <c r="K284" i="17" s="1"/>
  <c r="O293" i="17" s="1"/>
  <c r="K287" i="17"/>
  <c r="K291" i="17" s="1"/>
  <c r="K289" i="17"/>
  <c r="K290" i="17"/>
  <c r="K73" i="20"/>
  <c r="K72" i="20"/>
  <c r="Q101" i="20"/>
  <c r="P95" i="20"/>
  <c r="V263" i="20"/>
  <c r="Q241" i="20"/>
  <c r="P6" i="23"/>
  <c r="Q5" i="23"/>
  <c r="L252" i="20"/>
  <c r="M252" i="20" s="1"/>
  <c r="M251" i="20"/>
  <c r="L18" i="9"/>
  <c r="M17" i="9"/>
  <c r="K66" i="11"/>
  <c r="O34" i="17"/>
  <c r="O38" i="17"/>
  <c r="O35" i="15"/>
  <c r="P76" i="5"/>
  <c r="L67" i="5"/>
  <c r="B76" i="5" s="1"/>
  <c r="P158" i="15"/>
  <c r="Q158" i="15"/>
  <c r="K75" i="17"/>
  <c r="K80" i="17"/>
  <c r="T7" i="9"/>
  <c r="AB4" i="9"/>
  <c r="AI4" i="9" s="1"/>
  <c r="AO4" i="9" s="1"/>
  <c r="AU4" i="9" s="1"/>
  <c r="K491" i="17"/>
  <c r="K496" i="17"/>
  <c r="AQ20" i="17"/>
  <c r="AQ21" i="17"/>
  <c r="AQ22" i="17"/>
  <c r="P6" i="15"/>
  <c r="Q2" i="15"/>
  <c r="P7" i="15"/>
  <c r="AF112" i="17"/>
  <c r="AF113" i="17"/>
  <c r="AF114" i="17"/>
  <c r="AN35" i="17"/>
  <c r="AN34" i="17"/>
  <c r="AF736" i="17"/>
  <c r="AF737" i="17"/>
  <c r="AF738" i="17"/>
  <c r="T9" i="6"/>
  <c r="S13" i="6"/>
  <c r="S12" i="6"/>
  <c r="O38" i="6"/>
  <c r="O34" i="6"/>
  <c r="Q165" i="15"/>
  <c r="P165" i="15"/>
  <c r="AW28" i="17"/>
  <c r="AZ28" i="17"/>
  <c r="AB49" i="17" s="1"/>
  <c r="H45" i="17" s="1"/>
  <c r="BA28" i="17"/>
  <c r="AV27" i="17"/>
  <c r="AX29" i="17"/>
  <c r="AY29" i="17"/>
  <c r="AZ27" i="17"/>
  <c r="AW30" i="17"/>
  <c r="AX25" i="17"/>
  <c r="AB47" i="17" s="1"/>
  <c r="H43" i="17" s="1"/>
  <c r="AW26" i="17"/>
  <c r="AB41" i="17" s="1"/>
  <c r="F43" i="17" s="1"/>
  <c r="AW29" i="17"/>
  <c r="BA29" i="17"/>
  <c r="BA26" i="17"/>
  <c r="AB51" i="17" s="1"/>
  <c r="H47" i="17" s="1"/>
  <c r="AV30" i="17"/>
  <c r="AZ30" i="17"/>
  <c r="AY27" i="17"/>
  <c r="AV25" i="17"/>
  <c r="AB40" i="17" s="1"/>
  <c r="F42" i="17" s="1"/>
  <c r="AX28" i="17"/>
  <c r="AZ25" i="17"/>
  <c r="AW25" i="17"/>
  <c r="AB46" i="17" s="1"/>
  <c r="H42" i="17" s="1"/>
  <c r="AV29" i="17"/>
  <c r="AY26" i="17"/>
  <c r="BA25" i="17"/>
  <c r="AB50" i="17" s="1"/>
  <c r="H46" i="17" s="1"/>
  <c r="AZ29" i="17"/>
  <c r="AB44" i="17" s="1"/>
  <c r="F46" i="17" s="1"/>
  <c r="AW27" i="17"/>
  <c r="AV26" i="17"/>
  <c r="AZ26" i="17"/>
  <c r="AX27" i="17"/>
  <c r="AB42" i="17" s="1"/>
  <c r="F44" i="17" s="1"/>
  <c r="H49" i="17" s="1"/>
  <c r="AX30" i="17"/>
  <c r="AY30" i="17"/>
  <c r="AY25" i="17"/>
  <c r="AX26" i="17"/>
  <c r="AB48" i="17" s="1"/>
  <c r="H44" i="17" s="1"/>
  <c r="AY28" i="17"/>
  <c r="AB43" i="17" s="1"/>
  <c r="F45" i="17" s="1"/>
  <c r="BA27" i="17"/>
  <c r="AB52" i="17" s="1"/>
  <c r="H48" i="17" s="1"/>
  <c r="AV28" i="17"/>
  <c r="BA30" i="17"/>
  <c r="AB45" i="17" s="1"/>
  <c r="F47" i="17" s="1"/>
  <c r="H53" i="17" s="1"/>
  <c r="U423" i="17"/>
  <c r="AC420" i="17"/>
  <c r="O263" i="20"/>
  <c r="O269" i="20" s="1"/>
  <c r="Q2" i="23"/>
  <c r="P7" i="23"/>
  <c r="AA170" i="17"/>
  <c r="AH164" i="17" s="1"/>
  <c r="AC170" i="17"/>
  <c r="AJ164" i="17" s="1"/>
  <c r="AC169" i="17"/>
  <c r="AJ163" i="17" s="1"/>
  <c r="AD169" i="17"/>
  <c r="AK163" i="17" s="1"/>
  <c r="AA169" i="17"/>
  <c r="AH163" i="17" s="1"/>
  <c r="O113" i="23"/>
  <c r="AD40" i="16"/>
  <c r="G5" i="5"/>
  <c r="K62" i="8"/>
  <c r="K67" i="8"/>
  <c r="AB317" i="17"/>
  <c r="AI316" i="17"/>
  <c r="AB327" i="17"/>
  <c r="AI321" i="17" s="1"/>
  <c r="AB325" i="17"/>
  <c r="AI61" i="14"/>
  <c r="AI60" i="14"/>
  <c r="AI78" i="14"/>
  <c r="AI77" i="14"/>
  <c r="C9" i="14" s="1"/>
  <c r="AB525" i="17"/>
  <c r="AI524" i="17"/>
  <c r="U59" i="17"/>
  <c r="AC56" i="17"/>
  <c r="V59" i="17"/>
  <c r="AD56" i="17"/>
  <c r="H4" i="11"/>
  <c r="M9" i="11"/>
  <c r="M165" i="20"/>
  <c r="T160" i="20"/>
  <c r="AF160" i="20" s="1"/>
  <c r="AC171" i="17"/>
  <c r="AJ165" i="17" s="1"/>
  <c r="AA171" i="17"/>
  <c r="AH165" i="17" s="1"/>
  <c r="AD171" i="17"/>
  <c r="AK165" i="17" s="1"/>
  <c r="S111" i="17"/>
  <c r="AA108" i="17"/>
  <c r="AA57" i="17"/>
  <c r="AH56" i="17"/>
  <c r="K30" i="6"/>
  <c r="P11" i="8"/>
  <c r="Q11" i="8" s="1"/>
  <c r="L114" i="23"/>
  <c r="M114" i="23" s="1"/>
  <c r="K28" i="15"/>
  <c r="S50" i="11"/>
  <c r="T48" i="11"/>
  <c r="L12" i="14"/>
  <c r="AI542" i="17"/>
  <c r="AI559" i="17"/>
  <c r="AI541" i="17"/>
  <c r="AL540" i="17" s="1"/>
  <c r="AI558" i="17"/>
  <c r="AO132" i="17"/>
  <c r="AO134" i="17"/>
  <c r="AO133" i="17"/>
  <c r="K547" i="17"/>
  <c r="K548" i="17"/>
  <c r="K543" i="17"/>
  <c r="K544" i="17" s="1"/>
  <c r="I49" i="15"/>
  <c r="X7" i="9"/>
  <c r="S10" i="9" s="1"/>
  <c r="O263" i="23"/>
  <c r="AA15" i="8"/>
  <c r="AH9" i="8" s="1"/>
  <c r="AF478" i="17"/>
  <c r="AF476" i="17"/>
  <c r="AF477" i="17"/>
  <c r="O497" i="17"/>
  <c r="C96" i="17"/>
  <c r="H96" i="17" s="1"/>
  <c r="AL193" i="17"/>
  <c r="K29" i="6"/>
  <c r="K144" i="23"/>
  <c r="K148" i="23" s="1"/>
  <c r="AB54" i="8"/>
  <c r="Q2" i="5"/>
  <c r="Q6" i="5" s="1"/>
  <c r="AD213" i="17"/>
  <c r="AK212" i="17"/>
  <c r="U45" i="14"/>
  <c r="U46" i="14" s="1"/>
  <c r="AC41" i="14"/>
  <c r="AJ41" i="14" s="1"/>
  <c r="O454" i="17"/>
  <c r="O453" i="17"/>
  <c r="AQ203" i="17"/>
  <c r="AQ202" i="17"/>
  <c r="AI108" i="17"/>
  <c r="AB109" i="17"/>
  <c r="K803" i="17"/>
  <c r="K808" i="17" s="1"/>
  <c r="AJ3" i="9"/>
  <c r="AP3" i="9"/>
  <c r="AV3" i="9" s="1"/>
  <c r="AC4" i="9"/>
  <c r="AJ4" i="9" s="1"/>
  <c r="AP4" i="9" s="1"/>
  <c r="AV4" i="9" s="1"/>
  <c r="P170" i="23"/>
  <c r="Q170" i="23" s="1"/>
  <c r="M167" i="23"/>
  <c r="L165" i="23" s="1"/>
  <c r="P167" i="23"/>
  <c r="Q167" i="23" s="1"/>
  <c r="Q499" i="17"/>
  <c r="AJ576" i="17"/>
  <c r="AC577" i="17"/>
  <c r="AO49" i="17"/>
  <c r="AO48" i="17"/>
  <c r="U31" i="12"/>
  <c r="U32" i="12"/>
  <c r="O116" i="23"/>
  <c r="W71" i="5"/>
  <c r="AB421" i="17"/>
  <c r="AI420" i="17"/>
  <c r="K23" i="13"/>
  <c r="K23" i="20"/>
  <c r="K24" i="20" s="1"/>
  <c r="O35" i="20" s="1"/>
  <c r="K28" i="20"/>
  <c r="K29" i="20"/>
  <c r="O33" i="20"/>
  <c r="AA577" i="17"/>
  <c r="AH576" i="17"/>
  <c r="S267" i="17"/>
  <c r="AA264" i="17"/>
  <c r="V735" i="17"/>
  <c r="AD732" i="17"/>
  <c r="AH73" i="17"/>
  <c r="AL72" i="17" s="1"/>
  <c r="AH74" i="17"/>
  <c r="AH91" i="17"/>
  <c r="AH90" i="17"/>
  <c r="O245" i="17"/>
  <c r="O246" i="17"/>
  <c r="P366" i="17"/>
  <c r="B76" i="17"/>
  <c r="L136" i="20"/>
  <c r="M136" i="20" s="1"/>
  <c r="L131" i="20"/>
  <c r="Q123" i="20"/>
  <c r="L134" i="20"/>
  <c r="H17" i="9"/>
  <c r="P23" i="9"/>
  <c r="V11" i="12"/>
  <c r="V31" i="12" s="1"/>
  <c r="W9" i="12"/>
  <c r="L19" i="8"/>
  <c r="M19" i="8" s="1"/>
  <c r="C19" i="5"/>
  <c r="S11" i="14"/>
  <c r="T9" i="14"/>
  <c r="K595" i="17"/>
  <c r="K596" i="17" s="1"/>
  <c r="O609" i="17" s="1"/>
  <c r="K599" i="17"/>
  <c r="K600" i="17"/>
  <c r="AA629" i="17"/>
  <c r="AH628" i="17"/>
  <c r="U7" i="10"/>
  <c r="AB4" i="10"/>
  <c r="AI4" i="10" s="1"/>
  <c r="AO4" i="10" s="1"/>
  <c r="AU4" i="10" s="1"/>
  <c r="AK715" i="17"/>
  <c r="AK714" i="17"/>
  <c r="AK697" i="17"/>
  <c r="AL696" i="17" s="1"/>
  <c r="AK698" i="17"/>
  <c r="K70" i="20"/>
  <c r="P46" i="23"/>
  <c r="T199" i="23"/>
  <c r="M204" i="23"/>
  <c r="K128" i="17"/>
  <c r="K131" i="17"/>
  <c r="K222" i="20"/>
  <c r="K226" i="20" s="1"/>
  <c r="T163" i="17"/>
  <c r="AB160" i="17"/>
  <c r="AA13" i="8"/>
  <c r="O33" i="17"/>
  <c r="K108" i="23"/>
  <c r="L16" i="8"/>
  <c r="M16" i="8" s="1"/>
  <c r="P14" i="8"/>
  <c r="Q14" i="8" s="1"/>
  <c r="I47" i="15"/>
  <c r="L16" i="17"/>
  <c r="M16" i="17" s="1"/>
  <c r="AI646" i="17"/>
  <c r="AI663" i="17"/>
  <c r="AI662" i="17"/>
  <c r="AI645" i="17"/>
  <c r="AL644" i="17" s="1"/>
  <c r="S683" i="17"/>
  <c r="AA680" i="17"/>
  <c r="AP104" i="17"/>
  <c r="AP105" i="17"/>
  <c r="AP106" i="17"/>
  <c r="Q6" i="14"/>
  <c r="Q31" i="20"/>
  <c r="O37" i="20"/>
  <c r="O295" i="17"/>
  <c r="O449" i="17"/>
  <c r="O451" i="17"/>
  <c r="K31" i="23"/>
  <c r="K34" i="23"/>
  <c r="P201" i="23"/>
  <c r="Q200" i="23"/>
  <c r="T82" i="20"/>
  <c r="AF82" i="20" s="1"/>
  <c r="M87" i="20"/>
  <c r="AC265" i="17"/>
  <c r="AJ264" i="17"/>
  <c r="T32" i="5"/>
  <c r="U49" i="5"/>
  <c r="V48" i="5" s="1"/>
  <c r="V49" i="5" s="1"/>
  <c r="W48" i="5" s="1"/>
  <c r="W49" i="5" s="1"/>
  <c r="W50" i="5" s="1"/>
  <c r="T50" i="5"/>
  <c r="C12" i="5"/>
  <c r="X12" i="5"/>
  <c r="AG43" i="5" s="1"/>
  <c r="X51" i="5"/>
  <c r="W46" i="5"/>
  <c r="AE43" i="5"/>
  <c r="AL43" i="5" s="1"/>
  <c r="U71" i="5"/>
  <c r="C14" i="5"/>
  <c r="N77" i="5"/>
  <c r="M75" i="5"/>
  <c r="N75" i="5" s="1"/>
  <c r="Q46" i="5"/>
  <c r="R41" i="5"/>
  <c r="Q7" i="5"/>
  <c r="R2" i="5"/>
  <c r="AH371" i="17"/>
  <c r="AA378" i="17"/>
  <c r="AH372" i="17" s="1"/>
  <c r="Q75" i="17"/>
  <c r="P69" i="17"/>
  <c r="I130" i="16"/>
  <c r="I131" i="16" s="1"/>
  <c r="AA70" i="14"/>
  <c r="AB70" i="14"/>
  <c r="AC70" i="14"/>
  <c r="AH46" i="8"/>
  <c r="AA53" i="8"/>
  <c r="N47" i="12"/>
  <c r="O57" i="12"/>
  <c r="T9" i="8"/>
  <c r="S11" i="8"/>
  <c r="M126" i="23"/>
  <c r="T121" i="23"/>
  <c r="P134" i="20"/>
  <c r="Q140" i="20"/>
  <c r="AF199" i="20"/>
  <c r="L71" i="17"/>
  <c r="M71" i="17" s="1"/>
  <c r="AD587" i="17"/>
  <c r="AK581" i="17" s="1"/>
  <c r="AC587" i="17"/>
  <c r="AJ581" i="17" s="1"/>
  <c r="AA587" i="17"/>
  <c r="AH581" i="17" s="1"/>
  <c r="AB587" i="17"/>
  <c r="AI581" i="17" s="1"/>
  <c r="AF216" i="17"/>
  <c r="AF217" i="17"/>
  <c r="AF218" i="17"/>
  <c r="N44" i="12"/>
  <c r="P227" i="20"/>
  <c r="Q227" i="20" s="1"/>
  <c r="P223" i="20"/>
  <c r="Q223" i="20" s="1"/>
  <c r="Q214" i="20"/>
  <c r="AK7" i="8"/>
  <c r="AD14" i="8"/>
  <c r="AI9" i="8"/>
  <c r="L57" i="15"/>
  <c r="M56" i="15"/>
  <c r="C12" i="15"/>
  <c r="C11" i="15"/>
  <c r="W12" i="15"/>
  <c r="C10" i="15"/>
  <c r="C13" i="2159"/>
  <c r="B19" i="2159"/>
  <c r="M13" i="6"/>
  <c r="E20" i="6"/>
  <c r="B78" i="16"/>
  <c r="S33" i="16"/>
  <c r="S34" i="16"/>
  <c r="X32" i="16"/>
  <c r="Y23" i="16"/>
  <c r="V44" i="14"/>
  <c r="AD42" i="14" s="1"/>
  <c r="G6" i="14"/>
  <c r="AH43" i="8"/>
  <c r="AA54" i="8"/>
  <c r="V7" i="12"/>
  <c r="AC4" i="12"/>
  <c r="AJ4" i="12" s="1"/>
  <c r="V32" i="12"/>
  <c r="I45" i="15"/>
  <c r="AE43" i="12"/>
  <c r="AL43" i="12" s="1"/>
  <c r="X46" i="12"/>
  <c r="AA4" i="11"/>
  <c r="AH4" i="11" s="1"/>
  <c r="T7" i="11"/>
  <c r="L68" i="17"/>
  <c r="M68" i="17" s="1"/>
  <c r="Z4" i="13"/>
  <c r="AG4" i="13" s="1"/>
  <c r="S7" i="13"/>
  <c r="S31" i="13"/>
  <c r="AJ21" i="17"/>
  <c r="AJ38" i="17"/>
  <c r="E93" i="17" s="1"/>
  <c r="AJ39" i="17"/>
  <c r="AJ22" i="17"/>
  <c r="K24" i="9"/>
  <c r="K27" i="9" s="1"/>
  <c r="M246" i="17"/>
  <c r="L244" i="17"/>
  <c r="M244" i="17" s="1"/>
  <c r="K102" i="20"/>
  <c r="K105" i="20" s="1"/>
  <c r="K106" i="20"/>
  <c r="Q5" i="20"/>
  <c r="P6" i="20"/>
  <c r="O230" i="23"/>
  <c r="K225" i="23"/>
  <c r="O228" i="23"/>
  <c r="K218" i="23"/>
  <c r="K219" i="23" s="1"/>
  <c r="O232" i="23" s="1"/>
  <c r="Q245" i="20"/>
  <c r="V264" i="20"/>
  <c r="O555" i="17"/>
  <c r="O553" i="17"/>
  <c r="Q226" i="20"/>
  <c r="O232" i="20"/>
  <c r="O233" i="20"/>
  <c r="K151" i="23"/>
  <c r="K150" i="23"/>
  <c r="L309" i="20"/>
  <c r="M309" i="20" s="1"/>
  <c r="Q14" i="23"/>
  <c r="V49" i="12"/>
  <c r="W48" i="12" s="1"/>
  <c r="V69" i="23"/>
  <c r="AD378" i="17"/>
  <c r="AK372" i="17" s="1"/>
  <c r="AK371" i="17"/>
  <c r="Q216" i="20"/>
  <c r="P225" i="20"/>
  <c r="AJ46" i="8"/>
  <c r="S32" i="6"/>
  <c r="S31" i="6"/>
  <c r="U18" i="16"/>
  <c r="T8" i="16"/>
  <c r="S11" i="15"/>
  <c r="T9" i="15"/>
  <c r="Y25" i="16"/>
  <c r="I36" i="16"/>
  <c r="X19" i="16"/>
  <c r="L24" i="5"/>
  <c r="L27" i="5" s="1"/>
  <c r="L30" i="5"/>
  <c r="L29" i="5"/>
  <c r="B14" i="2159" s="1"/>
  <c r="B76" i="16"/>
  <c r="K72" i="15"/>
  <c r="T5" i="16"/>
  <c r="U12" i="16"/>
  <c r="G36" i="16"/>
  <c r="L73" i="5"/>
  <c r="L72" i="5"/>
  <c r="B78" i="5"/>
  <c r="O50" i="12"/>
  <c r="N48" i="12" s="1"/>
  <c r="N75" i="12"/>
  <c r="O75" i="12" s="1"/>
  <c r="R50" i="12"/>
  <c r="R53" i="12"/>
  <c r="S53" i="12" s="1"/>
  <c r="R56" i="12"/>
  <c r="N54" i="12"/>
  <c r="AC43" i="14"/>
  <c r="AJ43" i="14" s="1"/>
  <c r="AJ42" i="14"/>
  <c r="AA43" i="11"/>
  <c r="AH43" i="11" s="1"/>
  <c r="T46" i="11"/>
  <c r="T70" i="11"/>
  <c r="T71" i="11"/>
  <c r="T73" i="11"/>
  <c r="T75" i="11"/>
  <c r="T72" i="11"/>
  <c r="T9" i="11"/>
  <c r="S11" i="11"/>
  <c r="M11" i="13"/>
  <c r="L9" i="13" s="1"/>
  <c r="P14" i="13"/>
  <c r="Q14" i="13" s="1"/>
  <c r="P11" i="13"/>
  <c r="L36" i="13"/>
  <c r="K699" i="17"/>
  <c r="K700" i="17" s="1"/>
  <c r="O709" i="17" s="1"/>
  <c r="P212" i="20"/>
  <c r="Q218" i="20"/>
  <c r="Q161" i="20"/>
  <c r="P162" i="20"/>
  <c r="K258" i="23"/>
  <c r="K261" i="23" s="1"/>
  <c r="O554" i="17"/>
  <c r="O224" i="20"/>
  <c r="O228" i="20" s="1"/>
  <c r="O230" i="20"/>
  <c r="O229" i="20"/>
  <c r="O151" i="23"/>
  <c r="O152" i="23"/>
  <c r="M87" i="23"/>
  <c r="T82" i="23"/>
  <c r="Q163" i="20"/>
  <c r="V185" i="20"/>
  <c r="V186" i="20"/>
  <c r="Q11" i="23"/>
  <c r="V30" i="23"/>
  <c r="Q163" i="23"/>
  <c r="V185" i="23"/>
  <c r="V186" i="23"/>
  <c r="K262" i="23"/>
  <c r="L55" i="23"/>
  <c r="M55" i="23" s="1"/>
  <c r="L56" i="23"/>
  <c r="L53" i="23"/>
  <c r="Q45" i="23"/>
  <c r="L58" i="23"/>
  <c r="M58" i="23" s="1"/>
  <c r="P63" i="23"/>
  <c r="Q63" i="23" s="1"/>
  <c r="L52" i="23"/>
  <c r="M52" i="23" s="1"/>
  <c r="L5" i="9"/>
  <c r="M12" i="9"/>
  <c r="F18" i="9"/>
  <c r="L201" i="20"/>
  <c r="M210" i="20"/>
  <c r="M203" i="20"/>
  <c r="L220" i="20"/>
  <c r="M220" i="20" s="1"/>
  <c r="AK9" i="8"/>
  <c r="AI48" i="8"/>
  <c r="M17" i="6"/>
  <c r="L18" i="6"/>
  <c r="K73" i="15"/>
  <c r="Q56" i="15"/>
  <c r="U72" i="5"/>
  <c r="B20" i="10"/>
  <c r="Q2" i="10"/>
  <c r="B19" i="10"/>
  <c r="Q31" i="23"/>
  <c r="O38" i="23"/>
  <c r="O37" i="23"/>
  <c r="P45" i="8"/>
  <c r="Q44" i="8"/>
  <c r="Q44" i="14"/>
  <c r="P45" i="14"/>
  <c r="O68" i="14"/>
  <c r="O72" i="14" s="1"/>
  <c r="G49" i="658"/>
  <c r="G48" i="658"/>
  <c r="AA4" i="13"/>
  <c r="AH4" i="13" s="1"/>
  <c r="T7" i="13"/>
  <c r="K387" i="17"/>
  <c r="K388" i="17" s="1"/>
  <c r="K392" i="17"/>
  <c r="O401" i="17"/>
  <c r="K394" i="17"/>
  <c r="O399" i="17"/>
  <c r="K391" i="17"/>
  <c r="AD681" i="17"/>
  <c r="AK680" i="17"/>
  <c r="AB213" i="17"/>
  <c r="AI212" i="17"/>
  <c r="Q551" i="17"/>
  <c r="O557" i="17"/>
  <c r="O558" i="17"/>
  <c r="L19" i="20"/>
  <c r="M19" i="20" s="1"/>
  <c r="Y261" i="20"/>
  <c r="Y260" i="20"/>
  <c r="S241" i="20"/>
  <c r="AA238" i="20"/>
  <c r="AH238" i="20" s="1"/>
  <c r="M233" i="20"/>
  <c r="L231" i="20"/>
  <c r="M231" i="20" s="1"/>
  <c r="M243" i="20"/>
  <c r="T238" i="20"/>
  <c r="O763" i="17"/>
  <c r="L168" i="20"/>
  <c r="Q241" i="23"/>
  <c r="V263" i="23"/>
  <c r="M48" i="23"/>
  <c r="T43" i="23"/>
  <c r="K145" i="23"/>
  <c r="Y225" i="23"/>
  <c r="Y186" i="23"/>
  <c r="Q257" i="20"/>
  <c r="P251" i="20"/>
  <c r="AB9" i="12"/>
  <c r="C68" i="17"/>
  <c r="P159" i="17"/>
  <c r="R67" i="12"/>
  <c r="S67" i="12" s="1"/>
  <c r="S58" i="12"/>
  <c r="R71" i="12"/>
  <c r="S71" i="12" s="1"/>
  <c r="L242" i="20"/>
  <c r="AK46" i="8"/>
  <c r="AD53" i="8"/>
  <c r="G20" i="6"/>
  <c r="Q24" i="6"/>
  <c r="AC54" i="8"/>
  <c r="AJ43" i="8"/>
  <c r="U49" i="8"/>
  <c r="V48" i="8" s="1"/>
  <c r="U50" i="8"/>
  <c r="Y48" i="16"/>
  <c r="X49" i="16"/>
  <c r="M14" i="6"/>
  <c r="L15" i="6"/>
  <c r="B75" i="16"/>
  <c r="S31" i="16"/>
  <c r="B79" i="16" s="1"/>
  <c r="L45" i="15"/>
  <c r="M45" i="15" s="1"/>
  <c r="O35" i="8"/>
  <c r="Q35" i="8" s="1"/>
  <c r="O34" i="8"/>
  <c r="Q34" i="8" s="1"/>
  <c r="K27" i="8"/>
  <c r="Q58" i="17"/>
  <c r="L69" i="17"/>
  <c r="L65" i="17"/>
  <c r="M65" i="17" s="1"/>
  <c r="L64" i="17"/>
  <c r="P76" i="17"/>
  <c r="Q76" i="17" s="1"/>
  <c r="L175" i="20"/>
  <c r="M175" i="20" s="1"/>
  <c r="J137" i="2"/>
  <c r="J138" i="2" s="1"/>
  <c r="J136" i="2"/>
  <c r="J133" i="2"/>
  <c r="J134" i="2"/>
  <c r="J135" i="2" s="1"/>
  <c r="T148" i="15"/>
  <c r="T153" i="15" s="1"/>
  <c r="Q154" i="15"/>
  <c r="I46" i="15"/>
  <c r="E46" i="15"/>
  <c r="E54" i="15" s="1"/>
  <c r="S154" i="15"/>
  <c r="S155" i="15" s="1"/>
  <c r="S153" i="15"/>
  <c r="K72" i="11"/>
  <c r="K73" i="11"/>
  <c r="Q74" i="17"/>
  <c r="Q70" i="20"/>
  <c r="O76" i="20"/>
  <c r="O77" i="20"/>
  <c r="AA277" i="20"/>
  <c r="AH277" i="20" s="1"/>
  <c r="Y299" i="20"/>
  <c r="Y302" i="20" s="1"/>
  <c r="Y300" i="20"/>
  <c r="Y303" i="20" s="1"/>
  <c r="S280" i="20"/>
  <c r="P98" i="20"/>
  <c r="Q98" i="20" s="1"/>
  <c r="P99" i="20"/>
  <c r="P97" i="20"/>
  <c r="M245" i="23"/>
  <c r="L243" i="23" s="1"/>
  <c r="P245" i="23"/>
  <c r="Q245" i="23" s="1"/>
  <c r="P248" i="23"/>
  <c r="Q248" i="23" s="1"/>
  <c r="L270" i="23"/>
  <c r="M270" i="23" s="1"/>
  <c r="Q44" i="20"/>
  <c r="P45" i="20"/>
  <c r="Y147" i="23"/>
  <c r="Y108" i="23"/>
  <c r="Y69" i="23"/>
  <c r="Y30" i="23"/>
  <c r="P179" i="20"/>
  <c r="Y224" i="23"/>
  <c r="Y185" i="23"/>
  <c r="Q161" i="23"/>
  <c r="P162" i="23"/>
  <c r="Q202" i="23"/>
  <c r="V224" i="23"/>
  <c r="V225" i="23"/>
  <c r="O33" i="8"/>
  <c r="Q33" i="8" s="1"/>
  <c r="M246" i="20"/>
  <c r="L239" i="20"/>
  <c r="AG43" i="12"/>
  <c r="AG4" i="12"/>
  <c r="P109" i="17"/>
  <c r="Q107" i="17"/>
  <c r="O154" i="15"/>
  <c r="AI46" i="8"/>
  <c r="P60" i="15"/>
  <c r="P59" i="15"/>
  <c r="Q59" i="15" s="1"/>
  <c r="P58" i="15"/>
  <c r="O153" i="15"/>
  <c r="Q153" i="15"/>
  <c r="U10" i="5"/>
  <c r="V9" i="5" s="1"/>
  <c r="AA51" i="16"/>
  <c r="AM53" i="16"/>
  <c r="P17" i="6"/>
  <c r="H20" i="6"/>
  <c r="Q23" i="6"/>
  <c r="W37" i="16"/>
  <c r="W35" i="16"/>
  <c r="W39" i="16"/>
  <c r="W36" i="16"/>
  <c r="W40" i="16"/>
  <c r="W74" i="5"/>
  <c r="T73" i="5"/>
  <c r="U74" i="5"/>
  <c r="V75" i="5"/>
  <c r="W73" i="5"/>
  <c r="U75" i="5"/>
  <c r="T74" i="5"/>
  <c r="T75" i="5"/>
  <c r="R53" i="5"/>
  <c r="V74" i="5"/>
  <c r="U73" i="5"/>
  <c r="V73" i="5"/>
  <c r="W75" i="5"/>
  <c r="AB71" i="15"/>
  <c r="AA71" i="15"/>
  <c r="K33" i="15"/>
  <c r="K34" i="15"/>
  <c r="Q239" i="23"/>
  <c r="P240" i="23"/>
  <c r="L250" i="23" s="1"/>
  <c r="M250" i="23" s="1"/>
  <c r="V38" i="8"/>
  <c r="AB473" i="17"/>
  <c r="AI472" i="17"/>
  <c r="AB483" i="17"/>
  <c r="AI477" i="17" s="1"/>
  <c r="AB481" i="17"/>
  <c r="V45" i="11"/>
  <c r="AC41" i="11"/>
  <c r="AJ41" i="11" s="1"/>
  <c r="K30" i="8"/>
  <c r="S5" i="12"/>
  <c r="R6" i="12"/>
  <c r="W5" i="10"/>
  <c r="AD3" i="10" s="1"/>
  <c r="G4" i="10"/>
  <c r="L66" i="17"/>
  <c r="O762" i="17"/>
  <c r="M142" i="17"/>
  <c r="L140" i="17"/>
  <c r="M140" i="17" s="1"/>
  <c r="AC785" i="17"/>
  <c r="AJ784" i="17"/>
  <c r="AC795" i="17"/>
  <c r="AJ789" i="17" s="1"/>
  <c r="O115" i="20"/>
  <c r="O657" i="17"/>
  <c r="O659" i="17"/>
  <c r="M50" i="20"/>
  <c r="L48" i="20" s="1"/>
  <c r="P50" i="20"/>
  <c r="Q50" i="20" s="1"/>
  <c r="L44" i="23"/>
  <c r="M51" i="23"/>
  <c r="Q128" i="20"/>
  <c r="V147" i="20"/>
  <c r="V146" i="23"/>
  <c r="Q124" i="23"/>
  <c r="V147" i="23"/>
  <c r="V302" i="23"/>
  <c r="Q280" i="23"/>
  <c r="V303" i="23"/>
  <c r="AF277" i="23"/>
  <c r="AF283" i="23"/>
  <c r="AA288" i="23" s="1"/>
  <c r="AF281" i="23"/>
  <c r="AF282" i="23"/>
  <c r="K73" i="23"/>
  <c r="K72" i="23"/>
  <c r="AF632" i="17"/>
  <c r="AF633" i="17"/>
  <c r="AF634" i="17"/>
  <c r="P254" i="20"/>
  <c r="Q254" i="20" s="1"/>
  <c r="P255" i="20"/>
  <c r="P253" i="20"/>
  <c r="AB10" i="12"/>
  <c r="R69" i="12"/>
  <c r="S60" i="12"/>
  <c r="AI7" i="8"/>
  <c r="AB14" i="8"/>
  <c r="AC43" i="5"/>
  <c r="AJ43" i="5" s="1"/>
  <c r="U46" i="5"/>
  <c r="S75" i="16"/>
  <c r="S74" i="16"/>
  <c r="Y21" i="16"/>
  <c r="X34" i="16"/>
  <c r="Y34" i="16" s="1"/>
  <c r="X30" i="16"/>
  <c r="Y30" i="16" s="1"/>
  <c r="AB32" i="15"/>
  <c r="AA32" i="15"/>
  <c r="K31" i="15"/>
  <c r="K23" i="14"/>
  <c r="K24" i="14" s="1"/>
  <c r="O34" i="14" s="1"/>
  <c r="K28" i="14"/>
  <c r="K29" i="14"/>
  <c r="O35" i="14"/>
  <c r="L55" i="14"/>
  <c r="M55" i="14" s="1"/>
  <c r="O37" i="14"/>
  <c r="O77" i="14"/>
  <c r="O76" i="14"/>
  <c r="S13" i="9"/>
  <c r="S11" i="9"/>
  <c r="T9" i="9"/>
  <c r="S12" i="9"/>
  <c r="G17" i="9"/>
  <c r="P24" i="9"/>
  <c r="M11" i="8"/>
  <c r="L9" i="8" s="1"/>
  <c r="L36" i="8"/>
  <c r="M36" i="8" s="1"/>
  <c r="P53" i="8"/>
  <c r="P50" i="8"/>
  <c r="M50" i="8"/>
  <c r="L48" i="8" s="1"/>
  <c r="M48" i="8" s="1"/>
  <c r="L75" i="8"/>
  <c r="M75" i="8" s="1"/>
  <c r="K29" i="8"/>
  <c r="Q29" i="12"/>
  <c r="Q34" i="12" s="1"/>
  <c r="Q35" i="12"/>
  <c r="M11" i="10"/>
  <c r="D19" i="10"/>
  <c r="AA369" i="17"/>
  <c r="AH368" i="17"/>
  <c r="AA379" i="17"/>
  <c r="AH373" i="17" s="1"/>
  <c r="K24" i="11"/>
  <c r="K29" i="11" s="1"/>
  <c r="K180" i="20"/>
  <c r="K184" i="20"/>
  <c r="M76" i="20"/>
  <c r="L75" i="20"/>
  <c r="M75" i="20" s="1"/>
  <c r="O658" i="17"/>
  <c r="L51" i="20"/>
  <c r="Y146" i="23"/>
  <c r="P53" i="20"/>
  <c r="Q53" i="20" s="1"/>
  <c r="O76" i="23"/>
  <c r="O77" i="23"/>
  <c r="Q70" i="23"/>
  <c r="AA121" i="20"/>
  <c r="AH121" i="20" s="1"/>
  <c r="S124" i="20"/>
  <c r="Y143" i="20"/>
  <c r="Y146" i="20" s="1"/>
  <c r="Y144" i="20"/>
  <c r="O155" i="23"/>
  <c r="Q41" i="20"/>
  <c r="P46" i="20"/>
  <c r="K146" i="23"/>
  <c r="Y263" i="23"/>
  <c r="Y302" i="23"/>
  <c r="V107" i="23"/>
  <c r="V108" i="23"/>
  <c r="Q85" i="23"/>
  <c r="O74" i="23"/>
  <c r="O73" i="23"/>
  <c r="P6" i="13"/>
  <c r="Q5" i="13"/>
  <c r="AA535" i="17"/>
  <c r="AH529" i="17" s="1"/>
  <c r="AD533" i="17"/>
  <c r="AB535" i="17"/>
  <c r="AI529" i="17" s="1"/>
  <c r="AA533" i="17"/>
  <c r="AD535" i="17"/>
  <c r="AK529" i="17" s="1"/>
  <c r="AB533" i="17"/>
  <c r="AC535" i="17"/>
  <c r="AJ529" i="17" s="1"/>
  <c r="AC533" i="17"/>
  <c r="AB8" i="12"/>
  <c r="AF684" i="17"/>
  <c r="AF685" i="17"/>
  <c r="AF686" i="17"/>
  <c r="AB53" i="8"/>
  <c r="L5" i="6"/>
  <c r="F20" i="6"/>
  <c r="M12" i="6"/>
  <c r="AC48" i="16"/>
  <c r="AT45" i="16"/>
  <c r="BA45" i="16" s="1"/>
  <c r="T71" i="15"/>
  <c r="T70" i="15"/>
  <c r="AC53" i="8"/>
  <c r="M51" i="15"/>
  <c r="L44" i="15"/>
  <c r="X12" i="6"/>
  <c r="C9" i="6"/>
  <c r="X10" i="6"/>
  <c r="C7" i="6"/>
  <c r="C8" i="6"/>
  <c r="AF4" i="6"/>
  <c r="AA5" i="6"/>
  <c r="M58" i="5"/>
  <c r="N58" i="5" s="1"/>
  <c r="M56" i="5"/>
  <c r="M51" i="5"/>
  <c r="Q63" i="5"/>
  <c r="R63" i="5" s="1"/>
  <c r="M53" i="5"/>
  <c r="R45" i="5"/>
  <c r="M55" i="5"/>
  <c r="N55" i="5" s="1"/>
  <c r="Q62" i="5"/>
  <c r="M52" i="5"/>
  <c r="N52" i="5" s="1"/>
  <c r="L74" i="5"/>
  <c r="L70" i="5"/>
  <c r="B79" i="5" s="1"/>
  <c r="B75" i="5"/>
  <c r="W88" i="5"/>
  <c r="M37" i="11"/>
  <c r="L36" i="11"/>
  <c r="M36" i="11" s="1"/>
  <c r="U7" i="13"/>
  <c r="AB4" i="13"/>
  <c r="AI4" i="13" s="1"/>
  <c r="C19" i="11"/>
  <c r="C18" i="11"/>
  <c r="P3" i="11"/>
  <c r="P42" i="11"/>
  <c r="AC681" i="17"/>
  <c r="AJ680" i="17"/>
  <c r="K70" i="11"/>
  <c r="AD785" i="17"/>
  <c r="AK784" i="17"/>
  <c r="AD795" i="17"/>
  <c r="AK789" i="17" s="1"/>
  <c r="L122" i="20"/>
  <c r="M129" i="20"/>
  <c r="K27" i="17"/>
  <c r="K31" i="17" s="1"/>
  <c r="K29" i="17"/>
  <c r="O35" i="17"/>
  <c r="AB785" i="17"/>
  <c r="AI784" i="17"/>
  <c r="AB795" i="17"/>
  <c r="AI789" i="17" s="1"/>
  <c r="AB793" i="17"/>
  <c r="M194" i="20"/>
  <c r="L192" i="20"/>
  <c r="M192" i="20" s="1"/>
  <c r="P56" i="23"/>
  <c r="Q62" i="23"/>
  <c r="K105" i="23"/>
  <c r="K109" i="23" s="1"/>
  <c r="P137" i="20"/>
  <c r="Q137" i="20" s="1"/>
  <c r="P138" i="20"/>
  <c r="P136" i="20"/>
  <c r="Q122" i="23"/>
  <c r="P123" i="23"/>
  <c r="K180" i="23"/>
  <c r="K185" i="23" s="1"/>
  <c r="P279" i="23"/>
  <c r="P297" i="23" s="1"/>
  <c r="Q297" i="23" s="1"/>
  <c r="Q278" i="23"/>
  <c r="K68" i="23"/>
  <c r="Y29" i="23"/>
  <c r="Y68" i="23"/>
  <c r="Y107" i="23"/>
  <c r="S32" i="13"/>
  <c r="T74" i="11"/>
  <c r="M248" i="20"/>
  <c r="L249" i="20"/>
  <c r="AF62" i="17"/>
  <c r="AF61" i="17"/>
  <c r="AF60" i="17"/>
  <c r="AB585" i="17"/>
  <c r="AI579" i="17" s="1"/>
  <c r="AC585" i="17"/>
  <c r="AJ579" i="17" s="1"/>
  <c r="AD585" i="17"/>
  <c r="AK579" i="17" s="1"/>
  <c r="AB586" i="17"/>
  <c r="AI580" i="17" s="1"/>
  <c r="AA585" i="17"/>
  <c r="AH579" i="17" s="1"/>
  <c r="AJ8" i="8"/>
  <c r="AR30" i="16"/>
  <c r="AR71" i="16"/>
  <c r="U36" i="16"/>
  <c r="U9" i="16"/>
  <c r="AN5" i="16"/>
  <c r="AM9" i="16"/>
  <c r="P6" i="16"/>
  <c r="V50" i="5"/>
  <c r="O34" i="15"/>
  <c r="O38" i="15"/>
  <c r="AG4" i="5"/>
  <c r="F106" i="17" l="1"/>
  <c r="H106" i="17" s="1"/>
  <c r="AL713" i="17"/>
  <c r="H18" i="9"/>
  <c r="P17" i="9"/>
  <c r="Q17" i="9" s="1"/>
  <c r="Q23" i="9"/>
  <c r="AA265" i="17"/>
  <c r="AH264" i="17"/>
  <c r="E7" i="11"/>
  <c r="Z8" i="11" s="1"/>
  <c r="Z47" i="11" s="1"/>
  <c r="W51" i="11"/>
  <c r="E8" i="11"/>
  <c r="Z9" i="11" s="1"/>
  <c r="Z48" i="11" s="1"/>
  <c r="W12" i="11"/>
  <c r="E9" i="11"/>
  <c r="Z10" i="11" s="1"/>
  <c r="Z49" i="11" s="1"/>
  <c r="K63" i="8"/>
  <c r="AB743" i="17"/>
  <c r="AI737" i="17" s="1"/>
  <c r="AC743" i="17"/>
  <c r="AJ737" i="17" s="1"/>
  <c r="AA743" i="17"/>
  <c r="AH737" i="17" s="1"/>
  <c r="AD743" i="17"/>
  <c r="AK737" i="17" s="1"/>
  <c r="M18" i="9"/>
  <c r="L8" i="9"/>
  <c r="O267" i="20"/>
  <c r="M95" i="20"/>
  <c r="L96" i="20"/>
  <c r="AA793" i="17"/>
  <c r="AD793" i="17"/>
  <c r="AC317" i="17"/>
  <c r="AJ316" i="17"/>
  <c r="AC327" i="17"/>
  <c r="AJ321" i="17" s="1"/>
  <c r="AC325" i="17"/>
  <c r="O271" i="23"/>
  <c r="AD57" i="17"/>
  <c r="AK56" i="17"/>
  <c r="K492" i="17"/>
  <c r="K498" i="17"/>
  <c r="O268" i="20"/>
  <c r="L14" i="17"/>
  <c r="P23" i="17"/>
  <c r="Q6" i="17"/>
  <c r="P24" i="17"/>
  <c r="Q24" i="17" s="1"/>
  <c r="L17" i="17"/>
  <c r="L12" i="17"/>
  <c r="Q41" i="8"/>
  <c r="P46" i="8"/>
  <c r="AA421" i="17"/>
  <c r="AH420" i="17"/>
  <c r="K30" i="14"/>
  <c r="K264" i="23"/>
  <c r="L135" i="20"/>
  <c r="M134" i="20"/>
  <c r="K550" i="17"/>
  <c r="AC421" i="17"/>
  <c r="AJ420" i="17"/>
  <c r="AA741" i="17"/>
  <c r="AB741" i="17"/>
  <c r="AI735" i="17" s="1"/>
  <c r="AC741" i="17"/>
  <c r="AJ735" i="17" s="1"/>
  <c r="AD741" i="17"/>
  <c r="AA275" i="17"/>
  <c r="AH269" i="17" s="1"/>
  <c r="K297" i="23"/>
  <c r="K303" i="23" s="1"/>
  <c r="K302" i="23"/>
  <c r="AH7" i="8"/>
  <c r="AA14" i="8"/>
  <c r="AH8" i="8" s="1"/>
  <c r="K549" i="17"/>
  <c r="AJ56" i="17"/>
  <c r="AC57" i="17"/>
  <c r="D108" i="17"/>
  <c r="H108" i="17" s="1"/>
  <c r="AL817" i="17"/>
  <c r="K72" i="14"/>
  <c r="K73" i="14"/>
  <c r="K70" i="23"/>
  <c r="AB429" i="17"/>
  <c r="AI423" i="17" s="1"/>
  <c r="AB430" i="17"/>
  <c r="AI424" i="17" s="1"/>
  <c r="AC429" i="17"/>
  <c r="AJ423" i="17" s="1"/>
  <c r="AD429" i="17"/>
  <c r="AB161" i="17"/>
  <c r="AI160" i="17"/>
  <c r="L132" i="20"/>
  <c r="M131" i="20"/>
  <c r="K804" i="17"/>
  <c r="K807" i="17"/>
  <c r="K551" i="17"/>
  <c r="K34" i="6"/>
  <c r="K31" i="6"/>
  <c r="K33" i="6"/>
  <c r="P24" i="23"/>
  <c r="Q24" i="23" s="1"/>
  <c r="L13" i="23"/>
  <c r="M13" i="23" s="1"/>
  <c r="L17" i="23"/>
  <c r="L19" i="23"/>
  <c r="M19" i="23" s="1"/>
  <c r="L14" i="23"/>
  <c r="Q6" i="23"/>
  <c r="L12" i="23"/>
  <c r="L16" i="23"/>
  <c r="M16" i="23" s="1"/>
  <c r="P23" i="23"/>
  <c r="D98" i="17"/>
  <c r="H98" i="17" s="1"/>
  <c r="AL297" i="17"/>
  <c r="AA429" i="17"/>
  <c r="AH423" i="17" s="1"/>
  <c r="AB431" i="17"/>
  <c r="AI425" i="17" s="1"/>
  <c r="AC431" i="17"/>
  <c r="AJ425" i="17" s="1"/>
  <c r="AD431" i="17"/>
  <c r="AK425" i="17" s="1"/>
  <c r="AA431" i="17"/>
  <c r="AH425" i="17" s="1"/>
  <c r="AA681" i="17"/>
  <c r="AH680" i="17"/>
  <c r="AC119" i="17"/>
  <c r="AJ113" i="17" s="1"/>
  <c r="AB119" i="17"/>
  <c r="AI113" i="17" s="1"/>
  <c r="AD119" i="17"/>
  <c r="AK113" i="17" s="1"/>
  <c r="V37" i="14"/>
  <c r="Q7" i="14"/>
  <c r="V38" i="14"/>
  <c r="Q33" i="12"/>
  <c r="K27" i="14"/>
  <c r="K30" i="9"/>
  <c r="K31" i="9" s="1"/>
  <c r="K602" i="17"/>
  <c r="B78" i="17"/>
  <c r="P418" i="17"/>
  <c r="AA119" i="17"/>
  <c r="AH113" i="17" s="1"/>
  <c r="K76" i="17"/>
  <c r="K81" i="17"/>
  <c r="AB274" i="17"/>
  <c r="AI268" i="17" s="1"/>
  <c r="O347" i="17"/>
  <c r="K601" i="17"/>
  <c r="P371" i="17"/>
  <c r="Q371" i="17" s="1"/>
  <c r="Q366" i="17"/>
  <c r="AA109" i="17"/>
  <c r="AH108" i="17"/>
  <c r="H52" i="17"/>
  <c r="AA117" i="17"/>
  <c r="AD117" i="17"/>
  <c r="AB118" i="17"/>
  <c r="AI112" i="17" s="1"/>
  <c r="AC118" i="17"/>
  <c r="AJ112" i="17" s="1"/>
  <c r="AB117" i="17"/>
  <c r="AI111" i="17" s="1"/>
  <c r="AC117" i="17"/>
  <c r="AJ111" i="17" s="1"/>
  <c r="Q95" i="20"/>
  <c r="AA273" i="17"/>
  <c r="K342" i="17"/>
  <c r="AC369" i="17"/>
  <c r="AJ368" i="17"/>
  <c r="AC379" i="17"/>
  <c r="AJ373" i="17" s="1"/>
  <c r="AC377" i="17"/>
  <c r="T10" i="13"/>
  <c r="U9" i="13" s="1"/>
  <c r="T11" i="13"/>
  <c r="AD586" i="17"/>
  <c r="AK580" i="17" s="1"/>
  <c r="O37" i="9"/>
  <c r="L211" i="23"/>
  <c r="M211" i="23" s="1"/>
  <c r="Q201" i="23"/>
  <c r="P219" i="23"/>
  <c r="Q219" i="23" s="1"/>
  <c r="L207" i="23"/>
  <c r="L208" i="23"/>
  <c r="M208" i="23" s="1"/>
  <c r="P218" i="23"/>
  <c r="L212" i="23"/>
  <c r="L214" i="23"/>
  <c r="M214" i="23" s="1"/>
  <c r="L209" i="23"/>
  <c r="D105" i="17"/>
  <c r="H105" i="17" s="1"/>
  <c r="AL661" i="17"/>
  <c r="O142" i="17"/>
  <c r="O139" i="17"/>
  <c r="O138" i="17"/>
  <c r="K133" i="17"/>
  <c r="K134" i="17"/>
  <c r="O137" i="17"/>
  <c r="O141" i="17"/>
  <c r="K30" i="20"/>
  <c r="O34" i="20"/>
  <c r="D103" i="17"/>
  <c r="H103" i="17" s="1"/>
  <c r="AL557" i="17"/>
  <c r="H50" i="17"/>
  <c r="K180" i="17"/>
  <c r="K184" i="17"/>
  <c r="AK267" i="17"/>
  <c r="AD274" i="17"/>
  <c r="AK268" i="17" s="1"/>
  <c r="AA586" i="17"/>
  <c r="AH580" i="17" s="1"/>
  <c r="O38" i="9"/>
  <c r="O607" i="17"/>
  <c r="O610" i="17"/>
  <c r="O605" i="17"/>
  <c r="AA481" i="17"/>
  <c r="AH475" i="17" s="1"/>
  <c r="AC481" i="17"/>
  <c r="AJ475" i="17" s="1"/>
  <c r="AD481" i="17"/>
  <c r="AK475" i="17" s="1"/>
  <c r="AC482" i="17"/>
  <c r="AJ476" i="17" s="1"/>
  <c r="AA482" i="17"/>
  <c r="AH476" i="17" s="1"/>
  <c r="AD482" i="17"/>
  <c r="AK476" i="17" s="1"/>
  <c r="V37" i="15"/>
  <c r="V38" i="15"/>
  <c r="Q7" i="15"/>
  <c r="K141" i="20"/>
  <c r="K145" i="20"/>
  <c r="K339" i="17"/>
  <c r="K343" i="17" s="1"/>
  <c r="AC793" i="17"/>
  <c r="Y107" i="20"/>
  <c r="AF205" i="23"/>
  <c r="AA210" i="23" s="1"/>
  <c r="AF203" i="23"/>
  <c r="AF204" i="23"/>
  <c r="AF199" i="23"/>
  <c r="T10" i="14"/>
  <c r="U9" i="14" s="1"/>
  <c r="C94" i="17"/>
  <c r="H94" i="17" s="1"/>
  <c r="AL89" i="17"/>
  <c r="K28" i="13"/>
  <c r="K24" i="13"/>
  <c r="K27" i="13"/>
  <c r="AC483" i="17"/>
  <c r="AJ477" i="17" s="1"/>
  <c r="AD483" i="17"/>
  <c r="AK477" i="17" s="1"/>
  <c r="AA483" i="17"/>
  <c r="AH477" i="17" s="1"/>
  <c r="AB171" i="17"/>
  <c r="AI165" i="17" s="1"/>
  <c r="AB169" i="17"/>
  <c r="U50" i="15"/>
  <c r="M83" i="20"/>
  <c r="L19" i="17"/>
  <c r="M19" i="17" s="1"/>
  <c r="O74" i="14"/>
  <c r="K27" i="20"/>
  <c r="K31" i="20" s="1"/>
  <c r="V68" i="23"/>
  <c r="Q46" i="23"/>
  <c r="S32" i="14"/>
  <c r="S31" i="14"/>
  <c r="T160" i="23"/>
  <c r="M165" i="23"/>
  <c r="AI319" i="17"/>
  <c r="AB326" i="17"/>
  <c r="AI320" i="17" s="1"/>
  <c r="AD170" i="17"/>
  <c r="AK164" i="17" s="1"/>
  <c r="L13" i="15"/>
  <c r="M13" i="15" s="1"/>
  <c r="P24" i="15"/>
  <c r="Q24" i="15" s="1"/>
  <c r="Q6" i="15"/>
  <c r="L17" i="15"/>
  <c r="L14" i="15"/>
  <c r="L16" i="15"/>
  <c r="M16" i="15" s="1"/>
  <c r="L12" i="15"/>
  <c r="L19" i="15"/>
  <c r="M19" i="15" s="1"/>
  <c r="P23" i="15"/>
  <c r="K293" i="17"/>
  <c r="K294" i="17"/>
  <c r="V49" i="15"/>
  <c r="V50" i="15"/>
  <c r="L17" i="8"/>
  <c r="L12" i="8"/>
  <c r="L13" i="8"/>
  <c r="L14" i="8"/>
  <c r="P24" i="8"/>
  <c r="P23" i="8"/>
  <c r="K340" i="17"/>
  <c r="L24" i="10"/>
  <c r="L13" i="17"/>
  <c r="M13" i="17" s="1"/>
  <c r="K263" i="20"/>
  <c r="L19" i="14"/>
  <c r="M19" i="14" s="1"/>
  <c r="L17" i="14"/>
  <c r="L13" i="14"/>
  <c r="M13" i="14" s="1"/>
  <c r="L14" i="14"/>
  <c r="P24" i="14"/>
  <c r="Q24" i="14" s="1"/>
  <c r="P23" i="14"/>
  <c r="X8" i="17"/>
  <c r="M9" i="17"/>
  <c r="K301" i="23"/>
  <c r="O73" i="14"/>
  <c r="L5" i="14"/>
  <c r="M12" i="14"/>
  <c r="O350" i="17"/>
  <c r="O346" i="17"/>
  <c r="L90" i="23"/>
  <c r="Q84" i="23"/>
  <c r="L95" i="23"/>
  <c r="L91" i="23"/>
  <c r="M91" i="23" s="1"/>
  <c r="P102" i="23"/>
  <c r="Q102" i="23" s="1"/>
  <c r="L92" i="23"/>
  <c r="P101" i="23"/>
  <c r="L16" i="14"/>
  <c r="M16" i="14" s="1"/>
  <c r="K31" i="8"/>
  <c r="K223" i="23"/>
  <c r="O38" i="20"/>
  <c r="W10" i="12"/>
  <c r="X9" i="12" s="1"/>
  <c r="X10" i="12" s="1"/>
  <c r="X11" i="12" s="1"/>
  <c r="AD733" i="17"/>
  <c r="AK732" i="17"/>
  <c r="T49" i="11"/>
  <c r="U48" i="11" s="1"/>
  <c r="U49" i="11" s="1"/>
  <c r="V48" i="11" s="1"/>
  <c r="Q7" i="23"/>
  <c r="V29" i="23"/>
  <c r="O294" i="17"/>
  <c r="O298" i="17"/>
  <c r="O606" i="17"/>
  <c r="K261" i="20"/>
  <c r="K265" i="20" s="1"/>
  <c r="P11" i="9"/>
  <c r="M11" i="9"/>
  <c r="L9" i="9" s="1"/>
  <c r="P14" i="9"/>
  <c r="Q14" i="9" s="1"/>
  <c r="L36" i="9"/>
  <c r="M36" i="9" s="1"/>
  <c r="K228" i="20"/>
  <c r="AB5" i="6"/>
  <c r="T10" i="6"/>
  <c r="T12" i="6"/>
  <c r="L6" i="9"/>
  <c r="M6" i="9" s="1"/>
  <c r="M15" i="9"/>
  <c r="O272" i="20"/>
  <c r="O271" i="20"/>
  <c r="M92" i="20"/>
  <c r="L93" i="20"/>
  <c r="T121" i="20"/>
  <c r="AF121" i="20" s="1"/>
  <c r="M126" i="20"/>
  <c r="L285" i="20"/>
  <c r="L286" i="20"/>
  <c r="M286" i="20" s="1"/>
  <c r="Q279" i="20"/>
  <c r="L292" i="20"/>
  <c r="M292" i="20" s="1"/>
  <c r="P297" i="20"/>
  <c r="Q297" i="20" s="1"/>
  <c r="L290" i="20"/>
  <c r="P296" i="20"/>
  <c r="L287" i="20"/>
  <c r="L289" i="20"/>
  <c r="M289" i="20" s="1"/>
  <c r="K229" i="20"/>
  <c r="U50" i="5"/>
  <c r="U11" i="5"/>
  <c r="U31" i="5" s="1"/>
  <c r="M12" i="5"/>
  <c r="M17" i="5"/>
  <c r="Q23" i="5"/>
  <c r="R6" i="5"/>
  <c r="M14" i="5"/>
  <c r="Q24" i="5"/>
  <c r="M13" i="5"/>
  <c r="M16" i="5"/>
  <c r="N16" i="5" s="1"/>
  <c r="M19" i="5"/>
  <c r="N19" i="5" s="1"/>
  <c r="R7" i="5"/>
  <c r="W38" i="5"/>
  <c r="W37" i="5"/>
  <c r="W87" i="5"/>
  <c r="R46" i="5"/>
  <c r="B12" i="2159"/>
  <c r="L31" i="5"/>
  <c r="L35" i="5" s="1"/>
  <c r="P292" i="23"/>
  <c r="P294" i="23"/>
  <c r="P293" i="23"/>
  <c r="Q293" i="23" s="1"/>
  <c r="AH527" i="17"/>
  <c r="AA534" i="17"/>
  <c r="AH528" i="17" s="1"/>
  <c r="M57" i="5"/>
  <c r="N56" i="5"/>
  <c r="C12" i="6"/>
  <c r="C14" i="6"/>
  <c r="C13" i="6"/>
  <c r="AI47" i="8"/>
  <c r="AD639" i="17"/>
  <c r="AK633" i="17" s="1"/>
  <c r="AA639" i="17"/>
  <c r="AH633" i="17" s="1"/>
  <c r="AB639" i="17"/>
  <c r="AI633" i="17" s="1"/>
  <c r="AC639" i="17"/>
  <c r="AJ633" i="17" s="1"/>
  <c r="AH282" i="23"/>
  <c r="X7" i="10"/>
  <c r="T10" i="10" s="1"/>
  <c r="V46" i="11"/>
  <c r="AC43" i="11"/>
  <c r="AJ43" i="11" s="1"/>
  <c r="V73" i="11"/>
  <c r="V70" i="11"/>
  <c r="V74" i="11"/>
  <c r="V71" i="11"/>
  <c r="V72" i="11"/>
  <c r="V75" i="11"/>
  <c r="V10" i="5"/>
  <c r="W9" i="5" s="1"/>
  <c r="Q97" i="20"/>
  <c r="P110" i="20"/>
  <c r="P106" i="20"/>
  <c r="AK47" i="8"/>
  <c r="AB22" i="12"/>
  <c r="P58" i="23"/>
  <c r="P60" i="23"/>
  <c r="P59" i="23"/>
  <c r="Q59" i="23" s="1"/>
  <c r="S31" i="11"/>
  <c r="S32" i="11"/>
  <c r="S50" i="12"/>
  <c r="X77" i="12"/>
  <c r="U5" i="16"/>
  <c r="T22" i="16"/>
  <c r="C26" i="2159"/>
  <c r="C28" i="2159"/>
  <c r="AH47" i="8"/>
  <c r="Y108" i="20"/>
  <c r="Y69" i="20"/>
  <c r="Y30" i="20"/>
  <c r="Y147" i="20"/>
  <c r="M44" i="23"/>
  <c r="K34" i="17"/>
  <c r="AK3" i="10"/>
  <c r="AD4" i="10"/>
  <c r="AK4" i="10" s="1"/>
  <c r="AQ4" i="10" s="1"/>
  <c r="AW4" i="10" s="1"/>
  <c r="AI475" i="17"/>
  <c r="AB482" i="17"/>
  <c r="AI476" i="17" s="1"/>
  <c r="O155" i="15"/>
  <c r="L169" i="23"/>
  <c r="M169" i="23" s="1"/>
  <c r="L173" i="23"/>
  <c r="L168" i="23"/>
  <c r="L172" i="23"/>
  <c r="M172" i="23" s="1"/>
  <c r="L175" i="23"/>
  <c r="M175" i="23" s="1"/>
  <c r="P179" i="23"/>
  <c r="P180" i="23"/>
  <c r="Q180" i="23" s="1"/>
  <c r="L170" i="23"/>
  <c r="Q162" i="23"/>
  <c r="Q99" i="20"/>
  <c r="P108" i="20"/>
  <c r="M69" i="17"/>
  <c r="L70" i="17"/>
  <c r="Q251" i="20"/>
  <c r="T154" i="15"/>
  <c r="T155" i="15" s="1"/>
  <c r="L56" i="14"/>
  <c r="L58" i="14"/>
  <c r="M58" i="14" s="1"/>
  <c r="L52" i="14"/>
  <c r="M52" i="14" s="1"/>
  <c r="Q45" i="14"/>
  <c r="L53" i="14"/>
  <c r="P63" i="14"/>
  <c r="Q63" i="14" s="1"/>
  <c r="P62" i="14"/>
  <c r="L51" i="14"/>
  <c r="L22" i="9"/>
  <c r="M5" i="9"/>
  <c r="K112" i="23"/>
  <c r="Q212" i="20"/>
  <c r="P213" i="20" s="1"/>
  <c r="Q213" i="20" s="1"/>
  <c r="K705" i="17"/>
  <c r="T10" i="11"/>
  <c r="U9" i="11" s="1"/>
  <c r="O112" i="20"/>
  <c r="O113" i="20"/>
  <c r="O111" i="20"/>
  <c r="K107" i="20"/>
  <c r="O116" i="20"/>
  <c r="K108" i="20"/>
  <c r="K33" i="9"/>
  <c r="K34" i="9"/>
  <c r="Y32" i="16"/>
  <c r="P147" i="20"/>
  <c r="Q138" i="20"/>
  <c r="M9" i="8"/>
  <c r="H4" i="8"/>
  <c r="AS73" i="16"/>
  <c r="AT73" i="16"/>
  <c r="AT32" i="16"/>
  <c r="AS32" i="16"/>
  <c r="AC586" i="17"/>
  <c r="AJ580" i="17" s="1"/>
  <c r="O191" i="23"/>
  <c r="O190" i="23"/>
  <c r="O194" i="23"/>
  <c r="O193" i="23"/>
  <c r="K186" i="23"/>
  <c r="K183" i="23"/>
  <c r="O189" i="23"/>
  <c r="Q56" i="23"/>
  <c r="AC534" i="17"/>
  <c r="AJ528" i="17" s="1"/>
  <c r="AJ527" i="17"/>
  <c r="D13" i="16"/>
  <c r="P11" i="16"/>
  <c r="D14" i="16"/>
  <c r="D19" i="16"/>
  <c r="D17" i="16"/>
  <c r="D15" i="16"/>
  <c r="D18" i="16"/>
  <c r="AJ14" i="8"/>
  <c r="AJ15" i="8"/>
  <c r="AB65" i="17"/>
  <c r="AI59" i="17" s="1"/>
  <c r="AC65" i="17"/>
  <c r="AJ59" i="17" s="1"/>
  <c r="AD65" i="17"/>
  <c r="AK59" i="17" s="1"/>
  <c r="AA65" i="17"/>
  <c r="AH59" i="17" s="1"/>
  <c r="L130" i="23"/>
  <c r="M130" i="23" s="1"/>
  <c r="L134" i="23"/>
  <c r="Q123" i="23"/>
  <c r="L136" i="23"/>
  <c r="M136" i="23" s="1"/>
  <c r="L133" i="23"/>
  <c r="M133" i="23" s="1"/>
  <c r="P141" i="23"/>
  <c r="Q141" i="23" s="1"/>
  <c r="L131" i="23"/>
  <c r="L129" i="23"/>
  <c r="R62" i="5"/>
  <c r="Q56" i="5"/>
  <c r="AD691" i="17"/>
  <c r="AK685" i="17" s="1"/>
  <c r="AC691" i="17"/>
  <c r="AJ685" i="17" s="1"/>
  <c r="AA691" i="17"/>
  <c r="AH685" i="17" s="1"/>
  <c r="AB691" i="17"/>
  <c r="AI685" i="17" s="1"/>
  <c r="M51" i="20"/>
  <c r="L44" i="20"/>
  <c r="Q50" i="8"/>
  <c r="T71" i="8"/>
  <c r="V71" i="8"/>
  <c r="U71" i="8"/>
  <c r="V70" i="8"/>
  <c r="V72" i="8"/>
  <c r="U70" i="8"/>
  <c r="T72" i="8"/>
  <c r="U72" i="8"/>
  <c r="T70" i="8"/>
  <c r="S72" i="8"/>
  <c r="S71" i="8"/>
  <c r="S70" i="8"/>
  <c r="T13" i="9"/>
  <c r="T12" i="9"/>
  <c r="T10" i="9"/>
  <c r="U9" i="9" s="1"/>
  <c r="AB23" i="12"/>
  <c r="AB637" i="17"/>
  <c r="AI631" i="17" s="1"/>
  <c r="AA637" i="17"/>
  <c r="AH631" i="17" s="1"/>
  <c r="AC637" i="17"/>
  <c r="AJ631" i="17" s="1"/>
  <c r="AD637" i="17"/>
  <c r="AK631" i="17" s="1"/>
  <c r="K33" i="17"/>
  <c r="Q17" i="6"/>
  <c r="L58" i="20"/>
  <c r="M58" i="20" s="1"/>
  <c r="L53" i="20"/>
  <c r="L52" i="20"/>
  <c r="M52" i="20" s="1"/>
  <c r="L56" i="20"/>
  <c r="Q45" i="20"/>
  <c r="L55" i="20"/>
  <c r="M55" i="20" s="1"/>
  <c r="P63" i="20"/>
  <c r="Q63" i="20" s="1"/>
  <c r="V49" i="8"/>
  <c r="V50" i="8" s="1"/>
  <c r="P161" i="17"/>
  <c r="Q159" i="17"/>
  <c r="M168" i="20"/>
  <c r="L161" i="20"/>
  <c r="Y263" i="20"/>
  <c r="Y224" i="20"/>
  <c r="Y185" i="20"/>
  <c r="O402" i="17"/>
  <c r="O398" i="17"/>
  <c r="K111" i="23"/>
  <c r="K704" i="17"/>
  <c r="E55" i="15"/>
  <c r="E56" i="15" s="1"/>
  <c r="C14" i="12"/>
  <c r="C16" i="12"/>
  <c r="O48" i="12"/>
  <c r="C15" i="12"/>
  <c r="Y51" i="12"/>
  <c r="H6" i="12"/>
  <c r="V50" i="12"/>
  <c r="O35" i="9"/>
  <c r="O34" i="9"/>
  <c r="O33" i="9"/>
  <c r="AE4" i="15"/>
  <c r="AE43" i="15"/>
  <c r="AK8" i="8"/>
  <c r="AK14" i="8" s="1"/>
  <c r="AF121" i="23"/>
  <c r="M44" i="15"/>
  <c r="L61" i="15"/>
  <c r="AI527" i="17"/>
  <c r="AB534" i="17"/>
  <c r="AI528" i="17" s="1"/>
  <c r="L12" i="13"/>
  <c r="P24" i="13"/>
  <c r="L19" i="13"/>
  <c r="M19" i="13" s="1"/>
  <c r="L14" i="13"/>
  <c r="L13" i="13"/>
  <c r="L17" i="13"/>
  <c r="Q6" i="13"/>
  <c r="P23" i="13"/>
  <c r="L16" i="13"/>
  <c r="M16" i="13" s="1"/>
  <c r="K30" i="11"/>
  <c r="Q53" i="8"/>
  <c r="T74" i="8"/>
  <c r="V74" i="8"/>
  <c r="V73" i="8"/>
  <c r="U73" i="8"/>
  <c r="T75" i="8"/>
  <c r="V75" i="8"/>
  <c r="T73" i="8"/>
  <c r="U75" i="8"/>
  <c r="U74" i="8"/>
  <c r="S75" i="8"/>
  <c r="S73" i="8"/>
  <c r="S74" i="8"/>
  <c r="S32" i="9"/>
  <c r="S31" i="9"/>
  <c r="K31" i="14"/>
  <c r="P262" i="20"/>
  <c r="Q262" i="20" s="1"/>
  <c r="Q253" i="20"/>
  <c r="P266" i="20"/>
  <c r="Q266" i="20" s="1"/>
  <c r="T43" i="20"/>
  <c r="M48" i="20"/>
  <c r="AR46" i="16"/>
  <c r="AN51" i="16"/>
  <c r="AN53" i="16"/>
  <c r="AW45" i="16"/>
  <c r="AW46" i="16" s="1"/>
  <c r="P140" i="23"/>
  <c r="Y29" i="20"/>
  <c r="AJ48" i="8"/>
  <c r="P211" i="17"/>
  <c r="C70" i="17"/>
  <c r="Y264" i="20"/>
  <c r="Y186" i="20"/>
  <c r="Y225" i="20"/>
  <c r="K395" i="17"/>
  <c r="R2" i="10"/>
  <c r="Q7" i="10"/>
  <c r="Q6" i="10"/>
  <c r="M18" i="6"/>
  <c r="L8" i="6"/>
  <c r="L54" i="23"/>
  <c r="M53" i="23"/>
  <c r="K267" i="23"/>
  <c r="K268" i="23"/>
  <c r="O710" i="17"/>
  <c r="O714" i="17"/>
  <c r="B20" i="2159"/>
  <c r="C14" i="2159"/>
  <c r="C29" i="2159" s="1"/>
  <c r="P231" i="20"/>
  <c r="Q231" i="20" s="1"/>
  <c r="Q225" i="20"/>
  <c r="W49" i="12"/>
  <c r="X48" i="12" s="1"/>
  <c r="AK15" i="8"/>
  <c r="O44" i="12"/>
  <c r="AD67" i="17"/>
  <c r="AK61" i="17" s="1"/>
  <c r="AA67" i="17"/>
  <c r="AH61" i="17" s="1"/>
  <c r="AB67" i="17"/>
  <c r="AI61" i="17" s="1"/>
  <c r="AC67" i="17"/>
  <c r="AJ61" i="17" s="1"/>
  <c r="P149" i="20"/>
  <c r="Q149" i="20" s="1"/>
  <c r="P145" i="20"/>
  <c r="Q145" i="20" s="1"/>
  <c r="Q136" i="20"/>
  <c r="AC689" i="17"/>
  <c r="AJ683" i="17" s="1"/>
  <c r="AA689" i="17"/>
  <c r="AH683" i="17" s="1"/>
  <c r="AD689" i="17"/>
  <c r="AK683" i="17" s="1"/>
  <c r="AB689" i="17"/>
  <c r="AI683" i="17" s="1"/>
  <c r="Q11" i="10"/>
  <c r="R11" i="10" s="1"/>
  <c r="M36" i="10"/>
  <c r="N36" i="10" s="1"/>
  <c r="N11" i="10"/>
  <c r="M9" i="10" s="1"/>
  <c r="N9" i="10" s="1"/>
  <c r="Q255" i="20"/>
  <c r="P264" i="20"/>
  <c r="N13" i="12"/>
  <c r="O13" i="12" s="1"/>
  <c r="N12" i="12"/>
  <c r="N17" i="12"/>
  <c r="N14" i="12"/>
  <c r="N19" i="12"/>
  <c r="O19" i="12" s="1"/>
  <c r="N16" i="12"/>
  <c r="O16" i="12" s="1"/>
  <c r="S6" i="12"/>
  <c r="R24" i="12"/>
  <c r="S24" i="12" s="1"/>
  <c r="R23" i="12"/>
  <c r="AA54" i="16"/>
  <c r="AB50" i="16"/>
  <c r="AA53" i="16"/>
  <c r="AA52" i="16"/>
  <c r="P67" i="15"/>
  <c r="Q67" i="15" s="1"/>
  <c r="P71" i="15"/>
  <c r="Q71" i="15" s="1"/>
  <c r="Q58" i="15"/>
  <c r="U50" i="11"/>
  <c r="Y68" i="20"/>
  <c r="P21" i="6"/>
  <c r="P19" i="6"/>
  <c r="P20" i="6"/>
  <c r="Q20" i="6" s="1"/>
  <c r="AF238" i="20"/>
  <c r="P62" i="20"/>
  <c r="G50" i="658"/>
  <c r="L53" i="8"/>
  <c r="L56" i="8"/>
  <c r="P63" i="8"/>
  <c r="Q63" i="8" s="1"/>
  <c r="Q45" i="8"/>
  <c r="P62" i="8"/>
  <c r="L51" i="8"/>
  <c r="L58" i="8"/>
  <c r="M58" i="8" s="1"/>
  <c r="L52" i="8"/>
  <c r="M52" i="8" s="1"/>
  <c r="L55" i="8"/>
  <c r="M55" i="8" s="1"/>
  <c r="L57" i="23"/>
  <c r="M56" i="23"/>
  <c r="K265" i="23"/>
  <c r="O713" i="17"/>
  <c r="Z30" i="13"/>
  <c r="M36" i="13"/>
  <c r="B15" i="2159"/>
  <c r="B21" i="2159" s="1"/>
  <c r="L33" i="5"/>
  <c r="L34" i="5"/>
  <c r="T10" i="15"/>
  <c r="U9" i="15" s="1"/>
  <c r="T11" i="15"/>
  <c r="Q6" i="20"/>
  <c r="L12" i="20"/>
  <c r="L13" i="20"/>
  <c r="M13" i="20" s="1"/>
  <c r="L17" i="20"/>
  <c r="L16" i="20"/>
  <c r="M16" i="20" s="1"/>
  <c r="L14" i="20"/>
  <c r="P24" i="20"/>
  <c r="Q24" i="20" s="1"/>
  <c r="P23" i="20"/>
  <c r="AH48" i="8"/>
  <c r="AB223" i="17"/>
  <c r="AI217" i="17" s="1"/>
  <c r="AA223" i="17"/>
  <c r="AH217" i="17" s="1"/>
  <c r="AC223" i="17"/>
  <c r="AJ217" i="17" s="1"/>
  <c r="AD223" i="17"/>
  <c r="AK217" i="17" s="1"/>
  <c r="Q134" i="20"/>
  <c r="S31" i="8"/>
  <c r="S32" i="8"/>
  <c r="Q69" i="17"/>
  <c r="AJ47" i="8"/>
  <c r="AJ53" i="8" s="1"/>
  <c r="V49" i="11"/>
  <c r="V50" i="11"/>
  <c r="M15" i="6"/>
  <c r="L6" i="6"/>
  <c r="M6" i="6" s="1"/>
  <c r="M242" i="20"/>
  <c r="L259" i="20"/>
  <c r="M259" i="20" s="1"/>
  <c r="K398" i="17"/>
  <c r="K397" i="17"/>
  <c r="M201" i="20"/>
  <c r="L217" i="20"/>
  <c r="O272" i="23"/>
  <c r="O268" i="23"/>
  <c r="O269" i="23"/>
  <c r="O267" i="23"/>
  <c r="K263" i="23"/>
  <c r="K703" i="17"/>
  <c r="V38" i="13"/>
  <c r="Q11" i="13"/>
  <c r="O54" i="12"/>
  <c r="N45" i="12"/>
  <c r="O45" i="12" s="1"/>
  <c r="S31" i="15"/>
  <c r="S32" i="15"/>
  <c r="K224" i="23"/>
  <c r="P296" i="23"/>
  <c r="T10" i="8"/>
  <c r="U9" i="8" s="1"/>
  <c r="AW3" i="16"/>
  <c r="AN7" i="16"/>
  <c r="AF5" i="6"/>
  <c r="AB23" i="6" s="1"/>
  <c r="AB22" i="6"/>
  <c r="AA23" i="6"/>
  <c r="M239" i="20"/>
  <c r="L240" i="20"/>
  <c r="M240" i="20" s="1"/>
  <c r="M249" i="20"/>
  <c r="AI787" i="17"/>
  <c r="AB794" i="17"/>
  <c r="AI788" i="17" s="1"/>
  <c r="P44" i="11"/>
  <c r="V88" i="11"/>
  <c r="Q42" i="11"/>
  <c r="V87" i="11"/>
  <c r="Q60" i="5"/>
  <c r="Q58" i="5"/>
  <c r="Q59" i="5"/>
  <c r="R59" i="5" s="1"/>
  <c r="AB21" i="12"/>
  <c r="Q46" i="20"/>
  <c r="V69" i="20"/>
  <c r="V68" i="20"/>
  <c r="K35" i="14"/>
  <c r="S69" i="12"/>
  <c r="K34" i="8"/>
  <c r="K33" i="8"/>
  <c r="L248" i="23"/>
  <c r="P257" i="23"/>
  <c r="L251" i="23"/>
  <c r="L247" i="23"/>
  <c r="M247" i="23" s="1"/>
  <c r="Q240" i="23"/>
  <c r="P258" i="23"/>
  <c r="Q258" i="23" s="1"/>
  <c r="L246" i="23"/>
  <c r="L253" i="23"/>
  <c r="M253" i="23" s="1"/>
  <c r="P69" i="15"/>
  <c r="Q60" i="15"/>
  <c r="Q155" i="15"/>
  <c r="P73" i="17"/>
  <c r="P71" i="17"/>
  <c r="P72" i="17"/>
  <c r="Q72" i="17" s="1"/>
  <c r="AH15" i="8"/>
  <c r="AH14" i="8"/>
  <c r="O397" i="17"/>
  <c r="AF82" i="23"/>
  <c r="L173" i="20"/>
  <c r="Q162" i="20"/>
  <c r="L170" i="20"/>
  <c r="L172" i="20"/>
  <c r="M172" i="20" s="1"/>
  <c r="L169" i="20"/>
  <c r="M169" i="20" s="1"/>
  <c r="P180" i="20"/>
  <c r="Q180" i="20" s="1"/>
  <c r="O711" i="17"/>
  <c r="S56" i="12"/>
  <c r="P38" i="5"/>
  <c r="P33" i="5"/>
  <c r="P34" i="5"/>
  <c r="P35" i="5"/>
  <c r="P37" i="5"/>
  <c r="U8" i="16"/>
  <c r="T25" i="16"/>
  <c r="U25" i="16" s="1"/>
  <c r="O233" i="23"/>
  <c r="O229" i="23"/>
  <c r="W46" i="14"/>
  <c r="S49" i="14" s="1"/>
  <c r="W51" i="14"/>
  <c r="H4" i="14"/>
  <c r="M57" i="15"/>
  <c r="L47" i="15"/>
  <c r="AD221" i="17"/>
  <c r="AK215" i="17" s="1"/>
  <c r="AA222" i="17"/>
  <c r="AH216" i="17" s="1"/>
  <c r="AB221" i="17"/>
  <c r="AI215" i="17" s="1"/>
  <c r="AC222" i="17"/>
  <c r="AJ216" i="17" s="1"/>
  <c r="AA221" i="17"/>
  <c r="AH215" i="17" s="1"/>
  <c r="AC221" i="17"/>
  <c r="AJ215" i="17" s="1"/>
  <c r="M54" i="5"/>
  <c r="N53" i="5"/>
  <c r="O35" i="11"/>
  <c r="O38" i="11"/>
  <c r="O34" i="11"/>
  <c r="O37" i="11"/>
  <c r="K27" i="11"/>
  <c r="K31" i="11" s="1"/>
  <c r="O33" i="11"/>
  <c r="K34" i="14"/>
  <c r="K33" i="14"/>
  <c r="AI8" i="8"/>
  <c r="AI15" i="8" s="1"/>
  <c r="Q179" i="20"/>
  <c r="P173" i="20"/>
  <c r="Q279" i="23"/>
  <c r="L290" i="23"/>
  <c r="L285" i="23"/>
  <c r="L286" i="23"/>
  <c r="M286" i="23" s="1"/>
  <c r="L292" i="23"/>
  <c r="M292" i="23" s="1"/>
  <c r="L287" i="23"/>
  <c r="L289" i="23"/>
  <c r="M289" i="23" s="1"/>
  <c r="M122" i="20"/>
  <c r="P5" i="11"/>
  <c r="Q3" i="11"/>
  <c r="V37" i="11"/>
  <c r="V38" i="11"/>
  <c r="N51" i="5"/>
  <c r="M44" i="5"/>
  <c r="M5" i="6"/>
  <c r="L22" i="6"/>
  <c r="AK527" i="17"/>
  <c r="AD534" i="17"/>
  <c r="AK528" i="17" s="1"/>
  <c r="O190" i="20"/>
  <c r="O194" i="20"/>
  <c r="O193" i="20"/>
  <c r="O189" i="20"/>
  <c r="O191" i="20"/>
  <c r="K185" i="20"/>
  <c r="K186" i="20"/>
  <c r="K183" i="20"/>
  <c r="G18" i="9"/>
  <c r="Q24" i="9"/>
  <c r="O38" i="14"/>
  <c r="O33" i="14"/>
  <c r="AA286" i="23"/>
  <c r="AA287" i="23" s="1"/>
  <c r="M66" i="17"/>
  <c r="L67" i="17"/>
  <c r="P110" i="17"/>
  <c r="Q109" i="17"/>
  <c r="T238" i="23"/>
  <c r="M243" i="23"/>
  <c r="L57" i="17"/>
  <c r="M64" i="17"/>
  <c r="T55" i="16"/>
  <c r="X67" i="16"/>
  <c r="Y49" i="16"/>
  <c r="T58" i="16"/>
  <c r="T54" i="16"/>
  <c r="T60" i="16"/>
  <c r="U60" i="16" s="1"/>
  <c r="T57" i="16"/>
  <c r="U57" i="16" s="1"/>
  <c r="T53" i="16"/>
  <c r="X66" i="16"/>
  <c r="AF43" i="23"/>
  <c r="V264" i="23"/>
  <c r="K393" i="17"/>
  <c r="K706" i="17"/>
  <c r="H4" i="13"/>
  <c r="M9" i="13"/>
  <c r="Y19" i="16"/>
  <c r="K222" i="23"/>
  <c r="K226" i="23" s="1"/>
  <c r="K29" i="9"/>
  <c r="I55" i="15"/>
  <c r="I54" i="15"/>
  <c r="F54" i="15" s="1"/>
  <c r="AK42" i="14"/>
  <c r="AD43" i="14"/>
  <c r="AK43" i="14" s="1"/>
  <c r="N64" i="12"/>
  <c r="O64" i="12" s="1"/>
  <c r="O47" i="12"/>
  <c r="U32" i="5" l="1"/>
  <c r="L278" i="20"/>
  <c r="M285" i="20"/>
  <c r="Q11" i="9"/>
  <c r="V38" i="9"/>
  <c r="M14" i="8"/>
  <c r="L15" i="8"/>
  <c r="U70" i="15"/>
  <c r="U71" i="15"/>
  <c r="AH204" i="23"/>
  <c r="K138" i="17"/>
  <c r="K137" i="17"/>
  <c r="AC742" i="17"/>
  <c r="AJ736" i="17" s="1"/>
  <c r="AJ319" i="17"/>
  <c r="AC326" i="17"/>
  <c r="AJ320" i="17" s="1"/>
  <c r="K69" i="8"/>
  <c r="O74" i="8"/>
  <c r="O73" i="8"/>
  <c r="O76" i="8"/>
  <c r="O72" i="8"/>
  <c r="AB222" i="17"/>
  <c r="AI216" i="17" s="1"/>
  <c r="AH16" i="8"/>
  <c r="AH20" i="8" s="1"/>
  <c r="E21" i="8"/>
  <c r="M13" i="8"/>
  <c r="AI163" i="17"/>
  <c r="AB170" i="17"/>
  <c r="AI164" i="17" s="1"/>
  <c r="O90" i="17"/>
  <c r="O87" i="17"/>
  <c r="O89" i="17"/>
  <c r="O85" i="17"/>
  <c r="O86" i="17"/>
  <c r="K82" i="17"/>
  <c r="P20" i="23"/>
  <c r="Q20" i="23" s="1"/>
  <c r="P21" i="23"/>
  <c r="P19" i="23"/>
  <c r="AD742" i="17"/>
  <c r="AK736" i="17" s="1"/>
  <c r="AK735" i="17"/>
  <c r="V87" i="8"/>
  <c r="Q46" i="8"/>
  <c r="AE4" i="11"/>
  <c r="AE43" i="11"/>
  <c r="AD118" i="17"/>
  <c r="AK112" i="17" s="1"/>
  <c r="AK111" i="17"/>
  <c r="AA638" i="17"/>
  <c r="AH632" i="17" s="1"/>
  <c r="M93" i="20"/>
  <c r="L84" i="20"/>
  <c r="L93" i="23"/>
  <c r="M92" i="23"/>
  <c r="P17" i="14"/>
  <c r="Q23" i="14"/>
  <c r="L18" i="8"/>
  <c r="M17" i="8"/>
  <c r="T32" i="13"/>
  <c r="T31" i="13"/>
  <c r="AA118" i="17"/>
  <c r="AH112" i="17" s="1"/>
  <c r="AH111" i="17"/>
  <c r="Q418" i="17"/>
  <c r="P423" i="17"/>
  <c r="Q423" i="17" s="1"/>
  <c r="M12" i="17"/>
  <c r="L5" i="17"/>
  <c r="Q101" i="23"/>
  <c r="P95" i="23"/>
  <c r="AF4" i="17"/>
  <c r="Y8" i="17"/>
  <c r="AJ787" i="17"/>
  <c r="AC794" i="17"/>
  <c r="AJ788" i="17" s="1"/>
  <c r="R75" i="12"/>
  <c r="S75" i="12" s="1"/>
  <c r="AB638" i="17"/>
  <c r="AI632" i="17" s="1"/>
  <c r="P99" i="23"/>
  <c r="P98" i="23"/>
  <c r="P97" i="23"/>
  <c r="P20" i="14"/>
  <c r="Q20" i="14" s="1"/>
  <c r="P21" i="14"/>
  <c r="P19" i="14"/>
  <c r="V71" i="15"/>
  <c r="V70" i="15"/>
  <c r="U10" i="13"/>
  <c r="V9" i="13" s="1"/>
  <c r="U11" i="13"/>
  <c r="B80" i="17"/>
  <c r="P470" i="17"/>
  <c r="AA742" i="17"/>
  <c r="AH736" i="17" s="1"/>
  <c r="AH735" i="17"/>
  <c r="M17" i="17"/>
  <c r="L18" i="17"/>
  <c r="AK787" i="17"/>
  <c r="AD794" i="17"/>
  <c r="AK788" i="17" s="1"/>
  <c r="M12" i="8"/>
  <c r="F21" i="8"/>
  <c r="L5" i="8"/>
  <c r="X20" i="16"/>
  <c r="AD638" i="17"/>
  <c r="AK632" i="17" s="1"/>
  <c r="M14" i="14"/>
  <c r="L15" i="14"/>
  <c r="AF166" i="23"/>
  <c r="AA171" i="23" s="1"/>
  <c r="AF164" i="23"/>
  <c r="AF165" i="23"/>
  <c r="AF160" i="23"/>
  <c r="O151" i="20"/>
  <c r="O150" i="20"/>
  <c r="K147" i="20"/>
  <c r="K146" i="20"/>
  <c r="K144" i="20"/>
  <c r="K148" i="20" s="1"/>
  <c r="O152" i="20"/>
  <c r="O154" i="20"/>
  <c r="O155" i="20"/>
  <c r="AJ371" i="17"/>
  <c r="AC378" i="17"/>
  <c r="AJ372" i="17" s="1"/>
  <c r="K603" i="17"/>
  <c r="K605" i="17"/>
  <c r="K606" i="17"/>
  <c r="AB742" i="17"/>
  <c r="AI736" i="17" s="1"/>
  <c r="P19" i="17"/>
  <c r="P21" i="17"/>
  <c r="P20" i="17"/>
  <c r="Q20" i="17" s="1"/>
  <c r="AH787" i="17"/>
  <c r="AA794" i="17"/>
  <c r="AH788" i="17" s="1"/>
  <c r="M96" i="20"/>
  <c r="L86" i="20"/>
  <c r="T50" i="11"/>
  <c r="L18" i="14"/>
  <c r="M17" i="14"/>
  <c r="K30" i="13"/>
  <c r="O34" i="13"/>
  <c r="K29" i="13"/>
  <c r="O33" i="13"/>
  <c r="O35" i="13"/>
  <c r="O38" i="13"/>
  <c r="O37" i="13"/>
  <c r="L210" i="23"/>
  <c r="M209" i="23"/>
  <c r="O818" i="17"/>
  <c r="O814" i="17"/>
  <c r="O815" i="17"/>
  <c r="O817" i="17"/>
  <c r="O813" i="17"/>
  <c r="Q23" i="17"/>
  <c r="P17" i="17"/>
  <c r="Q17" i="17" s="1"/>
  <c r="M90" i="23"/>
  <c r="L83" i="23"/>
  <c r="P17" i="15"/>
  <c r="Q17" i="15" s="1"/>
  <c r="Q23" i="15"/>
  <c r="O190" i="17"/>
  <c r="K185" i="17"/>
  <c r="O191" i="17"/>
  <c r="O189" i="17"/>
  <c r="O193" i="17"/>
  <c r="O194" i="17"/>
  <c r="K68" i="8"/>
  <c r="M14" i="17"/>
  <c r="L15" i="17"/>
  <c r="M287" i="20"/>
  <c r="L288" i="20"/>
  <c r="L213" i="23"/>
  <c r="M212" i="23"/>
  <c r="K346" i="17"/>
  <c r="K345" i="17"/>
  <c r="K135" i="17"/>
  <c r="P17" i="23"/>
  <c r="Q23" i="23"/>
  <c r="L123" i="20"/>
  <c r="M132" i="20"/>
  <c r="K554" i="17"/>
  <c r="K553" i="17"/>
  <c r="L25" i="9"/>
  <c r="M25" i="9" s="1"/>
  <c r="M8" i="9"/>
  <c r="P18" i="9" s="1"/>
  <c r="AB24" i="12"/>
  <c r="AC25" i="12" s="1"/>
  <c r="AD690" i="17"/>
  <c r="AK684" i="17" s="1"/>
  <c r="P290" i="20"/>
  <c r="Q296" i="20"/>
  <c r="U9" i="6"/>
  <c r="T13" i="6"/>
  <c r="T11" i="6"/>
  <c r="L5" i="15"/>
  <c r="M12" i="15"/>
  <c r="P212" i="23"/>
  <c r="Q212" i="23" s="1"/>
  <c r="Q218" i="23"/>
  <c r="AH267" i="17"/>
  <c r="AA274" i="17"/>
  <c r="AH268" i="17" s="1"/>
  <c r="K502" i="17"/>
  <c r="K501" i="17"/>
  <c r="M95" i="23"/>
  <c r="L96" i="23"/>
  <c r="AK16" i="8"/>
  <c r="AK20" i="8" s="1"/>
  <c r="M290" i="20"/>
  <c r="L291" i="20"/>
  <c r="X31" i="12"/>
  <c r="X32" i="12"/>
  <c r="K268" i="20"/>
  <c r="P34" i="10"/>
  <c r="P35" i="10"/>
  <c r="L29" i="10"/>
  <c r="P38" i="10"/>
  <c r="P37" i="10"/>
  <c r="P33" i="10"/>
  <c r="L27" i="10"/>
  <c r="U10" i="14"/>
  <c r="V9" i="14" s="1"/>
  <c r="M12" i="23"/>
  <c r="L5" i="23"/>
  <c r="M135" i="20"/>
  <c r="L125" i="20"/>
  <c r="O503" i="17"/>
  <c r="O502" i="17"/>
  <c r="K497" i="17"/>
  <c r="O505" i="17"/>
  <c r="O506" i="17"/>
  <c r="K495" i="17"/>
  <c r="K499" i="17" s="1"/>
  <c r="AA690" i="17"/>
  <c r="AH684" i="17" s="1"/>
  <c r="P292" i="20"/>
  <c r="P294" i="20"/>
  <c r="P293" i="20"/>
  <c r="Q293" i="20" s="1"/>
  <c r="W11" i="12"/>
  <c r="K267" i="20"/>
  <c r="L30" i="10"/>
  <c r="L15" i="15"/>
  <c r="M14" i="15"/>
  <c r="K810" i="17"/>
  <c r="T11" i="14"/>
  <c r="L200" i="23"/>
  <c r="M207" i="23"/>
  <c r="AD430" i="17"/>
  <c r="AK424" i="17" s="1"/>
  <c r="AK423" i="17"/>
  <c r="W50" i="12"/>
  <c r="M17" i="15"/>
  <c r="L18" i="15"/>
  <c r="K33" i="20"/>
  <c r="K34" i="20"/>
  <c r="P214" i="23"/>
  <c r="P215" i="23"/>
  <c r="Q215" i="23" s="1"/>
  <c r="P216" i="23"/>
  <c r="L15" i="23"/>
  <c r="M14" i="23"/>
  <c r="AC430" i="17"/>
  <c r="AJ424" i="17" s="1"/>
  <c r="K183" i="17"/>
  <c r="K187" i="17" s="1"/>
  <c r="K187" i="23"/>
  <c r="M5" i="14"/>
  <c r="H21" i="8"/>
  <c r="P17" i="8"/>
  <c r="Q17" i="8" s="1"/>
  <c r="Q23" i="8"/>
  <c r="K186" i="17"/>
  <c r="O311" i="23"/>
  <c r="O308" i="23"/>
  <c r="O306" i="23"/>
  <c r="K300" i="23"/>
  <c r="K304" i="23" s="1"/>
  <c r="O310" i="23"/>
  <c r="O307" i="23"/>
  <c r="V88" i="8"/>
  <c r="K809" i="17"/>
  <c r="P39" i="5"/>
  <c r="R39" i="5" s="1"/>
  <c r="AA21" i="6"/>
  <c r="I4" i="9"/>
  <c r="M9" i="9"/>
  <c r="W9" i="9"/>
  <c r="Q24" i="8"/>
  <c r="G21" i="8"/>
  <c r="P20" i="15"/>
  <c r="Q20" i="15" s="1"/>
  <c r="P19" i="15"/>
  <c r="P21" i="15"/>
  <c r="AA208" i="23"/>
  <c r="K79" i="17"/>
  <c r="L18" i="23"/>
  <c r="M17" i="23"/>
  <c r="AA430" i="17"/>
  <c r="AH424" i="17" s="1"/>
  <c r="K66" i="8"/>
  <c r="K70" i="8" s="1"/>
  <c r="O501" i="17"/>
  <c r="V11" i="5"/>
  <c r="V32" i="5" s="1"/>
  <c r="N13" i="5"/>
  <c r="F20" i="5"/>
  <c r="H20" i="5"/>
  <c r="R24" i="5"/>
  <c r="M15" i="5"/>
  <c r="N14" i="5"/>
  <c r="R23" i="5"/>
  <c r="Q17" i="5"/>
  <c r="R17" i="5" s="1"/>
  <c r="I20" i="5"/>
  <c r="N17" i="5"/>
  <c r="M18" i="5"/>
  <c r="N12" i="5"/>
  <c r="M5" i="5"/>
  <c r="G20" i="5"/>
  <c r="M57" i="17"/>
  <c r="T31" i="15"/>
  <c r="T32" i="15"/>
  <c r="L291" i="23"/>
  <c r="M290" i="23"/>
  <c r="G41" i="16"/>
  <c r="U53" i="16"/>
  <c r="T46" i="16"/>
  <c r="AD222" i="17"/>
  <c r="AK216" i="17" s="1"/>
  <c r="S50" i="14"/>
  <c r="T48" i="14"/>
  <c r="P84" i="17"/>
  <c r="Q84" i="17" s="1"/>
  <c r="P80" i="17"/>
  <c r="Q80" i="17" s="1"/>
  <c r="Q71" i="17"/>
  <c r="L239" i="23"/>
  <c r="M246" i="23"/>
  <c r="P45" i="11"/>
  <c r="Q44" i="11"/>
  <c r="AA22" i="6"/>
  <c r="AA24" i="6" s="1"/>
  <c r="AA10" i="16"/>
  <c r="AM12" i="16"/>
  <c r="P56" i="8"/>
  <c r="Q62" i="8"/>
  <c r="R20" i="12"/>
  <c r="S20" i="12" s="1"/>
  <c r="R21" i="12"/>
  <c r="R19" i="12"/>
  <c r="P270" i="20"/>
  <c r="Q270" i="20" s="1"/>
  <c r="Q264" i="20"/>
  <c r="AB690" i="17"/>
  <c r="AI684" i="17" s="1"/>
  <c r="AK22" i="8"/>
  <c r="AK21" i="8"/>
  <c r="E24" i="8" s="1"/>
  <c r="H21" i="13"/>
  <c r="P17" i="13"/>
  <c r="Q23" i="13"/>
  <c r="Z114" i="16"/>
  <c r="K228" i="23"/>
  <c r="P226" i="20"/>
  <c r="L54" i="14"/>
  <c r="M53" i="14"/>
  <c r="P252" i="20"/>
  <c r="P173" i="23"/>
  <c r="Q179" i="23"/>
  <c r="P134" i="23"/>
  <c r="Q140" i="23"/>
  <c r="AB48" i="12"/>
  <c r="AB61" i="12" s="1"/>
  <c r="M161" i="20"/>
  <c r="AB66" i="17"/>
  <c r="AI60" i="17" s="1"/>
  <c r="AJ54" i="8"/>
  <c r="AJ55" i="8" s="1"/>
  <c r="AJ59" i="8" s="1"/>
  <c r="Q147" i="20"/>
  <c r="K111" i="20"/>
  <c r="K112" i="20"/>
  <c r="M70" i="17"/>
  <c r="L60" i="17"/>
  <c r="H4" i="10"/>
  <c r="M47" i="5"/>
  <c r="N57" i="5"/>
  <c r="B16" i="2159"/>
  <c r="B22" i="2159" s="1"/>
  <c r="Q73" i="17"/>
  <c r="P82" i="17"/>
  <c r="M170" i="20"/>
  <c r="L171" i="20"/>
  <c r="Q69" i="5"/>
  <c r="R60" i="5"/>
  <c r="P19" i="20"/>
  <c r="P21" i="20"/>
  <c r="P20" i="20"/>
  <c r="Q20" i="20" s="1"/>
  <c r="U10" i="15"/>
  <c r="V9" i="15" s="1"/>
  <c r="P60" i="8"/>
  <c r="P59" i="8"/>
  <c r="Q59" i="8" s="1"/>
  <c r="P58" i="8"/>
  <c r="M17" i="10"/>
  <c r="M16" i="10"/>
  <c r="N16" i="10" s="1"/>
  <c r="M13" i="10"/>
  <c r="Q23" i="10"/>
  <c r="M19" i="10"/>
  <c r="N19" i="10" s="1"/>
  <c r="M14" i="10"/>
  <c r="R6" i="10"/>
  <c r="M12" i="10"/>
  <c r="Q24" i="10"/>
  <c r="AF43" i="20"/>
  <c r="U4" i="20"/>
  <c r="M17" i="13"/>
  <c r="L18" i="13"/>
  <c r="L62" i="15"/>
  <c r="L67" i="15" s="1"/>
  <c r="M61" i="15"/>
  <c r="L57" i="20"/>
  <c r="M56" i="20"/>
  <c r="R56" i="5"/>
  <c r="L135" i="23"/>
  <c r="M134" i="23"/>
  <c r="K190" i="23"/>
  <c r="K189" i="23"/>
  <c r="T11" i="10"/>
  <c r="U9" i="10"/>
  <c r="C16" i="2159"/>
  <c r="C12" i="2159"/>
  <c r="C27" i="2159" s="1"/>
  <c r="B18" i="2159"/>
  <c r="M67" i="17"/>
  <c r="L58" i="17"/>
  <c r="L74" i="17" s="1"/>
  <c r="AF242" i="23"/>
  <c r="AF243" i="23"/>
  <c r="AF238" i="23"/>
  <c r="AF244" i="23"/>
  <c r="AA249" i="23" s="1"/>
  <c r="AH165" i="23"/>
  <c r="AI14" i="8"/>
  <c r="AI16" i="8" s="1"/>
  <c r="AI20" i="8" s="1"/>
  <c r="AB70" i="12"/>
  <c r="AC70" i="12"/>
  <c r="AD70" i="12"/>
  <c r="AC31" i="12"/>
  <c r="AD31" i="12"/>
  <c r="AB33" i="12"/>
  <c r="AC33" i="12"/>
  <c r="AD33" i="12"/>
  <c r="AB31" i="12"/>
  <c r="U10" i="8"/>
  <c r="V9" i="8" s="1"/>
  <c r="L15" i="20"/>
  <c r="M14" i="20"/>
  <c r="M57" i="23"/>
  <c r="L47" i="23"/>
  <c r="L57" i="8"/>
  <c r="M56" i="8"/>
  <c r="AA73" i="16"/>
  <c r="AA72" i="16"/>
  <c r="W70" i="12"/>
  <c r="W71" i="12"/>
  <c r="R7" i="10"/>
  <c r="W37" i="10"/>
  <c r="W38" i="10"/>
  <c r="M13" i="13"/>
  <c r="E21" i="13"/>
  <c r="AK54" i="8"/>
  <c r="AK53" i="8"/>
  <c r="AB49" i="12"/>
  <c r="AB62" i="12" s="1"/>
  <c r="T11" i="9"/>
  <c r="AC66" i="17"/>
  <c r="AJ60" i="17" s="1"/>
  <c r="Q108" i="20"/>
  <c r="M168" i="23"/>
  <c r="L161" i="23"/>
  <c r="Q106" i="20"/>
  <c r="P254" i="23"/>
  <c r="Q254" i="23" s="1"/>
  <c r="P255" i="23"/>
  <c r="P253" i="23"/>
  <c r="F41" i="16"/>
  <c r="U54" i="16"/>
  <c r="AH281" i="23"/>
  <c r="X29" i="16"/>
  <c r="E6" i="13"/>
  <c r="AA11" i="13" s="1"/>
  <c r="I6" i="13"/>
  <c r="C7" i="13"/>
  <c r="W12" i="13"/>
  <c r="AE4" i="13" s="1"/>
  <c r="U4" i="23"/>
  <c r="U58" i="16"/>
  <c r="T59" i="16"/>
  <c r="AH280" i="23"/>
  <c r="AA289" i="23"/>
  <c r="AB288" i="23" s="1"/>
  <c r="AB286" i="23"/>
  <c r="I101" i="23" s="1"/>
  <c r="K187" i="20"/>
  <c r="N44" i="5"/>
  <c r="N54" i="5"/>
  <c r="M45" i="5"/>
  <c r="N45" i="5" s="1"/>
  <c r="M47" i="15"/>
  <c r="P57" i="15" s="1"/>
  <c r="L64" i="15"/>
  <c r="M64" i="15" s="1"/>
  <c r="L174" i="20"/>
  <c r="M173" i="20"/>
  <c r="M251" i="23"/>
  <c r="L252" i="23"/>
  <c r="AB21" i="6"/>
  <c r="AB24" i="6" s="1"/>
  <c r="T11" i="8"/>
  <c r="L54" i="8"/>
  <c r="M53" i="8"/>
  <c r="AA75" i="16"/>
  <c r="AA74" i="16"/>
  <c r="O14" i="12"/>
  <c r="N15" i="12"/>
  <c r="X49" i="12"/>
  <c r="X50" i="12" s="1"/>
  <c r="L45" i="23"/>
  <c r="M54" i="23"/>
  <c r="P263" i="17"/>
  <c r="C72" i="17"/>
  <c r="M14" i="13"/>
  <c r="L15" i="13"/>
  <c r="AB47" i="12"/>
  <c r="Q161" i="17"/>
  <c r="P162" i="17"/>
  <c r="L54" i="20"/>
  <c r="M53" i="20"/>
  <c r="U10" i="9"/>
  <c r="V9" i="9" s="1"/>
  <c r="M44" i="20"/>
  <c r="M129" i="23"/>
  <c r="L122" i="23"/>
  <c r="AJ16" i="8"/>
  <c r="AJ20" i="8" s="1"/>
  <c r="T11" i="11"/>
  <c r="M56" i="14"/>
  <c r="L57" i="14"/>
  <c r="L174" i="23"/>
  <c r="M173" i="23"/>
  <c r="Q60" i="23"/>
  <c r="P69" i="23"/>
  <c r="Q110" i="20"/>
  <c r="M285" i="23"/>
  <c r="L278" i="23"/>
  <c r="AH22" i="8"/>
  <c r="AH21" i="8"/>
  <c r="P17" i="20"/>
  <c r="Q23" i="20"/>
  <c r="K710" i="17"/>
  <c r="K709" i="17"/>
  <c r="L120" i="17"/>
  <c r="M120" i="17" s="1"/>
  <c r="Q110" i="17"/>
  <c r="L117" i="17"/>
  <c r="M117" i="17" s="1"/>
  <c r="L118" i="17"/>
  <c r="P127" i="17"/>
  <c r="P128" i="17"/>
  <c r="Q128" i="17" s="1"/>
  <c r="L121" i="17"/>
  <c r="L123" i="17"/>
  <c r="M123" i="17" s="1"/>
  <c r="L116" i="17"/>
  <c r="K190" i="20"/>
  <c r="K189" i="20"/>
  <c r="R57" i="12"/>
  <c r="P251" i="23"/>
  <c r="Q257" i="23"/>
  <c r="P290" i="23"/>
  <c r="Q296" i="23"/>
  <c r="M217" i="20"/>
  <c r="L218" i="20"/>
  <c r="L223" i="20" s="1"/>
  <c r="L18" i="20"/>
  <c r="M17" i="20"/>
  <c r="Q19" i="6"/>
  <c r="P28" i="6"/>
  <c r="Q28" i="6" s="1"/>
  <c r="P32" i="6"/>
  <c r="Q32" i="6" s="1"/>
  <c r="AS46" i="16"/>
  <c r="AB51" i="16"/>
  <c r="AC50" i="16" s="1"/>
  <c r="N18" i="12"/>
  <c r="O17" i="12"/>
  <c r="N61" i="12"/>
  <c r="Q211" i="17"/>
  <c r="P213" i="17"/>
  <c r="V70" i="12"/>
  <c r="V71" i="12"/>
  <c r="AC638" i="17"/>
  <c r="AJ632" i="17" s="1"/>
  <c r="M131" i="23"/>
  <c r="L132" i="23"/>
  <c r="AD66" i="17"/>
  <c r="AK60" i="17" s="1"/>
  <c r="X38" i="16"/>
  <c r="Y38" i="16" s="1"/>
  <c r="U10" i="11"/>
  <c r="V9" i="11" s="1"/>
  <c r="L44" i="14"/>
  <c r="M51" i="14"/>
  <c r="P71" i="23"/>
  <c r="Q71" i="23" s="1"/>
  <c r="Q58" i="23"/>
  <c r="P67" i="23"/>
  <c r="Q67" i="23" s="1"/>
  <c r="L23" i="6"/>
  <c r="M22" i="6"/>
  <c r="AI54" i="8"/>
  <c r="AI53" i="8"/>
  <c r="L288" i="23"/>
  <c r="M287" i="23"/>
  <c r="P75" i="15"/>
  <c r="Q75" i="15" s="1"/>
  <c r="Q69" i="15"/>
  <c r="L249" i="23"/>
  <c r="M248" i="23"/>
  <c r="P56" i="20"/>
  <c r="Q62" i="20"/>
  <c r="Q21" i="6"/>
  <c r="P30" i="6"/>
  <c r="N5" i="12"/>
  <c r="O12" i="12"/>
  <c r="K33" i="11"/>
  <c r="K34" i="11"/>
  <c r="Q24" i="13"/>
  <c r="G21" i="13"/>
  <c r="Z22" i="15"/>
  <c r="Z62" i="15"/>
  <c r="Z23" i="15"/>
  <c r="Z60" i="15"/>
  <c r="Z21" i="15"/>
  <c r="Z61" i="15"/>
  <c r="P137" i="23"/>
  <c r="Q137" i="23" s="1"/>
  <c r="P136" i="23"/>
  <c r="P138" i="23"/>
  <c r="W12" i="8"/>
  <c r="W51" i="8"/>
  <c r="M22" i="9"/>
  <c r="L23" i="9"/>
  <c r="Q62" i="14"/>
  <c r="P56" i="14"/>
  <c r="M170" i="23"/>
  <c r="L171" i="23"/>
  <c r="P303" i="23"/>
  <c r="Q294" i="23"/>
  <c r="Q67" i="5"/>
  <c r="R67" i="5" s="1"/>
  <c r="R58" i="5"/>
  <c r="Q71" i="5"/>
  <c r="R71" i="5" s="1"/>
  <c r="P6" i="11"/>
  <c r="Q5" i="11"/>
  <c r="I56" i="15"/>
  <c r="H41" i="16"/>
  <c r="Y67" i="16"/>
  <c r="X60" i="16"/>
  <c r="Y66" i="16"/>
  <c r="I41" i="16"/>
  <c r="T56" i="16"/>
  <c r="U55" i="16"/>
  <c r="P19" i="9"/>
  <c r="P21" i="9"/>
  <c r="P20" i="9"/>
  <c r="Q20" i="9" s="1"/>
  <c r="Q173" i="20"/>
  <c r="X12" i="14"/>
  <c r="P175" i="20"/>
  <c r="P177" i="20"/>
  <c r="P176" i="20"/>
  <c r="Q176" i="20" s="1"/>
  <c r="L256" i="20"/>
  <c r="K707" i="17"/>
  <c r="M12" i="20"/>
  <c r="L5" i="20"/>
  <c r="AB32" i="13"/>
  <c r="AA32" i="13"/>
  <c r="L44" i="8"/>
  <c r="M51" i="8"/>
  <c r="S23" i="12"/>
  <c r="R17" i="12"/>
  <c r="AC690" i="17"/>
  <c r="AJ684" i="17" s="1"/>
  <c r="M8" i="6"/>
  <c r="P18" i="6" s="1"/>
  <c r="L25" i="6"/>
  <c r="M25" i="6" s="1"/>
  <c r="L5" i="13"/>
  <c r="M12" i="13"/>
  <c r="F21" i="13"/>
  <c r="P59" i="20"/>
  <c r="Q59" i="20" s="1"/>
  <c r="P60" i="20"/>
  <c r="P58" i="20"/>
  <c r="AA66" i="17"/>
  <c r="AH60" i="17" s="1"/>
  <c r="K229" i="23"/>
  <c r="P222" i="20"/>
  <c r="P58" i="14"/>
  <c r="P60" i="14"/>
  <c r="P59" i="14"/>
  <c r="Q59" i="14" s="1"/>
  <c r="P176" i="23"/>
  <c r="Q176" i="23" s="1"/>
  <c r="P175" i="23"/>
  <c r="P177" i="23"/>
  <c r="AQ3" i="10"/>
  <c r="T23" i="16"/>
  <c r="T28" i="16" s="1"/>
  <c r="U22" i="16"/>
  <c r="W10" i="5"/>
  <c r="W11" i="5" s="1"/>
  <c r="Q292" i="23"/>
  <c r="P301" i="23"/>
  <c r="Q301" i="23" s="1"/>
  <c r="P305" i="23"/>
  <c r="Q305" i="23" s="1"/>
  <c r="K109" i="20"/>
  <c r="V31" i="5" l="1"/>
  <c r="M200" i="23"/>
  <c r="M83" i="23"/>
  <c r="M15" i="14"/>
  <c r="L6" i="14"/>
  <c r="U32" i="13"/>
  <c r="U31" i="13"/>
  <c r="Q95" i="23"/>
  <c r="M84" i="20"/>
  <c r="L100" i="20"/>
  <c r="T32" i="14"/>
  <c r="T31" i="14"/>
  <c r="U10" i="6"/>
  <c r="V9" i="6" s="1"/>
  <c r="AC5" i="6"/>
  <c r="K34" i="13"/>
  <c r="K33" i="13"/>
  <c r="V10" i="13"/>
  <c r="V11" i="13" s="1"/>
  <c r="K813" i="17"/>
  <c r="K814" i="17"/>
  <c r="L142" i="20"/>
  <c r="M125" i="20"/>
  <c r="P135" i="20" s="1"/>
  <c r="L281" i="20"/>
  <c r="M291" i="20"/>
  <c r="M213" i="23"/>
  <c r="L203" i="23"/>
  <c r="M5" i="17"/>
  <c r="AI55" i="8"/>
  <c r="AI59" i="8" s="1"/>
  <c r="M18" i="23"/>
  <c r="L8" i="23"/>
  <c r="M15" i="23"/>
  <c r="L6" i="23"/>
  <c r="M6" i="23" s="1"/>
  <c r="Q290" i="20"/>
  <c r="L279" i="20"/>
  <c r="M279" i="20" s="1"/>
  <c r="M288" i="20"/>
  <c r="L8" i="14"/>
  <c r="M18" i="14"/>
  <c r="K85" i="17"/>
  <c r="K83" i="17"/>
  <c r="L6" i="15"/>
  <c r="M6" i="15" s="1"/>
  <c r="M15" i="15"/>
  <c r="M5" i="23"/>
  <c r="Y20" i="16"/>
  <c r="X33" i="16"/>
  <c r="Y33" i="16" s="1"/>
  <c r="P28" i="14"/>
  <c r="Q28" i="14" s="1"/>
  <c r="Q19" i="14"/>
  <c r="P32" i="14"/>
  <c r="Q32" i="14" s="1"/>
  <c r="AH202" i="23"/>
  <c r="AA211" i="23"/>
  <c r="P225" i="23"/>
  <c r="Q216" i="23"/>
  <c r="L34" i="10"/>
  <c r="L33" i="10"/>
  <c r="L86" i="23"/>
  <c r="M96" i="23"/>
  <c r="M15" i="17"/>
  <c r="L6" i="17"/>
  <c r="L103" i="20"/>
  <c r="M86" i="20"/>
  <c r="P96" i="20" s="1"/>
  <c r="M5" i="8"/>
  <c r="P30" i="14"/>
  <c r="Q21" i="14"/>
  <c r="U13" i="9"/>
  <c r="AB287" i="23"/>
  <c r="I111" i="23" s="1"/>
  <c r="AA209" i="23"/>
  <c r="U11" i="14"/>
  <c r="P27" i="9"/>
  <c r="Q27" i="9" s="1"/>
  <c r="P31" i="9"/>
  <c r="Q31" i="9" s="1"/>
  <c r="Q18" i="9"/>
  <c r="W71" i="15"/>
  <c r="M61" i="5"/>
  <c r="P30" i="15"/>
  <c r="Q21" i="15"/>
  <c r="P227" i="23"/>
  <c r="Q227" i="23" s="1"/>
  <c r="Q214" i="23"/>
  <c r="P223" i="23"/>
  <c r="Q223" i="23" s="1"/>
  <c r="W32" i="12"/>
  <c r="Y32" i="12" s="1"/>
  <c r="W31" i="12"/>
  <c r="Y31" i="12" s="1"/>
  <c r="V10" i="14"/>
  <c r="V11" i="14" s="1"/>
  <c r="K811" i="17"/>
  <c r="Q97" i="23"/>
  <c r="P110" i="23"/>
  <c r="Q110" i="23" s="1"/>
  <c r="W70" i="15"/>
  <c r="U11" i="8"/>
  <c r="P32" i="15"/>
  <c r="Q32" i="15" s="1"/>
  <c r="Q19" i="15"/>
  <c r="P28" i="15"/>
  <c r="Q28" i="15" s="1"/>
  <c r="L31" i="10"/>
  <c r="K31" i="13"/>
  <c r="P106" i="23"/>
  <c r="Q106" i="23" s="1"/>
  <c r="Q98" i="23"/>
  <c r="L6" i="8"/>
  <c r="M6" i="8" s="1"/>
  <c r="M15" i="8"/>
  <c r="K189" i="17"/>
  <c r="K190" i="17"/>
  <c r="Q294" i="20"/>
  <c r="P303" i="20"/>
  <c r="K150" i="20"/>
  <c r="K151" i="20"/>
  <c r="P108" i="23"/>
  <c r="Q99" i="23"/>
  <c r="L8" i="15"/>
  <c r="M18" i="15"/>
  <c r="Q292" i="20"/>
  <c r="P305" i="20"/>
  <c r="Q305" i="20" s="1"/>
  <c r="P301" i="20"/>
  <c r="Q301" i="20" s="1"/>
  <c r="L201" i="23"/>
  <c r="M201" i="23" s="1"/>
  <c r="M210" i="23"/>
  <c r="M18" i="17"/>
  <c r="L8" i="17"/>
  <c r="P21" i="8"/>
  <c r="P19" i="8"/>
  <c r="P20" i="8"/>
  <c r="Q20" i="8" s="1"/>
  <c r="M123" i="20"/>
  <c r="L139" i="20"/>
  <c r="L8" i="8"/>
  <c r="M18" i="8"/>
  <c r="P32" i="23"/>
  <c r="Q32" i="23" s="1"/>
  <c r="P28" i="23"/>
  <c r="Q28" i="23" s="1"/>
  <c r="Q19" i="23"/>
  <c r="P30" i="17"/>
  <c r="Q21" i="17"/>
  <c r="P30" i="23"/>
  <c r="Q21" i="23"/>
  <c r="Q17" i="23"/>
  <c r="Q19" i="17"/>
  <c r="P32" i="17"/>
  <c r="Q32" i="17" s="1"/>
  <c r="P28" i="17"/>
  <c r="Q28" i="17" s="1"/>
  <c r="Q17" i="14"/>
  <c r="M278" i="20"/>
  <c r="L295" i="20"/>
  <c r="C6" i="9"/>
  <c r="W12" i="9"/>
  <c r="M5" i="15"/>
  <c r="L22" i="15"/>
  <c r="AA169" i="23"/>
  <c r="Q470" i="17"/>
  <c r="P475" i="17"/>
  <c r="Q475" i="17" s="1"/>
  <c r="S8" i="17"/>
  <c r="AT5" i="17"/>
  <c r="T8" i="17"/>
  <c r="Y60" i="17"/>
  <c r="C37" i="17"/>
  <c r="C38" i="17"/>
  <c r="U8" i="17"/>
  <c r="C39" i="17"/>
  <c r="V8" i="17"/>
  <c r="K86" i="17"/>
  <c r="K72" i="8"/>
  <c r="K73" i="8"/>
  <c r="K307" i="23"/>
  <c r="T32" i="6"/>
  <c r="T31" i="6"/>
  <c r="B82" i="17"/>
  <c r="P522" i="17"/>
  <c r="L84" i="23"/>
  <c r="M84" i="23" s="1"/>
  <c r="M93" i="23"/>
  <c r="K306" i="23"/>
  <c r="N5" i="5"/>
  <c r="M6" i="5"/>
  <c r="N6" i="5" s="1"/>
  <c r="N15" i="5"/>
  <c r="Q19" i="5"/>
  <c r="Q21" i="5"/>
  <c r="Q20" i="5"/>
  <c r="R20" i="5" s="1"/>
  <c r="C15" i="2159"/>
  <c r="N18" i="5"/>
  <c r="M8" i="5"/>
  <c r="Q18" i="6"/>
  <c r="P27" i="6"/>
  <c r="P31" i="6"/>
  <c r="X70" i="12"/>
  <c r="X71" i="12"/>
  <c r="M67" i="15"/>
  <c r="AI22" i="8"/>
  <c r="AI21" i="8"/>
  <c r="C24" i="8" s="1"/>
  <c r="W32" i="5"/>
  <c r="X32" i="5" s="1"/>
  <c r="W31" i="5"/>
  <c r="X31" i="5" s="1"/>
  <c r="V10" i="11"/>
  <c r="V11" i="11"/>
  <c r="M223" i="20"/>
  <c r="M67" i="5"/>
  <c r="N61" i="5"/>
  <c r="M62" i="5"/>
  <c r="U31" i="8"/>
  <c r="U32" i="8"/>
  <c r="AA247" i="23"/>
  <c r="AA248" i="23" s="1"/>
  <c r="U56" i="16"/>
  <c r="T47" i="16"/>
  <c r="U47" i="16" s="1"/>
  <c r="Q303" i="23"/>
  <c r="O5" i="12"/>
  <c r="U11" i="11"/>
  <c r="Y71" i="12"/>
  <c r="L164" i="23"/>
  <c r="M174" i="23"/>
  <c r="AJ21" i="8"/>
  <c r="D24" i="8" s="1"/>
  <c r="AJ22" i="8"/>
  <c r="U11" i="9"/>
  <c r="AB60" i="12"/>
  <c r="AB63" i="12" s="1"/>
  <c r="AC64" i="12" s="1"/>
  <c r="P265" i="17"/>
  <c r="Q263" i="17"/>
  <c r="C14" i="23"/>
  <c r="U5" i="23"/>
  <c r="C12" i="23"/>
  <c r="U43" i="23"/>
  <c r="C13" i="23"/>
  <c r="P266" i="23"/>
  <c r="Q266" i="23" s="1"/>
  <c r="Q253" i="23"/>
  <c r="P262" i="23"/>
  <c r="Q262" i="23" s="1"/>
  <c r="Q19" i="20"/>
  <c r="P32" i="20"/>
  <c r="Q32" i="20" s="1"/>
  <c r="P28" i="20"/>
  <c r="Q28" i="20" s="1"/>
  <c r="AJ61" i="8"/>
  <c r="AJ60" i="8"/>
  <c r="M239" i="23"/>
  <c r="L281" i="23"/>
  <c r="M291" i="23"/>
  <c r="M23" i="9"/>
  <c r="L24" i="9"/>
  <c r="M171" i="20"/>
  <c r="L162" i="20"/>
  <c r="AB114" i="16"/>
  <c r="AA114" i="16"/>
  <c r="M44" i="8"/>
  <c r="Y70" i="12"/>
  <c r="O18" i="12"/>
  <c r="N8" i="12"/>
  <c r="Q17" i="20"/>
  <c r="L47" i="14"/>
  <c r="M57" i="14"/>
  <c r="M122" i="23"/>
  <c r="V12" i="9"/>
  <c r="V13" i="9"/>
  <c r="V11" i="9"/>
  <c r="V10" i="9"/>
  <c r="L6" i="13"/>
  <c r="M6" i="13" s="1"/>
  <c r="M15" i="13"/>
  <c r="Z22" i="13"/>
  <c r="Z21" i="13"/>
  <c r="Z23" i="13"/>
  <c r="AA23" i="13" s="1"/>
  <c r="P264" i="23"/>
  <c r="Q255" i="23"/>
  <c r="T31" i="9"/>
  <c r="T32" i="9"/>
  <c r="L47" i="20"/>
  <c r="M57" i="20"/>
  <c r="M62" i="15"/>
  <c r="L63" i="15"/>
  <c r="L68" i="15" s="1"/>
  <c r="M15" i="10"/>
  <c r="N14" i="10"/>
  <c r="P71" i="8"/>
  <c r="Q71" i="8" s="1"/>
  <c r="P67" i="8"/>
  <c r="Q67" i="8" s="1"/>
  <c r="Q58" i="8"/>
  <c r="Q82" i="17"/>
  <c r="Q134" i="23"/>
  <c r="M54" i="14"/>
  <c r="L45" i="14"/>
  <c r="M45" i="14" s="1"/>
  <c r="P145" i="23"/>
  <c r="Q145" i="23" s="1"/>
  <c r="P149" i="23"/>
  <c r="Q149" i="23" s="1"/>
  <c r="Q136" i="23"/>
  <c r="L279" i="23"/>
  <c r="M279" i="23" s="1"/>
  <c r="M288" i="23"/>
  <c r="O61" i="12"/>
  <c r="N67" i="12"/>
  <c r="N62" i="12"/>
  <c r="C74" i="17"/>
  <c r="P315" i="17"/>
  <c r="L75" i="17"/>
  <c r="L80" i="17"/>
  <c r="M74" i="17"/>
  <c r="L28" i="9"/>
  <c r="P19" i="13"/>
  <c r="P21" i="13"/>
  <c r="P20" i="13"/>
  <c r="Q20" i="13" s="1"/>
  <c r="AT46" i="16"/>
  <c r="AC52" i="16"/>
  <c r="AC51" i="16"/>
  <c r="AD50" i="16" s="1"/>
  <c r="L219" i="20"/>
  <c r="M218" i="20"/>
  <c r="L109" i="17"/>
  <c r="M116" i="17"/>
  <c r="B24" i="8"/>
  <c r="M45" i="23"/>
  <c r="L61" i="23"/>
  <c r="L45" i="8"/>
  <c r="M45" i="8" s="1"/>
  <c r="M54" i="8"/>
  <c r="L164" i="20"/>
  <c r="M174" i="20"/>
  <c r="AK55" i="8"/>
  <c r="AK59" i="8" s="1"/>
  <c r="U11" i="10"/>
  <c r="U10" i="10"/>
  <c r="V9" i="10" s="1"/>
  <c r="C12" i="20"/>
  <c r="C14" i="20"/>
  <c r="C13" i="20"/>
  <c r="U43" i="20"/>
  <c r="U5" i="20"/>
  <c r="AB25" i="6"/>
  <c r="M64" i="5"/>
  <c r="N64" i="5" s="1"/>
  <c r="N47" i="5"/>
  <c r="Q17" i="13"/>
  <c r="AD31" i="13"/>
  <c r="AE31" i="13" s="1"/>
  <c r="AD28" i="13"/>
  <c r="AN12" i="16"/>
  <c r="AR5" i="16"/>
  <c r="AW4" i="16"/>
  <c r="AN10" i="16"/>
  <c r="P184" i="20"/>
  <c r="Q184" i="20" s="1"/>
  <c r="P188" i="20"/>
  <c r="Q188" i="20" s="1"/>
  <c r="Q175" i="20"/>
  <c r="L119" i="17"/>
  <c r="M118" i="17"/>
  <c r="Q56" i="8"/>
  <c r="Y60" i="16"/>
  <c r="L13" i="11"/>
  <c r="L14" i="11"/>
  <c r="P23" i="11"/>
  <c r="L16" i="11"/>
  <c r="M16" i="11" s="1"/>
  <c r="L12" i="11"/>
  <c r="Q6" i="11"/>
  <c r="L17" i="11"/>
  <c r="L19" i="11"/>
  <c r="M19" i="11" s="1"/>
  <c r="P24" i="11"/>
  <c r="AF4" i="8"/>
  <c r="AF43" i="8"/>
  <c r="L35" i="6"/>
  <c r="AB54" i="16"/>
  <c r="L47" i="8"/>
  <c r="M57" i="8"/>
  <c r="T32" i="10"/>
  <c r="T31" i="10"/>
  <c r="L66" i="15"/>
  <c r="Q17" i="10"/>
  <c r="R23" i="10"/>
  <c r="H20" i="10"/>
  <c r="P69" i="8"/>
  <c r="Q60" i="8"/>
  <c r="R32" i="12"/>
  <c r="S32" i="12" s="1"/>
  <c r="S19" i="12"/>
  <c r="R28" i="12"/>
  <c r="S28" i="12" s="1"/>
  <c r="AA12" i="16"/>
  <c r="AA13" i="16"/>
  <c r="AB9" i="16"/>
  <c r="AA11" i="16"/>
  <c r="M5" i="10"/>
  <c r="N12" i="10"/>
  <c r="F20" i="10"/>
  <c r="K96" i="17"/>
  <c r="K97" i="17" s="1"/>
  <c r="L77" i="17"/>
  <c r="M77" i="17" s="1"/>
  <c r="M60" i="17"/>
  <c r="P70" i="17" s="1"/>
  <c r="M5" i="20"/>
  <c r="X63" i="16"/>
  <c r="Y63" i="16" s="1"/>
  <c r="X64" i="16"/>
  <c r="X62" i="16"/>
  <c r="L162" i="23"/>
  <c r="M162" i="23" s="1"/>
  <c r="M171" i="23"/>
  <c r="L27" i="9"/>
  <c r="Z24" i="15"/>
  <c r="AA25" i="15" s="1"/>
  <c r="Q56" i="20"/>
  <c r="M249" i="23"/>
  <c r="L240" i="23"/>
  <c r="M240" i="23" s="1"/>
  <c r="L39" i="6"/>
  <c r="L24" i="6"/>
  <c r="M23" i="6"/>
  <c r="M18" i="20"/>
  <c r="L8" i="20"/>
  <c r="Q251" i="23"/>
  <c r="L122" i="17"/>
  <c r="M121" i="17"/>
  <c r="M278" i="23"/>
  <c r="L295" i="23"/>
  <c r="T31" i="11"/>
  <c r="T32" i="11"/>
  <c r="M54" i="20"/>
  <c r="L45" i="20"/>
  <c r="L242" i="23"/>
  <c r="M252" i="23"/>
  <c r="Q57" i="15"/>
  <c r="P70" i="15"/>
  <c r="P66" i="15"/>
  <c r="M47" i="23"/>
  <c r="P57" i="23" s="1"/>
  <c r="L64" i="23"/>
  <c r="M64" i="23" s="1"/>
  <c r="AH243" i="23"/>
  <c r="O93" i="17"/>
  <c r="K95" i="17" s="1"/>
  <c r="M58" i="17"/>
  <c r="K87" i="17"/>
  <c r="K93" i="17"/>
  <c r="K94" i="17" s="1"/>
  <c r="M94" i="17"/>
  <c r="L125" i="23"/>
  <c r="M135" i="23"/>
  <c r="M18" i="13"/>
  <c r="L8" i="13"/>
  <c r="N13" i="10"/>
  <c r="E20" i="10"/>
  <c r="U11" i="15"/>
  <c r="R69" i="5"/>
  <c r="Q75" i="5"/>
  <c r="R75" i="5" s="1"/>
  <c r="R30" i="12"/>
  <c r="S21" i="12"/>
  <c r="T49" i="14"/>
  <c r="U48" i="14" s="1"/>
  <c r="T50" i="14"/>
  <c r="T63" i="16"/>
  <c r="U46" i="16"/>
  <c r="AI61" i="8"/>
  <c r="AI60" i="8"/>
  <c r="M15" i="20"/>
  <c r="L6" i="20"/>
  <c r="M6" i="20" s="1"/>
  <c r="Q252" i="20"/>
  <c r="P261" i="20"/>
  <c r="P265" i="20"/>
  <c r="P36" i="6"/>
  <c r="Q36" i="6" s="1"/>
  <c r="Q30" i="6"/>
  <c r="P224" i="20"/>
  <c r="Q224" i="20" s="1"/>
  <c r="Q222" i="20"/>
  <c r="AW3" i="10"/>
  <c r="P186" i="23"/>
  <c r="Q177" i="23"/>
  <c r="P30" i="9"/>
  <c r="Q21" i="9"/>
  <c r="L30" i="9"/>
  <c r="Z63" i="15"/>
  <c r="AA64" i="15" s="1"/>
  <c r="M132" i="23"/>
  <c r="L123" i="23"/>
  <c r="M123" i="23" s="1"/>
  <c r="P214" i="17"/>
  <c r="Q213" i="17"/>
  <c r="AB52" i="16"/>
  <c r="Q290" i="23"/>
  <c r="S57" i="12"/>
  <c r="R66" i="12"/>
  <c r="R70" i="12"/>
  <c r="P124" i="17"/>
  <c r="Q124" i="17" s="1"/>
  <c r="P123" i="17"/>
  <c r="P125" i="17"/>
  <c r="Q69" i="23"/>
  <c r="Q162" i="17"/>
  <c r="L169" i="17"/>
  <c r="M169" i="17" s="1"/>
  <c r="L173" i="17"/>
  <c r="P179" i="17"/>
  <c r="L170" i="17"/>
  <c r="L168" i="17"/>
  <c r="P180" i="17"/>
  <c r="Q180" i="17" s="1"/>
  <c r="L172" i="17"/>
  <c r="M172" i="17" s="1"/>
  <c r="L175" i="17"/>
  <c r="M175" i="17" s="1"/>
  <c r="O15" i="12"/>
  <c r="N6" i="12"/>
  <c r="O6" i="12" s="1"/>
  <c r="X31" i="16"/>
  <c r="Y31" i="16" s="1"/>
  <c r="Y29" i="16"/>
  <c r="M161" i="23"/>
  <c r="Q57" i="5"/>
  <c r="V10" i="15"/>
  <c r="V11" i="15" s="1"/>
  <c r="X12" i="10"/>
  <c r="AF4" i="10" s="1"/>
  <c r="C7" i="10"/>
  <c r="C9" i="10"/>
  <c r="S70" i="14"/>
  <c r="S71" i="14"/>
  <c r="Q21" i="20"/>
  <c r="P30" i="20"/>
  <c r="Q60" i="14"/>
  <c r="P69" i="14"/>
  <c r="L22" i="13"/>
  <c r="M5" i="13"/>
  <c r="P71" i="14"/>
  <c r="Q71" i="14" s="1"/>
  <c r="Q58" i="14"/>
  <c r="P67" i="14"/>
  <c r="Q67" i="14" s="1"/>
  <c r="Q58" i="20"/>
  <c r="P67" i="20"/>
  <c r="Q67" i="20" s="1"/>
  <c r="P71" i="20"/>
  <c r="Q71" i="20" s="1"/>
  <c r="L257" i="20"/>
  <c r="M256" i="20"/>
  <c r="U28" i="16"/>
  <c r="P69" i="20"/>
  <c r="Q60" i="20"/>
  <c r="U23" i="16"/>
  <c r="T24" i="16"/>
  <c r="Q175" i="23"/>
  <c r="P188" i="23"/>
  <c r="Q188" i="23" s="1"/>
  <c r="P184" i="23"/>
  <c r="Q184" i="23" s="1"/>
  <c r="S17" i="12"/>
  <c r="P186" i="20"/>
  <c r="Q177" i="20"/>
  <c r="C12" i="14"/>
  <c r="C13" i="14"/>
  <c r="C14" i="14"/>
  <c r="W13" i="14"/>
  <c r="P32" i="9"/>
  <c r="Q19" i="9"/>
  <c r="P28" i="9"/>
  <c r="Q56" i="14"/>
  <c r="L29" i="9"/>
  <c r="M29" i="9" s="1"/>
  <c r="P147" i="23"/>
  <c r="Q138" i="23"/>
  <c r="L28" i="6"/>
  <c r="L61" i="14"/>
  <c r="M44" i="14"/>
  <c r="AB53" i="16"/>
  <c r="P121" i="17"/>
  <c r="Q127" i="17"/>
  <c r="U12" i="9"/>
  <c r="T31" i="8"/>
  <c r="T32" i="8"/>
  <c r="T49" i="16"/>
  <c r="U59" i="16"/>
  <c r="V10" i="8"/>
  <c r="V11" i="8" s="1"/>
  <c r="R24" i="10"/>
  <c r="G20" i="10"/>
  <c r="N17" i="10"/>
  <c r="M18" i="10"/>
  <c r="Q173" i="23"/>
  <c r="L58" i="11"/>
  <c r="M58" i="11" s="1"/>
  <c r="P63" i="11"/>
  <c r="Q63" i="11" s="1"/>
  <c r="L52" i="11"/>
  <c r="M52" i="11" s="1"/>
  <c r="L56" i="11"/>
  <c r="P62" i="11"/>
  <c r="L55" i="11"/>
  <c r="M55" i="11" s="1"/>
  <c r="Q45" i="11"/>
  <c r="L51" i="11"/>
  <c r="L53" i="11"/>
  <c r="V31" i="14" l="1"/>
  <c r="V32" i="14"/>
  <c r="V31" i="13"/>
  <c r="W31" i="13" s="1"/>
  <c r="V32" i="13"/>
  <c r="W32" i="13" s="1"/>
  <c r="M68" i="15"/>
  <c r="U58" i="15"/>
  <c r="U59" i="15" s="1"/>
  <c r="M139" i="20"/>
  <c r="L140" i="20"/>
  <c r="L145" i="20"/>
  <c r="M145" i="20" s="1"/>
  <c r="Q108" i="23"/>
  <c r="P114" i="23"/>
  <c r="Q114" i="23" s="1"/>
  <c r="U12" i="6"/>
  <c r="Y112" i="17"/>
  <c r="V60" i="17"/>
  <c r="T60" i="17"/>
  <c r="U60" i="17"/>
  <c r="S60" i="17"/>
  <c r="L103" i="23"/>
  <c r="M103" i="23" s="1"/>
  <c r="M86" i="23"/>
  <c r="M203" i="23"/>
  <c r="P213" i="23" s="1"/>
  <c r="L220" i="23"/>
  <c r="M220" i="23" s="1"/>
  <c r="V12" i="6"/>
  <c r="V10" i="6"/>
  <c r="V13" i="6" s="1"/>
  <c r="AD5" i="6"/>
  <c r="V11" i="6"/>
  <c r="T25" i="17"/>
  <c r="T26" i="17"/>
  <c r="AS35" i="17"/>
  <c r="AS37" i="17" s="1"/>
  <c r="AS49" i="17"/>
  <c r="AS51" i="17" s="1"/>
  <c r="AS77" i="17"/>
  <c r="AS79" i="17" s="1"/>
  <c r="AS133" i="17"/>
  <c r="AS135" i="17" s="1"/>
  <c r="AS21" i="17"/>
  <c r="AS23" i="17" s="1"/>
  <c r="AS91" i="17"/>
  <c r="AS93" i="17" s="1"/>
  <c r="AS217" i="17"/>
  <c r="AS219" i="17" s="1"/>
  <c r="AS105" i="17"/>
  <c r="AS107" i="17" s="1"/>
  <c r="AS119" i="17"/>
  <c r="AS121" i="17" s="1"/>
  <c r="AS161" i="17"/>
  <c r="AS163" i="17" s="1"/>
  <c r="AS203" i="17"/>
  <c r="AS205" i="17" s="1"/>
  <c r="AS147" i="17"/>
  <c r="AS149" i="17" s="1"/>
  <c r="AS7" i="17"/>
  <c r="AS9" i="17" s="1"/>
  <c r="AS63" i="17"/>
  <c r="AS65" i="17" s="1"/>
  <c r="AS189" i="17"/>
  <c r="AS191" i="17" s="1"/>
  <c r="AS175" i="17"/>
  <c r="AS177" i="17" s="1"/>
  <c r="P32" i="8"/>
  <c r="Q32" i="8" s="1"/>
  <c r="P28" i="8"/>
  <c r="Q28" i="8" s="1"/>
  <c r="Q19" i="8"/>
  <c r="Q303" i="20"/>
  <c r="G24" i="8"/>
  <c r="P527" i="17"/>
  <c r="Q527" i="17" s="1"/>
  <c r="Q522" i="17"/>
  <c r="W8" i="17"/>
  <c r="S26" i="17"/>
  <c r="S25" i="17"/>
  <c r="P30" i="8"/>
  <c r="Q30" i="8" s="1"/>
  <c r="Q21" i="8"/>
  <c r="U32" i="14"/>
  <c r="W32" i="14" s="1"/>
  <c r="U31" i="14"/>
  <c r="W31" i="14" s="1"/>
  <c r="M8" i="14"/>
  <c r="P18" i="14" s="1"/>
  <c r="L25" i="14"/>
  <c r="M25" i="14" s="1"/>
  <c r="M281" i="20"/>
  <c r="L298" i="20"/>
  <c r="M298" i="20" s="1"/>
  <c r="L101" i="20"/>
  <c r="L106" i="20" s="1"/>
  <c r="M100" i="20"/>
  <c r="AL20" i="8"/>
  <c r="I28" i="8" s="1"/>
  <c r="P574" i="17"/>
  <c r="B84" i="17"/>
  <c r="K44" i="17"/>
  <c r="K45" i="17" s="1"/>
  <c r="L25" i="17"/>
  <c r="M25" i="17" s="1"/>
  <c r="M8" i="17"/>
  <c r="P18" i="17" s="1"/>
  <c r="AB209" i="23"/>
  <c r="I109" i="23" s="1"/>
  <c r="AH203" i="23"/>
  <c r="Q225" i="23"/>
  <c r="P231" i="23"/>
  <c r="Q231" i="23" s="1"/>
  <c r="Q135" i="20"/>
  <c r="P144" i="20"/>
  <c r="P148" i="20"/>
  <c r="P75" i="23"/>
  <c r="Q75" i="23" s="1"/>
  <c r="X35" i="16"/>
  <c r="AB208" i="23"/>
  <c r="I99" i="23" s="1"/>
  <c r="AB210" i="23"/>
  <c r="M142" i="20"/>
  <c r="P153" i="20"/>
  <c r="Q153" i="20" s="1"/>
  <c r="AA170" i="23"/>
  <c r="AH163" i="23"/>
  <c r="P96" i="23"/>
  <c r="M22" i="15"/>
  <c r="L23" i="15"/>
  <c r="L28" i="15" s="1"/>
  <c r="M28" i="15" s="1"/>
  <c r="Q30" i="23"/>
  <c r="Q30" i="14"/>
  <c r="P291" i="20"/>
  <c r="P228" i="20"/>
  <c r="Q228" i="20" s="1"/>
  <c r="X12" i="9"/>
  <c r="AF4" i="9"/>
  <c r="X10" i="9"/>
  <c r="C8" i="9"/>
  <c r="Q30" i="17"/>
  <c r="P36" i="17"/>
  <c r="Q36" i="17" s="1"/>
  <c r="L22" i="8"/>
  <c r="M6" i="14"/>
  <c r="L22" i="14"/>
  <c r="V25" i="17"/>
  <c r="V26" i="17"/>
  <c r="L296" i="20"/>
  <c r="M295" i="20"/>
  <c r="Q96" i="20"/>
  <c r="P109" i="20"/>
  <c r="P105" i="20"/>
  <c r="L25" i="23"/>
  <c r="M25" i="23" s="1"/>
  <c r="M8" i="23"/>
  <c r="P18" i="23" s="1"/>
  <c r="L25" i="15"/>
  <c r="M25" i="15" s="1"/>
  <c r="M8" i="15"/>
  <c r="P18" i="15" s="1"/>
  <c r="M103" i="20"/>
  <c r="P114" i="20"/>
  <c r="Q114" i="20" s="1"/>
  <c r="L22" i="23"/>
  <c r="U11" i="6"/>
  <c r="L100" i="23"/>
  <c r="U25" i="17"/>
  <c r="U26" i="17"/>
  <c r="Q30" i="15"/>
  <c r="P36" i="15"/>
  <c r="Q36" i="15" s="1"/>
  <c r="K35" i="17"/>
  <c r="O41" i="17"/>
  <c r="M6" i="17"/>
  <c r="U13" i="6"/>
  <c r="L25" i="8"/>
  <c r="M25" i="8" s="1"/>
  <c r="M8" i="8"/>
  <c r="P18" i="8" s="1"/>
  <c r="L22" i="17"/>
  <c r="L217" i="23"/>
  <c r="Q32" i="5"/>
  <c r="R32" i="5" s="1"/>
  <c r="AE8" i="5"/>
  <c r="R19" i="5"/>
  <c r="Q28" i="5"/>
  <c r="R28" i="5" s="1"/>
  <c r="M25" i="5"/>
  <c r="N25" i="5" s="1"/>
  <c r="N8" i="5"/>
  <c r="Q18" i="5" s="1"/>
  <c r="M22" i="5"/>
  <c r="R21" i="5"/>
  <c r="Q30" i="5"/>
  <c r="S96" i="17"/>
  <c r="S95" i="17"/>
  <c r="V96" i="17"/>
  <c r="AQ23" i="17" s="1"/>
  <c r="T95" i="17"/>
  <c r="AO24" i="17" s="1"/>
  <c r="S101" i="17"/>
  <c r="T96" i="17"/>
  <c r="AO23" i="17" s="1"/>
  <c r="V101" i="17"/>
  <c r="AQ25" i="17" s="1"/>
  <c r="T101" i="17"/>
  <c r="AO25" i="17" s="1"/>
  <c r="AO28" i="17" s="1"/>
  <c r="U96" i="17"/>
  <c r="AP23" i="17" s="1"/>
  <c r="U101" i="17"/>
  <c r="AP25" i="17" s="1"/>
  <c r="V95" i="17"/>
  <c r="AQ24" i="17" s="1"/>
  <c r="U95" i="17"/>
  <c r="AP24" i="17" s="1"/>
  <c r="AP27" i="17" s="1"/>
  <c r="AH242" i="23"/>
  <c r="V31" i="8"/>
  <c r="W31" i="8" s="1"/>
  <c r="V32" i="8"/>
  <c r="V31" i="15"/>
  <c r="V32" i="15"/>
  <c r="Y35" i="16"/>
  <c r="Q70" i="15"/>
  <c r="P77" i="15"/>
  <c r="Q77" i="15" s="1"/>
  <c r="P76" i="15"/>
  <c r="Q264" i="23"/>
  <c r="U32" i="11"/>
  <c r="U31" i="11"/>
  <c r="U49" i="16"/>
  <c r="T66" i="16"/>
  <c r="U66" i="16" s="1"/>
  <c r="L224" i="20"/>
  <c r="Q32" i="9"/>
  <c r="P37" i="9"/>
  <c r="U24" i="16"/>
  <c r="X39" i="16"/>
  <c r="AA36" i="16"/>
  <c r="X40" i="16"/>
  <c r="Y40" i="16" s="1"/>
  <c r="AB36" i="16"/>
  <c r="AA37" i="16"/>
  <c r="T30" i="16"/>
  <c r="T29" i="16"/>
  <c r="AB37" i="16"/>
  <c r="T27" i="16"/>
  <c r="Q69" i="14"/>
  <c r="L161" i="17"/>
  <c r="M168" i="17"/>
  <c r="P134" i="17"/>
  <c r="Q125" i="17"/>
  <c r="S30" i="12"/>
  <c r="U31" i="15"/>
  <c r="U32" i="15"/>
  <c r="W32" i="15" s="1"/>
  <c r="V94" i="17"/>
  <c r="S94" i="17"/>
  <c r="T94" i="17"/>
  <c r="U94" i="17"/>
  <c r="X75" i="16"/>
  <c r="Y75" i="16" s="1"/>
  <c r="Y62" i="16"/>
  <c r="X71" i="16"/>
  <c r="Y71" i="16" s="1"/>
  <c r="N5" i="10"/>
  <c r="G19" i="11"/>
  <c r="Q24" i="11"/>
  <c r="M13" i="11"/>
  <c r="E19" i="11"/>
  <c r="AU46" i="16"/>
  <c r="AD51" i="16"/>
  <c r="AE50" i="16" s="1"/>
  <c r="AD53" i="16"/>
  <c r="P367" i="17"/>
  <c r="C76" i="17"/>
  <c r="M162" i="20"/>
  <c r="L178" i="20"/>
  <c r="AB72" i="12"/>
  <c r="AC72" i="12"/>
  <c r="AD72" i="12"/>
  <c r="N22" i="12"/>
  <c r="N67" i="5"/>
  <c r="Q147" i="23"/>
  <c r="Q69" i="8"/>
  <c r="L62" i="23"/>
  <c r="L67" i="23"/>
  <c r="M61" i="23"/>
  <c r="M47" i="20"/>
  <c r="L64" i="20"/>
  <c r="M64" i="20" s="1"/>
  <c r="P132" i="17"/>
  <c r="Q132" i="17" s="1"/>
  <c r="Q123" i="17"/>
  <c r="P136" i="17"/>
  <c r="Q136" i="17" s="1"/>
  <c r="M8" i="20"/>
  <c r="P18" i="20" s="1"/>
  <c r="L25" i="20"/>
  <c r="M25" i="20" s="1"/>
  <c r="X73" i="16"/>
  <c r="Y64" i="16"/>
  <c r="X61" i="16"/>
  <c r="U82" i="20"/>
  <c r="U44" i="20"/>
  <c r="AC72" i="16"/>
  <c r="AC73" i="16"/>
  <c r="Z24" i="13"/>
  <c r="AA25" i="13" s="1"/>
  <c r="AA21" i="13"/>
  <c r="AA26" i="13"/>
  <c r="AA22" i="13"/>
  <c r="O8" i="12"/>
  <c r="N25" i="12"/>
  <c r="O25" i="12" s="1"/>
  <c r="U31" i="9"/>
  <c r="U32" i="9"/>
  <c r="AA250" i="23"/>
  <c r="AB249" i="23" s="1"/>
  <c r="AH241" i="23"/>
  <c r="L44" i="11"/>
  <c r="M51" i="11"/>
  <c r="L23" i="13"/>
  <c r="M22" i="13"/>
  <c r="U32" i="10"/>
  <c r="U31" i="10"/>
  <c r="M219" i="20"/>
  <c r="T221" i="20"/>
  <c r="S221" i="20"/>
  <c r="T222" i="20"/>
  <c r="V223" i="20" s="1"/>
  <c r="S222" i="20"/>
  <c r="U223" i="20" s="1"/>
  <c r="L225" i="20"/>
  <c r="X13" i="14"/>
  <c r="Q62" i="11"/>
  <c r="P56" i="11"/>
  <c r="AB75" i="16"/>
  <c r="AB74" i="16"/>
  <c r="AA49" i="14"/>
  <c r="AA62" i="14" s="1"/>
  <c r="Q30" i="20"/>
  <c r="R57" i="5"/>
  <c r="Q66" i="5"/>
  <c r="Q70" i="5"/>
  <c r="L178" i="23"/>
  <c r="P173" i="17"/>
  <c r="Q179" i="17"/>
  <c r="P230" i="20"/>
  <c r="Q230" i="20" s="1"/>
  <c r="Q261" i="20"/>
  <c r="P263" i="20"/>
  <c r="Q263" i="20" s="1"/>
  <c r="M242" i="23"/>
  <c r="L259" i="23"/>
  <c r="M259" i="23" s="1"/>
  <c r="M295" i="23"/>
  <c r="L301" i="23"/>
  <c r="L296" i="23"/>
  <c r="P233" i="20"/>
  <c r="Q233" i="20" s="1"/>
  <c r="R17" i="10"/>
  <c r="L18" i="11"/>
  <c r="M17" i="11"/>
  <c r="AC54" i="16"/>
  <c r="L139" i="23"/>
  <c r="U82" i="23"/>
  <c r="U44" i="23"/>
  <c r="T58" i="15"/>
  <c r="T59" i="15" s="1"/>
  <c r="R18" i="12"/>
  <c r="L171" i="17"/>
  <c r="M170" i="17"/>
  <c r="L57" i="11"/>
  <c r="M56" i="11"/>
  <c r="AA48" i="14"/>
  <c r="AA61" i="14" s="1"/>
  <c r="X37" i="16"/>
  <c r="Y37" i="16" s="1"/>
  <c r="M173" i="17"/>
  <c r="L174" i="17"/>
  <c r="L222" i="20"/>
  <c r="Q186" i="23"/>
  <c r="P229" i="20"/>
  <c r="Q229" i="20" s="1"/>
  <c r="L25" i="13"/>
  <c r="M25" i="13" s="1"/>
  <c r="M8" i="13"/>
  <c r="P18" i="13" s="1"/>
  <c r="P57" i="20"/>
  <c r="Q70" i="17"/>
  <c r="P79" i="17"/>
  <c r="P83" i="17"/>
  <c r="AA31" i="16"/>
  <c r="AA32" i="16"/>
  <c r="P232" i="20"/>
  <c r="T54" i="15"/>
  <c r="T55" i="15" s="1"/>
  <c r="M66" i="15"/>
  <c r="S54" i="15"/>
  <c r="U54" i="15"/>
  <c r="U55" i="15" s="1"/>
  <c r="V54" i="15"/>
  <c r="V55" i="15" s="1"/>
  <c r="AR63" i="16"/>
  <c r="AS64" i="16"/>
  <c r="AS23" i="16"/>
  <c r="AR64" i="16"/>
  <c r="AW5" i="16"/>
  <c r="AS62" i="16" s="1"/>
  <c r="AC53" i="16"/>
  <c r="N63" i="12"/>
  <c r="R72" i="12" s="1"/>
  <c r="O62" i="12"/>
  <c r="P88" i="17"/>
  <c r="Q88" i="17" s="1"/>
  <c r="N15" i="10"/>
  <c r="M6" i="10"/>
  <c r="N6" i="10" s="1"/>
  <c r="M24" i="9"/>
  <c r="T35" i="9"/>
  <c r="T34" i="9"/>
  <c r="S34" i="9"/>
  <c r="P38" i="9"/>
  <c r="Q38" i="9" s="1"/>
  <c r="S35" i="9"/>
  <c r="L256" i="23"/>
  <c r="S58" i="15"/>
  <c r="Q315" i="17"/>
  <c r="P317" i="17"/>
  <c r="L62" i="14"/>
  <c r="L67" i="14" s="1"/>
  <c r="M61" i="14"/>
  <c r="AA47" i="14"/>
  <c r="AA60" i="14" s="1"/>
  <c r="AA63" i="14" s="1"/>
  <c r="AB64" i="14" s="1"/>
  <c r="P75" i="20"/>
  <c r="Q75" i="20" s="1"/>
  <c r="Q69" i="20"/>
  <c r="X36" i="16"/>
  <c r="Y36" i="16" s="1"/>
  <c r="AB73" i="16"/>
  <c r="AB72" i="16"/>
  <c r="AA72" i="15"/>
  <c r="AB72" i="15"/>
  <c r="U63" i="16"/>
  <c r="T64" i="16"/>
  <c r="T69" i="16" s="1"/>
  <c r="K92" i="17"/>
  <c r="U103" i="17" s="1"/>
  <c r="M92" i="17"/>
  <c r="M93" i="17" s="1"/>
  <c r="M24" i="6"/>
  <c r="L30" i="6"/>
  <c r="L27" i="6"/>
  <c r="T34" i="6"/>
  <c r="T35" i="6"/>
  <c r="S34" i="6"/>
  <c r="S35" i="6"/>
  <c r="L29" i="6"/>
  <c r="M29" i="6" s="1"/>
  <c r="AB70" i="15"/>
  <c r="AB31" i="15"/>
  <c r="AA70" i="15"/>
  <c r="Z31" i="15"/>
  <c r="Z70" i="15"/>
  <c r="AA33" i="15"/>
  <c r="AB33" i="15"/>
  <c r="AA31" i="15"/>
  <c r="L22" i="20"/>
  <c r="AB10" i="16"/>
  <c r="AC9" i="16" s="1"/>
  <c r="AB13" i="16"/>
  <c r="AS5" i="16"/>
  <c r="L5" i="11"/>
  <c r="M12" i="11"/>
  <c r="F19" i="11"/>
  <c r="M119" i="17"/>
  <c r="L110" i="17"/>
  <c r="L181" i="20"/>
  <c r="M181" i="20" s="1"/>
  <c r="M164" i="20"/>
  <c r="P174" i="20" s="1"/>
  <c r="M109" i="17"/>
  <c r="Q21" i="13"/>
  <c r="P30" i="13"/>
  <c r="M63" i="15"/>
  <c r="T74" i="15"/>
  <c r="V75" i="15" s="1"/>
  <c r="L69" i="15"/>
  <c r="S73" i="15"/>
  <c r="S74" i="15"/>
  <c r="U75" i="15" s="1"/>
  <c r="S78" i="15" s="1"/>
  <c r="T73" i="15"/>
  <c r="Q265" i="17"/>
  <c r="P266" i="17"/>
  <c r="Q31" i="6"/>
  <c r="P37" i="6"/>
  <c r="P38" i="6"/>
  <c r="Q38" i="6" s="1"/>
  <c r="L258" i="20"/>
  <c r="P269" i="20" s="1"/>
  <c r="Q269" i="20" s="1"/>
  <c r="M257" i="20"/>
  <c r="P175" i="17"/>
  <c r="P177" i="17"/>
  <c r="P176" i="17"/>
  <c r="Q176" i="17" s="1"/>
  <c r="P36" i="9"/>
  <c r="Q36" i="9" s="1"/>
  <c r="Q30" i="9"/>
  <c r="P252" i="23"/>
  <c r="AA31" i="6"/>
  <c r="AB33" i="6"/>
  <c r="AC31" i="6"/>
  <c r="AC33" i="6"/>
  <c r="AB31" i="6"/>
  <c r="V32" i="9"/>
  <c r="W32" i="9" s="1"/>
  <c r="V31" i="9"/>
  <c r="W31" i="9" s="1"/>
  <c r="P58" i="11"/>
  <c r="P60" i="11"/>
  <c r="P59" i="11"/>
  <c r="Q59" i="11" s="1"/>
  <c r="S19" i="6"/>
  <c r="S20" i="6" s="1"/>
  <c r="T19" i="6"/>
  <c r="T20" i="6" s="1"/>
  <c r="U19" i="6"/>
  <c r="U20" i="6" s="1"/>
  <c r="M28" i="6"/>
  <c r="S70" i="12"/>
  <c r="T17" i="9"/>
  <c r="M30" i="9"/>
  <c r="L33" i="9"/>
  <c r="M33" i="9" s="1"/>
  <c r="S17" i="9"/>
  <c r="U17" i="9"/>
  <c r="L34" i="9"/>
  <c r="M34" i="9" s="1"/>
  <c r="V17" i="9"/>
  <c r="T70" i="14"/>
  <c r="T71" i="14"/>
  <c r="Q57" i="23"/>
  <c r="P66" i="23"/>
  <c r="P70" i="23"/>
  <c r="L112" i="17"/>
  <c r="M122" i="17"/>
  <c r="S15" i="9"/>
  <c r="T15" i="9"/>
  <c r="T16" i="9" s="1"/>
  <c r="M27" i="9"/>
  <c r="U15" i="9"/>
  <c r="U16" i="9" s="1"/>
  <c r="V15" i="9"/>
  <c r="V16" i="9" s="1"/>
  <c r="L31" i="9"/>
  <c r="M31" i="9" s="1"/>
  <c r="V98" i="17"/>
  <c r="V97" i="17"/>
  <c r="P32" i="13"/>
  <c r="Q32" i="13" s="1"/>
  <c r="P28" i="13"/>
  <c r="Q28" i="13" s="1"/>
  <c r="Q19" i="13"/>
  <c r="M28" i="9"/>
  <c r="U19" i="9"/>
  <c r="U20" i="9" s="1"/>
  <c r="V19" i="9"/>
  <c r="V20" i="9" s="1"/>
  <c r="S19" i="9"/>
  <c r="S20" i="9" s="1"/>
  <c r="T19" i="9"/>
  <c r="T20" i="9" s="1"/>
  <c r="M80" i="17"/>
  <c r="O67" i="12"/>
  <c r="L64" i="14"/>
  <c r="M64" i="14" s="1"/>
  <c r="M47" i="14"/>
  <c r="P57" i="14" s="1"/>
  <c r="L61" i="8"/>
  <c r="L181" i="23"/>
  <c r="M181" i="23" s="1"/>
  <c r="M164" i="23"/>
  <c r="P174" i="23" s="1"/>
  <c r="N62" i="5"/>
  <c r="M63" i="5"/>
  <c r="V32" i="11"/>
  <c r="W32" i="11" s="1"/>
  <c r="V31" i="11"/>
  <c r="V58" i="15"/>
  <c r="V59" i="15" s="1"/>
  <c r="Q27" i="6"/>
  <c r="P29" i="6"/>
  <c r="Q29" i="6" s="1"/>
  <c r="P33" i="6"/>
  <c r="W32" i="8"/>
  <c r="L15" i="11"/>
  <c r="M14" i="11"/>
  <c r="Q19" i="10"/>
  <c r="Q21" i="10"/>
  <c r="Q20" i="10"/>
  <c r="R20" i="10" s="1"/>
  <c r="L54" i="11"/>
  <c r="M53" i="11"/>
  <c r="M8" i="10"/>
  <c r="N18" i="10"/>
  <c r="Q121" i="17"/>
  <c r="Q28" i="9"/>
  <c r="P29" i="9"/>
  <c r="P34" i="9" s="1"/>
  <c r="Q34" i="9" s="1"/>
  <c r="P192" i="20"/>
  <c r="Q192" i="20" s="1"/>
  <c r="Q186" i="20"/>
  <c r="L262" i="20"/>
  <c r="S66" i="12"/>
  <c r="R73" i="12"/>
  <c r="S73" i="12" s="1"/>
  <c r="R74" i="12"/>
  <c r="S74" i="12" s="1"/>
  <c r="R68" i="12"/>
  <c r="S68" i="12" s="1"/>
  <c r="L221" i="17"/>
  <c r="M221" i="17" s="1"/>
  <c r="L225" i="17"/>
  <c r="L227" i="17"/>
  <c r="M227" i="17" s="1"/>
  <c r="P232" i="17"/>
  <c r="Q232" i="17" s="1"/>
  <c r="L222" i="17"/>
  <c r="L220" i="17"/>
  <c r="L224" i="17"/>
  <c r="M224" i="17" s="1"/>
  <c r="Q214" i="17"/>
  <c r="P231" i="17"/>
  <c r="U49" i="14"/>
  <c r="V48" i="14" s="1"/>
  <c r="L142" i="23"/>
  <c r="M142" i="23" s="1"/>
  <c r="M125" i="23"/>
  <c r="P135" i="23" s="1"/>
  <c r="Q66" i="15"/>
  <c r="P68" i="15"/>
  <c r="Q68" i="15" s="1"/>
  <c r="M45" i="20"/>
  <c r="L61" i="20"/>
  <c r="AA33" i="16"/>
  <c r="AA34" i="16"/>
  <c r="M47" i="8"/>
  <c r="P57" i="8" s="1"/>
  <c r="L64" i="8"/>
  <c r="M64" i="8" s="1"/>
  <c r="P17" i="11"/>
  <c r="Q23" i="11"/>
  <c r="H19" i="11"/>
  <c r="AE28" i="13"/>
  <c r="V10" i="10"/>
  <c r="W9" i="10" s="1"/>
  <c r="AK61" i="8"/>
  <c r="AK60" i="8"/>
  <c r="L76" i="17"/>
  <c r="M75" i="17"/>
  <c r="M281" i="23"/>
  <c r="P291" i="23" s="1"/>
  <c r="L298" i="23"/>
  <c r="M106" i="20" l="1"/>
  <c r="K40" i="17"/>
  <c r="T50" i="17" s="1"/>
  <c r="M40" i="17"/>
  <c r="M41" i="17" s="1"/>
  <c r="AA172" i="23"/>
  <c r="AB170" i="23" s="1"/>
  <c r="I108" i="23" s="1"/>
  <c r="AH164" i="23"/>
  <c r="T45" i="17"/>
  <c r="V77" i="17"/>
  <c r="V78" i="17"/>
  <c r="U102" i="17"/>
  <c r="B86" i="17"/>
  <c r="P626" i="17"/>
  <c r="Q18" i="14"/>
  <c r="P27" i="14"/>
  <c r="P31" i="14"/>
  <c r="Y164" i="17"/>
  <c r="S112" i="17"/>
  <c r="U112" i="17"/>
  <c r="V112" i="17"/>
  <c r="T112" i="17"/>
  <c r="U98" i="17"/>
  <c r="P579" i="17"/>
  <c r="Q579" i="17" s="1"/>
  <c r="Q574" i="17"/>
  <c r="AH5" i="9"/>
  <c r="AN5" i="9" s="1"/>
  <c r="AT5" i="9" s="1"/>
  <c r="AI5" i="9"/>
  <c r="AO5" i="9" s="1"/>
  <c r="AU5" i="9" s="1"/>
  <c r="AJ5" i="9"/>
  <c r="AP5" i="9" s="1"/>
  <c r="AV5" i="9" s="1"/>
  <c r="AK5" i="9"/>
  <c r="AQ5" i="9" s="1"/>
  <c r="AW5" i="9" s="1"/>
  <c r="U50" i="14"/>
  <c r="T18" i="9"/>
  <c r="S97" i="17"/>
  <c r="R77" i="12"/>
  <c r="S77" i="12" s="1"/>
  <c r="AR22" i="16"/>
  <c r="S98" i="17"/>
  <c r="U97" i="17"/>
  <c r="R76" i="12"/>
  <c r="AS21" i="16"/>
  <c r="S226" i="20"/>
  <c r="V31" i="6"/>
  <c r="V32" i="6"/>
  <c r="L261" i="20"/>
  <c r="AR21" i="16"/>
  <c r="L101" i="23"/>
  <c r="L106" i="23"/>
  <c r="M100" i="23"/>
  <c r="Q291" i="20"/>
  <c r="P300" i="20"/>
  <c r="P304" i="20"/>
  <c r="M140" i="20"/>
  <c r="L141" i="20"/>
  <c r="V93" i="17"/>
  <c r="U92" i="17"/>
  <c r="AS63" i="16"/>
  <c r="AQ28" i="17"/>
  <c r="L218" i="23"/>
  <c r="M217" i="23"/>
  <c r="L223" i="23"/>
  <c r="U32" i="6"/>
  <c r="W32" i="6" s="1"/>
  <c r="U31" i="6"/>
  <c r="W31" i="6" s="1"/>
  <c r="P36" i="14"/>
  <c r="Q36" i="14" s="1"/>
  <c r="P154" i="20"/>
  <c r="Q154" i="20" s="1"/>
  <c r="W25" i="17"/>
  <c r="S93" i="17"/>
  <c r="V103" i="17"/>
  <c r="M22" i="17"/>
  <c r="L23" i="17"/>
  <c r="M22" i="23"/>
  <c r="L23" i="23"/>
  <c r="Q144" i="20"/>
  <c r="P146" i="20"/>
  <c r="Q146" i="20" s="1"/>
  <c r="P150" i="20"/>
  <c r="Q150" i="20" s="1"/>
  <c r="W26" i="17"/>
  <c r="V11" i="10"/>
  <c r="U93" i="17"/>
  <c r="V92" i="17"/>
  <c r="U36" i="6"/>
  <c r="Q18" i="8"/>
  <c r="P31" i="8"/>
  <c r="Q31" i="8" s="1"/>
  <c r="P27" i="8"/>
  <c r="L301" i="20"/>
  <c r="M296" i="20"/>
  <c r="L297" i="20"/>
  <c r="T92" i="17"/>
  <c r="T102" i="17"/>
  <c r="S92" i="17"/>
  <c r="W31" i="11"/>
  <c r="P36" i="23"/>
  <c r="Q36" i="23" s="1"/>
  <c r="P222" i="23"/>
  <c r="P226" i="23"/>
  <c r="Q213" i="23"/>
  <c r="V102" i="17"/>
  <c r="T103" i="17"/>
  <c r="V36" i="6"/>
  <c r="P36" i="20"/>
  <c r="Q36" i="20" s="1"/>
  <c r="Q18" i="15"/>
  <c r="P27" i="15"/>
  <c r="P31" i="15"/>
  <c r="K41" i="17"/>
  <c r="K42" i="17" s="1"/>
  <c r="L23" i="14"/>
  <c r="M22" i="14"/>
  <c r="L28" i="14"/>
  <c r="L35" i="14"/>
  <c r="M23" i="15"/>
  <c r="L24" i="15"/>
  <c r="T97" i="17"/>
  <c r="S103" i="17"/>
  <c r="T98" i="17"/>
  <c r="S102" i="17"/>
  <c r="V18" i="9"/>
  <c r="W31" i="15"/>
  <c r="Q18" i="23"/>
  <c r="P31" i="23"/>
  <c r="P27" i="23"/>
  <c r="L102" i="20"/>
  <c r="M101" i="20"/>
  <c r="W60" i="17"/>
  <c r="S77" i="17"/>
  <c r="W77" i="17" s="1"/>
  <c r="S78" i="17"/>
  <c r="T93" i="17"/>
  <c r="M42" i="17"/>
  <c r="L28" i="8"/>
  <c r="L23" i="8"/>
  <c r="M22" i="8"/>
  <c r="P109" i="23"/>
  <c r="Q96" i="23"/>
  <c r="P105" i="23"/>
  <c r="P31" i="17"/>
  <c r="Q18" i="17"/>
  <c r="P27" i="17"/>
  <c r="P309" i="20"/>
  <c r="Q309" i="20" s="1"/>
  <c r="U77" i="17"/>
  <c r="U78" i="17"/>
  <c r="AS65" i="16"/>
  <c r="R36" i="12"/>
  <c r="S36" i="12" s="1"/>
  <c r="K43" i="17"/>
  <c r="Q105" i="20"/>
  <c r="P107" i="20"/>
  <c r="Q107" i="20" s="1"/>
  <c r="T77" i="17"/>
  <c r="T78" i="17"/>
  <c r="M23" i="5"/>
  <c r="N22" i="5"/>
  <c r="M28" i="5"/>
  <c r="AE9" i="5"/>
  <c r="R18" i="5"/>
  <c r="Q31" i="5"/>
  <c r="Q27" i="5"/>
  <c r="Q36" i="5"/>
  <c r="R36" i="5" s="1"/>
  <c r="R30" i="5"/>
  <c r="Q18" i="13"/>
  <c r="AD30" i="13"/>
  <c r="AE30" i="13" s="1"/>
  <c r="AD29" i="13"/>
  <c r="P27" i="13"/>
  <c r="P31" i="13"/>
  <c r="Q57" i="14"/>
  <c r="P70" i="14"/>
  <c r="P66" i="14"/>
  <c r="Q57" i="8"/>
  <c r="P66" i="8"/>
  <c r="P70" i="8"/>
  <c r="Q291" i="23"/>
  <c r="P304" i="23"/>
  <c r="P300" i="23"/>
  <c r="Q135" i="23"/>
  <c r="P148" i="23"/>
  <c r="P144" i="23"/>
  <c r="U71" i="14"/>
  <c r="U70" i="14"/>
  <c r="N63" i="5"/>
  <c r="M66" i="5"/>
  <c r="M68" i="5"/>
  <c r="M69" i="5"/>
  <c r="U69" i="16"/>
  <c r="M256" i="23"/>
  <c r="L257" i="23"/>
  <c r="AC74" i="16"/>
  <c r="AC75" i="16"/>
  <c r="L162" i="17"/>
  <c r="M171" i="17"/>
  <c r="M301" i="23"/>
  <c r="Q18" i="20"/>
  <c r="P27" i="20"/>
  <c r="P31" i="20"/>
  <c r="AD74" i="16"/>
  <c r="AD75" i="16"/>
  <c r="L178" i="17"/>
  <c r="M161" i="17"/>
  <c r="AG17" i="16"/>
  <c r="AI17" i="16"/>
  <c r="AF17" i="16"/>
  <c r="AJ17" i="16"/>
  <c r="AC17" i="16"/>
  <c r="AK17" i="16"/>
  <c r="AH17" i="16"/>
  <c r="U30" i="16"/>
  <c r="AD17" i="16"/>
  <c r="AL17" i="16"/>
  <c r="AB17" i="16"/>
  <c r="T33" i="16"/>
  <c r="AA17" i="16"/>
  <c r="T34" i="16"/>
  <c r="U34" i="16" s="1"/>
  <c r="AE17" i="16"/>
  <c r="L226" i="17"/>
  <c r="M225" i="17"/>
  <c r="Q30" i="10"/>
  <c r="R21" i="10"/>
  <c r="L62" i="8"/>
  <c r="L67" i="8" s="1"/>
  <c r="M67" i="8" s="1"/>
  <c r="M61" i="8"/>
  <c r="M76" i="17"/>
  <c r="S84" i="17"/>
  <c r="AF65" i="17"/>
  <c r="S85" i="17"/>
  <c r="AF64" i="17"/>
  <c r="T85" i="17"/>
  <c r="T84" i="17"/>
  <c r="L81" i="17"/>
  <c r="L82" i="17"/>
  <c r="L79" i="17"/>
  <c r="W10" i="10"/>
  <c r="W11" i="10" s="1"/>
  <c r="P72" i="15"/>
  <c r="P225" i="17"/>
  <c r="Q231" i="17"/>
  <c r="M262" i="20"/>
  <c r="Q32" i="10"/>
  <c r="R32" i="10" s="1"/>
  <c r="R19" i="10"/>
  <c r="Q28" i="10"/>
  <c r="R28" i="10" s="1"/>
  <c r="Y97" i="17"/>
  <c r="Y103" i="17"/>
  <c r="U74" i="15"/>
  <c r="U73" i="15"/>
  <c r="K145" i="17"/>
  <c r="K146" i="17" s="1"/>
  <c r="M146" i="17"/>
  <c r="O145" i="17"/>
  <c r="K139" i="17"/>
  <c r="M110" i="17"/>
  <c r="K147" i="17"/>
  <c r="AB11" i="16"/>
  <c r="V34" i="6"/>
  <c r="V35" i="6"/>
  <c r="U36" i="9"/>
  <c r="Q232" i="20"/>
  <c r="S18" i="12"/>
  <c r="R31" i="12"/>
  <c r="R27" i="12"/>
  <c r="Z31" i="13"/>
  <c r="Z36" i="13" s="1"/>
  <c r="AA33" i="13"/>
  <c r="AB31" i="13"/>
  <c r="AB36" i="13" s="1"/>
  <c r="AA31" i="13"/>
  <c r="AA36" i="13" s="1"/>
  <c r="AB33" i="13"/>
  <c r="Y61" i="16"/>
  <c r="X74" i="16"/>
  <c r="X70" i="16"/>
  <c r="C78" i="17"/>
  <c r="P419" i="17"/>
  <c r="AD52" i="16"/>
  <c r="V32" i="10"/>
  <c r="V31" i="10"/>
  <c r="Y20" i="9"/>
  <c r="Y12" i="9"/>
  <c r="W20" i="9" s="1"/>
  <c r="Y28" i="9"/>
  <c r="X20" i="9" s="1"/>
  <c r="Q174" i="23"/>
  <c r="P183" i="23"/>
  <c r="P187" i="23"/>
  <c r="Y102" i="17"/>
  <c r="S16" i="9"/>
  <c r="Y23" i="9"/>
  <c r="Y7" i="9"/>
  <c r="W15" i="9" s="1"/>
  <c r="Y15" i="9"/>
  <c r="S76" i="12"/>
  <c r="M258" i="20"/>
  <c r="S261" i="20"/>
  <c r="U262" i="20" s="1"/>
  <c r="S265" i="20" s="1"/>
  <c r="T261" i="20"/>
  <c r="V262" i="20" s="1"/>
  <c r="T260" i="20"/>
  <c r="S260" i="20"/>
  <c r="L272" i="17"/>
  <c r="P283" i="17"/>
  <c r="L276" i="17"/>
  <c r="M276" i="17" s="1"/>
  <c r="L274" i="17"/>
  <c r="L279" i="17"/>
  <c r="M279" i="17" s="1"/>
  <c r="P284" i="17"/>
  <c r="Q284" i="17" s="1"/>
  <c r="Q266" i="17"/>
  <c r="L277" i="17"/>
  <c r="L273" i="17"/>
  <c r="M273" i="17" s="1"/>
  <c r="U56" i="15"/>
  <c r="M69" i="15"/>
  <c r="S56" i="15"/>
  <c r="T56" i="15"/>
  <c r="L73" i="15"/>
  <c r="M73" i="15" s="1"/>
  <c r="V56" i="15"/>
  <c r="L72" i="15"/>
  <c r="M72" i="15" s="1"/>
  <c r="AT5" i="16"/>
  <c r="AC10" i="16"/>
  <c r="AD9" i="16" s="1"/>
  <c r="M27" i="6"/>
  <c r="V15" i="6"/>
  <c r="V16" i="6" s="1"/>
  <c r="L31" i="6"/>
  <c r="M31" i="6" s="1"/>
  <c r="U15" i="6"/>
  <c r="U16" i="6" s="1"/>
  <c r="T15" i="6"/>
  <c r="T16" i="6" s="1"/>
  <c r="S15" i="6"/>
  <c r="M139" i="23"/>
  <c r="L140" i="23"/>
  <c r="L145" i="23" s="1"/>
  <c r="N23" i="12"/>
  <c r="O22" i="12"/>
  <c r="P369" i="17"/>
  <c r="Q367" i="17"/>
  <c r="AE51" i="16"/>
  <c r="AF50" i="16" s="1"/>
  <c r="M224" i="20"/>
  <c r="S209" i="20"/>
  <c r="Q76" i="15"/>
  <c r="AO26" i="17"/>
  <c r="S72" i="12"/>
  <c r="Q17" i="11"/>
  <c r="P35" i="6"/>
  <c r="Q35" i="6" s="1"/>
  <c r="L23" i="20"/>
  <c r="M22" i="20"/>
  <c r="L28" i="20"/>
  <c r="T17" i="6"/>
  <c r="T18" i="6" s="1"/>
  <c r="L33" i="6"/>
  <c r="S17" i="6"/>
  <c r="L34" i="6"/>
  <c r="M34" i="6" s="1"/>
  <c r="M30" i="6"/>
  <c r="U17" i="6"/>
  <c r="V17" i="6"/>
  <c r="V18" i="6" s="1"/>
  <c r="M62" i="14"/>
  <c r="L63" i="14"/>
  <c r="AS22" i="16"/>
  <c r="AS24" i="16" s="1"/>
  <c r="P192" i="23"/>
  <c r="Q192" i="23" s="1"/>
  <c r="L8" i="11"/>
  <c r="M18" i="11"/>
  <c r="L264" i="20"/>
  <c r="L229" i="20"/>
  <c r="M229" i="20" s="1"/>
  <c r="L228" i="20"/>
  <c r="M228" i="20" s="1"/>
  <c r="M225" i="20"/>
  <c r="S207" i="20"/>
  <c r="U121" i="20"/>
  <c r="U83" i="20"/>
  <c r="P75" i="8"/>
  <c r="Q75" i="8" s="1"/>
  <c r="X92" i="17"/>
  <c r="P270" i="23"/>
  <c r="Q270" i="23" s="1"/>
  <c r="AN25" i="17"/>
  <c r="Z101" i="17"/>
  <c r="P71" i="11"/>
  <c r="Q71" i="11" s="1"/>
  <c r="Q58" i="11"/>
  <c r="P67" i="11"/>
  <c r="Q67" i="11" s="1"/>
  <c r="P73" i="15"/>
  <c r="Q73" i="15" s="1"/>
  <c r="M220" i="17"/>
  <c r="L213" i="17"/>
  <c r="Q29" i="9"/>
  <c r="P33" i="9"/>
  <c r="M25" i="10"/>
  <c r="N25" i="10" s="1"/>
  <c r="N8" i="10"/>
  <c r="P34" i="6"/>
  <c r="Q34" i="6" s="1"/>
  <c r="Y27" i="9"/>
  <c r="Y11" i="9"/>
  <c r="W19" i="9" s="1"/>
  <c r="Y19" i="9"/>
  <c r="K148" i="17"/>
  <c r="K149" i="17" s="1"/>
  <c r="L129" i="17"/>
  <c r="M129" i="17" s="1"/>
  <c r="M112" i="17"/>
  <c r="P122" i="17" s="1"/>
  <c r="U18" i="9"/>
  <c r="Y11" i="6"/>
  <c r="W19" i="6" s="1"/>
  <c r="AA72" i="14"/>
  <c r="AB72" i="14"/>
  <c r="AC72" i="14"/>
  <c r="Q317" i="17"/>
  <c r="P318" i="17"/>
  <c r="U34" i="9"/>
  <c r="U35" i="9"/>
  <c r="AR23" i="16"/>
  <c r="P89" i="17"/>
  <c r="P90" i="17"/>
  <c r="Q90" i="17" s="1"/>
  <c r="M57" i="11"/>
  <c r="L47" i="11"/>
  <c r="Q18" i="10"/>
  <c r="P268" i="20"/>
  <c r="Q268" i="20" s="1"/>
  <c r="Q173" i="17"/>
  <c r="Q56" i="11"/>
  <c r="M23" i="13"/>
  <c r="L24" i="13"/>
  <c r="X79" i="16"/>
  <c r="Y79" i="16" s="1"/>
  <c r="Y73" i="16"/>
  <c r="P75" i="14"/>
  <c r="Q75" i="14" s="1"/>
  <c r="L263" i="20"/>
  <c r="M263" i="20" s="1"/>
  <c r="AO27" i="17"/>
  <c r="P184" i="17"/>
  <c r="Q184" i="17" s="1"/>
  <c r="Q175" i="17"/>
  <c r="P188" i="17"/>
  <c r="Q188" i="17" s="1"/>
  <c r="M61" i="20"/>
  <c r="L62" i="20"/>
  <c r="L67" i="20" s="1"/>
  <c r="M222" i="17"/>
  <c r="L223" i="17"/>
  <c r="M15" i="11"/>
  <c r="L6" i="11"/>
  <c r="M6" i="11" s="1"/>
  <c r="Y93" i="17"/>
  <c r="Y9" i="9"/>
  <c r="W17" i="9" s="1"/>
  <c r="S18" i="9"/>
  <c r="Y25" i="9"/>
  <c r="Y17" i="9"/>
  <c r="L126" i="17"/>
  <c r="M5" i="11"/>
  <c r="T99" i="17"/>
  <c r="V100" i="17"/>
  <c r="V99" i="17"/>
  <c r="T100" i="17"/>
  <c r="U99" i="17"/>
  <c r="S104" i="17"/>
  <c r="S100" i="17"/>
  <c r="S99" i="17"/>
  <c r="V104" i="17"/>
  <c r="U104" i="17"/>
  <c r="U100" i="17"/>
  <c r="T104" i="17"/>
  <c r="U64" i="16"/>
  <c r="T65" i="16"/>
  <c r="T71" i="16" s="1"/>
  <c r="V34" i="9"/>
  <c r="V35" i="9"/>
  <c r="O63" i="12"/>
  <c r="V73" i="12"/>
  <c r="V74" i="12"/>
  <c r="X75" i="12" s="1"/>
  <c r="N69" i="12"/>
  <c r="N66" i="12"/>
  <c r="U74" i="12"/>
  <c r="W75" i="12" s="1"/>
  <c r="U73" i="12"/>
  <c r="N68" i="12"/>
  <c r="W54" i="15"/>
  <c r="S55" i="15"/>
  <c r="W55" i="15" s="1"/>
  <c r="Q79" i="17"/>
  <c r="P81" i="17"/>
  <c r="Q81" i="17" s="1"/>
  <c r="P272" i="20"/>
  <c r="Q272" i="20" s="1"/>
  <c r="L179" i="23"/>
  <c r="L184" i="23" s="1"/>
  <c r="M178" i="23"/>
  <c r="P153" i="23"/>
  <c r="Q153" i="23" s="1"/>
  <c r="P19" i="11"/>
  <c r="P21" i="11"/>
  <c r="P20" i="11"/>
  <c r="Q20" i="11" s="1"/>
  <c r="AJ15" i="16"/>
  <c r="AJ16" i="16" s="1"/>
  <c r="AA15" i="16"/>
  <c r="AF15" i="16"/>
  <c r="AF16" i="16" s="1"/>
  <c r="AI15" i="16"/>
  <c r="AI16" i="16" s="1"/>
  <c r="AL15" i="16"/>
  <c r="AL16" i="16" s="1"/>
  <c r="AH15" i="16"/>
  <c r="AH16" i="16" s="1"/>
  <c r="AB15" i="16"/>
  <c r="AB16" i="16" s="1"/>
  <c r="U27" i="16"/>
  <c r="AK15" i="16"/>
  <c r="AK16" i="16" s="1"/>
  <c r="AE15" i="16"/>
  <c r="AE16" i="16" s="1"/>
  <c r="AD15" i="16"/>
  <c r="AD16" i="16" s="1"/>
  <c r="AG15" i="16"/>
  <c r="AG16" i="16" s="1"/>
  <c r="AC15" i="16"/>
  <c r="AC16" i="16" s="1"/>
  <c r="T31" i="16"/>
  <c r="U31" i="16" s="1"/>
  <c r="Y39" i="16"/>
  <c r="AB248" i="23"/>
  <c r="I110" i="23" s="1"/>
  <c r="AQ27" i="17"/>
  <c r="AQ26" i="17"/>
  <c r="P229" i="17"/>
  <c r="P228" i="17"/>
  <c r="Q228" i="17" s="1"/>
  <c r="P227" i="17"/>
  <c r="L45" i="11"/>
  <c r="M45" i="11" s="1"/>
  <c r="M54" i="11"/>
  <c r="L265" i="20"/>
  <c r="M265" i="20" s="1"/>
  <c r="M261" i="20"/>
  <c r="Q66" i="23"/>
  <c r="P68" i="23"/>
  <c r="Q68" i="23" s="1"/>
  <c r="P72" i="23"/>
  <c r="Q37" i="6"/>
  <c r="Q174" i="20"/>
  <c r="P183" i="20"/>
  <c r="P187" i="20"/>
  <c r="AB12" i="16"/>
  <c r="S39" i="6"/>
  <c r="M67" i="14"/>
  <c r="W58" i="15"/>
  <c r="S59" i="15"/>
  <c r="W59" i="15" s="1"/>
  <c r="X59" i="15" s="1"/>
  <c r="P85" i="15" s="1"/>
  <c r="V36" i="9"/>
  <c r="AR24" i="16"/>
  <c r="L70" i="15"/>
  <c r="M70" i="15" s="1"/>
  <c r="S205" i="20"/>
  <c r="M222" i="20"/>
  <c r="L226" i="20"/>
  <c r="M226" i="20" s="1"/>
  <c r="P271" i="20"/>
  <c r="P267" i="20"/>
  <c r="Q77" i="5"/>
  <c r="R77" i="5" s="1"/>
  <c r="R70" i="5"/>
  <c r="Q76" i="5"/>
  <c r="U222" i="20"/>
  <c r="U221" i="20"/>
  <c r="M44" i="11"/>
  <c r="AA24" i="13"/>
  <c r="AD35" i="13" s="1"/>
  <c r="AE35" i="13" s="1"/>
  <c r="AE37" i="13" s="1"/>
  <c r="AD37" i="13"/>
  <c r="M67" i="23"/>
  <c r="M178" i="20"/>
  <c r="L179" i="20"/>
  <c r="L184" i="20" s="1"/>
  <c r="Q134" i="17"/>
  <c r="P140" i="17"/>
  <c r="Q140" i="17" s="1"/>
  <c r="AP28" i="17"/>
  <c r="AN24" i="17"/>
  <c r="Z95" i="17"/>
  <c r="Q33" i="6"/>
  <c r="M298" i="23"/>
  <c r="P309" i="23"/>
  <c r="Q309" i="23" s="1"/>
  <c r="P74" i="15"/>
  <c r="Q74" i="15" s="1"/>
  <c r="V50" i="14"/>
  <c r="V49" i="14"/>
  <c r="Y92" i="17"/>
  <c r="V19" i="6"/>
  <c r="V20" i="6" s="1"/>
  <c r="Y28" i="6" s="1"/>
  <c r="Q60" i="11"/>
  <c r="P69" i="11"/>
  <c r="Q252" i="23"/>
  <c r="P261" i="23"/>
  <c r="P265" i="23"/>
  <c r="P186" i="17"/>
  <c r="Q177" i="17"/>
  <c r="V73" i="15"/>
  <c r="V74" i="15"/>
  <c r="Q30" i="13"/>
  <c r="P36" i="13"/>
  <c r="Q36" i="13" s="1"/>
  <c r="U34" i="6"/>
  <c r="U35" i="6"/>
  <c r="S38" i="6" s="1"/>
  <c r="P35" i="9"/>
  <c r="Q35" i="9" s="1"/>
  <c r="AR62" i="16"/>
  <c r="AR65" i="16" s="1"/>
  <c r="AS66" i="16" s="1"/>
  <c r="Q57" i="20"/>
  <c r="P70" i="20"/>
  <c r="P66" i="20"/>
  <c r="L164" i="17"/>
  <c r="M174" i="17"/>
  <c r="U121" i="23"/>
  <c r="U83" i="23"/>
  <c r="L297" i="23"/>
  <c r="M296" i="23"/>
  <c r="Q68" i="5"/>
  <c r="R68" i="5" s="1"/>
  <c r="R66" i="5"/>
  <c r="V222" i="20"/>
  <c r="V221" i="20"/>
  <c r="L28" i="13"/>
  <c r="AB247" i="23"/>
  <c r="I100" i="23" s="1"/>
  <c r="M62" i="23"/>
  <c r="L63" i="23"/>
  <c r="P74" i="23" s="1"/>
  <c r="Q74" i="23" s="1"/>
  <c r="AD54" i="16"/>
  <c r="M22" i="10"/>
  <c r="U29" i="16"/>
  <c r="AJ19" i="16"/>
  <c r="AJ20" i="16" s="1"/>
  <c r="AB19" i="16"/>
  <c r="AB20" i="16" s="1"/>
  <c r="AE19" i="16"/>
  <c r="AE20" i="16" s="1"/>
  <c r="AA19" i="16"/>
  <c r="AK19" i="16"/>
  <c r="AK20" i="16" s="1"/>
  <c r="AI19" i="16"/>
  <c r="AI20" i="16" s="1"/>
  <c r="AC19" i="16"/>
  <c r="AC20" i="16" s="1"/>
  <c r="AG19" i="16"/>
  <c r="AG20" i="16" s="1"/>
  <c r="AH19" i="16"/>
  <c r="AH20" i="16" s="1"/>
  <c r="AF19" i="16"/>
  <c r="AF20" i="16" s="1"/>
  <c r="AL19" i="16"/>
  <c r="AL20" i="16" s="1"/>
  <c r="AD19" i="16"/>
  <c r="AD20" i="16" s="1"/>
  <c r="Q37" i="9"/>
  <c r="AP26" i="17"/>
  <c r="AN23" i="17"/>
  <c r="Z96" i="17"/>
  <c r="AE54" i="16" l="1"/>
  <c r="Q27" i="17"/>
  <c r="P29" i="17"/>
  <c r="Q29" i="17" s="1"/>
  <c r="P29" i="8"/>
  <c r="Q29" i="8" s="1"/>
  <c r="Q27" i="8"/>
  <c r="Q300" i="20"/>
  <c r="P302" i="20"/>
  <c r="Q302" i="20" s="1"/>
  <c r="P306" i="20"/>
  <c r="Q306" i="20" s="1"/>
  <c r="P308" i="20"/>
  <c r="Q308" i="20" s="1"/>
  <c r="T51" i="17"/>
  <c r="V50" i="17"/>
  <c r="AE52" i="16"/>
  <c r="W78" i="17"/>
  <c r="S82" i="17" s="1"/>
  <c r="W82" i="17" s="1"/>
  <c r="T130" i="17"/>
  <c r="T129" i="17"/>
  <c r="U51" i="17"/>
  <c r="V51" i="17"/>
  <c r="T57" i="15"/>
  <c r="U78" i="12"/>
  <c r="AE53" i="16"/>
  <c r="P37" i="17"/>
  <c r="Q37" i="17" s="1"/>
  <c r="P38" i="17"/>
  <c r="Q38" i="17" s="1"/>
  <c r="L28" i="23"/>
  <c r="M23" i="23"/>
  <c r="L24" i="23"/>
  <c r="V130" i="17"/>
  <c r="V129" i="17"/>
  <c r="V45" i="17"/>
  <c r="T41" i="17"/>
  <c r="Q105" i="23"/>
  <c r="P107" i="23"/>
  <c r="Q107" i="23" s="1"/>
  <c r="U130" i="17"/>
  <c r="U129" i="17"/>
  <c r="S46" i="17"/>
  <c r="V46" i="17"/>
  <c r="S244" i="20"/>
  <c r="Y98" i="17"/>
  <c r="W112" i="17"/>
  <c r="S130" i="17"/>
  <c r="S129" i="17"/>
  <c r="S51" i="17"/>
  <c r="U46" i="17"/>
  <c r="AC12" i="16"/>
  <c r="P112" i="20"/>
  <c r="Q112" i="20" s="1"/>
  <c r="M102" i="20"/>
  <c r="S105" i="20"/>
  <c r="U106" i="20" s="1"/>
  <c r="T104" i="20"/>
  <c r="L108" i="20"/>
  <c r="S104" i="20"/>
  <c r="T105" i="20"/>
  <c r="V106" i="20" s="1"/>
  <c r="L107" i="20"/>
  <c r="P233" i="23"/>
  <c r="Q233" i="23" s="1"/>
  <c r="L24" i="17"/>
  <c r="P34" i="17" s="1"/>
  <c r="Q34" i="17" s="1"/>
  <c r="M23" i="17"/>
  <c r="L30" i="17"/>
  <c r="M223" i="23"/>
  <c r="S164" i="17"/>
  <c r="V164" i="17"/>
  <c r="T164" i="17"/>
  <c r="U164" i="17"/>
  <c r="Y216" i="17"/>
  <c r="S50" i="17"/>
  <c r="P111" i="20"/>
  <c r="Q111" i="20" s="1"/>
  <c r="Q27" i="23"/>
  <c r="P29" i="23"/>
  <c r="Q29" i="23" s="1"/>
  <c r="P229" i="23"/>
  <c r="Q229" i="23" s="1"/>
  <c r="P228" i="23"/>
  <c r="P224" i="23"/>
  <c r="Q224" i="23" s="1"/>
  <c r="Q222" i="23"/>
  <c r="P230" i="23"/>
  <c r="Q230" i="23" s="1"/>
  <c r="Q31" i="14"/>
  <c r="U45" i="17"/>
  <c r="L105" i="20"/>
  <c r="L28" i="17"/>
  <c r="L219" i="23"/>
  <c r="L222" i="23" s="1"/>
  <c r="M218" i="23"/>
  <c r="Q27" i="14"/>
  <c r="P29" i="14"/>
  <c r="Q29" i="14" s="1"/>
  <c r="U41" i="17"/>
  <c r="Q74" i="5"/>
  <c r="R74" i="5" s="1"/>
  <c r="AC13" i="16"/>
  <c r="P113" i="20"/>
  <c r="Q113" i="20" s="1"/>
  <c r="U40" i="17"/>
  <c r="AB171" i="23"/>
  <c r="AB169" i="23"/>
  <c r="I98" i="23" s="1"/>
  <c r="Q72" i="5"/>
  <c r="R72" i="5" s="1"/>
  <c r="M28" i="14"/>
  <c r="P631" i="17"/>
  <c r="Q631" i="17" s="1"/>
  <c r="Q626" i="17"/>
  <c r="V41" i="17"/>
  <c r="P115" i="20"/>
  <c r="Q115" i="20" s="1"/>
  <c r="U44" i="17"/>
  <c r="AP9" i="17" s="1"/>
  <c r="T44" i="17"/>
  <c r="AO9" i="17" s="1"/>
  <c r="V43" i="17"/>
  <c r="AQ10" i="17" s="1"/>
  <c r="T43" i="17"/>
  <c r="AO10" i="17" s="1"/>
  <c r="T49" i="17"/>
  <c r="AO11" i="17" s="1"/>
  <c r="AO14" i="17" s="1"/>
  <c r="U43" i="17"/>
  <c r="AP10" i="17" s="1"/>
  <c r="AP13" i="17" s="1"/>
  <c r="S44" i="17"/>
  <c r="V49" i="17"/>
  <c r="AQ11" i="17" s="1"/>
  <c r="U49" i="17"/>
  <c r="AP11" i="17" s="1"/>
  <c r="S43" i="17"/>
  <c r="S49" i="17"/>
  <c r="V44" i="17"/>
  <c r="AQ9" i="17" s="1"/>
  <c r="AQ12" i="17" s="1"/>
  <c r="M106" i="23"/>
  <c r="P678" i="17"/>
  <c r="B88" i="17"/>
  <c r="T40" i="17"/>
  <c r="P116" i="20"/>
  <c r="Q116" i="20" s="1"/>
  <c r="L24" i="14"/>
  <c r="M23" i="14"/>
  <c r="L27" i="23"/>
  <c r="M101" i="23"/>
  <c r="L102" i="23"/>
  <c r="P113" i="23" s="1"/>
  <c r="Q113" i="23" s="1"/>
  <c r="T46" i="17"/>
  <c r="T52" i="17"/>
  <c r="U47" i="17"/>
  <c r="S47" i="17"/>
  <c r="T48" i="17"/>
  <c r="V52" i="17"/>
  <c r="V47" i="17"/>
  <c r="V48" i="17"/>
  <c r="U48" i="17"/>
  <c r="U52" i="17"/>
  <c r="S52" i="17"/>
  <c r="T47" i="17"/>
  <c r="S48" i="17"/>
  <c r="T42" i="17"/>
  <c r="S42" i="17"/>
  <c r="U42" i="17"/>
  <c r="V42" i="17"/>
  <c r="U50" i="17"/>
  <c r="Y50" i="17" s="1"/>
  <c r="L24" i="8"/>
  <c r="M23" i="8"/>
  <c r="Q31" i="15"/>
  <c r="P37" i="15"/>
  <c r="Q37" i="15" s="1"/>
  <c r="P38" i="15"/>
  <c r="Q38" i="15" s="1"/>
  <c r="L303" i="20"/>
  <c r="M297" i="20"/>
  <c r="L300" i="20"/>
  <c r="T300" i="20"/>
  <c r="V301" i="20" s="1"/>
  <c r="T299" i="20"/>
  <c r="S299" i="20"/>
  <c r="L302" i="20"/>
  <c r="S300" i="20"/>
  <c r="U301" i="20" s="1"/>
  <c r="P155" i="20"/>
  <c r="Q155" i="20" s="1"/>
  <c r="M141" i="20"/>
  <c r="S144" i="20"/>
  <c r="U145" i="20" s="1"/>
  <c r="T143" i="20"/>
  <c r="P151" i="20"/>
  <c r="Q151" i="20" s="1"/>
  <c r="T144" i="20"/>
  <c r="V145" i="20" s="1"/>
  <c r="L146" i="20"/>
  <c r="L147" i="20"/>
  <c r="S143" i="20"/>
  <c r="P152" i="20"/>
  <c r="Q152" i="20" s="1"/>
  <c r="L144" i="20"/>
  <c r="S41" i="17"/>
  <c r="AN26" i="17"/>
  <c r="M28" i="8"/>
  <c r="O39" i="15"/>
  <c r="Q27" i="15"/>
  <c r="P29" i="15"/>
  <c r="Q29" i="15" s="1"/>
  <c r="V40" i="17"/>
  <c r="S40" i="17"/>
  <c r="Y40" i="17" s="1"/>
  <c r="U82" i="17"/>
  <c r="M24" i="15"/>
  <c r="T35" i="15"/>
  <c r="V36" i="15" s="1"/>
  <c r="S34" i="15"/>
  <c r="S35" i="15"/>
  <c r="U36" i="15" s="1"/>
  <c r="T34" i="15"/>
  <c r="L29" i="15"/>
  <c r="L27" i="15"/>
  <c r="L30" i="15"/>
  <c r="M301" i="20"/>
  <c r="S287" i="20"/>
  <c r="U287" i="20" s="1"/>
  <c r="L225" i="23"/>
  <c r="P310" i="20"/>
  <c r="Q310" i="20" s="1"/>
  <c r="P311" i="20"/>
  <c r="Q311" i="20" s="1"/>
  <c r="S45" i="17"/>
  <c r="Q73" i="5"/>
  <c r="R73" i="5" s="1"/>
  <c r="Q29" i="5"/>
  <c r="R29" i="5" s="1"/>
  <c r="R27" i="5"/>
  <c r="I33" i="5"/>
  <c r="R31" i="5"/>
  <c r="N28" i="5"/>
  <c r="M39" i="5"/>
  <c r="M24" i="5"/>
  <c r="Q35" i="5" s="1"/>
  <c r="R35" i="5" s="1"/>
  <c r="N23" i="5"/>
  <c r="M67" i="20"/>
  <c r="Q122" i="17"/>
  <c r="P135" i="17"/>
  <c r="P131" i="17"/>
  <c r="M184" i="20"/>
  <c r="U71" i="16"/>
  <c r="N70" i="12"/>
  <c r="O70" i="12" s="1"/>
  <c r="W54" i="12"/>
  <c r="W55" i="12" s="1"/>
  <c r="O66" i="12"/>
  <c r="X54" i="12"/>
  <c r="X55" i="12" s="1"/>
  <c r="V54" i="12"/>
  <c r="V55" i="12" s="1"/>
  <c r="U54" i="12"/>
  <c r="U160" i="23"/>
  <c r="U122" i="23"/>
  <c r="AN27" i="17"/>
  <c r="S224" i="20"/>
  <c r="P73" i="23"/>
  <c r="Q73" i="23" s="1"/>
  <c r="Q21" i="11"/>
  <c r="P30" i="11"/>
  <c r="X73" i="12"/>
  <c r="X74" i="12"/>
  <c r="Q33" i="9"/>
  <c r="AA28" i="6"/>
  <c r="AA33" i="6" s="1"/>
  <c r="M33" i="6"/>
  <c r="AE72" i="16"/>
  <c r="AE73" i="16"/>
  <c r="N28" i="12"/>
  <c r="U57" i="15"/>
  <c r="P277" i="17"/>
  <c r="Q283" i="17"/>
  <c r="X81" i="16"/>
  <c r="Y81" i="16" s="1"/>
  <c r="Y74" i="16"/>
  <c r="X80" i="16"/>
  <c r="S39" i="9"/>
  <c r="S146" i="17"/>
  <c r="U146" i="17"/>
  <c r="V146" i="17"/>
  <c r="T146" i="17"/>
  <c r="Q72" i="15"/>
  <c r="AK18" i="16"/>
  <c r="O197" i="17"/>
  <c r="K197" i="17"/>
  <c r="K198" i="17" s="1"/>
  <c r="K191" i="17"/>
  <c r="M162" i="17"/>
  <c r="L258" i="23"/>
  <c r="M257" i="23"/>
  <c r="P311" i="23"/>
  <c r="Q311" i="23" s="1"/>
  <c r="P310" i="23"/>
  <c r="Q70" i="14"/>
  <c r="P76" i="14"/>
  <c r="P77" i="14"/>
  <c r="Q77" i="14" s="1"/>
  <c r="P37" i="13"/>
  <c r="Q31" i="13"/>
  <c r="P38" i="13"/>
  <c r="Q38" i="13" s="1"/>
  <c r="S225" i="20"/>
  <c r="Q72" i="23"/>
  <c r="Q19" i="11"/>
  <c r="P28" i="11"/>
  <c r="Q28" i="11" s="1"/>
  <c r="P32" i="11"/>
  <c r="Q32" i="11" s="1"/>
  <c r="R18" i="10"/>
  <c r="Q31" i="10"/>
  <c r="Q27" i="10"/>
  <c r="S38" i="9"/>
  <c r="AE75" i="16"/>
  <c r="AE74" i="16"/>
  <c r="L265" i="17"/>
  <c r="M272" i="17"/>
  <c r="S76" i="15"/>
  <c r="AD75" i="17"/>
  <c r="AA75" i="17"/>
  <c r="AB74" i="17"/>
  <c r="AD74" i="17"/>
  <c r="AB75" i="17"/>
  <c r="AA74" i="17"/>
  <c r="AE74" i="17" s="1"/>
  <c r="AC75" i="17"/>
  <c r="AC74" i="17"/>
  <c r="AA18" i="16"/>
  <c r="AC18" i="16"/>
  <c r="M178" i="17"/>
  <c r="L179" i="17"/>
  <c r="Q27" i="13"/>
  <c r="P29" i="13"/>
  <c r="Q29" i="13" s="1"/>
  <c r="P35" i="13"/>
  <c r="Q35" i="13" s="1"/>
  <c r="U205" i="20"/>
  <c r="S206" i="20"/>
  <c r="U206" i="20" s="1"/>
  <c r="U65" i="16"/>
  <c r="AB78" i="16"/>
  <c r="T68" i="16"/>
  <c r="T74" i="16" s="1"/>
  <c r="U74" i="16" s="1"/>
  <c r="AA78" i="16"/>
  <c r="AB77" i="16"/>
  <c r="AA77" i="16"/>
  <c r="L181" i="17"/>
  <c r="M181" i="17" s="1"/>
  <c r="M164" i="17"/>
  <c r="K200" i="17"/>
  <c r="K201" i="17" s="1"/>
  <c r="M179" i="20"/>
  <c r="L180" i="20"/>
  <c r="P193" i="20" s="1"/>
  <c r="Q271" i="20"/>
  <c r="Q227" i="17"/>
  <c r="P240" i="17"/>
  <c r="Q240" i="17" s="1"/>
  <c r="P236" i="17"/>
  <c r="Q236" i="17" s="1"/>
  <c r="P87" i="17"/>
  <c r="Q87" i="17" s="1"/>
  <c r="O68" i="12"/>
  <c r="X58" i="12"/>
  <c r="X59" i="12" s="1"/>
  <c r="W58" i="12"/>
  <c r="W59" i="12" s="1"/>
  <c r="V58" i="12"/>
  <c r="V59" i="12" s="1"/>
  <c r="U58" i="12"/>
  <c r="L63" i="20"/>
  <c r="P73" i="20" s="1"/>
  <c r="Q73" i="20" s="1"/>
  <c r="M62" i="20"/>
  <c r="L64" i="11"/>
  <c r="M64" i="11" s="1"/>
  <c r="M47" i="11"/>
  <c r="S37" i="9"/>
  <c r="M213" i="17"/>
  <c r="M277" i="17"/>
  <c r="L278" i="17"/>
  <c r="U261" i="20"/>
  <c r="U260" i="20"/>
  <c r="X15" i="9"/>
  <c r="S27" i="12"/>
  <c r="R29" i="12"/>
  <c r="S29" i="12" s="1"/>
  <c r="AB32" i="16"/>
  <c r="AB31" i="16"/>
  <c r="S77" i="15"/>
  <c r="W31" i="10"/>
  <c r="W32" i="10"/>
  <c r="X32" i="10" s="1"/>
  <c r="L63" i="8"/>
  <c r="P76" i="8" s="1"/>
  <c r="M62" i="8"/>
  <c r="AR28" i="16"/>
  <c r="U33" i="16"/>
  <c r="AR69" i="16"/>
  <c r="AJ18" i="16"/>
  <c r="AE29" i="13"/>
  <c r="AE32" i="13" s="1"/>
  <c r="AD32" i="13"/>
  <c r="AA16" i="16"/>
  <c r="M28" i="13"/>
  <c r="P68" i="20"/>
  <c r="Q68" i="20" s="1"/>
  <c r="P74" i="20"/>
  <c r="Q74" i="20" s="1"/>
  <c r="P72" i="20"/>
  <c r="Q66" i="20"/>
  <c r="T70" i="16"/>
  <c r="Q186" i="17"/>
  <c r="AB33" i="16"/>
  <c r="AB34" i="16"/>
  <c r="L180" i="23"/>
  <c r="P190" i="23" s="1"/>
  <c r="Q190" i="23" s="1"/>
  <c r="M179" i="23"/>
  <c r="P85" i="17"/>
  <c r="W73" i="12"/>
  <c r="W74" i="12"/>
  <c r="U77" i="12" s="1"/>
  <c r="X96" i="17"/>
  <c r="X93" i="17"/>
  <c r="X98" i="17"/>
  <c r="L22" i="11"/>
  <c r="X17" i="9"/>
  <c r="L214" i="17"/>
  <c r="M223" i="17"/>
  <c r="Y19" i="6"/>
  <c r="M23" i="20"/>
  <c r="L24" i="20"/>
  <c r="P33" i="20" s="1"/>
  <c r="Q369" i="17"/>
  <c r="P370" i="17"/>
  <c r="V57" i="15"/>
  <c r="V261" i="20"/>
  <c r="V260" i="20"/>
  <c r="Y24" i="9"/>
  <c r="Y8" i="9"/>
  <c r="W16" i="9" s="1"/>
  <c r="Y16" i="9"/>
  <c r="S31" i="12"/>
  <c r="S147" i="17"/>
  <c r="V153" i="17"/>
  <c r="AQ39" i="17" s="1"/>
  <c r="U147" i="17"/>
  <c r="AP38" i="17" s="1"/>
  <c r="V148" i="17"/>
  <c r="AQ37" i="17" s="1"/>
  <c r="T147" i="17"/>
  <c r="AO38" i="17" s="1"/>
  <c r="S148" i="17"/>
  <c r="U148" i="17"/>
  <c r="AP37" i="17" s="1"/>
  <c r="V147" i="17"/>
  <c r="AQ38" i="17" s="1"/>
  <c r="S153" i="17"/>
  <c r="T153" i="17"/>
  <c r="AO39" i="17" s="1"/>
  <c r="AO42" i="17" s="1"/>
  <c r="T148" i="17"/>
  <c r="AO37" i="17" s="1"/>
  <c r="U153" i="17"/>
  <c r="AP39" i="17" s="1"/>
  <c r="AB18" i="16"/>
  <c r="AF18" i="16"/>
  <c r="Q70" i="8"/>
  <c r="Q183" i="20"/>
  <c r="P185" i="20"/>
  <c r="Q185" i="20" s="1"/>
  <c r="M28" i="10"/>
  <c r="N22" i="10"/>
  <c r="M23" i="10"/>
  <c r="M63" i="23"/>
  <c r="L68" i="23"/>
  <c r="T66" i="23"/>
  <c r="V67" i="23" s="1"/>
  <c r="L66" i="23"/>
  <c r="L69" i="23"/>
  <c r="S65" i="23"/>
  <c r="S66" i="23"/>
  <c r="U67" i="23" s="1"/>
  <c r="T65" i="23"/>
  <c r="P77" i="20"/>
  <c r="Q77" i="20" s="1"/>
  <c r="P271" i="23"/>
  <c r="P272" i="23"/>
  <c r="Q272" i="23" s="1"/>
  <c r="R76" i="5"/>
  <c r="Q229" i="17"/>
  <c r="P238" i="17"/>
  <c r="P86" i="17"/>
  <c r="Q86" i="17" s="1"/>
  <c r="X94" i="17"/>
  <c r="X97" i="17"/>
  <c r="Y18" i="9"/>
  <c r="Y26" i="9"/>
  <c r="Y10" i="9"/>
  <c r="W18" i="9" s="1"/>
  <c r="P57" i="11"/>
  <c r="Y27" i="6"/>
  <c r="X19" i="9"/>
  <c r="L268" i="20"/>
  <c r="M268" i="20" s="1"/>
  <c r="L267" i="20"/>
  <c r="M267" i="20" s="1"/>
  <c r="M264" i="20"/>
  <c r="S246" i="20"/>
  <c r="U18" i="6"/>
  <c r="L27" i="20"/>
  <c r="U209" i="20"/>
  <c r="S210" i="20"/>
  <c r="U210" i="20" s="1"/>
  <c r="P281" i="17"/>
  <c r="P279" i="17"/>
  <c r="P280" i="17"/>
  <c r="Q280" i="17" s="1"/>
  <c r="AD72" i="16"/>
  <c r="AD73" i="16"/>
  <c r="S248" i="20"/>
  <c r="T62" i="17"/>
  <c r="T63" i="17" s="1"/>
  <c r="M79" i="17"/>
  <c r="U62" i="17"/>
  <c r="U63" i="17" s="1"/>
  <c r="L83" i="17"/>
  <c r="M83" i="17" s="1"/>
  <c r="V62" i="17"/>
  <c r="V63" i="17" s="1"/>
  <c r="S62" i="17"/>
  <c r="S80" i="17"/>
  <c r="W80" i="17" s="1"/>
  <c r="S81" i="17"/>
  <c r="Q36" i="10"/>
  <c r="R36" i="10" s="1"/>
  <c r="R30" i="10"/>
  <c r="AL18" i="16"/>
  <c r="AI18" i="16"/>
  <c r="P37" i="20"/>
  <c r="L264" i="23"/>
  <c r="P146" i="23"/>
  <c r="Q146" i="23" s="1"/>
  <c r="Q144" i="23"/>
  <c r="Q66" i="8"/>
  <c r="P68" i="8"/>
  <c r="Q68" i="8" s="1"/>
  <c r="P263" i="23"/>
  <c r="Q263" i="23" s="1"/>
  <c r="Q261" i="23"/>
  <c r="X31" i="10"/>
  <c r="Q419" i="17"/>
  <c r="P421" i="17"/>
  <c r="S64" i="17"/>
  <c r="L85" i="17"/>
  <c r="M85" i="17" s="1"/>
  <c r="U64" i="17"/>
  <c r="U65" i="17" s="1"/>
  <c r="L86" i="17"/>
  <c r="M86" i="17" s="1"/>
  <c r="T64" i="17"/>
  <c r="T65" i="17" s="1"/>
  <c r="M82" i="17"/>
  <c r="V64" i="17"/>
  <c r="V65" i="17" s="1"/>
  <c r="AD18" i="16"/>
  <c r="AG18" i="16"/>
  <c r="Q27" i="20"/>
  <c r="P29" i="20"/>
  <c r="Q29" i="20" s="1"/>
  <c r="AD36" i="13"/>
  <c r="AE36" i="13" s="1"/>
  <c r="AE38" i="13" s="1"/>
  <c r="AE39" i="13" s="1"/>
  <c r="L261" i="23"/>
  <c r="M73" i="5"/>
  <c r="N73" i="5" s="1"/>
  <c r="W56" i="5"/>
  <c r="T56" i="5"/>
  <c r="V56" i="5"/>
  <c r="U56" i="5"/>
  <c r="N69" i="5"/>
  <c r="M72" i="5"/>
  <c r="N72" i="5" s="1"/>
  <c r="Y20" i="6"/>
  <c r="X20" i="6" s="1"/>
  <c r="Y36" i="6" s="1"/>
  <c r="Y44" i="6" s="1"/>
  <c r="I49" i="6" s="1"/>
  <c r="V70" i="14"/>
  <c r="W70" i="14" s="1"/>
  <c r="V71" i="14"/>
  <c r="W71" i="14" s="1"/>
  <c r="X99" i="17"/>
  <c r="X101" i="17"/>
  <c r="X100" i="17"/>
  <c r="X95" i="17"/>
  <c r="M28" i="20"/>
  <c r="N24" i="12"/>
  <c r="O23" i="12"/>
  <c r="M145" i="23"/>
  <c r="M297" i="23"/>
  <c r="L302" i="23"/>
  <c r="L300" i="23"/>
  <c r="S299" i="23"/>
  <c r="T300" i="23"/>
  <c r="V301" i="23" s="1"/>
  <c r="S300" i="23"/>
  <c r="U301" i="23" s="1"/>
  <c r="L303" i="23"/>
  <c r="T299" i="23"/>
  <c r="X58" i="15"/>
  <c r="P84" i="15" s="1"/>
  <c r="X55" i="15"/>
  <c r="U56" i="12"/>
  <c r="V56" i="12"/>
  <c r="V57" i="12" s="1"/>
  <c r="O69" i="12"/>
  <c r="N72" i="12"/>
  <c r="O72" i="12" s="1"/>
  <c r="N73" i="12"/>
  <c r="O73" i="12" s="1"/>
  <c r="X56" i="12"/>
  <c r="X57" i="12" s="1"/>
  <c r="W56" i="12"/>
  <c r="W57" i="12" s="1"/>
  <c r="P76" i="23"/>
  <c r="P174" i="17"/>
  <c r="Q318" i="17"/>
  <c r="P335" i="17"/>
  <c r="L324" i="17"/>
  <c r="L331" i="17"/>
  <c r="M331" i="17" s="1"/>
  <c r="L325" i="17"/>
  <c r="M325" i="17" s="1"/>
  <c r="L326" i="17"/>
  <c r="P336" i="17"/>
  <c r="Q336" i="17" s="1"/>
  <c r="L329" i="17"/>
  <c r="L328" i="17"/>
  <c r="M328" i="17" s="1"/>
  <c r="AN28" i="17"/>
  <c r="U160" i="20"/>
  <c r="U122" i="20"/>
  <c r="M8" i="11"/>
  <c r="P18" i="11" s="1"/>
  <c r="L25" i="11"/>
  <c r="M25" i="11" s="1"/>
  <c r="AF51" i="16"/>
  <c r="AG50" i="16" s="1"/>
  <c r="AF52" i="16"/>
  <c r="L141" i="23"/>
  <c r="P155" i="23" s="1"/>
  <c r="Q155" i="23" s="1"/>
  <c r="M140" i="23"/>
  <c r="AC11" i="16"/>
  <c r="W56" i="15"/>
  <c r="S57" i="15"/>
  <c r="M274" i="17"/>
  <c r="L275" i="17"/>
  <c r="Q183" i="23"/>
  <c r="P185" i="23"/>
  <c r="Q185" i="23" s="1"/>
  <c r="C80" i="17"/>
  <c r="P471" i="17"/>
  <c r="M144" i="17"/>
  <c r="M145" i="17" s="1"/>
  <c r="K144" i="17"/>
  <c r="U154" i="17" s="1"/>
  <c r="M81" i="17"/>
  <c r="U66" i="17"/>
  <c r="U67" i="17" s="1"/>
  <c r="T66" i="17"/>
  <c r="T67" i="17" s="1"/>
  <c r="V66" i="17"/>
  <c r="V67" i="17" s="1"/>
  <c r="S66" i="17"/>
  <c r="M226" i="17"/>
  <c r="L216" i="17"/>
  <c r="L262" i="23"/>
  <c r="N68" i="5"/>
  <c r="U59" i="5"/>
  <c r="T58" i="5"/>
  <c r="U58" i="5"/>
  <c r="W58" i="5"/>
  <c r="W59" i="5"/>
  <c r="V59" i="5"/>
  <c r="V58" i="5"/>
  <c r="T59" i="5"/>
  <c r="Y12" i="6"/>
  <c r="W20" i="6" s="1"/>
  <c r="X44" i="6" s="1"/>
  <c r="AA20" i="16"/>
  <c r="S37" i="6"/>
  <c r="M126" i="17"/>
  <c r="L127" i="17"/>
  <c r="L132" i="17" s="1"/>
  <c r="X43" i="6"/>
  <c r="AC33" i="16"/>
  <c r="AC34" i="16"/>
  <c r="P75" i="11"/>
  <c r="Q75" i="11" s="1"/>
  <c r="Q69" i="11"/>
  <c r="L61" i="11"/>
  <c r="Q267" i="20"/>
  <c r="AS25" i="16"/>
  <c r="S245" i="20"/>
  <c r="U245" i="20" s="1"/>
  <c r="U244" i="20"/>
  <c r="M184" i="23"/>
  <c r="X54" i="15"/>
  <c r="P77" i="23"/>
  <c r="Q77" i="23" s="1"/>
  <c r="L66" i="20"/>
  <c r="M24" i="13"/>
  <c r="T35" i="13"/>
  <c r="V36" i="13" s="1"/>
  <c r="S35" i="13"/>
  <c r="U36" i="13" s="1"/>
  <c r="L29" i="13"/>
  <c r="M29" i="13" s="1"/>
  <c r="T34" i="13"/>
  <c r="L30" i="13"/>
  <c r="S34" i="13"/>
  <c r="L27" i="13"/>
  <c r="AK67" i="17"/>
  <c r="Q89" i="17"/>
  <c r="AI67" i="17"/>
  <c r="AJ67" i="17"/>
  <c r="AH67" i="17"/>
  <c r="U207" i="20"/>
  <c r="S208" i="20"/>
  <c r="U208" i="20" s="1"/>
  <c r="M63" i="14"/>
  <c r="T74" i="14"/>
  <c r="L68" i="14"/>
  <c r="S73" i="14"/>
  <c r="L69" i="14"/>
  <c r="S74" i="14"/>
  <c r="T73" i="14"/>
  <c r="L66" i="14"/>
  <c r="Y17" i="6"/>
  <c r="S18" i="6"/>
  <c r="Y9" i="6"/>
  <c r="W17" i="6" s="1"/>
  <c r="Y25" i="6"/>
  <c r="X17" i="6" s="1"/>
  <c r="S16" i="6"/>
  <c r="Y23" i="6"/>
  <c r="Y15" i="6"/>
  <c r="Y7" i="6"/>
  <c r="W15" i="6" s="1"/>
  <c r="AU5" i="16"/>
  <c r="AD13" i="16"/>
  <c r="AD12" i="16"/>
  <c r="AD10" i="16"/>
  <c r="AE9" i="16" s="1"/>
  <c r="Y70" i="16"/>
  <c r="X72" i="16"/>
  <c r="Y72" i="16" s="1"/>
  <c r="X77" i="16"/>
  <c r="Y77" i="16" s="1"/>
  <c r="Q225" i="17"/>
  <c r="U80" i="17"/>
  <c r="U81" i="17"/>
  <c r="AE18" i="16"/>
  <c r="AH18" i="16"/>
  <c r="L263" i="23"/>
  <c r="M263" i="23" s="1"/>
  <c r="U55" i="5"/>
  <c r="T55" i="5"/>
  <c r="N66" i="5"/>
  <c r="W55" i="5"/>
  <c r="U54" i="5"/>
  <c r="T54" i="5"/>
  <c r="W54" i="5"/>
  <c r="V54" i="5"/>
  <c r="V55" i="5"/>
  <c r="M70" i="5"/>
  <c r="M74" i="5" s="1"/>
  <c r="N74" i="5" s="1"/>
  <c r="Q300" i="23"/>
  <c r="P302" i="23"/>
  <c r="Q302" i="23" s="1"/>
  <c r="P68" i="14"/>
  <c r="Q68" i="14" s="1"/>
  <c r="P74" i="14"/>
  <c r="Q74" i="14" s="1"/>
  <c r="Q66" i="14"/>
  <c r="P73" i="14"/>
  <c r="Q73" i="14" s="1"/>
  <c r="P72" i="14"/>
  <c r="L226" i="23" l="1"/>
  <c r="M226" i="23" s="1"/>
  <c r="M222" i="23"/>
  <c r="R35" i="12"/>
  <c r="S35" i="12" s="1"/>
  <c r="X16" i="9"/>
  <c r="S285" i="20"/>
  <c r="M302" i="20"/>
  <c r="S10" i="23"/>
  <c r="M27" i="23"/>
  <c r="M28" i="17"/>
  <c r="U14" i="17"/>
  <c r="U15" i="17" s="1"/>
  <c r="T14" i="17"/>
  <c r="T15" i="17" s="1"/>
  <c r="M24" i="23"/>
  <c r="S26" i="23"/>
  <c r="S27" i="23"/>
  <c r="U28" i="23" s="1"/>
  <c r="L29" i="23"/>
  <c r="M29" i="23" s="1"/>
  <c r="T27" i="23"/>
  <c r="V28" i="23" s="1"/>
  <c r="T26" i="23"/>
  <c r="X42" i="17"/>
  <c r="X45" i="17"/>
  <c r="S88" i="20"/>
  <c r="M105" i="20"/>
  <c r="L109" i="20"/>
  <c r="M109" i="20" s="1"/>
  <c r="M107" i="20"/>
  <c r="S92" i="20"/>
  <c r="P194" i="23"/>
  <c r="Q194" i="23" s="1"/>
  <c r="P38" i="20"/>
  <c r="Q38" i="20" s="1"/>
  <c r="P190" i="20"/>
  <c r="Q190" i="20" s="1"/>
  <c r="P34" i="15"/>
  <c r="Q34" i="15" s="1"/>
  <c r="Y41" i="17"/>
  <c r="V300" i="20"/>
  <c r="V299" i="20"/>
  <c r="M24" i="14"/>
  <c r="L29" i="14"/>
  <c r="T34" i="14"/>
  <c r="L30" i="14"/>
  <c r="T35" i="14"/>
  <c r="V36" i="14" s="1"/>
  <c r="S34" i="14"/>
  <c r="L27" i="14"/>
  <c r="S35" i="14"/>
  <c r="U36" i="14" s="1"/>
  <c r="AO13" i="17"/>
  <c r="P37" i="23"/>
  <c r="Q37" i="23" s="1"/>
  <c r="M28" i="23"/>
  <c r="S14" i="23"/>
  <c r="U14" i="23" s="1"/>
  <c r="P194" i="20"/>
  <c r="Q194" i="20" s="1"/>
  <c r="L30" i="20"/>
  <c r="P34" i="20"/>
  <c r="Q34" i="20" s="1"/>
  <c r="P193" i="23"/>
  <c r="P191" i="20"/>
  <c r="Q191" i="20" s="1"/>
  <c r="AQ41" i="17"/>
  <c r="Y45" i="17"/>
  <c r="L148" i="20"/>
  <c r="M148" i="20" s="1"/>
  <c r="S127" i="20"/>
  <c r="M144" i="20"/>
  <c r="X47" i="17"/>
  <c r="X48" i="17"/>
  <c r="X43" i="17"/>
  <c r="X49" i="17"/>
  <c r="AQ13" i="17"/>
  <c r="P38" i="23"/>
  <c r="Q38" i="23" s="1"/>
  <c r="U104" i="20"/>
  <c r="U105" i="20"/>
  <c r="P307" i="20"/>
  <c r="Q307" i="20" s="1"/>
  <c r="U300" i="20"/>
  <c r="S303" i="20" s="1"/>
  <c r="U299" i="20"/>
  <c r="X78" i="16"/>
  <c r="Y78" i="16" s="1"/>
  <c r="N29" i="12"/>
  <c r="O29" i="12" s="1"/>
  <c r="L186" i="23"/>
  <c r="P189" i="20"/>
  <c r="AP40" i="17"/>
  <c r="M300" i="20"/>
  <c r="S283" i="20"/>
  <c r="L304" i="20"/>
  <c r="M304" i="20" s="1"/>
  <c r="AO12" i="17"/>
  <c r="S216" i="17"/>
  <c r="T216" i="17"/>
  <c r="V216" i="17"/>
  <c r="U216" i="17"/>
  <c r="Y268" i="17"/>
  <c r="L112" i="20"/>
  <c r="M112" i="20" s="1"/>
  <c r="S90" i="20"/>
  <c r="L111" i="20"/>
  <c r="M111" i="20" s="1"/>
  <c r="M108" i="20"/>
  <c r="Y46" i="17"/>
  <c r="P189" i="23"/>
  <c r="U143" i="20"/>
  <c r="S146" i="20" s="1"/>
  <c r="U144" i="20"/>
  <c r="P730" i="17"/>
  <c r="B90" i="17"/>
  <c r="P782" i="17" s="1"/>
  <c r="AP12" i="17"/>
  <c r="P37" i="14"/>
  <c r="Q37" i="14" s="1"/>
  <c r="U181" i="17"/>
  <c r="U182" i="17"/>
  <c r="V105" i="20"/>
  <c r="V104" i="20"/>
  <c r="P76" i="20"/>
  <c r="P34" i="13"/>
  <c r="Q34" i="13" s="1"/>
  <c r="L228" i="23"/>
  <c r="M228" i="23" s="1"/>
  <c r="M225" i="23"/>
  <c r="L229" i="23"/>
  <c r="M229" i="23" s="1"/>
  <c r="P33" i="15"/>
  <c r="L150" i="20"/>
  <c r="M150" i="20" s="1"/>
  <c r="S129" i="20"/>
  <c r="M147" i="20"/>
  <c r="L151" i="20"/>
  <c r="M151" i="20" s="1"/>
  <c r="M303" i="20"/>
  <c r="L307" i="20"/>
  <c r="M307" i="20" s="1"/>
  <c r="L306" i="20"/>
  <c r="M306" i="20" s="1"/>
  <c r="P683" i="17"/>
  <c r="Q683" i="17" s="1"/>
  <c r="Q678" i="17"/>
  <c r="P38" i="14"/>
  <c r="Q38" i="14" s="1"/>
  <c r="T181" i="17"/>
  <c r="T182" i="17"/>
  <c r="S109" i="20"/>
  <c r="S288" i="20"/>
  <c r="U288" i="20" s="1"/>
  <c r="P35" i="15"/>
  <c r="Q35" i="15" s="1"/>
  <c r="M146" i="20"/>
  <c r="S131" i="20"/>
  <c r="V181" i="17"/>
  <c r="V182" i="17"/>
  <c r="P111" i="23"/>
  <c r="Q111" i="23" s="1"/>
  <c r="S181" i="17"/>
  <c r="W164" i="17"/>
  <c r="S182" i="17"/>
  <c r="P116" i="23"/>
  <c r="Q116" i="23" s="1"/>
  <c r="P112" i="23"/>
  <c r="Q112" i="23" s="1"/>
  <c r="P33" i="17"/>
  <c r="Q33" i="17" s="1"/>
  <c r="L69" i="8"/>
  <c r="L68" i="8"/>
  <c r="M68" i="8" s="1"/>
  <c r="X144" i="17"/>
  <c r="P35" i="14"/>
  <c r="Q35" i="14" s="1"/>
  <c r="P115" i="23"/>
  <c r="Q115" i="23" s="1"/>
  <c r="P35" i="17"/>
  <c r="Q35" i="17" s="1"/>
  <c r="S17" i="15"/>
  <c r="M30" i="15"/>
  <c r="U17" i="15"/>
  <c r="U18" i="15" s="1"/>
  <c r="C24" i="15"/>
  <c r="V17" i="15"/>
  <c r="V18" i="15" s="1"/>
  <c r="L33" i="15"/>
  <c r="T17" i="15"/>
  <c r="T18" i="15" s="1"/>
  <c r="L34" i="15"/>
  <c r="M34" i="15" s="1"/>
  <c r="V144" i="20"/>
  <c r="V143" i="20"/>
  <c r="X46" i="17"/>
  <c r="X41" i="17"/>
  <c r="X44" i="17"/>
  <c r="P34" i="14"/>
  <c r="Q34" i="14" s="1"/>
  <c r="P306" i="23"/>
  <c r="P308" i="23"/>
  <c r="Q308" i="23" s="1"/>
  <c r="P307" i="23"/>
  <c r="Q307" i="23" s="1"/>
  <c r="S264" i="20"/>
  <c r="U15" i="15"/>
  <c r="U16" i="15" s="1"/>
  <c r="B24" i="15"/>
  <c r="V15" i="15"/>
  <c r="V16" i="15" s="1"/>
  <c r="S15" i="15"/>
  <c r="M27" i="15"/>
  <c r="T15" i="15"/>
  <c r="T16" i="15" s="1"/>
  <c r="L31" i="15"/>
  <c r="S148" i="20"/>
  <c r="L29" i="8"/>
  <c r="M24" i="8"/>
  <c r="L30" i="8"/>
  <c r="S35" i="8"/>
  <c r="U36" i="8" s="1"/>
  <c r="T35" i="8"/>
  <c r="V36" i="8" s="1"/>
  <c r="S34" i="8"/>
  <c r="L27" i="8"/>
  <c r="T34" i="8"/>
  <c r="AN11" i="17"/>
  <c r="Z49" i="17"/>
  <c r="P33" i="14"/>
  <c r="Q33" i="14" s="1"/>
  <c r="AH209" i="23"/>
  <c r="Q228" i="23"/>
  <c r="M29" i="15"/>
  <c r="S19" i="15"/>
  <c r="T19" i="15"/>
  <c r="T20" i="15" s="1"/>
  <c r="U19" i="15"/>
  <c r="U20" i="15" s="1"/>
  <c r="V19" i="15"/>
  <c r="V20" i="15" s="1"/>
  <c r="AN10" i="17"/>
  <c r="AN13" i="17" s="1"/>
  <c r="Z43" i="17"/>
  <c r="M30" i="17"/>
  <c r="S12" i="17"/>
  <c r="U12" i="17"/>
  <c r="T12" i="17"/>
  <c r="V12" i="17"/>
  <c r="L186" i="20"/>
  <c r="S39" i="13"/>
  <c r="L185" i="20"/>
  <c r="M185" i="20" s="1"/>
  <c r="W57" i="15"/>
  <c r="X57" i="15" s="1"/>
  <c r="P151" i="23"/>
  <c r="Q151" i="23" s="1"/>
  <c r="V35" i="15"/>
  <c r="V34" i="15"/>
  <c r="AP14" i="17"/>
  <c r="P34" i="23"/>
  <c r="Q34" i="23" s="1"/>
  <c r="Y51" i="17"/>
  <c r="Q37" i="5"/>
  <c r="S39" i="15"/>
  <c r="L30" i="23"/>
  <c r="M102" i="23"/>
  <c r="L105" i="23"/>
  <c r="L107" i="23"/>
  <c r="T104" i="23"/>
  <c r="S104" i="23"/>
  <c r="T105" i="23"/>
  <c r="V106" i="23" s="1"/>
  <c r="L108" i="23"/>
  <c r="S105" i="23"/>
  <c r="U106" i="23" s="1"/>
  <c r="S109" i="23" s="1"/>
  <c r="AQ14" i="17"/>
  <c r="P35" i="23"/>
  <c r="Q35" i="23" s="1"/>
  <c r="L27" i="17"/>
  <c r="L34" i="17" s="1"/>
  <c r="M34" i="17" s="1"/>
  <c r="AF13" i="17"/>
  <c r="S32" i="17"/>
  <c r="T33" i="17"/>
  <c r="U30" i="17" s="1"/>
  <c r="S33" i="17"/>
  <c r="S30" i="17" s="1"/>
  <c r="AF12" i="17"/>
  <c r="T32" i="17"/>
  <c r="M24" i="17"/>
  <c r="W129" i="17"/>
  <c r="X19" i="6"/>
  <c r="U34" i="15"/>
  <c r="U35" i="15"/>
  <c r="S38" i="15" s="1"/>
  <c r="S304" i="20"/>
  <c r="X40" i="17"/>
  <c r="AN9" i="17"/>
  <c r="Z44" i="17"/>
  <c r="L224" i="23"/>
  <c r="S207" i="23" s="1"/>
  <c r="M219" i="23"/>
  <c r="S221" i="23"/>
  <c r="T222" i="23"/>
  <c r="V223" i="23" s="1"/>
  <c r="S222" i="23"/>
  <c r="U223" i="23" s="1"/>
  <c r="T221" i="23"/>
  <c r="P33" i="23"/>
  <c r="Q33" i="23" s="1"/>
  <c r="P232" i="23"/>
  <c r="W130" i="17"/>
  <c r="L29" i="17"/>
  <c r="M29" i="17" s="1"/>
  <c r="R37" i="5"/>
  <c r="Q33" i="5"/>
  <c r="Q34" i="5"/>
  <c r="R34" i="5" s="1"/>
  <c r="N24" i="5"/>
  <c r="M29" i="5"/>
  <c r="T35" i="5"/>
  <c r="V36" i="5" s="1"/>
  <c r="T39" i="5" s="1"/>
  <c r="M27" i="5"/>
  <c r="T34" i="5"/>
  <c r="U34" i="5"/>
  <c r="U35" i="5"/>
  <c r="W36" i="5" s="1"/>
  <c r="M30" i="5"/>
  <c r="Q38" i="5"/>
  <c r="R38" i="5" s="1"/>
  <c r="M132" i="17"/>
  <c r="Q18" i="11"/>
  <c r="P31" i="11"/>
  <c r="P27" i="11"/>
  <c r="P331" i="17"/>
  <c r="P333" i="17"/>
  <c r="P332" i="17"/>
  <c r="Q332" i="17" s="1"/>
  <c r="Q306" i="23"/>
  <c r="AE10" i="16"/>
  <c r="AF9" i="16" s="1"/>
  <c r="V73" i="14"/>
  <c r="V74" i="14"/>
  <c r="V34" i="13"/>
  <c r="V35" i="13"/>
  <c r="M275" i="17"/>
  <c r="L266" i="17"/>
  <c r="L282" i="17" s="1"/>
  <c r="L330" i="17"/>
  <c r="M329" i="17"/>
  <c r="Q174" i="17"/>
  <c r="P183" i="17"/>
  <c r="P187" i="17"/>
  <c r="Y56" i="12"/>
  <c r="U57" i="12"/>
  <c r="Y57" i="12" s="1"/>
  <c r="Z57" i="12" s="1"/>
  <c r="S304" i="23"/>
  <c r="W81" i="17"/>
  <c r="U248" i="20"/>
  <c r="S249" i="20"/>
  <c r="U249" i="20" s="1"/>
  <c r="Y35" i="6"/>
  <c r="Y43" i="6" s="1"/>
  <c r="N23" i="10"/>
  <c r="M24" i="10"/>
  <c r="Q37" i="10" s="1"/>
  <c r="AQ42" i="17"/>
  <c r="M180" i="23"/>
  <c r="T183" i="23"/>
  <c r="V184" i="23" s="1"/>
  <c r="S183" i="23"/>
  <c r="U184" i="23" s="1"/>
  <c r="S187" i="23" s="1"/>
  <c r="L185" i="23"/>
  <c r="S182" i="23"/>
  <c r="T182" i="23"/>
  <c r="L183" i="23"/>
  <c r="L190" i="23" s="1"/>
  <c r="M190" i="23" s="1"/>
  <c r="U70" i="16"/>
  <c r="AF60" i="16"/>
  <c r="AF61" i="16" s="1"/>
  <c r="AB60" i="16"/>
  <c r="AB61" i="16" s="1"/>
  <c r="AJ60" i="16"/>
  <c r="AJ61" i="16" s="1"/>
  <c r="AH60" i="16"/>
  <c r="AH61" i="16" s="1"/>
  <c r="AA60" i="16"/>
  <c r="AL60" i="16"/>
  <c r="AL61" i="16" s="1"/>
  <c r="AE60" i="16"/>
  <c r="AE61" i="16" s="1"/>
  <c r="AG60" i="16"/>
  <c r="AG61" i="16" s="1"/>
  <c r="AK60" i="16"/>
  <c r="AK61" i="16" s="1"/>
  <c r="AD60" i="16"/>
  <c r="AD61" i="16" s="1"/>
  <c r="AC60" i="16"/>
  <c r="AC61" i="16" s="1"/>
  <c r="AI60" i="16"/>
  <c r="AI61" i="16" s="1"/>
  <c r="S263" i="20"/>
  <c r="U211" i="20"/>
  <c r="U155" i="17"/>
  <c r="V149" i="17"/>
  <c r="S144" i="17"/>
  <c r="AE58" i="16"/>
  <c r="AL58" i="16"/>
  <c r="V65" i="23"/>
  <c r="V66" i="23"/>
  <c r="AN39" i="17"/>
  <c r="Z153" i="17"/>
  <c r="AN38" i="17"/>
  <c r="Z147" i="17"/>
  <c r="M63" i="20"/>
  <c r="L68" i="20"/>
  <c r="S66" i="20"/>
  <c r="U67" i="20" s="1"/>
  <c r="S70" i="20" s="1"/>
  <c r="T65" i="20"/>
  <c r="S65" i="20"/>
  <c r="L69" i="20"/>
  <c r="T66" i="20"/>
  <c r="V67" i="20" s="1"/>
  <c r="T154" i="17"/>
  <c r="T144" i="17"/>
  <c r="V154" i="17"/>
  <c r="M258" i="23"/>
  <c r="T261" i="23"/>
  <c r="V262" i="23" s="1"/>
  <c r="S260" i="23"/>
  <c r="S261" i="23"/>
  <c r="U262" i="23" s="1"/>
  <c r="T260" i="23"/>
  <c r="AH58" i="16"/>
  <c r="U76" i="5"/>
  <c r="U79" i="5"/>
  <c r="P86" i="15"/>
  <c r="G16" i="15"/>
  <c r="L327" i="17"/>
  <c r="M326" i="17"/>
  <c r="G15" i="15"/>
  <c r="O85" i="15"/>
  <c r="U300" i="23"/>
  <c r="U299" i="23"/>
  <c r="O24" i="12"/>
  <c r="V35" i="12"/>
  <c r="X36" i="12" s="1"/>
  <c r="U35" i="12"/>
  <c r="W36" i="12" s="1"/>
  <c r="U34" i="12"/>
  <c r="V34" i="12"/>
  <c r="V80" i="5"/>
  <c r="V77" i="5"/>
  <c r="Q37" i="20"/>
  <c r="S63" i="17"/>
  <c r="W63" i="17" s="1"/>
  <c r="W62" i="17"/>
  <c r="Q193" i="20"/>
  <c r="S70" i="23"/>
  <c r="N28" i="10"/>
  <c r="M24" i="20"/>
  <c r="T27" i="20"/>
  <c r="V28" i="20" s="1"/>
  <c r="S26" i="20"/>
  <c r="T26" i="20"/>
  <c r="S27" i="20"/>
  <c r="U28" i="20" s="1"/>
  <c r="L29" i="20"/>
  <c r="S12" i="20" s="1"/>
  <c r="V19" i="13"/>
  <c r="V20" i="13" s="1"/>
  <c r="M278" i="17"/>
  <c r="L268" i="17"/>
  <c r="Y58" i="12"/>
  <c r="U59" i="12"/>
  <c r="Y59" i="12" s="1"/>
  <c r="Z59" i="12" s="1"/>
  <c r="L180" i="17"/>
  <c r="L183" i="17" s="1"/>
  <c r="M179" i="17"/>
  <c r="T150" i="17"/>
  <c r="V150" i="17"/>
  <c r="U149" i="17"/>
  <c r="Q37" i="13"/>
  <c r="AI58" i="16"/>
  <c r="AK58" i="16"/>
  <c r="S170" i="20"/>
  <c r="AD33" i="16"/>
  <c r="AD34" i="16"/>
  <c r="Q189" i="23"/>
  <c r="Q33" i="20"/>
  <c r="Q57" i="11"/>
  <c r="P66" i="11"/>
  <c r="P70" i="11"/>
  <c r="M69" i="14"/>
  <c r="V56" i="14"/>
  <c r="T56" i="14"/>
  <c r="U56" i="14"/>
  <c r="L72" i="14"/>
  <c r="M72" i="14" s="1"/>
  <c r="S56" i="14"/>
  <c r="L73" i="14"/>
  <c r="M73" i="14" s="1"/>
  <c r="Y17" i="14"/>
  <c r="X56" i="15"/>
  <c r="O84" i="15" s="1"/>
  <c r="U161" i="20"/>
  <c r="U199" i="20"/>
  <c r="M186" i="23"/>
  <c r="S168" i="23"/>
  <c r="S283" i="23"/>
  <c r="M300" i="23"/>
  <c r="L304" i="23"/>
  <c r="M304" i="23" s="1"/>
  <c r="T80" i="5"/>
  <c r="X56" i="5"/>
  <c r="T77" i="5"/>
  <c r="P152" i="23"/>
  <c r="Q152" i="23" s="1"/>
  <c r="S247" i="20"/>
  <c r="U247" i="20" s="1"/>
  <c r="U246" i="20"/>
  <c r="AH249" i="23"/>
  <c r="Q271" i="23"/>
  <c r="U65" i="23"/>
  <c r="U66" i="23"/>
  <c r="Q76" i="8"/>
  <c r="AH54" i="8"/>
  <c r="M250" i="17"/>
  <c r="K243" i="17"/>
  <c r="M214" i="17"/>
  <c r="K251" i="17"/>
  <c r="O249" i="17"/>
  <c r="K249" i="17" s="1"/>
  <c r="K250" i="17" s="1"/>
  <c r="Q72" i="20"/>
  <c r="S19" i="13"/>
  <c r="M63" i="8"/>
  <c r="L66" i="8"/>
  <c r="L73" i="8" s="1"/>
  <c r="M73" i="8" s="1"/>
  <c r="R33" i="12"/>
  <c r="U150" i="17"/>
  <c r="T149" i="17"/>
  <c r="S149" i="17"/>
  <c r="Y80" i="16"/>
  <c r="AD58" i="16"/>
  <c r="AA58" i="16"/>
  <c r="U80" i="5"/>
  <c r="U77" i="5"/>
  <c r="M69" i="8"/>
  <c r="M30" i="20"/>
  <c r="L34" i="20"/>
  <c r="M34" i="20" s="1"/>
  <c r="L33" i="20"/>
  <c r="M33" i="20" s="1"/>
  <c r="G14" i="15"/>
  <c r="N84" i="15"/>
  <c r="Y33" i="6"/>
  <c r="Y41" i="6" s="1"/>
  <c r="X41" i="6"/>
  <c r="M68" i="14"/>
  <c r="V58" i="14"/>
  <c r="V59" i="14" s="1"/>
  <c r="U58" i="14"/>
  <c r="U59" i="14" s="1"/>
  <c r="S58" i="14"/>
  <c r="T58" i="14"/>
  <c r="T59" i="14" s="1"/>
  <c r="X58" i="5"/>
  <c r="S151" i="17"/>
  <c r="T156" i="17"/>
  <c r="S152" i="17"/>
  <c r="V151" i="17"/>
  <c r="V156" i="17"/>
  <c r="V152" i="17"/>
  <c r="T151" i="17"/>
  <c r="U156" i="17"/>
  <c r="T152" i="17"/>
  <c r="S156" i="17"/>
  <c r="U152" i="17"/>
  <c r="U151" i="17"/>
  <c r="P191" i="23"/>
  <c r="Q191" i="23" s="1"/>
  <c r="AC31" i="16"/>
  <c r="AC32" i="16"/>
  <c r="AF72" i="16"/>
  <c r="AF73" i="16"/>
  <c r="M302" i="23"/>
  <c r="S287" i="23"/>
  <c r="W77" i="5"/>
  <c r="W80" i="5"/>
  <c r="P267" i="23"/>
  <c r="P150" i="23"/>
  <c r="Q238" i="17"/>
  <c r="S51" i="23"/>
  <c r="L72" i="23"/>
  <c r="M72" i="23" s="1"/>
  <c r="M69" i="23"/>
  <c r="L73" i="23"/>
  <c r="M73" i="23" s="1"/>
  <c r="AN37" i="17"/>
  <c r="AN40" i="17" s="1"/>
  <c r="Z148" i="17"/>
  <c r="R37" i="12"/>
  <c r="L230" i="17"/>
  <c r="AJ56" i="16"/>
  <c r="AJ57" i="16" s="1"/>
  <c r="T72" i="16"/>
  <c r="U72" i="16" s="1"/>
  <c r="AG56" i="16"/>
  <c r="AG57" i="16" s="1"/>
  <c r="AB56" i="16"/>
  <c r="AB57" i="16" s="1"/>
  <c r="AF56" i="16"/>
  <c r="AF57" i="16" s="1"/>
  <c r="AL56" i="16"/>
  <c r="AL57" i="16" s="1"/>
  <c r="U68" i="16"/>
  <c r="AD56" i="16"/>
  <c r="AD57" i="16" s="1"/>
  <c r="AA56" i="16"/>
  <c r="AH56" i="16"/>
  <c r="AH57" i="16" s="1"/>
  <c r="AC56" i="16"/>
  <c r="AC57" i="16" s="1"/>
  <c r="AI56" i="16"/>
  <c r="AI57" i="16" s="1"/>
  <c r="AE56" i="16"/>
  <c r="AE57" i="16" s="1"/>
  <c r="AK56" i="16"/>
  <c r="AK57" i="16" s="1"/>
  <c r="W21" i="9"/>
  <c r="S28" i="9" s="1"/>
  <c r="U28" i="9" s="1"/>
  <c r="T145" i="17"/>
  <c r="U145" i="17"/>
  <c r="U144" i="17"/>
  <c r="Q29" i="10"/>
  <c r="R29" i="10" s="1"/>
  <c r="R27" i="10"/>
  <c r="Q76" i="14"/>
  <c r="U198" i="17"/>
  <c r="V198" i="17"/>
  <c r="T198" i="17"/>
  <c r="S198" i="17"/>
  <c r="U199" i="23"/>
  <c r="U161" i="23"/>
  <c r="N30" i="12"/>
  <c r="T75" i="16"/>
  <c r="U75" i="16" s="1"/>
  <c r="U74" i="14"/>
  <c r="U73" i="14"/>
  <c r="X55" i="5"/>
  <c r="Y26" i="6"/>
  <c r="Y10" i="6"/>
  <c r="W18" i="6" s="1"/>
  <c r="X42" i="6" s="1"/>
  <c r="Y18" i="6"/>
  <c r="V75" i="14"/>
  <c r="AB39" i="14" s="1"/>
  <c r="U15" i="13"/>
  <c r="U16" i="13" s="1"/>
  <c r="V15" i="13"/>
  <c r="V16" i="13" s="1"/>
  <c r="S15" i="13"/>
  <c r="L31" i="13"/>
  <c r="M31" i="13" s="1"/>
  <c r="T15" i="13"/>
  <c r="T16" i="13" s="1"/>
  <c r="M27" i="13"/>
  <c r="W66" i="17"/>
  <c r="S67" i="17"/>
  <c r="W67" i="17" s="1"/>
  <c r="AF54" i="16"/>
  <c r="L317" i="17"/>
  <c r="M324" i="17"/>
  <c r="P35" i="20"/>
  <c r="Q35" i="20" s="1"/>
  <c r="P422" i="17"/>
  <c r="Q421" i="17"/>
  <c r="P72" i="8"/>
  <c r="L267" i="23"/>
  <c r="M267" i="23" s="1"/>
  <c r="M264" i="23"/>
  <c r="S246" i="23"/>
  <c r="L268" i="23"/>
  <c r="M268" i="23" s="1"/>
  <c r="Q279" i="17"/>
  <c r="P292" i="17"/>
  <c r="Q292" i="17" s="1"/>
  <c r="P288" i="17"/>
  <c r="Q288" i="17" s="1"/>
  <c r="Q76" i="20"/>
  <c r="L70" i="23"/>
  <c r="M70" i="23" s="1"/>
  <c r="S49" i="23"/>
  <c r="M66" i="23"/>
  <c r="Q189" i="20"/>
  <c r="AO41" i="17"/>
  <c r="M22" i="11"/>
  <c r="L23" i="11"/>
  <c r="U76" i="12"/>
  <c r="S168" i="20"/>
  <c r="M186" i="20"/>
  <c r="R34" i="12"/>
  <c r="S34" i="12" s="1"/>
  <c r="P33" i="13"/>
  <c r="AE75" i="17"/>
  <c r="S154" i="17"/>
  <c r="Y154" i="17" s="1"/>
  <c r="T155" i="17"/>
  <c r="S145" i="17"/>
  <c r="R31" i="10"/>
  <c r="Q38" i="10"/>
  <c r="R38" i="10" s="1"/>
  <c r="K196" i="17"/>
  <c r="T201" i="17" s="1"/>
  <c r="M196" i="17"/>
  <c r="M197" i="17" s="1"/>
  <c r="Q277" i="17"/>
  <c r="U55" i="12"/>
  <c r="Y55" i="12" s="1"/>
  <c r="Y54" i="12"/>
  <c r="AF58" i="16"/>
  <c r="AC58" i="16"/>
  <c r="AC59" i="16" s="1"/>
  <c r="U75" i="14"/>
  <c r="AS33" i="16"/>
  <c r="AT74" i="16"/>
  <c r="AT72" i="16"/>
  <c r="AS74" i="16"/>
  <c r="AS72" i="16"/>
  <c r="AT33" i="16"/>
  <c r="AR72" i="16"/>
  <c r="AR31" i="16"/>
  <c r="AR33" i="16"/>
  <c r="AT31" i="16"/>
  <c r="AS31" i="16"/>
  <c r="AR74" i="16"/>
  <c r="L233" i="17"/>
  <c r="M233" i="17" s="1"/>
  <c r="M216" i="17"/>
  <c r="P226" i="17" s="1"/>
  <c r="K252" i="17"/>
  <c r="K253" i="17" s="1"/>
  <c r="W60" i="15"/>
  <c r="S64" i="15" s="1"/>
  <c r="V57" i="5"/>
  <c r="V78" i="5" s="1"/>
  <c r="N70" i="5"/>
  <c r="W57" i="5"/>
  <c r="W81" i="5" s="1"/>
  <c r="U57" i="5"/>
  <c r="U81" i="5" s="1"/>
  <c r="T57" i="5"/>
  <c r="T81" i="5" s="1"/>
  <c r="X39" i="6"/>
  <c r="X31" i="6"/>
  <c r="V76" i="5"/>
  <c r="V79" i="5"/>
  <c r="X76" i="16"/>
  <c r="X15" i="6"/>
  <c r="U34" i="13"/>
  <c r="U35" i="13"/>
  <c r="S38" i="13" s="1"/>
  <c r="S49" i="20"/>
  <c r="M66" i="20"/>
  <c r="L70" i="20"/>
  <c r="M70" i="20" s="1"/>
  <c r="M61" i="11"/>
  <c r="L62" i="11"/>
  <c r="X59" i="5"/>
  <c r="Y59" i="5" s="1"/>
  <c r="Q471" i="17"/>
  <c r="P473" i="17"/>
  <c r="M141" i="23"/>
  <c r="L146" i="23"/>
  <c r="L147" i="23"/>
  <c r="S144" i="23"/>
  <c r="U145" i="23" s="1"/>
  <c r="T144" i="23"/>
  <c r="V145" i="23" s="1"/>
  <c r="S143" i="23"/>
  <c r="L144" i="23"/>
  <c r="T143" i="23"/>
  <c r="AF53" i="16"/>
  <c r="Q335" i="17"/>
  <c r="P329" i="17"/>
  <c r="V299" i="23"/>
  <c r="V300" i="23"/>
  <c r="P154" i="23"/>
  <c r="M261" i="23"/>
  <c r="L265" i="23"/>
  <c r="M265" i="23" s="1"/>
  <c r="S244" i="23"/>
  <c r="S65" i="17"/>
  <c r="W65" i="17" s="1"/>
  <c r="W64" i="17"/>
  <c r="AF56" i="17" s="1"/>
  <c r="P269" i="23"/>
  <c r="Q269" i="23" s="1"/>
  <c r="P74" i="8"/>
  <c r="Q74" i="8" s="1"/>
  <c r="P290" i="17"/>
  <c r="Q281" i="17"/>
  <c r="M29" i="10"/>
  <c r="N29" i="10" s="1"/>
  <c r="AP42" i="17"/>
  <c r="AQ40" i="17"/>
  <c r="R38" i="12"/>
  <c r="S38" i="12" s="1"/>
  <c r="Q85" i="17"/>
  <c r="AK66" i="17"/>
  <c r="AK68" i="17" s="1"/>
  <c r="AK72" i="17" s="1"/>
  <c r="AJ66" i="17"/>
  <c r="AJ68" i="17" s="1"/>
  <c r="AJ72" i="17" s="1"/>
  <c r="AI66" i="17"/>
  <c r="AI68" i="17" s="1"/>
  <c r="AI72" i="17" s="1"/>
  <c r="AH66" i="17"/>
  <c r="AH68" i="17" s="1"/>
  <c r="AH72" i="17" s="1"/>
  <c r="P192" i="17"/>
  <c r="Q192" i="17" s="1"/>
  <c r="U19" i="13"/>
  <c r="U20" i="13" s="1"/>
  <c r="S27" i="9"/>
  <c r="U27" i="9" s="1"/>
  <c r="N27" i="12"/>
  <c r="L184" i="17"/>
  <c r="M265" i="17"/>
  <c r="V145" i="17"/>
  <c r="V155" i="17"/>
  <c r="V144" i="17"/>
  <c r="AH288" i="23"/>
  <c r="Q310" i="23"/>
  <c r="K199" i="17"/>
  <c r="AG58" i="16"/>
  <c r="AB58" i="16"/>
  <c r="P133" i="17"/>
  <c r="Q133" i="17" s="1"/>
  <c r="Q131" i="17"/>
  <c r="T79" i="5"/>
  <c r="T76" i="5"/>
  <c r="X54" i="5"/>
  <c r="Q193" i="23"/>
  <c r="AH171" i="23"/>
  <c r="L31" i="20"/>
  <c r="M31" i="20" s="1"/>
  <c r="M27" i="20"/>
  <c r="Q72" i="14"/>
  <c r="W76" i="5"/>
  <c r="W79" i="5"/>
  <c r="AD11" i="16"/>
  <c r="Y8" i="6"/>
  <c r="W16" i="6" s="1"/>
  <c r="W21" i="6" s="1"/>
  <c r="Y16" i="6"/>
  <c r="Y24" i="6"/>
  <c r="L70" i="14"/>
  <c r="U54" i="14"/>
  <c r="U55" i="14" s="1"/>
  <c r="T54" i="14"/>
  <c r="T55" i="14" s="1"/>
  <c r="S54" i="14"/>
  <c r="V54" i="14"/>
  <c r="V55" i="14" s="1"/>
  <c r="M66" i="14"/>
  <c r="Y15" i="14"/>
  <c r="S17" i="13"/>
  <c r="L33" i="13"/>
  <c r="U17" i="13"/>
  <c r="U18" i="13" s="1"/>
  <c r="L34" i="13"/>
  <c r="M30" i="13"/>
  <c r="T17" i="13"/>
  <c r="T18" i="13" s="1"/>
  <c r="V17" i="13"/>
  <c r="V18" i="13" s="1"/>
  <c r="L128" i="17"/>
  <c r="P139" i="17" s="1"/>
  <c r="Q139" i="17" s="1"/>
  <c r="M127" i="17"/>
  <c r="M262" i="23"/>
  <c r="S248" i="23"/>
  <c r="U248" i="23" s="1"/>
  <c r="S249" i="23"/>
  <c r="U249" i="23" s="1"/>
  <c r="P523" i="17"/>
  <c r="C82" i="17"/>
  <c r="AG54" i="16"/>
  <c r="AG53" i="16"/>
  <c r="AG51" i="16"/>
  <c r="AH50" i="16" s="1"/>
  <c r="Q76" i="23"/>
  <c r="S285" i="23"/>
  <c r="M303" i="23"/>
  <c r="L307" i="23"/>
  <c r="M307" i="23" s="1"/>
  <c r="L306" i="23"/>
  <c r="M306" i="23" s="1"/>
  <c r="P268" i="23"/>
  <c r="Q268" i="23" s="1"/>
  <c r="P73" i="8"/>
  <c r="Q73" i="8" s="1"/>
  <c r="X18" i="9"/>
  <c r="M68" i="23"/>
  <c r="S53" i="23"/>
  <c r="AO40" i="17"/>
  <c r="AP41" i="17"/>
  <c r="L376" i="17"/>
  <c r="P388" i="17"/>
  <c r="Q388" i="17" s="1"/>
  <c r="L378" i="17"/>
  <c r="Q370" i="17"/>
  <c r="L381" i="17"/>
  <c r="L377" i="17"/>
  <c r="M377" i="17" s="1"/>
  <c r="P387" i="17"/>
  <c r="L380" i="17"/>
  <c r="M380" i="17" s="1"/>
  <c r="L383" i="17"/>
  <c r="M383" i="17" s="1"/>
  <c r="T19" i="13"/>
  <c r="T20" i="13" s="1"/>
  <c r="M180" i="20"/>
  <c r="S183" i="20"/>
  <c r="U184" i="20" s="1"/>
  <c r="S187" i="20" s="1"/>
  <c r="T182" i="20"/>
  <c r="S182" i="20"/>
  <c r="T183" i="20"/>
  <c r="V184" i="20" s="1"/>
  <c r="L183" i="20"/>
  <c r="L190" i="20" s="1"/>
  <c r="M190" i="20" s="1"/>
  <c r="S155" i="17"/>
  <c r="S150" i="17"/>
  <c r="M198" i="17"/>
  <c r="X19" i="12"/>
  <c r="X20" i="12" s="1"/>
  <c r="U19" i="12"/>
  <c r="W19" i="12"/>
  <c r="W20" i="12" s="1"/>
  <c r="O28" i="12"/>
  <c r="V19" i="12"/>
  <c r="V20" i="12" s="1"/>
  <c r="P36" i="11"/>
  <c r="Q36" i="11" s="1"/>
  <c r="Q30" i="11"/>
  <c r="AJ58" i="16"/>
  <c r="AJ59" i="16" s="1"/>
  <c r="P142" i="17"/>
  <c r="Q142" i="17" s="1"/>
  <c r="V81" i="5" l="1"/>
  <c r="S208" i="23"/>
  <c r="U208" i="23" s="1"/>
  <c r="U207" i="23"/>
  <c r="P141" i="17"/>
  <c r="M107" i="23"/>
  <c r="S92" i="23"/>
  <c r="W181" i="17"/>
  <c r="W216" i="17"/>
  <c r="S233" i="17"/>
  <c r="S234" i="17"/>
  <c r="AH210" i="23"/>
  <c r="AH211" i="23" s="1"/>
  <c r="AH215" i="23" s="1"/>
  <c r="Q232" i="23"/>
  <c r="M105" i="23"/>
  <c r="S88" i="23"/>
  <c r="V14" i="17"/>
  <c r="V15" i="17" s="1"/>
  <c r="U29" i="17"/>
  <c r="U28" i="17"/>
  <c r="L33" i="17"/>
  <c r="M33" i="17" s="1"/>
  <c r="AN14" i="17"/>
  <c r="P787" i="17"/>
  <c r="Q787" i="17" s="1"/>
  <c r="Q782" i="17"/>
  <c r="U250" i="20"/>
  <c r="V221" i="23"/>
  <c r="V222" i="23"/>
  <c r="AD23" i="17"/>
  <c r="AB22" i="17"/>
  <c r="AA22" i="17"/>
  <c r="AE22" i="17" s="1"/>
  <c r="AC23" i="17"/>
  <c r="AB23" i="17"/>
  <c r="AD22" i="17"/>
  <c r="AA23" i="17"/>
  <c r="AC22" i="17"/>
  <c r="M30" i="23"/>
  <c r="L33" i="23"/>
  <c r="M33" i="23" s="1"/>
  <c r="S12" i="23"/>
  <c r="L34" i="23"/>
  <c r="M34" i="23" s="1"/>
  <c r="V34" i="8"/>
  <c r="V35" i="8"/>
  <c r="U129" i="20"/>
  <c r="S130" i="20"/>
  <c r="U130" i="20" s="1"/>
  <c r="P735" i="17"/>
  <c r="Q735" i="17" s="1"/>
  <c r="Q730" i="17"/>
  <c r="U283" i="20"/>
  <c r="S284" i="20"/>
  <c r="U284" i="20" s="1"/>
  <c r="U92" i="20"/>
  <c r="S93" i="20"/>
  <c r="U93" i="20" s="1"/>
  <c r="L185" i="17"/>
  <c r="M185" i="17" s="1"/>
  <c r="S226" i="23"/>
  <c r="W30" i="17"/>
  <c r="W12" i="17"/>
  <c r="U15" i="8"/>
  <c r="U16" i="8" s="1"/>
  <c r="V15" i="8"/>
  <c r="V16" i="8" s="1"/>
  <c r="T15" i="8"/>
  <c r="T16" i="8" s="1"/>
  <c r="S15" i="8"/>
  <c r="L31" i="8"/>
  <c r="M31" i="8" s="1"/>
  <c r="M27" i="8"/>
  <c r="W17" i="15"/>
  <c r="S18" i="15"/>
  <c r="W18" i="15" s="1"/>
  <c r="X18" i="15" s="1"/>
  <c r="U131" i="20"/>
  <c r="S132" i="20"/>
  <c r="U132" i="20" s="1"/>
  <c r="S147" i="20"/>
  <c r="S39" i="14"/>
  <c r="S14" i="17"/>
  <c r="U34" i="8"/>
  <c r="S37" i="8" s="1"/>
  <c r="U35" i="8"/>
  <c r="S38" i="8" s="1"/>
  <c r="Q33" i="15"/>
  <c r="P39" i="15"/>
  <c r="L31" i="14"/>
  <c r="M31" i="14" s="1"/>
  <c r="S15" i="14"/>
  <c r="U15" i="14"/>
  <c r="U16" i="14" s="1"/>
  <c r="T15" i="14"/>
  <c r="T16" i="14" s="1"/>
  <c r="M27" i="14"/>
  <c r="V15" i="14"/>
  <c r="V16" i="14" s="1"/>
  <c r="P138" i="17"/>
  <c r="Q138" i="17" s="1"/>
  <c r="X16" i="6"/>
  <c r="Y32" i="6" s="1"/>
  <c r="Y40" i="6" s="1"/>
  <c r="AF59" i="16"/>
  <c r="U221" i="23"/>
  <c r="U222" i="23"/>
  <c r="S29" i="17"/>
  <c r="W29" i="17" s="1"/>
  <c r="S28" i="17"/>
  <c r="W28" i="17" s="1"/>
  <c r="S39" i="8"/>
  <c r="U127" i="20"/>
  <c r="S128" i="20"/>
  <c r="U128" i="20" s="1"/>
  <c r="U35" i="14"/>
  <c r="U34" i="14"/>
  <c r="AB38" i="14"/>
  <c r="S89" i="20"/>
  <c r="U89" i="20" s="1"/>
  <c r="U88" i="20"/>
  <c r="U10" i="23"/>
  <c r="S11" i="23"/>
  <c r="U11" i="23" s="1"/>
  <c r="M224" i="23"/>
  <c r="S209" i="23"/>
  <c r="M27" i="17"/>
  <c r="V10" i="17"/>
  <c r="V11" i="17" s="1"/>
  <c r="T10" i="17"/>
  <c r="T11" i="17" s="1"/>
  <c r="S10" i="17"/>
  <c r="U10" i="17"/>
  <c r="U11" i="17" s="1"/>
  <c r="L31" i="17"/>
  <c r="M31" i="17" s="1"/>
  <c r="M30" i="8"/>
  <c r="V17" i="8"/>
  <c r="V18" i="8" s="1"/>
  <c r="U17" i="8"/>
  <c r="U18" i="8" s="1"/>
  <c r="T17" i="8"/>
  <c r="T18" i="8" s="1"/>
  <c r="S17" i="8"/>
  <c r="L34" i="8"/>
  <c r="M34" i="8" s="1"/>
  <c r="L33" i="8"/>
  <c r="M33" i="8" s="1"/>
  <c r="T17" i="14"/>
  <c r="T18" i="14" s="1"/>
  <c r="L33" i="14"/>
  <c r="M33" i="14" s="1"/>
  <c r="M30" i="14"/>
  <c r="U17" i="14"/>
  <c r="U18" i="14" s="1"/>
  <c r="S17" i="14"/>
  <c r="V17" i="14"/>
  <c r="V18" i="14" s="1"/>
  <c r="L34" i="14"/>
  <c r="M34" i="14" s="1"/>
  <c r="L31" i="23"/>
  <c r="M31" i="23" s="1"/>
  <c r="Y19" i="12"/>
  <c r="S148" i="23"/>
  <c r="V34" i="14"/>
  <c r="V35" i="14"/>
  <c r="AH287" i="23"/>
  <c r="AN12" i="17"/>
  <c r="M29" i="8"/>
  <c r="T19" i="8"/>
  <c r="T20" i="8" s="1"/>
  <c r="U19" i="8"/>
  <c r="U20" i="8" s="1"/>
  <c r="V19" i="8"/>
  <c r="V20" i="8" s="1"/>
  <c r="S19" i="8"/>
  <c r="S91" i="20"/>
  <c r="U91" i="20" s="1"/>
  <c r="U94" i="20" s="1"/>
  <c r="U90" i="20"/>
  <c r="S302" i="20"/>
  <c r="M29" i="14"/>
  <c r="S19" i="14"/>
  <c r="T19" i="14"/>
  <c r="T20" i="14" s="1"/>
  <c r="V19" i="14"/>
  <c r="V20" i="14" s="1"/>
  <c r="U19" i="14"/>
  <c r="U20" i="14" s="1"/>
  <c r="V27" i="23"/>
  <c r="V26" i="23"/>
  <c r="U285" i="20"/>
  <c r="S286" i="20"/>
  <c r="U286" i="20" s="1"/>
  <c r="AB59" i="16"/>
  <c r="Y150" i="17"/>
  <c r="AG59" i="16"/>
  <c r="L189" i="23"/>
  <c r="M189" i="23" s="1"/>
  <c r="L109" i="23"/>
  <c r="M109" i="23" s="1"/>
  <c r="L111" i="23"/>
  <c r="M111" i="23" s="1"/>
  <c r="M108" i="23"/>
  <c r="L112" i="23"/>
  <c r="M112" i="23" s="1"/>
  <c r="S90" i="23"/>
  <c r="S20" i="15"/>
  <c r="W20" i="15" s="1"/>
  <c r="X20" i="15" s="1"/>
  <c r="W19" i="15"/>
  <c r="M31" i="15"/>
  <c r="D24" i="15"/>
  <c r="Y320" i="17"/>
  <c r="V268" i="17"/>
  <c r="T268" i="17"/>
  <c r="S268" i="17"/>
  <c r="U268" i="17"/>
  <c r="AH289" i="23"/>
  <c r="AH293" i="23" s="1"/>
  <c r="S10" i="20"/>
  <c r="U233" i="17"/>
  <c r="U234" i="17"/>
  <c r="S108" i="20"/>
  <c r="S31" i="23"/>
  <c r="S37" i="15"/>
  <c r="U105" i="23"/>
  <c r="U104" i="23"/>
  <c r="W182" i="17"/>
  <c r="V233" i="17"/>
  <c r="V234" i="17"/>
  <c r="S107" i="20"/>
  <c r="U27" i="23"/>
  <c r="S30" i="23" s="1"/>
  <c r="U26" i="23"/>
  <c r="V105" i="23"/>
  <c r="V104" i="23"/>
  <c r="W15" i="15"/>
  <c r="S16" i="15"/>
  <c r="W16" i="15" s="1"/>
  <c r="Z28" i="15"/>
  <c r="Z33" i="15" s="1"/>
  <c r="M33" i="15"/>
  <c r="Z67" i="15"/>
  <c r="Z72" i="15" s="1"/>
  <c r="T233" i="17"/>
  <c r="T234" i="17"/>
  <c r="S15" i="23"/>
  <c r="U15" i="23" s="1"/>
  <c r="S205" i="23"/>
  <c r="U85" i="5"/>
  <c r="U83" i="5"/>
  <c r="T15" i="5"/>
  <c r="N27" i="5"/>
  <c r="M31" i="5"/>
  <c r="J38" i="5"/>
  <c r="U15" i="5"/>
  <c r="U16" i="5" s="1"/>
  <c r="W15" i="5"/>
  <c r="W16" i="5" s="1"/>
  <c r="V15" i="5"/>
  <c r="V16" i="5" s="1"/>
  <c r="M35" i="5"/>
  <c r="J43" i="5" s="1"/>
  <c r="O25" i="5"/>
  <c r="N29" i="5"/>
  <c r="V19" i="5"/>
  <c r="V20" i="5" s="1"/>
  <c r="T19" i="5"/>
  <c r="U19" i="5"/>
  <c r="U20" i="5" s="1"/>
  <c r="W19" i="5"/>
  <c r="W20" i="5" s="1"/>
  <c r="U17" i="5"/>
  <c r="T17" i="5"/>
  <c r="N30" i="5"/>
  <c r="W17" i="5"/>
  <c r="W18" i="5" s="1"/>
  <c r="M34" i="5"/>
  <c r="N34" i="5" s="1"/>
  <c r="V17" i="5"/>
  <c r="V18" i="5" s="1"/>
  <c r="M33" i="5"/>
  <c r="N33" i="5" s="1"/>
  <c r="J44" i="5"/>
  <c r="J35" i="5"/>
  <c r="R33" i="5"/>
  <c r="W78" i="5"/>
  <c r="W34" i="5"/>
  <c r="W35" i="5"/>
  <c r="V34" i="5"/>
  <c r="V35" i="5"/>
  <c r="Q39" i="5"/>
  <c r="U64" i="15"/>
  <c r="S252" i="20"/>
  <c r="S254" i="20"/>
  <c r="S255" i="20"/>
  <c r="S253" i="20"/>
  <c r="S256" i="20"/>
  <c r="S257" i="20"/>
  <c r="L30" i="11"/>
  <c r="S28" i="6"/>
  <c r="U28" i="6" s="1"/>
  <c r="S24" i="6"/>
  <c r="U24" i="6" s="1"/>
  <c r="W24" i="6" s="1"/>
  <c r="G8" i="6" s="1"/>
  <c r="Q226" i="17"/>
  <c r="P235" i="17"/>
  <c r="P239" i="17"/>
  <c r="L151" i="23"/>
  <c r="M151" i="23" s="1"/>
  <c r="L150" i="23"/>
  <c r="M150" i="23" s="1"/>
  <c r="S129" i="23"/>
  <c r="M147" i="23"/>
  <c r="Q33" i="13"/>
  <c r="U53" i="23"/>
  <c r="S54" i="23"/>
  <c r="U54" i="23" s="1"/>
  <c r="S18" i="13"/>
  <c r="W18" i="13" s="1"/>
  <c r="X18" i="13" s="1"/>
  <c r="W17" i="13"/>
  <c r="M146" i="23"/>
  <c r="S131" i="23"/>
  <c r="L63" i="11"/>
  <c r="L68" i="11" s="1"/>
  <c r="M68" i="11" s="1"/>
  <c r="M62" i="11"/>
  <c r="Z55" i="12"/>
  <c r="L189" i="20"/>
  <c r="M189" i="20" s="1"/>
  <c r="E37" i="6"/>
  <c r="F37" i="6" s="1"/>
  <c r="E24" i="6"/>
  <c r="F24" i="6" s="1"/>
  <c r="S77" i="14"/>
  <c r="AA38" i="14"/>
  <c r="U238" i="23"/>
  <c r="U200" i="23"/>
  <c r="Q33" i="10"/>
  <c r="AA57" i="16"/>
  <c r="H9" i="6"/>
  <c r="I47" i="6"/>
  <c r="S26" i="9"/>
  <c r="U26" i="9" s="1"/>
  <c r="W26" i="9" s="1"/>
  <c r="S33" i="12"/>
  <c r="S69" i="23"/>
  <c r="U78" i="5"/>
  <c r="V57" i="14"/>
  <c r="U170" i="20"/>
  <c r="S171" i="20"/>
  <c r="U171" i="20" s="1"/>
  <c r="S24" i="9"/>
  <c r="U24" i="9" s="1"/>
  <c r="W24" i="9" s="1"/>
  <c r="Z58" i="12"/>
  <c r="U26" i="20"/>
  <c r="U27" i="20"/>
  <c r="V261" i="23"/>
  <c r="V260" i="23"/>
  <c r="S197" i="17"/>
  <c r="T197" i="17"/>
  <c r="S201" i="17"/>
  <c r="U66" i="20"/>
  <c r="U65" i="20"/>
  <c r="AN41" i="17"/>
  <c r="AE59" i="16"/>
  <c r="P340" i="17"/>
  <c r="Q340" i="17" s="1"/>
  <c r="P344" i="17"/>
  <c r="Q344" i="17" s="1"/>
  <c r="Q331" i="17"/>
  <c r="L24" i="11"/>
  <c r="M23" i="11"/>
  <c r="AK119" i="17"/>
  <c r="AJ119" i="17"/>
  <c r="AH119" i="17"/>
  <c r="AI119" i="17"/>
  <c r="Q141" i="17"/>
  <c r="Y155" i="17"/>
  <c r="X21" i="9"/>
  <c r="T23" i="9" s="1"/>
  <c r="M381" i="17"/>
  <c r="L382" i="17"/>
  <c r="M128" i="17"/>
  <c r="S136" i="17"/>
  <c r="AF117" i="17"/>
  <c r="T136" i="17"/>
  <c r="T137" i="17"/>
  <c r="U134" i="17" s="1"/>
  <c r="L134" i="17"/>
  <c r="S137" i="17"/>
  <c r="S134" i="17" s="1"/>
  <c r="L133" i="17"/>
  <c r="AF116" i="17"/>
  <c r="Y16" i="14"/>
  <c r="P137" i="17"/>
  <c r="Q290" i="17"/>
  <c r="Q154" i="23"/>
  <c r="AF75" i="16"/>
  <c r="AF74" i="16"/>
  <c r="S37" i="13"/>
  <c r="L28" i="11"/>
  <c r="U49" i="23"/>
  <c r="S50" i="23"/>
  <c r="U50" i="23" s="1"/>
  <c r="X18" i="6"/>
  <c r="T23" i="6" s="1"/>
  <c r="X196" i="17"/>
  <c r="Q34" i="10"/>
  <c r="R34" i="10" s="1"/>
  <c r="L131" i="17"/>
  <c r="L70" i="8"/>
  <c r="M70" i="8" s="1"/>
  <c r="M66" i="8"/>
  <c r="S68" i="23"/>
  <c r="T84" i="5"/>
  <c r="AK59" i="16"/>
  <c r="L285" i="17"/>
  <c r="M285" i="17" s="1"/>
  <c r="K304" i="17"/>
  <c r="K305" i="17" s="1"/>
  <c r="M268" i="17"/>
  <c r="P278" i="17" s="1"/>
  <c r="U19" i="10"/>
  <c r="U20" i="10" s="1"/>
  <c r="S302" i="23"/>
  <c r="S265" i="23"/>
  <c r="V201" i="17"/>
  <c r="T202" i="17"/>
  <c r="U202" i="17"/>
  <c r="V65" i="20"/>
  <c r="V66" i="20"/>
  <c r="Y144" i="17"/>
  <c r="Z56" i="12"/>
  <c r="P193" i="17"/>
  <c r="P194" i="17"/>
  <c r="Q194" i="17" s="1"/>
  <c r="S25" i="6"/>
  <c r="Q387" i="17"/>
  <c r="P381" i="17"/>
  <c r="Z28" i="13"/>
  <c r="M33" i="13"/>
  <c r="AH51" i="16"/>
  <c r="AI50" i="16" s="1"/>
  <c r="AH54" i="16"/>
  <c r="AH52" i="16"/>
  <c r="X40" i="6"/>
  <c r="S23" i="6"/>
  <c r="X32" i="6"/>
  <c r="V199" i="17"/>
  <c r="AQ52" i="17" s="1"/>
  <c r="U200" i="17"/>
  <c r="AP51" i="17" s="1"/>
  <c r="T200" i="17"/>
  <c r="AO51" i="17" s="1"/>
  <c r="T205" i="17"/>
  <c r="AO53" i="17" s="1"/>
  <c r="S199" i="17"/>
  <c r="U199" i="17"/>
  <c r="AP52" i="17" s="1"/>
  <c r="S200" i="17"/>
  <c r="U205" i="17"/>
  <c r="AP53" i="17" s="1"/>
  <c r="T199" i="17"/>
  <c r="AO52" i="17" s="1"/>
  <c r="V205" i="17"/>
  <c r="AQ53" i="17" s="1"/>
  <c r="S205" i="17"/>
  <c r="V200" i="17"/>
  <c r="AQ51" i="17" s="1"/>
  <c r="AQ54" i="17" s="1"/>
  <c r="L283" i="17"/>
  <c r="L288" i="17"/>
  <c r="M282" i="17"/>
  <c r="U15" i="12"/>
  <c r="V15" i="12"/>
  <c r="V16" i="12" s="1"/>
  <c r="N31" i="12"/>
  <c r="O31" i="12" s="1"/>
  <c r="X15" i="12"/>
  <c r="X16" i="12" s="1"/>
  <c r="W15" i="12"/>
  <c r="W16" i="12" s="1"/>
  <c r="O27" i="12"/>
  <c r="V144" i="23"/>
  <c r="V143" i="23"/>
  <c r="L67" i="11"/>
  <c r="M67" i="11" s="1"/>
  <c r="X21" i="6"/>
  <c r="T27" i="6" s="1"/>
  <c r="Y31" i="6"/>
  <c r="Y39" i="6" s="1"/>
  <c r="T24" i="6"/>
  <c r="V24" i="6" s="1"/>
  <c r="X24" i="6" s="1"/>
  <c r="G13" i="6" s="1"/>
  <c r="X46" i="6"/>
  <c r="Z39" i="6"/>
  <c r="S63" i="15"/>
  <c r="U63" i="15" s="1"/>
  <c r="W63" i="15" s="1"/>
  <c r="S65" i="15"/>
  <c r="U65" i="15" s="1"/>
  <c r="W65" i="15" s="1"/>
  <c r="S62" i="15"/>
  <c r="Y145" i="17"/>
  <c r="L27" i="11"/>
  <c r="S247" i="23"/>
  <c r="U247" i="23" s="1"/>
  <c r="U246" i="23"/>
  <c r="Q35" i="10"/>
  <c r="R35" i="10" s="1"/>
  <c r="V166" i="17"/>
  <c r="V167" i="17" s="1"/>
  <c r="S166" i="17"/>
  <c r="T166" i="17"/>
  <c r="T167" i="17" s="1"/>
  <c r="M183" i="17"/>
  <c r="U166" i="17"/>
  <c r="U167" i="17" s="1"/>
  <c r="U287" i="23"/>
  <c r="S288" i="23"/>
  <c r="U288" i="23" s="1"/>
  <c r="L72" i="8"/>
  <c r="M72" i="8" s="1"/>
  <c r="AA59" i="16"/>
  <c r="Y56" i="5"/>
  <c r="P76" i="11"/>
  <c r="Q76" i="11" s="1"/>
  <c r="P77" i="11"/>
  <c r="Q77" i="11" s="1"/>
  <c r="Q70" i="11"/>
  <c r="AI59" i="16"/>
  <c r="S188" i="17"/>
  <c r="M180" i="17"/>
  <c r="AF169" i="17"/>
  <c r="T188" i="17"/>
  <c r="L186" i="17"/>
  <c r="T189" i="17"/>
  <c r="U186" i="17" s="1"/>
  <c r="S189" i="17"/>
  <c r="S186" i="17" s="1"/>
  <c r="AF168" i="17"/>
  <c r="T19" i="10"/>
  <c r="S303" i="23"/>
  <c r="Q86" i="15"/>
  <c r="U261" i="23"/>
  <c r="S264" i="23" s="1"/>
  <c r="U260" i="23"/>
  <c r="S207" i="17"/>
  <c r="T207" i="17"/>
  <c r="U196" i="17"/>
  <c r="AN42" i="17"/>
  <c r="Q183" i="17"/>
  <c r="P185" i="17"/>
  <c r="Q185" i="17" s="1"/>
  <c r="AB37" i="14"/>
  <c r="V182" i="20"/>
  <c r="V183" i="20"/>
  <c r="R37" i="10"/>
  <c r="Y54" i="5"/>
  <c r="S127" i="23"/>
  <c r="L148" i="23"/>
  <c r="M148" i="23" s="1"/>
  <c r="M144" i="23"/>
  <c r="P474" i="17"/>
  <c r="Q473" i="17"/>
  <c r="U168" i="20"/>
  <c r="L29" i="11"/>
  <c r="M29" i="11" s="1"/>
  <c r="M317" i="17"/>
  <c r="S16" i="13"/>
  <c r="W16" i="13" s="1"/>
  <c r="W15" i="13"/>
  <c r="Y55" i="5"/>
  <c r="U51" i="23"/>
  <c r="S52" i="23"/>
  <c r="U52" i="23" s="1"/>
  <c r="X146" i="17"/>
  <c r="X149" i="17"/>
  <c r="S27" i="6"/>
  <c r="Q84" i="15"/>
  <c r="Q87" i="15" s="1"/>
  <c r="O88" i="15" s="1"/>
  <c r="AD59" i="16"/>
  <c r="U84" i="5"/>
  <c r="U238" i="20"/>
  <c r="U200" i="20"/>
  <c r="Q66" i="11"/>
  <c r="P68" i="11"/>
  <c r="Q68" i="11" s="1"/>
  <c r="P73" i="11"/>
  <c r="Q73" i="11" s="1"/>
  <c r="Q85" i="15"/>
  <c r="V197" i="17"/>
  <c r="U197" i="17"/>
  <c r="T196" i="17"/>
  <c r="M68" i="20"/>
  <c r="S53" i="20"/>
  <c r="S23" i="9"/>
  <c r="U23" i="9" s="1"/>
  <c r="W27" i="9" s="1"/>
  <c r="AF10" i="16"/>
  <c r="AG9" i="16" s="1"/>
  <c r="S25" i="9"/>
  <c r="U25" i="9" s="1"/>
  <c r="Q27" i="11"/>
  <c r="P29" i="11"/>
  <c r="Q29" i="11" s="1"/>
  <c r="P35" i="11"/>
  <c r="Q35" i="11" s="1"/>
  <c r="P33" i="11"/>
  <c r="S50" i="20"/>
  <c r="U50" i="20" s="1"/>
  <c r="U49" i="20"/>
  <c r="Z54" i="12"/>
  <c r="Y60" i="12"/>
  <c r="U67" i="12" s="1"/>
  <c r="W67" i="12" s="1"/>
  <c r="U63" i="12"/>
  <c r="W63" i="12" s="1"/>
  <c r="Y63" i="12" s="1"/>
  <c r="I15" i="12" s="1"/>
  <c r="U65" i="12"/>
  <c r="W65" i="12" s="1"/>
  <c r="Y65" i="12" s="1"/>
  <c r="I16" i="12" s="1"/>
  <c r="S76" i="14"/>
  <c r="AA37" i="14"/>
  <c r="AD31" i="16"/>
  <c r="AD32" i="16"/>
  <c r="Y76" i="16"/>
  <c r="M183" i="20"/>
  <c r="L187" i="20"/>
  <c r="M187" i="20" s="1"/>
  <c r="S166" i="20"/>
  <c r="P384" i="17"/>
  <c r="Q384" i="17" s="1"/>
  <c r="P385" i="17"/>
  <c r="P383" i="17"/>
  <c r="AG52" i="16"/>
  <c r="S55" i="14"/>
  <c r="W55" i="14" s="1"/>
  <c r="W54" i="14"/>
  <c r="T83" i="5"/>
  <c r="U143" i="23"/>
  <c r="U144" i="23"/>
  <c r="S147" i="23" s="1"/>
  <c r="S78" i="14"/>
  <c r="Y39" i="14" s="1"/>
  <c r="AA39" i="14"/>
  <c r="P244" i="17"/>
  <c r="Q244" i="17" s="1"/>
  <c r="X153" i="17"/>
  <c r="X147" i="17"/>
  <c r="X151" i="17"/>
  <c r="X152" i="17"/>
  <c r="K248" i="17"/>
  <c r="U248" i="17" s="1"/>
  <c r="M248" i="17"/>
  <c r="M249" i="17" s="1"/>
  <c r="S57" i="14"/>
  <c r="W56" i="14"/>
  <c r="AH170" i="23"/>
  <c r="AH172" i="23" s="1"/>
  <c r="AH176" i="23" s="1"/>
  <c r="X34" i="12"/>
  <c r="X35" i="12"/>
  <c r="T206" i="17"/>
  <c r="U207" i="17"/>
  <c r="V206" i="17"/>
  <c r="S215" i="20"/>
  <c r="S216" i="20"/>
  <c r="S213" i="20"/>
  <c r="S214" i="20"/>
  <c r="S217" i="20"/>
  <c r="S218" i="20"/>
  <c r="L187" i="23"/>
  <c r="M187" i="23" s="1"/>
  <c r="S166" i="23"/>
  <c r="M183" i="23"/>
  <c r="AE11" i="16"/>
  <c r="Q31" i="11"/>
  <c r="P37" i="11"/>
  <c r="P38" i="11"/>
  <c r="Q38" i="11" s="1"/>
  <c r="P525" i="17"/>
  <c r="Q523" i="17"/>
  <c r="M70" i="14"/>
  <c r="Y18" i="14"/>
  <c r="L369" i="17"/>
  <c r="M376" i="17"/>
  <c r="M34" i="13"/>
  <c r="AC26" i="13"/>
  <c r="AD26" i="13"/>
  <c r="S11" i="20"/>
  <c r="U11" i="20" s="1"/>
  <c r="U10" i="20"/>
  <c r="T170" i="17"/>
  <c r="T171" i="17" s="1"/>
  <c r="U170" i="17"/>
  <c r="U171" i="17" s="1"/>
  <c r="M184" i="17"/>
  <c r="S170" i="17"/>
  <c r="V170" i="17"/>
  <c r="V171" i="17" s="1"/>
  <c r="X57" i="5"/>
  <c r="Y57" i="5" s="1"/>
  <c r="V254" i="17"/>
  <c r="V208" i="17"/>
  <c r="V204" i="17"/>
  <c r="U204" i="17"/>
  <c r="S203" i="17"/>
  <c r="T208" i="17"/>
  <c r="T203" i="17"/>
  <c r="U203" i="17"/>
  <c r="U208" i="17"/>
  <c r="S204" i="17"/>
  <c r="S208" i="17"/>
  <c r="V203" i="17"/>
  <c r="T204" i="17"/>
  <c r="Q72" i="8"/>
  <c r="AH53" i="8"/>
  <c r="AH55" i="8" s="1"/>
  <c r="AH59" i="8" s="1"/>
  <c r="S37" i="12"/>
  <c r="X145" i="17"/>
  <c r="X148" i="17"/>
  <c r="X150" i="17"/>
  <c r="Y149" i="17"/>
  <c r="S250" i="17"/>
  <c r="T250" i="17"/>
  <c r="U250" i="17"/>
  <c r="V250" i="17"/>
  <c r="M29" i="20"/>
  <c r="S14" i="20"/>
  <c r="W35" i="12"/>
  <c r="U38" i="12" s="1"/>
  <c r="W34" i="12"/>
  <c r="S206" i="17"/>
  <c r="S202" i="17"/>
  <c r="Y202" i="17" s="1"/>
  <c r="U206" i="17"/>
  <c r="V182" i="23"/>
  <c r="V183" i="23"/>
  <c r="N24" i="10"/>
  <c r="U34" i="10"/>
  <c r="U35" i="10"/>
  <c r="W36" i="10" s="1"/>
  <c r="M27" i="10"/>
  <c r="T35" i="10"/>
  <c r="V36" i="10" s="1"/>
  <c r="M30" i="10"/>
  <c r="T34" i="10"/>
  <c r="L320" i="17"/>
  <c r="M330" i="17"/>
  <c r="AE13" i="16"/>
  <c r="Q329" i="17"/>
  <c r="L430" i="17"/>
  <c r="L433" i="17"/>
  <c r="L429" i="17"/>
  <c r="M429" i="17" s="1"/>
  <c r="L432" i="17"/>
  <c r="M432" i="17" s="1"/>
  <c r="P439" i="17"/>
  <c r="L435" i="17"/>
  <c r="M435" i="17" s="1"/>
  <c r="L428" i="17"/>
  <c r="P440" i="17"/>
  <c r="Q440" i="17" s="1"/>
  <c r="Q422" i="17"/>
  <c r="Z19" i="12"/>
  <c r="M378" i="17"/>
  <c r="L379" i="17"/>
  <c r="AG75" i="16"/>
  <c r="AG74" i="16"/>
  <c r="U20" i="12"/>
  <c r="Y20" i="12" s="1"/>
  <c r="Z20" i="12" s="1"/>
  <c r="U182" i="20"/>
  <c r="U183" i="20"/>
  <c r="S186" i="20" s="1"/>
  <c r="S286" i="23"/>
  <c r="U286" i="23" s="1"/>
  <c r="U285" i="23"/>
  <c r="P575" i="17"/>
  <c r="C84" i="17"/>
  <c r="S245" i="23"/>
  <c r="U245" i="23" s="1"/>
  <c r="U244" i="23"/>
  <c r="L69" i="11"/>
  <c r="S26" i="6"/>
  <c r="U26" i="6" s="1"/>
  <c r="W26" i="6" s="1"/>
  <c r="G9" i="6" s="1"/>
  <c r="W17" i="12"/>
  <c r="W18" i="12" s="1"/>
  <c r="U17" i="12"/>
  <c r="O30" i="12"/>
  <c r="N33" i="12"/>
  <c r="O33" i="12" s="1"/>
  <c r="V17" i="12"/>
  <c r="V18" i="12" s="1"/>
  <c r="X17" i="12"/>
  <c r="X18" i="12" s="1"/>
  <c r="N34" i="12"/>
  <c r="O34" i="12" s="1"/>
  <c r="W28" i="9"/>
  <c r="Q150" i="23"/>
  <c r="Y58" i="5"/>
  <c r="W19" i="13"/>
  <c r="S20" i="13"/>
  <c r="W20" i="13" s="1"/>
  <c r="X20" i="13" s="1"/>
  <c r="V251" i="17"/>
  <c r="AQ66" i="17" s="1"/>
  <c r="V257" i="17"/>
  <c r="AQ67" i="17" s="1"/>
  <c r="S257" i="17"/>
  <c r="T252" i="17"/>
  <c r="AO65" i="17" s="1"/>
  <c r="AO68" i="17" s="1"/>
  <c r="S251" i="17"/>
  <c r="U257" i="17"/>
  <c r="AP67" i="17" s="1"/>
  <c r="V252" i="17"/>
  <c r="AQ65" i="17" s="1"/>
  <c r="T251" i="17"/>
  <c r="AO66" i="17" s="1"/>
  <c r="T257" i="17"/>
  <c r="AO67" i="17" s="1"/>
  <c r="U251" i="17"/>
  <c r="AP66" i="17" s="1"/>
  <c r="S252" i="17"/>
  <c r="U252" i="17"/>
  <c r="AP65" i="17" s="1"/>
  <c r="U283" i="23"/>
  <c r="S284" i="23"/>
  <c r="U284" i="23" s="1"/>
  <c r="S66" i="15"/>
  <c r="U57" i="14"/>
  <c r="S31" i="20"/>
  <c r="V19" i="10"/>
  <c r="V20" i="10" s="1"/>
  <c r="U39" i="12"/>
  <c r="L318" i="17"/>
  <c r="L334" i="17" s="1"/>
  <c r="M327" i="17"/>
  <c r="U201" i="17"/>
  <c r="V196" i="17"/>
  <c r="S196" i="17"/>
  <c r="AA61" i="16"/>
  <c r="U183" i="23"/>
  <c r="U182" i="23"/>
  <c r="AE12" i="16"/>
  <c r="L231" i="17"/>
  <c r="L236" i="17" s="1"/>
  <c r="M230" i="17"/>
  <c r="AH248" i="23"/>
  <c r="AH250" i="23" s="1"/>
  <c r="AH254" i="23" s="1"/>
  <c r="Q267" i="23"/>
  <c r="T78" i="5"/>
  <c r="W58" i="14"/>
  <c r="S59" i="14"/>
  <c r="W59" i="14" s="1"/>
  <c r="S13" i="20"/>
  <c r="U13" i="20" s="1"/>
  <c r="U12" i="20"/>
  <c r="U168" i="23"/>
  <c r="S67" i="15"/>
  <c r="U67" i="15" s="1"/>
  <c r="W67" i="15" s="1"/>
  <c r="T57" i="14"/>
  <c r="V26" i="20"/>
  <c r="V27" i="20"/>
  <c r="W19" i="10"/>
  <c r="W20" i="10" s="1"/>
  <c r="AH59" i="16"/>
  <c r="V202" i="17"/>
  <c r="V207" i="17"/>
  <c r="S51" i="20"/>
  <c r="L73" i="20"/>
  <c r="M73" i="20" s="1"/>
  <c r="L72" i="20"/>
  <c r="M72" i="20" s="1"/>
  <c r="M69" i="20"/>
  <c r="AL59" i="16"/>
  <c r="M185" i="23"/>
  <c r="S170" i="23"/>
  <c r="I48" i="6"/>
  <c r="Z43" i="6"/>
  <c r="M266" i="17"/>
  <c r="K295" i="17"/>
  <c r="O301" i="17"/>
  <c r="K301" i="17" s="1"/>
  <c r="K302" i="17" s="1"/>
  <c r="K303" i="17"/>
  <c r="M302" i="17"/>
  <c r="P342" i="17"/>
  <c r="Q333" i="17"/>
  <c r="T85" i="5" l="1"/>
  <c r="T89" i="5" s="1"/>
  <c r="T254" i="17"/>
  <c r="T28" i="6"/>
  <c r="V28" i="6" s="1"/>
  <c r="X28" i="6" s="1"/>
  <c r="AQ68" i="17"/>
  <c r="AP70" i="17"/>
  <c r="U62" i="12"/>
  <c r="V286" i="17"/>
  <c r="V285" i="17"/>
  <c r="S98" i="20"/>
  <c r="S99" i="20"/>
  <c r="S97" i="20"/>
  <c r="S100" i="20"/>
  <c r="S101" i="20"/>
  <c r="S96" i="20"/>
  <c r="S224" i="23"/>
  <c r="AE23" i="17"/>
  <c r="S107" i="23"/>
  <c r="T320" i="17"/>
  <c r="S320" i="17"/>
  <c r="U320" i="17"/>
  <c r="V320" i="17"/>
  <c r="Y372" i="17"/>
  <c r="W19" i="8"/>
  <c r="S20" i="8"/>
  <c r="W20" i="8" s="1"/>
  <c r="X20" i="8" s="1"/>
  <c r="U209" i="23"/>
  <c r="S210" i="23"/>
  <c r="U210" i="23" s="1"/>
  <c r="T13" i="17"/>
  <c r="W170" i="17"/>
  <c r="S108" i="23"/>
  <c r="U88" i="23"/>
  <c r="S89" i="23"/>
  <c r="U89" i="23" s="1"/>
  <c r="G12" i="15"/>
  <c r="G17" i="15" s="1"/>
  <c r="H24" i="15"/>
  <c r="U289" i="20"/>
  <c r="S28" i="15"/>
  <c r="U28" i="15" s="1"/>
  <c r="S27" i="15"/>
  <c r="X17" i="15"/>
  <c r="Y37" i="14"/>
  <c r="T26" i="6"/>
  <c r="V26" i="6" s="1"/>
  <c r="X26" i="6" s="1"/>
  <c r="G14" i="6" s="1"/>
  <c r="X15" i="15"/>
  <c r="W21" i="15"/>
  <c r="S24" i="15" s="1"/>
  <c r="U24" i="15" s="1"/>
  <c r="W24" i="15" s="1"/>
  <c r="S26" i="15"/>
  <c r="U26" i="15" s="1"/>
  <c r="W26" i="15" s="1"/>
  <c r="AQ56" i="17"/>
  <c r="W17" i="8"/>
  <c r="S18" i="8"/>
  <c r="W18" i="8" s="1"/>
  <c r="X18" i="8" s="1"/>
  <c r="W234" i="17"/>
  <c r="X19" i="15"/>
  <c r="S25" i="15"/>
  <c r="S16" i="8"/>
  <c r="W16" i="8" s="1"/>
  <c r="W15" i="8"/>
  <c r="W233" i="17"/>
  <c r="S248" i="17"/>
  <c r="Y67" i="12"/>
  <c r="O89" i="15"/>
  <c r="Q89" i="15" s="1"/>
  <c r="S29" i="23"/>
  <c r="S37" i="14"/>
  <c r="W15" i="14"/>
  <c r="S16" i="14"/>
  <c r="W16" i="14" s="1"/>
  <c r="S254" i="17"/>
  <c r="U90" i="23"/>
  <c r="S91" i="23"/>
  <c r="U91" i="23" s="1"/>
  <c r="W19" i="14"/>
  <c r="S20" i="14"/>
  <c r="W20" i="14" s="1"/>
  <c r="X20" i="14" s="1"/>
  <c r="Y28" i="14" s="1"/>
  <c r="S38" i="14"/>
  <c r="P74" i="11"/>
  <c r="Q74" i="11" s="1"/>
  <c r="X36" i="9"/>
  <c r="U13" i="17"/>
  <c r="V13" i="17"/>
  <c r="U133" i="20"/>
  <c r="U92" i="23"/>
  <c r="S93" i="23"/>
  <c r="U93" i="23" s="1"/>
  <c r="S186" i="23"/>
  <c r="AO56" i="17"/>
  <c r="Y38" i="14"/>
  <c r="S13" i="17"/>
  <c r="S13" i="23"/>
  <c r="U13" i="23" s="1"/>
  <c r="U16" i="23" s="1"/>
  <c r="U12" i="23"/>
  <c r="V249" i="17"/>
  <c r="V258" i="17"/>
  <c r="S253" i="17"/>
  <c r="S169" i="23"/>
  <c r="U169" i="23" s="1"/>
  <c r="U259" i="17"/>
  <c r="U205" i="23"/>
  <c r="U211" i="23" s="1"/>
  <c r="S206" i="23"/>
  <c r="U206" i="23" s="1"/>
  <c r="U285" i="17"/>
  <c r="U286" i="17"/>
  <c r="S11" i="17"/>
  <c r="W11" i="17" s="1"/>
  <c r="W10" i="17"/>
  <c r="T259" i="17"/>
  <c r="AP54" i="17"/>
  <c r="T37" i="5"/>
  <c r="S285" i="17"/>
  <c r="W268" i="17"/>
  <c r="S286" i="17"/>
  <c r="W14" i="17"/>
  <c r="S15" i="17"/>
  <c r="W15" i="17" s="1"/>
  <c r="X16" i="15"/>
  <c r="S23" i="15"/>
  <c r="W36" i="9"/>
  <c r="T285" i="17"/>
  <c r="T286" i="17"/>
  <c r="W17" i="14"/>
  <c r="S18" i="14"/>
  <c r="W18" i="14" s="1"/>
  <c r="S225" i="23"/>
  <c r="T38" i="5"/>
  <c r="F39" i="5"/>
  <c r="J50" i="5"/>
  <c r="N35" i="5"/>
  <c r="J42" i="5"/>
  <c r="E39" i="5"/>
  <c r="J49" i="5"/>
  <c r="X19" i="5"/>
  <c r="T20" i="5"/>
  <c r="X20" i="5" s="1"/>
  <c r="Y20" i="5" s="1"/>
  <c r="N31" i="5"/>
  <c r="J45" i="5"/>
  <c r="T18" i="5"/>
  <c r="X17" i="5"/>
  <c r="T88" i="5"/>
  <c r="U18" i="5"/>
  <c r="J41" i="5"/>
  <c r="T16" i="5"/>
  <c r="X16" i="5" s="1"/>
  <c r="X15" i="5"/>
  <c r="M334" i="17"/>
  <c r="L335" i="17"/>
  <c r="L340" i="17" s="1"/>
  <c r="M236" i="17"/>
  <c r="AH61" i="8"/>
  <c r="AH60" i="8"/>
  <c r="AL59" i="8" s="1"/>
  <c r="E8" i="9"/>
  <c r="E9" i="9"/>
  <c r="V23" i="9"/>
  <c r="X23" i="9" s="1"/>
  <c r="C10" i="9" s="1"/>
  <c r="E7" i="9" s="1"/>
  <c r="AC8" i="9"/>
  <c r="AD8" i="9"/>
  <c r="W15" i="10"/>
  <c r="W16" i="10" s="1"/>
  <c r="T15" i="10"/>
  <c r="M31" i="10"/>
  <c r="N31" i="10" s="1"/>
  <c r="V15" i="10"/>
  <c r="V16" i="10" s="1"/>
  <c r="N27" i="10"/>
  <c r="U15" i="10"/>
  <c r="U16" i="10" s="1"/>
  <c r="AE31" i="16"/>
  <c r="AE32" i="16"/>
  <c r="W223" i="20"/>
  <c r="X223" i="20"/>
  <c r="X56" i="14"/>
  <c r="X17" i="14"/>
  <c r="Q278" i="17"/>
  <c r="P291" i="17"/>
  <c r="P287" i="17"/>
  <c r="T87" i="5"/>
  <c r="P394" i="17"/>
  <c r="Q385" i="17"/>
  <c r="W25" i="9"/>
  <c r="W35" i="9"/>
  <c r="T38" i="9" s="1"/>
  <c r="X35" i="9"/>
  <c r="X19" i="10"/>
  <c r="T20" i="10"/>
  <c r="X20" i="10" s="1"/>
  <c r="Y20" i="10" s="1"/>
  <c r="S185" i="17"/>
  <c r="S184" i="17"/>
  <c r="S167" i="17"/>
  <c r="W167" i="17" s="1"/>
  <c r="W166" i="17"/>
  <c r="AN52" i="17"/>
  <c r="Z199" i="17"/>
  <c r="V27" i="6"/>
  <c r="AD10" i="6"/>
  <c r="U55" i="23"/>
  <c r="V23" i="6"/>
  <c r="X23" i="6" s="1"/>
  <c r="G12" i="6" s="1"/>
  <c r="R33" i="10"/>
  <c r="W62" i="12"/>
  <c r="U129" i="23"/>
  <c r="S130" i="23"/>
  <c r="U130" i="23" s="1"/>
  <c r="U17" i="11"/>
  <c r="L34" i="11"/>
  <c r="M34" i="11" s="1"/>
  <c r="V17" i="11"/>
  <c r="T17" i="11"/>
  <c r="M30" i="11"/>
  <c r="S17" i="11"/>
  <c r="L33" i="11"/>
  <c r="M33" i="11" s="1"/>
  <c r="AB48" i="15"/>
  <c r="Z33" i="13"/>
  <c r="W57" i="14"/>
  <c r="X54" i="14"/>
  <c r="AG10" i="16"/>
  <c r="AH9" i="16" s="1"/>
  <c r="V13" i="23"/>
  <c r="S128" i="23"/>
  <c r="U128" i="23" s="1"/>
  <c r="U127" i="23"/>
  <c r="AA178" i="17"/>
  <c r="AE178" i="17" s="1"/>
  <c r="AC178" i="17"/>
  <c r="AD179" i="17"/>
  <c r="AA179" i="17"/>
  <c r="AE179" i="17" s="1"/>
  <c r="AB178" i="17"/>
  <c r="AD178" i="17"/>
  <c r="AB179" i="17"/>
  <c r="AC179" i="17"/>
  <c r="AH73" i="16"/>
  <c r="AH72" i="16"/>
  <c r="AC9" i="6"/>
  <c r="U25" i="6"/>
  <c r="V114" i="17"/>
  <c r="V115" i="17" s="1"/>
  <c r="S114" i="17"/>
  <c r="L135" i="17"/>
  <c r="M135" i="17" s="1"/>
  <c r="M131" i="17"/>
  <c r="T114" i="17"/>
  <c r="T115" i="17" s="1"/>
  <c r="U114" i="17"/>
  <c r="U115" i="17" s="1"/>
  <c r="M28" i="11"/>
  <c r="T19" i="11"/>
  <c r="T20" i="11" s="1"/>
  <c r="S19" i="11"/>
  <c r="U19" i="11"/>
  <c r="U20" i="11" s="1"/>
  <c r="V19" i="11"/>
  <c r="V20" i="11" s="1"/>
  <c r="S132" i="17"/>
  <c r="S133" i="17"/>
  <c r="I45" i="6"/>
  <c r="H8" i="6"/>
  <c r="S68" i="20"/>
  <c r="S30" i="20"/>
  <c r="X74" i="15"/>
  <c r="I15" i="15" s="1"/>
  <c r="W74" i="15"/>
  <c r="AN66" i="17"/>
  <c r="Z251" i="17"/>
  <c r="Y17" i="12"/>
  <c r="U18" i="12"/>
  <c r="Y18" i="12" s="1"/>
  <c r="Z18" i="12" s="1"/>
  <c r="P437" i="17"/>
  <c r="P436" i="17"/>
  <c r="Q436" i="17" s="1"/>
  <c r="P435" i="17"/>
  <c r="W35" i="10"/>
  <c r="W34" i="10"/>
  <c r="Y206" i="17"/>
  <c r="X203" i="17"/>
  <c r="X204" i="17"/>
  <c r="X205" i="17"/>
  <c r="X199" i="17"/>
  <c r="T249" i="17"/>
  <c r="T258" i="17"/>
  <c r="U258" i="17"/>
  <c r="W221" i="20"/>
  <c r="X221" i="20"/>
  <c r="X55" i="14"/>
  <c r="X16" i="14"/>
  <c r="S167" i="20"/>
  <c r="U167" i="20" s="1"/>
  <c r="U166" i="20"/>
  <c r="AF12" i="16"/>
  <c r="V12" i="23"/>
  <c r="P190" i="17"/>
  <c r="Q190" i="17" s="1"/>
  <c r="Y207" i="17"/>
  <c r="W186" i="17"/>
  <c r="AN53" i="17"/>
  <c r="Z205" i="17"/>
  <c r="AO54" i="17"/>
  <c r="AH53" i="16"/>
  <c r="P296" i="17"/>
  <c r="Q296" i="17" s="1"/>
  <c r="AD127" i="17"/>
  <c r="AA127" i="17"/>
  <c r="AB126" i="17"/>
  <c r="AC127" i="17"/>
  <c r="AA126" i="17"/>
  <c r="AC126" i="17"/>
  <c r="AB127" i="17"/>
  <c r="AD126" i="17"/>
  <c r="S69" i="20"/>
  <c r="S29" i="20"/>
  <c r="U277" i="23"/>
  <c r="U278" i="23" s="1"/>
  <c r="AA32" i="23" s="1"/>
  <c r="AA71" i="23" s="1"/>
  <c r="AA110" i="23" s="1"/>
  <c r="AA149" i="23" s="1"/>
  <c r="AA188" i="23" s="1"/>
  <c r="AA227" i="23" s="1"/>
  <c r="AA266" i="23" s="1"/>
  <c r="AA305" i="23" s="1"/>
  <c r="U239" i="23"/>
  <c r="L434" i="17"/>
  <c r="M433" i="17"/>
  <c r="X197" i="17"/>
  <c r="X202" i="17"/>
  <c r="X200" i="17"/>
  <c r="L232" i="17"/>
  <c r="M231" i="17"/>
  <c r="U37" i="12"/>
  <c r="X198" i="17"/>
  <c r="X201" i="17"/>
  <c r="T255" i="17"/>
  <c r="U260" i="17"/>
  <c r="V255" i="17"/>
  <c r="S260" i="17"/>
  <c r="S256" i="17"/>
  <c r="S255" i="17"/>
  <c r="V260" i="17"/>
  <c r="U256" i="17"/>
  <c r="T256" i="17"/>
  <c r="T260" i="17"/>
  <c r="U255" i="17"/>
  <c r="V256" i="17"/>
  <c r="Q33" i="11"/>
  <c r="AF13" i="16"/>
  <c r="S263" i="23"/>
  <c r="AH171" i="17"/>
  <c r="AI171" i="17"/>
  <c r="AJ171" i="17"/>
  <c r="AK171" i="17"/>
  <c r="Q193" i="17"/>
  <c r="M133" i="17"/>
  <c r="T118" i="17"/>
  <c r="T119" i="17" s="1"/>
  <c r="U118" i="17"/>
  <c r="U119" i="17" s="1"/>
  <c r="V118" i="17"/>
  <c r="V119" i="17" s="1"/>
  <c r="S118" i="17"/>
  <c r="L372" i="17"/>
  <c r="M382" i="17"/>
  <c r="M24" i="11"/>
  <c r="T35" i="11"/>
  <c r="V36" i="11" s="1"/>
  <c r="T34" i="11"/>
  <c r="S35" i="11"/>
  <c r="U36" i="11" s="1"/>
  <c r="S39" i="11" s="1"/>
  <c r="S34" i="11"/>
  <c r="Y201" i="17"/>
  <c r="U64" i="12"/>
  <c r="M63" i="11"/>
  <c r="L66" i="11"/>
  <c r="L72" i="11" s="1"/>
  <c r="M72" i="11" s="1"/>
  <c r="X262" i="20"/>
  <c r="W262" i="20"/>
  <c r="S52" i="20"/>
  <c r="U52" i="20" s="1"/>
  <c r="U51" i="20"/>
  <c r="AP68" i="17"/>
  <c r="T304" i="17"/>
  <c r="AO79" i="17" s="1"/>
  <c r="V309" i="17"/>
  <c r="AQ81" i="17" s="1"/>
  <c r="S309" i="17"/>
  <c r="S304" i="17"/>
  <c r="T303" i="17"/>
  <c r="AO80" i="17" s="1"/>
  <c r="U304" i="17"/>
  <c r="AP79" i="17" s="1"/>
  <c r="S303" i="17"/>
  <c r="V304" i="17"/>
  <c r="AQ79" i="17" s="1"/>
  <c r="V303" i="17"/>
  <c r="AQ80" i="17" s="1"/>
  <c r="U303" i="17"/>
  <c r="AP80" i="17" s="1"/>
  <c r="T309" i="17"/>
  <c r="AO81" i="17" s="1"/>
  <c r="U309" i="17"/>
  <c r="AP81" i="17" s="1"/>
  <c r="U170" i="23"/>
  <c r="S171" i="23"/>
  <c r="U171" i="23" s="1"/>
  <c r="X58" i="14"/>
  <c r="X19" i="14"/>
  <c r="AE34" i="16"/>
  <c r="AE33" i="16"/>
  <c r="AN65" i="17"/>
  <c r="Z252" i="17"/>
  <c r="AN67" i="17"/>
  <c r="AN70" i="17" s="1"/>
  <c r="Z257" i="17"/>
  <c r="M69" i="11"/>
  <c r="L73" i="11"/>
  <c r="M73" i="11" s="1"/>
  <c r="S185" i="20"/>
  <c r="L337" i="17"/>
  <c r="M337" i="17" s="1"/>
  <c r="M320" i="17"/>
  <c r="P330" i="17" s="1"/>
  <c r="K356" i="17"/>
  <c r="K357" i="17" s="1"/>
  <c r="X248" i="17"/>
  <c r="S249" i="17"/>
  <c r="U249" i="17"/>
  <c r="T253" i="17"/>
  <c r="Y253" i="17" s="1"/>
  <c r="S171" i="17"/>
  <c r="W171" i="17" s="1"/>
  <c r="P526" i="17"/>
  <c r="Q525" i="17"/>
  <c r="S167" i="23"/>
  <c r="U167" i="23" s="1"/>
  <c r="U166" i="23"/>
  <c r="U172" i="23" s="1"/>
  <c r="X222" i="20"/>
  <c r="W222" i="20"/>
  <c r="AF11" i="16"/>
  <c r="P72" i="11"/>
  <c r="Q72" i="11" s="1"/>
  <c r="P89" i="15"/>
  <c r="P88" i="15"/>
  <c r="P189" i="17"/>
  <c r="L190" i="17"/>
  <c r="M190" i="17" s="1"/>
  <c r="V168" i="17"/>
  <c r="V169" i="17" s="1"/>
  <c r="S168" i="17"/>
  <c r="U168" i="17"/>
  <c r="M186" i="17"/>
  <c r="T168" i="17"/>
  <c r="L189" i="17"/>
  <c r="M189" i="17" s="1"/>
  <c r="L187" i="17"/>
  <c r="M187" i="17" s="1"/>
  <c r="AO55" i="17"/>
  <c r="AQ55" i="17"/>
  <c r="AI53" i="16"/>
  <c r="AI51" i="16"/>
  <c r="AJ50" i="16" s="1"/>
  <c r="U66" i="12"/>
  <c r="Q137" i="17"/>
  <c r="AI118" i="17"/>
  <c r="AI120" i="17" s="1"/>
  <c r="AI124" i="17" s="1"/>
  <c r="AH118" i="17"/>
  <c r="AJ118" i="17"/>
  <c r="AJ120" i="17" s="1"/>
  <c r="AJ124" i="17" s="1"/>
  <c r="AK118" i="17"/>
  <c r="W134" i="17"/>
  <c r="U131" i="23"/>
  <c r="V14" i="23" s="1"/>
  <c r="S132" i="23"/>
  <c r="U132" i="23" s="1"/>
  <c r="Q235" i="17"/>
  <c r="P237" i="17"/>
  <c r="Q237" i="17" s="1"/>
  <c r="S185" i="23"/>
  <c r="Y196" i="17"/>
  <c r="AP69" i="17"/>
  <c r="AQ70" i="17"/>
  <c r="U250" i="23"/>
  <c r="M379" i="17"/>
  <c r="L370" i="17"/>
  <c r="P433" i="17"/>
  <c r="Q439" i="17"/>
  <c r="V35" i="10"/>
  <c r="T38" i="10" s="1"/>
  <c r="V34" i="10"/>
  <c r="V259" i="17"/>
  <c r="T248" i="17"/>
  <c r="V248" i="17"/>
  <c r="AB31" i="23"/>
  <c r="AG72" i="16"/>
  <c r="AG73" i="16"/>
  <c r="W23" i="9"/>
  <c r="W34" i="9"/>
  <c r="X34" i="9"/>
  <c r="N88" i="15"/>
  <c r="Q88" i="15" s="1"/>
  <c r="X15" i="13"/>
  <c r="W21" i="13"/>
  <c r="S23" i="13" s="1"/>
  <c r="X60" i="5"/>
  <c r="T63" i="5" s="1"/>
  <c r="V63" i="5" s="1"/>
  <c r="X63" i="5" s="1"/>
  <c r="U184" i="17"/>
  <c r="U185" i="17"/>
  <c r="H7" i="6"/>
  <c r="I44" i="6"/>
  <c r="AP56" i="17"/>
  <c r="S310" i="17"/>
  <c r="V306" i="17"/>
  <c r="U116" i="17"/>
  <c r="U117" i="17" s="1"/>
  <c r="L138" i="17"/>
  <c r="M138" i="17" s="1"/>
  <c r="M134" i="17"/>
  <c r="L137" i="17"/>
  <c r="M137" i="17" s="1"/>
  <c r="T116" i="17"/>
  <c r="T117" i="17" s="1"/>
  <c r="V116" i="17"/>
  <c r="V117" i="17" s="1"/>
  <c r="S116" i="17"/>
  <c r="T25" i="9"/>
  <c r="T24" i="9"/>
  <c r="V24" i="9" s="1"/>
  <c r="X24" i="9" s="1"/>
  <c r="T26" i="9"/>
  <c r="V26" i="9" s="1"/>
  <c r="X26" i="9" s="1"/>
  <c r="T28" i="9"/>
  <c r="V28" i="9" s="1"/>
  <c r="X28" i="9" s="1"/>
  <c r="T27" i="9"/>
  <c r="AH120" i="17"/>
  <c r="AH124" i="17" s="1"/>
  <c r="Y197" i="17"/>
  <c r="G24" i="6"/>
  <c r="P577" i="17"/>
  <c r="Q575" i="17"/>
  <c r="O353" i="17"/>
  <c r="K353" i="17" s="1"/>
  <c r="K354" i="17" s="1"/>
  <c r="M318" i="17"/>
  <c r="M354" i="17"/>
  <c r="K347" i="17"/>
  <c r="L431" i="17"/>
  <c r="M430" i="17"/>
  <c r="K300" i="17"/>
  <c r="M300" i="17"/>
  <c r="M301" i="17" s="1"/>
  <c r="V12" i="20"/>
  <c r="AO70" i="17"/>
  <c r="AQ69" i="17"/>
  <c r="U17" i="10"/>
  <c r="U18" i="10" s="1"/>
  <c r="W17" i="10"/>
  <c r="W18" i="10" s="1"/>
  <c r="T17" i="10"/>
  <c r="V17" i="10"/>
  <c r="V18" i="10" s="1"/>
  <c r="M34" i="10"/>
  <c r="N34" i="10" s="1"/>
  <c r="N30" i="10"/>
  <c r="M33" i="10"/>
  <c r="N33" i="10" s="1"/>
  <c r="U14" i="20"/>
  <c r="S15" i="20"/>
  <c r="U15" i="20" s="1"/>
  <c r="U254" i="17"/>
  <c r="Y254" i="17" s="1"/>
  <c r="S259" i="17"/>
  <c r="U253" i="17"/>
  <c r="V10" i="20"/>
  <c r="L386" i="17"/>
  <c r="M369" i="17"/>
  <c r="Q37" i="11"/>
  <c r="S146" i="23"/>
  <c r="U277" i="20"/>
  <c r="U278" i="20" s="1"/>
  <c r="AB32" i="20" s="1"/>
  <c r="AB71" i="20" s="1"/>
  <c r="AB110" i="20" s="1"/>
  <c r="AB149" i="20" s="1"/>
  <c r="AB188" i="20" s="1"/>
  <c r="AB227" i="20" s="1"/>
  <c r="AB266" i="20" s="1"/>
  <c r="AB305" i="20" s="1"/>
  <c r="U239" i="20"/>
  <c r="U27" i="6"/>
  <c r="AC10" i="6"/>
  <c r="X16" i="13"/>
  <c r="Q474" i="17"/>
  <c r="L485" i="17"/>
  <c r="L480" i="17"/>
  <c r="L484" i="17"/>
  <c r="M484" i="17" s="1"/>
  <c r="L487" i="17"/>
  <c r="M487" i="17" s="1"/>
  <c r="L481" i="17"/>
  <c r="M481" i="17" s="1"/>
  <c r="P491" i="17"/>
  <c r="L482" i="17"/>
  <c r="P492" i="17"/>
  <c r="Q492" i="17" s="1"/>
  <c r="P191" i="17"/>
  <c r="Q191" i="17" s="1"/>
  <c r="P90" i="15"/>
  <c r="Q90" i="15" s="1"/>
  <c r="U62" i="15"/>
  <c r="AB47" i="15"/>
  <c r="M288" i="17"/>
  <c r="AN51" i="17"/>
  <c r="AN54" i="17" s="1"/>
  <c r="Z200" i="17"/>
  <c r="U23" i="6"/>
  <c r="AC8" i="6"/>
  <c r="Y34" i="6"/>
  <c r="Y42" i="6" s="1"/>
  <c r="Y46" i="6" s="1"/>
  <c r="T25" i="6"/>
  <c r="AD8" i="6" s="1"/>
  <c r="Y21" i="14"/>
  <c r="U24" i="14" s="1"/>
  <c r="W24" i="14" s="1"/>
  <c r="G37" i="6"/>
  <c r="X17" i="13"/>
  <c r="W261" i="20"/>
  <c r="T264" i="20" s="1"/>
  <c r="X261" i="20"/>
  <c r="S302" i="17"/>
  <c r="U302" i="17"/>
  <c r="V302" i="17"/>
  <c r="T302" i="17"/>
  <c r="X19" i="13"/>
  <c r="U289" i="23"/>
  <c r="X59" i="14"/>
  <c r="L235" i="17"/>
  <c r="L421" i="17"/>
  <c r="M428" i="17"/>
  <c r="Q342" i="17"/>
  <c r="L237" i="17"/>
  <c r="M237" i="17" s="1"/>
  <c r="AB49" i="15"/>
  <c r="U66" i="15"/>
  <c r="AO69" i="17"/>
  <c r="C86" i="17"/>
  <c r="P627" i="17"/>
  <c r="T39" i="10"/>
  <c r="V253" i="17"/>
  <c r="S258" i="17"/>
  <c r="Y258" i="17" s="1"/>
  <c r="V11" i="20"/>
  <c r="P392" i="17"/>
  <c r="Q392" i="17" s="1"/>
  <c r="Q383" i="17"/>
  <c r="P396" i="17"/>
  <c r="Q396" i="17" s="1"/>
  <c r="P34" i="11"/>
  <c r="Q34" i="11" s="1"/>
  <c r="U53" i="20"/>
  <c r="S54" i="20"/>
  <c r="U54" i="20" s="1"/>
  <c r="S169" i="20"/>
  <c r="U169" i="20" s="1"/>
  <c r="V13" i="20" s="1"/>
  <c r="M27" i="11"/>
  <c r="T15" i="11"/>
  <c r="T16" i="11" s="1"/>
  <c r="S15" i="11"/>
  <c r="U15" i="11"/>
  <c r="U16" i="11" s="1"/>
  <c r="V15" i="11"/>
  <c r="V16" i="11" s="1"/>
  <c r="L31" i="11"/>
  <c r="M31" i="11" s="1"/>
  <c r="U16" i="12"/>
  <c r="Y16" i="12" s="1"/>
  <c r="Y15" i="12"/>
  <c r="M283" i="17"/>
  <c r="L284" i="17"/>
  <c r="AP55" i="17"/>
  <c r="Q381" i="17"/>
  <c r="V11" i="23"/>
  <c r="U132" i="17"/>
  <c r="U133" i="17"/>
  <c r="AK120" i="17"/>
  <c r="AK124" i="17" s="1"/>
  <c r="W28" i="6"/>
  <c r="W260" i="20"/>
  <c r="X260" i="20"/>
  <c r="S21" i="23" l="1"/>
  <c r="S23" i="23"/>
  <c r="S20" i="23"/>
  <c r="S18" i="23"/>
  <c r="S22" i="23"/>
  <c r="S19" i="23"/>
  <c r="S218" i="23"/>
  <c r="S215" i="23"/>
  <c r="S214" i="23"/>
  <c r="S216" i="23"/>
  <c r="S213" i="23"/>
  <c r="S217" i="23"/>
  <c r="Y249" i="17"/>
  <c r="U55" i="20"/>
  <c r="S62" i="20" s="1"/>
  <c r="AB32" i="23"/>
  <c r="AB71" i="23" s="1"/>
  <c r="AB110" i="23" s="1"/>
  <c r="AB149" i="23" s="1"/>
  <c r="AB188" i="23" s="1"/>
  <c r="AB227" i="23" s="1"/>
  <c r="AB266" i="23" s="1"/>
  <c r="AB305" i="23" s="1"/>
  <c r="X15" i="8"/>
  <c r="X13" i="8"/>
  <c r="W21" i="8"/>
  <c r="S26" i="8" s="1"/>
  <c r="U26" i="8" s="1"/>
  <c r="W26" i="8" s="1"/>
  <c r="F10" i="8" s="1"/>
  <c r="AA8" i="8"/>
  <c r="B8" i="8" s="1"/>
  <c r="B12" i="8" s="1"/>
  <c r="X16" i="8"/>
  <c r="S23" i="8"/>
  <c r="U23" i="8" s="1"/>
  <c r="U306" i="17"/>
  <c r="V300" i="17"/>
  <c r="S25" i="13"/>
  <c r="U25" i="13" s="1"/>
  <c r="AI52" i="16"/>
  <c r="AP84" i="17"/>
  <c r="S28" i="14"/>
  <c r="AB9" i="15"/>
  <c r="U25" i="15"/>
  <c r="Y248" i="17"/>
  <c r="S138" i="20"/>
  <c r="S140" i="20"/>
  <c r="S137" i="20"/>
  <c r="S135" i="20"/>
  <c r="S139" i="20"/>
  <c r="S136" i="20"/>
  <c r="AB10" i="15"/>
  <c r="U27" i="15"/>
  <c r="W104" i="20"/>
  <c r="X104" i="20"/>
  <c r="W21" i="14"/>
  <c r="S25" i="14" s="1"/>
  <c r="S24" i="14"/>
  <c r="S26" i="14"/>
  <c r="W28" i="15"/>
  <c r="X19" i="8"/>
  <c r="AA10" i="8"/>
  <c r="B10" i="8" s="1"/>
  <c r="B14" i="8" s="1"/>
  <c r="S25" i="8"/>
  <c r="U25" i="8" s="1"/>
  <c r="AB33" i="20"/>
  <c r="AB72" i="20" s="1"/>
  <c r="AB111" i="20" s="1"/>
  <c r="AB150" i="20" s="1"/>
  <c r="AB189" i="20" s="1"/>
  <c r="AB228" i="20" s="1"/>
  <c r="AB267" i="20" s="1"/>
  <c r="AB306" i="20" s="1"/>
  <c r="K355" i="17"/>
  <c r="AA39" i="6"/>
  <c r="V15" i="23"/>
  <c r="AQ83" i="17"/>
  <c r="AD47" i="12"/>
  <c r="T39" i="9"/>
  <c r="V372" i="17"/>
  <c r="T372" i="17"/>
  <c r="U372" i="17"/>
  <c r="S372" i="17"/>
  <c r="Y424" i="17"/>
  <c r="W106" i="20"/>
  <c r="T109" i="20" s="1"/>
  <c r="X106" i="20"/>
  <c r="AB8" i="15"/>
  <c r="U23" i="15"/>
  <c r="AA9" i="8"/>
  <c r="B9" i="8" s="1"/>
  <c r="B13" i="8" s="1"/>
  <c r="X17" i="8"/>
  <c r="X25" i="8" s="1"/>
  <c r="S28" i="8"/>
  <c r="U28" i="8" s="1"/>
  <c r="S27" i="8"/>
  <c r="U27" i="8" s="1"/>
  <c r="V338" i="17"/>
  <c r="V337" i="17"/>
  <c r="AG13" i="16"/>
  <c r="G24" i="15"/>
  <c r="G11" i="15"/>
  <c r="F17" i="15" s="1"/>
  <c r="U337" i="17"/>
  <c r="U338" i="17"/>
  <c r="S338" i="17"/>
  <c r="W320" i="17"/>
  <c r="S337" i="17"/>
  <c r="W105" i="20"/>
  <c r="X105" i="20"/>
  <c r="X15" i="14"/>
  <c r="S295" i="20"/>
  <c r="S293" i="20"/>
  <c r="S294" i="20"/>
  <c r="S291" i="20"/>
  <c r="S292" i="20"/>
  <c r="S296" i="20"/>
  <c r="T338" i="17"/>
  <c r="T337" i="17"/>
  <c r="P348" i="17"/>
  <c r="Q348" i="17" s="1"/>
  <c r="W19" i="11"/>
  <c r="X19" i="11" s="1"/>
  <c r="W286" i="17"/>
  <c r="W285" i="17"/>
  <c r="Y259" i="17"/>
  <c r="U300" i="17"/>
  <c r="AO82" i="17"/>
  <c r="T224" i="20"/>
  <c r="W13" i="17"/>
  <c r="U94" i="23"/>
  <c r="V311" i="17"/>
  <c r="G10" i="15"/>
  <c r="E17" i="15" s="1"/>
  <c r="F24" i="15"/>
  <c r="E24" i="15"/>
  <c r="H17" i="15"/>
  <c r="Y16" i="5"/>
  <c r="B72" i="5"/>
  <c r="B9" i="2159"/>
  <c r="Y17" i="5"/>
  <c r="J48" i="5"/>
  <c r="D39" i="5"/>
  <c r="Y19" i="5"/>
  <c r="X18" i="5"/>
  <c r="Y18" i="5" s="1"/>
  <c r="C39" i="5"/>
  <c r="J47" i="5"/>
  <c r="G39" i="5"/>
  <c r="J51" i="5"/>
  <c r="Y15" i="5"/>
  <c r="E14" i="12"/>
  <c r="AD60" i="12"/>
  <c r="V52" i="20"/>
  <c r="V91" i="20" s="1"/>
  <c r="V130" i="20" s="1"/>
  <c r="V169" i="20" s="1"/>
  <c r="V208" i="20" s="1"/>
  <c r="V247" i="20" s="1"/>
  <c r="V286" i="20" s="1"/>
  <c r="W13" i="20"/>
  <c r="W52" i="20" s="1"/>
  <c r="W91" i="20" s="1"/>
  <c r="W130" i="20" s="1"/>
  <c r="W169" i="20" s="1"/>
  <c r="W208" i="20" s="1"/>
  <c r="W247" i="20" s="1"/>
  <c r="W286" i="20" s="1"/>
  <c r="AC24" i="20"/>
  <c r="AC23" i="23"/>
  <c r="AB24" i="23"/>
  <c r="W15" i="23"/>
  <c r="W54" i="23" s="1"/>
  <c r="W93" i="23" s="1"/>
  <c r="W132" i="23" s="1"/>
  <c r="W171" i="23" s="1"/>
  <c r="W210" i="23" s="1"/>
  <c r="W249" i="23" s="1"/>
  <c r="W288" i="23" s="1"/>
  <c r="V54" i="23"/>
  <c r="V93" i="23" s="1"/>
  <c r="V132" i="23" s="1"/>
  <c r="V171" i="23" s="1"/>
  <c r="V210" i="23" s="1"/>
  <c r="V249" i="23" s="1"/>
  <c r="V288" i="23" s="1"/>
  <c r="U23" i="13"/>
  <c r="AC22" i="23"/>
  <c r="W14" i="23"/>
  <c r="W53" i="23" s="1"/>
  <c r="W92" i="23" s="1"/>
  <c r="W131" i="23" s="1"/>
  <c r="W170" i="23" s="1"/>
  <c r="W209" i="23" s="1"/>
  <c r="W248" i="23" s="1"/>
  <c r="W287" i="23" s="1"/>
  <c r="AA24" i="23"/>
  <c r="AD29" i="23"/>
  <c r="V53" i="23"/>
  <c r="V92" i="23" s="1"/>
  <c r="V131" i="23" s="1"/>
  <c r="V170" i="23" s="1"/>
  <c r="V209" i="23" s="1"/>
  <c r="V248" i="23" s="1"/>
  <c r="V287" i="23" s="1"/>
  <c r="E12" i="6"/>
  <c r="Q330" i="17"/>
  <c r="P339" i="17"/>
  <c r="P343" i="17"/>
  <c r="S61" i="20"/>
  <c r="S59" i="20"/>
  <c r="S58" i="20"/>
  <c r="S60" i="20"/>
  <c r="S57" i="20"/>
  <c r="T37" i="10"/>
  <c r="AN79" i="17"/>
  <c r="Z304" i="17"/>
  <c r="X254" i="17"/>
  <c r="X252" i="17"/>
  <c r="X249" i="17"/>
  <c r="M232" i="17"/>
  <c r="S240" i="17"/>
  <c r="AF221" i="17"/>
  <c r="S241" i="17"/>
  <c r="S238" i="17" s="1"/>
  <c r="T241" i="17"/>
  <c r="U238" i="17" s="1"/>
  <c r="T240" i="17"/>
  <c r="AF220" i="17"/>
  <c r="AH75" i="16"/>
  <c r="AH74" i="16"/>
  <c r="AA32" i="20"/>
  <c r="AA71" i="20" s="1"/>
  <c r="AA110" i="20" s="1"/>
  <c r="AA149" i="20" s="1"/>
  <c r="AA188" i="20" s="1"/>
  <c r="AA227" i="20" s="1"/>
  <c r="AA266" i="20" s="1"/>
  <c r="AA305" i="20" s="1"/>
  <c r="W133" i="17"/>
  <c r="S115" i="17"/>
  <c r="W115" i="17" s="1"/>
  <c r="W114" i="17"/>
  <c r="S18" i="11"/>
  <c r="W17" i="11"/>
  <c r="AN55" i="17"/>
  <c r="M340" i="17"/>
  <c r="E9" i="6"/>
  <c r="AD23" i="6"/>
  <c r="AF10" i="6"/>
  <c r="AC23" i="6"/>
  <c r="W12" i="20"/>
  <c r="W51" i="20" s="1"/>
  <c r="W90" i="20" s="1"/>
  <c r="W129" i="20" s="1"/>
  <c r="W168" i="20" s="1"/>
  <c r="W207" i="20" s="1"/>
  <c r="W246" i="20" s="1"/>
  <c r="W285" i="20" s="1"/>
  <c r="AA23" i="20"/>
  <c r="AB22" i="20"/>
  <c r="V51" i="20"/>
  <c r="V90" i="20" s="1"/>
  <c r="V129" i="20" s="1"/>
  <c r="V168" i="20" s="1"/>
  <c r="V207" i="20" s="1"/>
  <c r="V246" i="20" s="1"/>
  <c r="V285" i="20" s="1"/>
  <c r="S175" i="23"/>
  <c r="S178" i="23"/>
  <c r="S179" i="23"/>
  <c r="S176" i="23"/>
  <c r="S177" i="23"/>
  <c r="S174" i="23"/>
  <c r="S27" i="13"/>
  <c r="U27" i="13" s="1"/>
  <c r="W27" i="6"/>
  <c r="X36" i="6"/>
  <c r="W36" i="6"/>
  <c r="U312" i="17"/>
  <c r="S307" i="17"/>
  <c r="U307" i="17"/>
  <c r="U308" i="17"/>
  <c r="S308" i="17"/>
  <c r="V308" i="17"/>
  <c r="V312" i="17"/>
  <c r="T312" i="17"/>
  <c r="V307" i="17"/>
  <c r="T307" i="17"/>
  <c r="T308" i="17"/>
  <c r="S312" i="17"/>
  <c r="S354" i="17"/>
  <c r="T354" i="17"/>
  <c r="U354" i="17"/>
  <c r="V354" i="17"/>
  <c r="U310" i="17"/>
  <c r="V305" i="17"/>
  <c r="S311" i="17"/>
  <c r="AO84" i="17"/>
  <c r="AN81" i="17"/>
  <c r="Z309" i="17"/>
  <c r="P246" i="17"/>
  <c r="Q246" i="17" s="1"/>
  <c r="V34" i="11"/>
  <c r="V35" i="11"/>
  <c r="X250" i="17"/>
  <c r="X253" i="17"/>
  <c r="L424" i="17"/>
  <c r="M434" i="17"/>
  <c r="AF34" i="16"/>
  <c r="AF33" i="16"/>
  <c r="P446" i="17"/>
  <c r="Q437" i="17"/>
  <c r="W132" i="17"/>
  <c r="AG11" i="16"/>
  <c r="X57" i="14"/>
  <c r="X18" i="14"/>
  <c r="Y26" i="14" s="1"/>
  <c r="Q394" i="17"/>
  <c r="U222" i="17"/>
  <c r="U223" i="17" s="1"/>
  <c r="AB62" i="15"/>
  <c r="E16" i="15"/>
  <c r="AE49" i="15"/>
  <c r="S16" i="11"/>
  <c r="W16" i="11" s="1"/>
  <c r="W15" i="11"/>
  <c r="M421" i="17"/>
  <c r="S28" i="13"/>
  <c r="U28" i="13" s="1"/>
  <c r="U28" i="14"/>
  <c r="U27" i="14"/>
  <c r="U26" i="14"/>
  <c r="W26" i="14" s="1"/>
  <c r="H14" i="14" s="1"/>
  <c r="AB60" i="15"/>
  <c r="AE48" i="15"/>
  <c r="AE47" i="15"/>
  <c r="E14" i="15"/>
  <c r="AA33" i="20"/>
  <c r="AA72" i="20" s="1"/>
  <c r="AA111" i="20" s="1"/>
  <c r="AA150" i="20" s="1"/>
  <c r="AA189" i="20" s="1"/>
  <c r="AA228" i="20" s="1"/>
  <c r="AA267" i="20" s="1"/>
  <c r="AA306" i="20" s="1"/>
  <c r="M352" i="17"/>
  <c r="M353" i="17" s="1"/>
  <c r="K352" i="17"/>
  <c r="S358" i="17" s="1"/>
  <c r="U305" i="17"/>
  <c r="T311" i="17"/>
  <c r="S305" i="17"/>
  <c r="S24" i="13"/>
  <c r="U24" i="13" s="1"/>
  <c r="W24" i="13" s="1"/>
  <c r="I9" i="13" s="1"/>
  <c r="AH170" i="17"/>
  <c r="AJ170" i="17"/>
  <c r="AJ172" i="17" s="1"/>
  <c r="AJ176" i="17" s="1"/>
  <c r="AK170" i="17"/>
  <c r="AK172" i="17" s="1"/>
  <c r="AK176" i="17" s="1"/>
  <c r="Q189" i="17"/>
  <c r="AI170" i="17"/>
  <c r="T363" i="17"/>
  <c r="V362" i="17"/>
  <c r="U353" i="17"/>
  <c r="U362" i="17"/>
  <c r="U358" i="17"/>
  <c r="V358" i="17"/>
  <c r="U352" i="17"/>
  <c r="V357" i="17"/>
  <c r="T357" i="17"/>
  <c r="U363" i="17"/>
  <c r="S363" i="17"/>
  <c r="S357" i="17"/>
  <c r="V363" i="17"/>
  <c r="V352" i="17"/>
  <c r="T353" i="17"/>
  <c r="V353" i="17"/>
  <c r="AN68" i="17"/>
  <c r="AP83" i="17"/>
  <c r="AQ84" i="17"/>
  <c r="P245" i="17"/>
  <c r="X257" i="17"/>
  <c r="X256" i="17"/>
  <c r="X251" i="17"/>
  <c r="X255" i="17"/>
  <c r="AE126" i="17"/>
  <c r="U172" i="20"/>
  <c r="AN69" i="17"/>
  <c r="U23" i="14"/>
  <c r="W23" i="14" s="1"/>
  <c r="U133" i="23"/>
  <c r="AH11" i="16"/>
  <c r="AH13" i="16"/>
  <c r="AH10" i="16"/>
  <c r="AI9" i="16" s="1"/>
  <c r="AH12" i="16"/>
  <c r="T18" i="11"/>
  <c r="Y62" i="12"/>
  <c r="I14" i="12" s="1"/>
  <c r="S222" i="17"/>
  <c r="L336" i="17"/>
  <c r="M335" i="17"/>
  <c r="AB23" i="20"/>
  <c r="V50" i="20"/>
  <c r="V89" i="20" s="1"/>
  <c r="V128" i="20" s="1"/>
  <c r="V167" i="20" s="1"/>
  <c r="V206" i="20" s="1"/>
  <c r="V245" i="20" s="1"/>
  <c r="V284" i="20" s="1"/>
  <c r="W11" i="20"/>
  <c r="W50" i="20" s="1"/>
  <c r="W89" i="20" s="1"/>
  <c r="W128" i="20" s="1"/>
  <c r="W167" i="20" s="1"/>
  <c r="W206" i="20" s="1"/>
  <c r="W245" i="20" s="1"/>
  <c r="W284" i="20" s="1"/>
  <c r="T218" i="17"/>
  <c r="T219" i="17" s="1"/>
  <c r="U218" i="17"/>
  <c r="U219" i="17" s="1"/>
  <c r="V218" i="17"/>
  <c r="V219" i="17" s="1"/>
  <c r="M235" i="17"/>
  <c r="S218" i="17"/>
  <c r="AD9" i="9"/>
  <c r="AF11" i="9" s="1"/>
  <c r="V25" i="9"/>
  <c r="X25" i="9" s="1"/>
  <c r="AC9" i="9"/>
  <c r="T310" i="17"/>
  <c r="S26" i="13"/>
  <c r="U26" i="13" s="1"/>
  <c r="W26" i="13" s="1"/>
  <c r="I10" i="13" s="1"/>
  <c r="Q433" i="17"/>
  <c r="P241" i="17"/>
  <c r="P544" i="17"/>
  <c r="Q544" i="17" s="1"/>
  <c r="L534" i="17"/>
  <c r="L533" i="17"/>
  <c r="M533" i="17" s="1"/>
  <c r="L537" i="17"/>
  <c r="P543" i="17"/>
  <c r="Q526" i="17"/>
  <c r="L536" i="17"/>
  <c r="M536" i="17" s="1"/>
  <c r="L532" i="17"/>
  <c r="L539" i="17"/>
  <c r="M539" i="17" s="1"/>
  <c r="T25" i="14"/>
  <c r="Y27" i="14"/>
  <c r="M66" i="11"/>
  <c r="L70" i="11"/>
  <c r="M70" i="11" s="1"/>
  <c r="AN56" i="17"/>
  <c r="T77" i="15"/>
  <c r="H15" i="15"/>
  <c r="V18" i="11"/>
  <c r="V10" i="23"/>
  <c r="W184" i="17"/>
  <c r="T222" i="17"/>
  <c r="T223" i="17" s="1"/>
  <c r="Q627" i="17"/>
  <c r="P629" i="17"/>
  <c r="H10" i="6"/>
  <c r="E15" i="6"/>
  <c r="F15" i="6" s="1"/>
  <c r="G15" i="6" s="1"/>
  <c r="E25" i="6"/>
  <c r="F25" i="6" s="1"/>
  <c r="G25" i="6" s="1"/>
  <c r="E38" i="6"/>
  <c r="F38" i="6" s="1"/>
  <c r="G38" i="6" s="1"/>
  <c r="I46" i="6"/>
  <c r="L486" i="17"/>
  <c r="M485" i="17"/>
  <c r="L387" i="17"/>
  <c r="M386" i="17"/>
  <c r="L392" i="17"/>
  <c r="M431" i="17"/>
  <c r="L422" i="17"/>
  <c r="P578" i="17"/>
  <c r="Q577" i="17"/>
  <c r="S117" i="17"/>
  <c r="W117" i="17" s="1"/>
  <c r="W116" i="17"/>
  <c r="U301" i="17"/>
  <c r="V301" i="17"/>
  <c r="T300" i="17"/>
  <c r="Q91" i="15"/>
  <c r="M370" i="17"/>
  <c r="K399" i="17"/>
  <c r="O405" i="17"/>
  <c r="P243" i="17"/>
  <c r="Q243" i="17" s="1"/>
  <c r="W66" i="12"/>
  <c r="AD49" i="12"/>
  <c r="T169" i="17"/>
  <c r="AQ82" i="17"/>
  <c r="AI172" i="17"/>
  <c r="AI176" i="17" s="1"/>
  <c r="AA33" i="23"/>
  <c r="AA72" i="23" s="1"/>
  <c r="AA111" i="23" s="1"/>
  <c r="AA150" i="23" s="1"/>
  <c r="AA189" i="23" s="1"/>
  <c r="AA228" i="23" s="1"/>
  <c r="AA267" i="23" s="1"/>
  <c r="AA306" i="23" s="1"/>
  <c r="Y24" i="14"/>
  <c r="T23" i="14"/>
  <c r="AC24" i="23"/>
  <c r="V52" i="23"/>
  <c r="V91" i="23" s="1"/>
  <c r="V130" i="23" s="1"/>
  <c r="V169" i="23" s="1"/>
  <c r="V208" i="23" s="1"/>
  <c r="V247" i="23" s="1"/>
  <c r="V286" i="23" s="1"/>
  <c r="W13" i="23"/>
  <c r="W52" i="23" s="1"/>
  <c r="W91" i="23" s="1"/>
  <c r="W130" i="23" s="1"/>
  <c r="W169" i="23" s="1"/>
  <c r="W208" i="23" s="1"/>
  <c r="W247" i="23" s="1"/>
  <c r="W286" i="23" s="1"/>
  <c r="X21" i="14"/>
  <c r="T26" i="14" s="1"/>
  <c r="V26" i="14" s="1"/>
  <c r="X26" i="14" s="1"/>
  <c r="G14" i="14" s="1"/>
  <c r="Y23" i="14"/>
  <c r="S57" i="23"/>
  <c r="S58" i="23"/>
  <c r="S61" i="23"/>
  <c r="S62" i="23"/>
  <c r="S60" i="23"/>
  <c r="S59" i="23"/>
  <c r="W185" i="17"/>
  <c r="P294" i="17"/>
  <c r="Q294" i="17" s="1"/>
  <c r="P289" i="17"/>
  <c r="Q289" i="17" s="1"/>
  <c r="Q287" i="17"/>
  <c r="T226" i="20"/>
  <c r="AF8" i="9"/>
  <c r="AF9" i="9"/>
  <c r="V222" i="17"/>
  <c r="V223" i="17" s="1"/>
  <c r="AA31" i="23"/>
  <c r="L341" i="17"/>
  <c r="M341" i="17" s="1"/>
  <c r="W66" i="15"/>
  <c r="X75" i="15"/>
  <c r="I16" i="15" s="1"/>
  <c r="W75" i="15"/>
  <c r="W25" i="13"/>
  <c r="X35" i="13"/>
  <c r="W35" i="13"/>
  <c r="T38" i="13" s="1"/>
  <c r="T263" i="20"/>
  <c r="V25" i="6"/>
  <c r="X25" i="6" s="1"/>
  <c r="AD9" i="6"/>
  <c r="E13" i="6" s="1"/>
  <c r="W62" i="15"/>
  <c r="W73" i="15"/>
  <c r="X73" i="15"/>
  <c r="I14" i="15" s="1"/>
  <c r="P679" i="17"/>
  <c r="C88" i="17"/>
  <c r="X300" i="17"/>
  <c r="AF8" i="6"/>
  <c r="E7" i="6"/>
  <c r="AC21" i="6"/>
  <c r="AD21" i="6"/>
  <c r="AF9" i="6"/>
  <c r="U25" i="14"/>
  <c r="P487" i="17"/>
  <c r="P489" i="17"/>
  <c r="P488" i="17"/>
  <c r="Q488" i="17" s="1"/>
  <c r="W10" i="20"/>
  <c r="W49" i="20" s="1"/>
  <c r="W88" i="20" s="1"/>
  <c r="W127" i="20" s="1"/>
  <c r="W166" i="20" s="1"/>
  <c r="W205" i="20" s="1"/>
  <c r="W244" i="20" s="1"/>
  <c r="W283" i="20" s="1"/>
  <c r="AA22" i="20"/>
  <c r="V49" i="20"/>
  <c r="V15" i="20"/>
  <c r="AB31" i="20"/>
  <c r="S300" i="17"/>
  <c r="V310" i="17"/>
  <c r="S301" i="17"/>
  <c r="AJ51" i="16"/>
  <c r="AK50" i="16" s="1"/>
  <c r="AJ52" i="16"/>
  <c r="AN80" i="17"/>
  <c r="Z303" i="17"/>
  <c r="W64" i="12"/>
  <c r="AD48" i="12"/>
  <c r="AG48" i="12" s="1"/>
  <c r="L389" i="17"/>
  <c r="M389" i="17" s="1"/>
  <c r="M372" i="17"/>
  <c r="P382" i="17" s="1"/>
  <c r="K408" i="17"/>
  <c r="K409" i="17" s="1"/>
  <c r="AH172" i="17"/>
  <c r="AH176" i="17" s="1"/>
  <c r="AE127" i="17"/>
  <c r="W64" i="15"/>
  <c r="S20" i="11"/>
  <c r="W20" i="11" s="1"/>
  <c r="X20" i="11" s="1"/>
  <c r="W25" i="6"/>
  <c r="X35" i="6"/>
  <c r="W35" i="6"/>
  <c r="U18" i="11"/>
  <c r="AF13" i="6"/>
  <c r="E14" i="6"/>
  <c r="P297" i="17"/>
  <c r="P298" i="17"/>
  <c r="Q298" i="17" s="1"/>
  <c r="AI73" i="16"/>
  <c r="AI72" i="16"/>
  <c r="M284" i="17"/>
  <c r="S292" i="17"/>
  <c r="AF273" i="17"/>
  <c r="L290" i="17"/>
  <c r="AF272" i="17"/>
  <c r="T292" i="17"/>
  <c r="L289" i="17"/>
  <c r="L287" i="17"/>
  <c r="S293" i="17"/>
  <c r="S290" i="17" s="1"/>
  <c r="T293" i="17"/>
  <c r="U290" i="17" s="1"/>
  <c r="L473" i="17"/>
  <c r="M480" i="17"/>
  <c r="T18" i="10"/>
  <c r="X18" i="10" s="1"/>
  <c r="Y18" i="10" s="1"/>
  <c r="X17" i="10"/>
  <c r="Y21" i="12"/>
  <c r="U25" i="12" s="1"/>
  <c r="Z15" i="12"/>
  <c r="AB23" i="23"/>
  <c r="V50" i="23"/>
  <c r="V89" i="23" s="1"/>
  <c r="V128" i="23" s="1"/>
  <c r="V167" i="23" s="1"/>
  <c r="V206" i="23" s="1"/>
  <c r="V245" i="23" s="1"/>
  <c r="V284" i="23" s="1"/>
  <c r="W11" i="23"/>
  <c r="W50" i="23" s="1"/>
  <c r="W89" i="23" s="1"/>
  <c r="W128" i="23" s="1"/>
  <c r="W167" i="23" s="1"/>
  <c r="W206" i="23" s="1"/>
  <c r="W245" i="23" s="1"/>
  <c r="W284" i="23" s="1"/>
  <c r="U23" i="12"/>
  <c r="Z16" i="12"/>
  <c r="S292" i="23"/>
  <c r="S295" i="23"/>
  <c r="S294" i="23"/>
  <c r="S291" i="23"/>
  <c r="S296" i="23"/>
  <c r="S293" i="23"/>
  <c r="W23" i="6"/>
  <c r="G7" i="6" s="1"/>
  <c r="W34" i="6"/>
  <c r="X34" i="6"/>
  <c r="L483" i="17"/>
  <c r="M482" i="17"/>
  <c r="U16" i="20"/>
  <c r="V14" i="20"/>
  <c r="V361" i="17"/>
  <c r="AQ95" i="17" s="1"/>
  <c r="V355" i="17"/>
  <c r="AQ94" i="17" s="1"/>
  <c r="V356" i="17"/>
  <c r="AQ93" i="17" s="1"/>
  <c r="AQ96" i="17" s="1"/>
  <c r="S356" i="17"/>
  <c r="S355" i="17"/>
  <c r="U356" i="17"/>
  <c r="AP93" i="17" s="1"/>
  <c r="S361" i="17"/>
  <c r="U355" i="17"/>
  <c r="AP94" i="17" s="1"/>
  <c r="U361" i="17"/>
  <c r="AP95" i="17" s="1"/>
  <c r="T355" i="17"/>
  <c r="AO94" i="17" s="1"/>
  <c r="T356" i="17"/>
  <c r="AO93" i="17" s="1"/>
  <c r="T361" i="17"/>
  <c r="AO95" i="17" s="1"/>
  <c r="U311" i="17"/>
  <c r="T306" i="17"/>
  <c r="S306" i="17"/>
  <c r="Y306" i="17" s="1"/>
  <c r="T37" i="9"/>
  <c r="AB70" i="23"/>
  <c r="AB109" i="23" s="1"/>
  <c r="AB148" i="23" s="1"/>
  <c r="AB187" i="23" s="1"/>
  <c r="AB226" i="23" s="1"/>
  <c r="AB265" i="23" s="1"/>
  <c r="AB304" i="23" s="1"/>
  <c r="S253" i="23"/>
  <c r="S256" i="23"/>
  <c r="S257" i="23"/>
  <c r="S254" i="23"/>
  <c r="S255" i="23"/>
  <c r="S252" i="23"/>
  <c r="L238" i="17"/>
  <c r="AI54" i="16"/>
  <c r="U169" i="17"/>
  <c r="AF31" i="16"/>
  <c r="AF32" i="16"/>
  <c r="T225" i="20"/>
  <c r="AP82" i="17"/>
  <c r="W118" i="17"/>
  <c r="S119" i="17"/>
  <c r="W119" i="17" s="1"/>
  <c r="Z17" i="12"/>
  <c r="AC22" i="6"/>
  <c r="E8" i="6"/>
  <c r="AB61" i="15"/>
  <c r="E15" i="15"/>
  <c r="X27" i="6"/>
  <c r="Y19" i="10"/>
  <c r="P485" i="17"/>
  <c r="Q491" i="17"/>
  <c r="V27" i="9"/>
  <c r="X27" i="9" s="1"/>
  <c r="AC10" i="9"/>
  <c r="AF10" i="9" s="1"/>
  <c r="AD10" i="9"/>
  <c r="AF13" i="9" s="1"/>
  <c r="T305" i="17"/>
  <c r="T301" i="17"/>
  <c r="T65" i="5"/>
  <c r="V65" i="5" s="1"/>
  <c r="X65" i="5" s="1"/>
  <c r="T64" i="5"/>
  <c r="T66" i="5"/>
  <c r="T67" i="5"/>
  <c r="V67" i="5" s="1"/>
  <c r="X67" i="5" s="1"/>
  <c r="P242" i="17"/>
  <c r="Q242" i="17" s="1"/>
  <c r="AI75" i="16"/>
  <c r="AI74" i="16"/>
  <c r="S169" i="17"/>
  <c r="W168" i="17"/>
  <c r="AF160" i="17" s="1"/>
  <c r="AO83" i="17"/>
  <c r="T265" i="20"/>
  <c r="U34" i="11"/>
  <c r="U35" i="11"/>
  <c r="S38" i="11" s="1"/>
  <c r="T62" i="5"/>
  <c r="AA31" i="20"/>
  <c r="AD28" i="23"/>
  <c r="W12" i="23"/>
  <c r="W51" i="23" s="1"/>
  <c r="W90" i="23" s="1"/>
  <c r="W129" i="23" s="1"/>
  <c r="W168" i="23" s="1"/>
  <c r="W207" i="23" s="1"/>
  <c r="W246" i="23" s="1"/>
  <c r="W285" i="23" s="1"/>
  <c r="AB22" i="23"/>
  <c r="AA23" i="23"/>
  <c r="V51" i="23"/>
  <c r="V90" i="23" s="1"/>
  <c r="V129" i="23" s="1"/>
  <c r="V168" i="23" s="1"/>
  <c r="V207" i="23" s="1"/>
  <c r="V246" i="23" s="1"/>
  <c r="V285" i="23" s="1"/>
  <c r="P448" i="17"/>
  <c r="Q448" i="17" s="1"/>
  <c r="P444" i="17"/>
  <c r="Q444" i="17" s="1"/>
  <c r="Q435" i="17"/>
  <c r="AB33" i="23"/>
  <c r="AB72" i="23" s="1"/>
  <c r="AB111" i="23" s="1"/>
  <c r="AB150" i="23" s="1"/>
  <c r="AB189" i="23" s="1"/>
  <c r="AB228" i="23" s="1"/>
  <c r="AB267" i="23" s="1"/>
  <c r="AB306" i="23" s="1"/>
  <c r="AG12" i="16"/>
  <c r="W60" i="14"/>
  <c r="Y25" i="14"/>
  <c r="T27" i="14"/>
  <c r="T28" i="14"/>
  <c r="V28" i="14" s="1"/>
  <c r="T16" i="10"/>
  <c r="X16" i="10" s="1"/>
  <c r="X15" i="10"/>
  <c r="L342" i="17"/>
  <c r="AF12" i="9" l="1"/>
  <c r="T39" i="6"/>
  <c r="AL9" i="6" s="1"/>
  <c r="W25" i="15"/>
  <c r="X35" i="15"/>
  <c r="I11" i="15" s="1"/>
  <c r="W35" i="15"/>
  <c r="AO96" i="17"/>
  <c r="T24" i="14"/>
  <c r="V24" i="14" s="1"/>
  <c r="X24" i="14" s="1"/>
  <c r="G13" i="14" s="1"/>
  <c r="W338" i="17"/>
  <c r="Y476" i="17"/>
  <c r="S424" i="17"/>
  <c r="T424" i="17"/>
  <c r="V424" i="17"/>
  <c r="U424" i="17"/>
  <c r="AB22" i="15"/>
  <c r="E11" i="15"/>
  <c r="W372" i="17"/>
  <c r="S390" i="17"/>
  <c r="S389" i="17"/>
  <c r="X35" i="14"/>
  <c r="Y73" i="12"/>
  <c r="U390" i="17"/>
  <c r="U389" i="17"/>
  <c r="W35" i="14"/>
  <c r="T38" i="14" s="1"/>
  <c r="S27" i="14"/>
  <c r="W169" i="17"/>
  <c r="T390" i="17"/>
  <c r="T389" i="17"/>
  <c r="X223" i="23"/>
  <c r="W223" i="23"/>
  <c r="T226" i="23" s="1"/>
  <c r="AP97" i="17"/>
  <c r="W25" i="14"/>
  <c r="V389" i="17"/>
  <c r="V390" i="17"/>
  <c r="T107" i="20"/>
  <c r="W221" i="23"/>
  <c r="T224" i="23" s="1"/>
  <c r="X221" i="23"/>
  <c r="W290" i="17"/>
  <c r="AN83" i="17"/>
  <c r="AJ53" i="16"/>
  <c r="AL9" i="9"/>
  <c r="AR9" i="9"/>
  <c r="AX9" i="9"/>
  <c r="W27" i="15"/>
  <c r="W36" i="15"/>
  <c r="X36" i="15"/>
  <c r="I12" i="15" s="1"/>
  <c r="AE10" i="15"/>
  <c r="AB23" i="15"/>
  <c r="E12" i="15"/>
  <c r="AD22" i="6"/>
  <c r="AJ54" i="16"/>
  <c r="T362" i="17"/>
  <c r="U357" i="17"/>
  <c r="W299" i="20"/>
  <c r="T302" i="20" s="1"/>
  <c r="X299" i="20"/>
  <c r="S23" i="14"/>
  <c r="W222" i="23"/>
  <c r="X222" i="23"/>
  <c r="X36" i="8"/>
  <c r="I10" i="8" s="1"/>
  <c r="W27" i="8"/>
  <c r="W36" i="8"/>
  <c r="W23" i="8"/>
  <c r="F8" i="8" s="1"/>
  <c r="W34" i="8"/>
  <c r="X34" i="8"/>
  <c r="I8" i="8" s="1"/>
  <c r="S100" i="23"/>
  <c r="S96" i="23"/>
  <c r="S99" i="23"/>
  <c r="S97" i="23"/>
  <c r="S98" i="23"/>
  <c r="S101" i="23"/>
  <c r="W300" i="20"/>
  <c r="X300" i="20"/>
  <c r="W145" i="20"/>
  <c r="X145" i="20"/>
  <c r="W301" i="20"/>
  <c r="T304" i="20" s="1"/>
  <c r="X301" i="20"/>
  <c r="W143" i="20"/>
  <c r="X143" i="20"/>
  <c r="W28" i="23"/>
  <c r="T31" i="23" s="1"/>
  <c r="X28" i="23"/>
  <c r="Y300" i="17"/>
  <c r="T358" i="17"/>
  <c r="S362" i="17"/>
  <c r="W144" i="20"/>
  <c r="T147" i="20" s="1"/>
  <c r="X144" i="20"/>
  <c r="S24" i="8"/>
  <c r="U24" i="8" s="1"/>
  <c r="W24" i="8" s="1"/>
  <c r="F9" i="8" s="1"/>
  <c r="W26" i="23"/>
  <c r="T29" i="23" s="1"/>
  <c r="X26" i="23"/>
  <c r="W23" i="15"/>
  <c r="W34" i="15"/>
  <c r="X34" i="15"/>
  <c r="I10" i="15" s="1"/>
  <c r="W25" i="8"/>
  <c r="W27" i="23"/>
  <c r="T30" i="23" s="1"/>
  <c r="X27" i="23"/>
  <c r="T108" i="20"/>
  <c r="E10" i="15"/>
  <c r="AE9" i="15"/>
  <c r="AB21" i="15"/>
  <c r="AE8" i="15"/>
  <c r="Y310" i="17"/>
  <c r="S352" i="17"/>
  <c r="W337" i="17"/>
  <c r="B7" i="2159"/>
  <c r="Z13" i="5"/>
  <c r="F9" i="5"/>
  <c r="J30" i="5"/>
  <c r="Y10" i="5"/>
  <c r="B21" i="5" s="1"/>
  <c r="B70" i="5"/>
  <c r="Z12" i="5"/>
  <c r="B67" i="5"/>
  <c r="B4" i="2159"/>
  <c r="Y21" i="5"/>
  <c r="AA25" i="5"/>
  <c r="J28" i="5"/>
  <c r="F7" i="5"/>
  <c r="B8" i="2159"/>
  <c r="B71" i="5"/>
  <c r="Y12" i="5"/>
  <c r="B68" i="5"/>
  <c r="F8" i="5"/>
  <c r="J29" i="5"/>
  <c r="Y13" i="5"/>
  <c r="B5" i="2159"/>
  <c r="X21" i="5"/>
  <c r="T23" i="5" s="1"/>
  <c r="B6" i="2159"/>
  <c r="B69" i="5"/>
  <c r="Q382" i="17"/>
  <c r="P391" i="17"/>
  <c r="P395" i="17"/>
  <c r="X65" i="23"/>
  <c r="W65" i="23"/>
  <c r="M404" i="17"/>
  <c r="M405" i="17" s="1"/>
  <c r="K404" i="17"/>
  <c r="O457" i="17"/>
  <c r="K459" i="17" s="1"/>
  <c r="K451" i="17"/>
  <c r="M422" i="17"/>
  <c r="M458" i="17"/>
  <c r="L538" i="17"/>
  <c r="M537" i="17"/>
  <c r="Z73" i="12"/>
  <c r="V76" i="12" s="1"/>
  <c r="AH31" i="16"/>
  <c r="AH32" i="16"/>
  <c r="AG31" i="16"/>
  <c r="AG32" i="16"/>
  <c r="K460" i="17"/>
  <c r="K461" i="17" s="1"/>
  <c r="L441" i="17"/>
  <c r="M441" i="17" s="1"/>
  <c r="M424" i="17"/>
  <c r="AN84" i="17"/>
  <c r="X184" i="23"/>
  <c r="W184" i="23"/>
  <c r="T187" i="23" s="1"/>
  <c r="AD15" i="6"/>
  <c r="AB15" i="6"/>
  <c r="AC15" i="6"/>
  <c r="AA15" i="6"/>
  <c r="W238" i="17"/>
  <c r="AN82" i="17"/>
  <c r="AG33" i="16"/>
  <c r="AG34" i="16"/>
  <c r="AC15" i="9"/>
  <c r="AJ9" i="9" s="1"/>
  <c r="AP9" i="9" s="1"/>
  <c r="AA15" i="9"/>
  <c r="AH9" i="9" s="1"/>
  <c r="AN9" i="9" s="1"/>
  <c r="AB15" i="9"/>
  <c r="AI9" i="9" s="1"/>
  <c r="AO9" i="9" s="1"/>
  <c r="AD15" i="9"/>
  <c r="AK9" i="9" s="1"/>
  <c r="AQ9" i="9" s="1"/>
  <c r="W260" i="23"/>
  <c r="X260" i="23"/>
  <c r="AO97" i="17"/>
  <c r="AQ97" i="17"/>
  <c r="T37" i="6"/>
  <c r="W25" i="12"/>
  <c r="U270" i="17"/>
  <c r="U271" i="17" s="1"/>
  <c r="M287" i="17"/>
  <c r="L291" i="17"/>
  <c r="M291" i="17" s="1"/>
  <c r="V270" i="17"/>
  <c r="V271" i="17" s="1"/>
  <c r="T270" i="17"/>
  <c r="T271" i="17" s="1"/>
  <c r="S270" i="17"/>
  <c r="T38" i="6"/>
  <c r="AB14" i="6"/>
  <c r="AA13" i="6"/>
  <c r="AC13" i="6"/>
  <c r="AC14" i="6"/>
  <c r="AA14" i="6"/>
  <c r="AD13" i="6"/>
  <c r="AD14" i="6" s="1"/>
  <c r="AB13" i="6"/>
  <c r="P293" i="17"/>
  <c r="K405" i="17"/>
  <c r="K406" i="17" s="1"/>
  <c r="S138" i="23"/>
  <c r="S136" i="23"/>
  <c r="S135" i="23"/>
  <c r="S139" i="23"/>
  <c r="S140" i="23"/>
  <c r="S137" i="23"/>
  <c r="Y357" i="17"/>
  <c r="Y305" i="17"/>
  <c r="AC52" i="15"/>
  <c r="AJ46" i="15" s="1"/>
  <c r="AA52" i="15"/>
  <c r="AH46" i="15" s="1"/>
  <c r="Z53" i="15"/>
  <c r="AG47" i="15" s="1"/>
  <c r="AB52" i="15"/>
  <c r="AI46" i="15" s="1"/>
  <c r="Z52" i="15"/>
  <c r="AG46" i="15" s="1"/>
  <c r="AF11" i="6"/>
  <c r="AP98" i="17"/>
  <c r="AQ98" i="17"/>
  <c r="U24" i="12"/>
  <c r="W24" i="12" s="1"/>
  <c r="Y24" i="12" s="1"/>
  <c r="I11" i="12" s="1"/>
  <c r="M289" i="17"/>
  <c r="T274" i="17"/>
  <c r="T275" i="17" s="1"/>
  <c r="U274" i="17"/>
  <c r="U275" i="17" s="1"/>
  <c r="S274" i="17"/>
  <c r="V274" i="17"/>
  <c r="V275" i="17" s="1"/>
  <c r="AB70" i="20"/>
  <c r="AB109" i="20" s="1"/>
  <c r="AB148" i="20" s="1"/>
  <c r="AB187" i="20" s="1"/>
  <c r="AB226" i="20" s="1"/>
  <c r="AB265" i="20" s="1"/>
  <c r="AB304" i="20" s="1"/>
  <c r="P498" i="17"/>
  <c r="Q489" i="17"/>
  <c r="AC9" i="14"/>
  <c r="V25" i="14"/>
  <c r="L535" i="17"/>
  <c r="M534" i="17"/>
  <c r="H12" i="14"/>
  <c r="H13" i="14"/>
  <c r="Y363" i="17"/>
  <c r="L438" i="17"/>
  <c r="X352" i="17"/>
  <c r="X305" i="17"/>
  <c r="X302" i="17"/>
  <c r="T326" i="17"/>
  <c r="T327" i="17" s="1"/>
  <c r="S236" i="17"/>
  <c r="S237" i="17"/>
  <c r="W66" i="20"/>
  <c r="X66" i="20"/>
  <c r="AF12" i="6"/>
  <c r="W23" i="13"/>
  <c r="W34" i="13"/>
  <c r="X34" i="13"/>
  <c r="S37" i="11"/>
  <c r="T324" i="17"/>
  <c r="V324" i="17"/>
  <c r="M342" i="17"/>
  <c r="U324" i="17"/>
  <c r="S324" i="17"/>
  <c r="X261" i="23"/>
  <c r="W261" i="23"/>
  <c r="X300" i="23"/>
  <c r="W300" i="23"/>
  <c r="U288" i="17"/>
  <c r="U289" i="17"/>
  <c r="AJ74" i="16"/>
  <c r="AM74" i="16" s="1"/>
  <c r="AJ75" i="16"/>
  <c r="AM75" i="16" s="1"/>
  <c r="AC23" i="20"/>
  <c r="AB24" i="20"/>
  <c r="V54" i="20"/>
  <c r="V93" i="20" s="1"/>
  <c r="V132" i="20" s="1"/>
  <c r="V171" i="20" s="1"/>
  <c r="V210" i="20" s="1"/>
  <c r="V249" i="20" s="1"/>
  <c r="V288" i="20" s="1"/>
  <c r="W15" i="20"/>
  <c r="W54" i="20" s="1"/>
  <c r="W93" i="20" s="1"/>
  <c r="W132" i="20" s="1"/>
  <c r="W171" i="20" s="1"/>
  <c r="W210" i="20" s="1"/>
  <c r="W249" i="20" s="1"/>
  <c r="W288" i="20" s="1"/>
  <c r="P496" i="17"/>
  <c r="Q496" i="17" s="1"/>
  <c r="Q487" i="17"/>
  <c r="P500" i="17"/>
  <c r="Q500" i="17" s="1"/>
  <c r="P731" i="17"/>
  <c r="C90" i="17"/>
  <c r="P783" i="17" s="1"/>
  <c r="AA70" i="23"/>
  <c r="AA109" i="23" s="1"/>
  <c r="AA148" i="23" s="1"/>
  <c r="AA187" i="23" s="1"/>
  <c r="AA226" i="23" s="1"/>
  <c r="AA265" i="23" s="1"/>
  <c r="AA304" i="23" s="1"/>
  <c r="W66" i="23"/>
  <c r="T69" i="23" s="1"/>
  <c r="X66" i="23"/>
  <c r="K407" i="17"/>
  <c r="AF108" i="17"/>
  <c r="AD16" i="9"/>
  <c r="AW7" i="9" s="1"/>
  <c r="AA16" i="9"/>
  <c r="AT7" i="9" s="1"/>
  <c r="AB17" i="9"/>
  <c r="AU8" i="9" s="1"/>
  <c r="AC16" i="9"/>
  <c r="AV7" i="9" s="1"/>
  <c r="AB16" i="9"/>
  <c r="AU7" i="9" s="1"/>
  <c r="P541" i="17"/>
  <c r="P540" i="17"/>
  <c r="Q540" i="17" s="1"/>
  <c r="P539" i="17"/>
  <c r="AB63" i="15"/>
  <c r="AC64" i="15" s="1"/>
  <c r="X307" i="17"/>
  <c r="X309" i="17"/>
  <c r="X303" i="17"/>
  <c r="X308" i="17"/>
  <c r="W27" i="13"/>
  <c r="X36" i="13"/>
  <c r="W36" i="13"/>
  <c r="S326" i="17"/>
  <c r="V220" i="17"/>
  <c r="L242" i="17"/>
  <c r="M242" i="17" s="1"/>
  <c r="S220" i="17"/>
  <c r="U220" i="17"/>
  <c r="M238" i="17"/>
  <c r="T220" i="17"/>
  <c r="L241" i="17"/>
  <c r="M241" i="17" s="1"/>
  <c r="AD49" i="5"/>
  <c r="V66" i="5"/>
  <c r="W23" i="12"/>
  <c r="AN95" i="17"/>
  <c r="Z361" i="17"/>
  <c r="AD29" i="20"/>
  <c r="AC22" i="20"/>
  <c r="AA25" i="20" s="1"/>
  <c r="AA24" i="20"/>
  <c r="V53" i="20"/>
  <c r="V92" i="20" s="1"/>
  <c r="V131" i="20" s="1"/>
  <c r="V170" i="20" s="1"/>
  <c r="V209" i="20" s="1"/>
  <c r="V248" i="20" s="1"/>
  <c r="V287" i="20" s="1"/>
  <c r="W14" i="20"/>
  <c r="W53" i="20" s="1"/>
  <c r="W92" i="20" s="1"/>
  <c r="W131" i="20" s="1"/>
  <c r="W170" i="20" s="1"/>
  <c r="W209" i="20" s="1"/>
  <c r="W248" i="20" s="1"/>
  <c r="W287" i="20" s="1"/>
  <c r="AA283" i="17"/>
  <c r="AB282" i="17"/>
  <c r="AA282" i="17"/>
  <c r="AC283" i="17"/>
  <c r="AC282" i="17"/>
  <c r="AD283" i="17"/>
  <c r="AD282" i="17"/>
  <c r="AB283" i="17"/>
  <c r="AA18" i="6"/>
  <c r="AC18" i="6"/>
  <c r="AD18" i="6"/>
  <c r="AB18" i="6"/>
  <c r="T405" i="17"/>
  <c r="U410" i="17"/>
  <c r="S405" i="17"/>
  <c r="S410" i="17"/>
  <c r="T409" i="17"/>
  <c r="U404" i="17"/>
  <c r="V409" i="17"/>
  <c r="AJ73" i="16"/>
  <c r="AM73" i="16" s="1"/>
  <c r="AJ72" i="16"/>
  <c r="AM72" i="16" s="1"/>
  <c r="V16" i="20"/>
  <c r="P681" i="17"/>
  <c r="Q679" i="17"/>
  <c r="P295" i="17"/>
  <c r="Q295" i="17" s="1"/>
  <c r="AG49" i="12"/>
  <c r="E16" i="12"/>
  <c r="AD62" i="12"/>
  <c r="M406" i="17"/>
  <c r="M532" i="17"/>
  <c r="L525" i="17"/>
  <c r="AH222" i="17"/>
  <c r="Q241" i="17"/>
  <c r="AJ222" i="17"/>
  <c r="AK222" i="17"/>
  <c r="AI222" i="17"/>
  <c r="L239" i="17"/>
  <c r="M239" i="17" s="1"/>
  <c r="Y358" i="17"/>
  <c r="X15" i="11"/>
  <c r="P400" i="17"/>
  <c r="Q400" i="17" s="1"/>
  <c r="Q446" i="17"/>
  <c r="P452" i="17"/>
  <c r="Q452" i="17" s="1"/>
  <c r="Y311" i="17"/>
  <c r="X182" i="23"/>
  <c r="W182" i="23"/>
  <c r="T185" i="23" s="1"/>
  <c r="AD28" i="20"/>
  <c r="W67" i="20"/>
  <c r="X67" i="20"/>
  <c r="Y64" i="12"/>
  <c r="Y74" i="12"/>
  <c r="Z74" i="12"/>
  <c r="AR8" i="9"/>
  <c r="AL8" i="9"/>
  <c r="AR7" i="9"/>
  <c r="AL7" i="9"/>
  <c r="AX7" i="9"/>
  <c r="AX8" i="9"/>
  <c r="X21" i="10"/>
  <c r="T28" i="10" s="1"/>
  <c r="V28" i="10" s="1"/>
  <c r="Y15" i="10"/>
  <c r="Q485" i="17"/>
  <c r="Y16" i="10"/>
  <c r="X262" i="23"/>
  <c r="W262" i="23"/>
  <c r="AP96" i="17"/>
  <c r="S20" i="20"/>
  <c r="S19" i="20"/>
  <c r="S23" i="20"/>
  <c r="S18" i="20"/>
  <c r="S22" i="20"/>
  <c r="S21" i="20"/>
  <c r="X299" i="23"/>
  <c r="W299" i="23"/>
  <c r="S272" i="17"/>
  <c r="M290" i="17"/>
  <c r="U272" i="17"/>
  <c r="U273" i="17" s="1"/>
  <c r="T272" i="17"/>
  <c r="T273" i="17" s="1"/>
  <c r="L293" i="17"/>
  <c r="M293" i="17" s="1"/>
  <c r="V272" i="17"/>
  <c r="V273" i="17" s="1"/>
  <c r="L294" i="17"/>
  <c r="M294" i="17" s="1"/>
  <c r="V55" i="20"/>
  <c r="V88" i="20"/>
  <c r="I15" i="14"/>
  <c r="H15" i="14" s="1"/>
  <c r="H21" i="14" s="1"/>
  <c r="H23" i="14" s="1"/>
  <c r="E15" i="14"/>
  <c r="Y29" i="14"/>
  <c r="E21" i="14"/>
  <c r="E23" i="14" s="1"/>
  <c r="V23" i="14"/>
  <c r="X28" i="14" s="1"/>
  <c r="AC8" i="14"/>
  <c r="Y66" i="12"/>
  <c r="Z75" i="12"/>
  <c r="Y75" i="12"/>
  <c r="M392" i="17"/>
  <c r="L388" i="17"/>
  <c r="L394" i="17" s="1"/>
  <c r="M387" i="17"/>
  <c r="P434" i="17"/>
  <c r="S219" i="17"/>
  <c r="W219" i="17" s="1"/>
  <c r="W218" i="17"/>
  <c r="AH34" i="16"/>
  <c r="AH33" i="16"/>
  <c r="T359" i="17"/>
  <c r="V359" i="17"/>
  <c r="V360" i="17"/>
  <c r="U364" i="17"/>
  <c r="S360" i="17"/>
  <c r="S359" i="17"/>
  <c r="T360" i="17"/>
  <c r="U360" i="17"/>
  <c r="T364" i="17"/>
  <c r="V364" i="17"/>
  <c r="S364" i="17"/>
  <c r="U359" i="17"/>
  <c r="W27" i="14"/>
  <c r="X16" i="11"/>
  <c r="X306" i="17"/>
  <c r="X301" i="17"/>
  <c r="X304" i="17"/>
  <c r="U326" i="17"/>
  <c r="U327" i="17" s="1"/>
  <c r="X17" i="11"/>
  <c r="AB230" i="17"/>
  <c r="AD230" i="17"/>
  <c r="AB231" i="17"/>
  <c r="AC231" i="17"/>
  <c r="AC230" i="17"/>
  <c r="AA230" i="17"/>
  <c r="AD231" i="17"/>
  <c r="AA231" i="17"/>
  <c r="P349" i="17"/>
  <c r="P350" i="17"/>
  <c r="Q350" i="17" s="1"/>
  <c r="AG47" i="12"/>
  <c r="Y17" i="10"/>
  <c r="V64" i="5"/>
  <c r="AD48" i="5"/>
  <c r="AA70" i="20"/>
  <c r="AA109" i="20" s="1"/>
  <c r="AA148" i="20" s="1"/>
  <c r="AA187" i="20" s="1"/>
  <c r="AA226" i="20" s="1"/>
  <c r="AA265" i="20" s="1"/>
  <c r="AA304" i="20" s="1"/>
  <c r="AD47" i="5"/>
  <c r="V62" i="5"/>
  <c r="U27" i="12"/>
  <c r="AN94" i="17"/>
  <c r="Z355" i="17"/>
  <c r="M473" i="17"/>
  <c r="AJ275" i="17"/>
  <c r="AK275" i="17"/>
  <c r="AH275" i="17"/>
  <c r="Q297" i="17"/>
  <c r="AI275" i="17"/>
  <c r="AK51" i="16"/>
  <c r="AL50" i="16" s="1"/>
  <c r="AD27" i="20"/>
  <c r="AD24" i="6"/>
  <c r="AD25" i="6" s="1"/>
  <c r="AD13" i="9"/>
  <c r="AK7" i="9" s="1"/>
  <c r="AB13" i="9"/>
  <c r="AI7" i="9" s="1"/>
  <c r="AC14" i="9"/>
  <c r="AJ8" i="9" s="1"/>
  <c r="AP8" i="9" s="1"/>
  <c r="AC13" i="9"/>
  <c r="AJ7" i="9" s="1"/>
  <c r="AA13" i="9"/>
  <c r="AH7" i="9" s="1"/>
  <c r="AD14" i="9"/>
  <c r="AK8" i="9" s="1"/>
  <c r="AQ8" i="9" s="1"/>
  <c r="X67" i="23"/>
  <c r="W67" i="23"/>
  <c r="P630" i="17"/>
  <c r="Q629" i="17"/>
  <c r="W10" i="23"/>
  <c r="W49" i="23" s="1"/>
  <c r="W88" i="23" s="1"/>
  <c r="W127" i="23" s="1"/>
  <c r="W166" i="23" s="1"/>
  <c r="W205" i="23" s="1"/>
  <c r="W244" i="23" s="1"/>
  <c r="W283" i="23" s="1"/>
  <c r="V49" i="23"/>
  <c r="V16" i="23"/>
  <c r="AD27" i="23"/>
  <c r="AA22" i="23"/>
  <c r="M336" i="17"/>
  <c r="S344" i="17"/>
  <c r="AF325" i="17"/>
  <c r="S345" i="17"/>
  <c r="S342" i="17" s="1"/>
  <c r="W342" i="17" s="1"/>
  <c r="T344" i="17"/>
  <c r="AF324" i="17"/>
  <c r="T345" i="17"/>
  <c r="U342" i="17" s="1"/>
  <c r="L339" i="17"/>
  <c r="AI10" i="16"/>
  <c r="AJ9" i="16" s="1"/>
  <c r="S179" i="20"/>
  <c r="S176" i="20"/>
  <c r="S177" i="20"/>
  <c r="S174" i="20"/>
  <c r="S175" i="20"/>
  <c r="S178" i="20"/>
  <c r="AH223" i="17"/>
  <c r="AK223" i="17"/>
  <c r="AK224" i="17" s="1"/>
  <c r="AK228" i="17" s="1"/>
  <c r="AI223" i="17"/>
  <c r="AI224" i="17" s="1"/>
  <c r="AI228" i="17" s="1"/>
  <c r="Q245" i="17"/>
  <c r="AJ223" i="17"/>
  <c r="S353" i="17"/>
  <c r="Y353" i="17" s="1"/>
  <c r="T352" i="17"/>
  <c r="Y352" i="17" s="1"/>
  <c r="W28" i="14"/>
  <c r="F15" i="14"/>
  <c r="X183" i="23"/>
  <c r="W183" i="23"/>
  <c r="W18" i="11"/>
  <c r="X18" i="11" s="1"/>
  <c r="U236" i="17"/>
  <c r="U237" i="17"/>
  <c r="P345" i="17"/>
  <c r="Q339" i="17"/>
  <c r="P347" i="17"/>
  <c r="Q347" i="17" s="1"/>
  <c r="P341" i="17"/>
  <c r="Q341" i="17" s="1"/>
  <c r="AC18" i="9"/>
  <c r="AV9" i="9" s="1"/>
  <c r="AD18" i="9"/>
  <c r="AW9" i="9" s="1"/>
  <c r="AA18" i="9"/>
  <c r="AT9" i="9" s="1"/>
  <c r="AB18" i="9"/>
  <c r="AU9" i="9" s="1"/>
  <c r="V27" i="14"/>
  <c r="AC10" i="14"/>
  <c r="AD39" i="14"/>
  <c r="S63" i="14"/>
  <c r="U63" i="14" s="1"/>
  <c r="W63" i="14" s="1"/>
  <c r="S62" i="14"/>
  <c r="U62" i="14" s="1"/>
  <c r="S64" i="14"/>
  <c r="U64" i="14" s="1"/>
  <c r="S66" i="14"/>
  <c r="U66" i="14" s="1"/>
  <c r="S67" i="14"/>
  <c r="U67" i="14" s="1"/>
  <c r="S65" i="14"/>
  <c r="U65" i="14" s="1"/>
  <c r="W65" i="14" s="1"/>
  <c r="U28" i="12"/>
  <c r="W28" i="12" s="1"/>
  <c r="Y28" i="12" s="1"/>
  <c r="AO98" i="17"/>
  <c r="AN93" i="17"/>
  <c r="Z356" i="17"/>
  <c r="L474" i="17"/>
  <c r="M483" i="17"/>
  <c r="W301" i="23"/>
  <c r="X301" i="23"/>
  <c r="U26" i="12"/>
  <c r="W26" i="12" s="1"/>
  <c r="Y26" i="12" s="1"/>
  <c r="I12" i="12" s="1"/>
  <c r="S288" i="17"/>
  <c r="S289" i="17"/>
  <c r="E15" i="12"/>
  <c r="AD61" i="12"/>
  <c r="AD63" i="12" s="1"/>
  <c r="AE64" i="12" s="1"/>
  <c r="Y301" i="17"/>
  <c r="AC24" i="6"/>
  <c r="H14" i="15"/>
  <c r="T76" i="15"/>
  <c r="H16" i="15"/>
  <c r="T78" i="15"/>
  <c r="AK48" i="15" s="1"/>
  <c r="L589" i="17"/>
  <c r="P596" i="17"/>
  <c r="Q596" i="17" s="1"/>
  <c r="L584" i="17"/>
  <c r="L586" i="17"/>
  <c r="P595" i="17"/>
  <c r="Q578" i="17"/>
  <c r="L585" i="17"/>
  <c r="M585" i="17" s="1"/>
  <c r="L588" i="17"/>
  <c r="M588" i="17" s="1"/>
  <c r="L591" i="17"/>
  <c r="M591" i="17" s="1"/>
  <c r="M486" i="17"/>
  <c r="L476" i="17"/>
  <c r="P537" i="17"/>
  <c r="Q543" i="17"/>
  <c r="W222" i="17"/>
  <c r="S223" i="17"/>
  <c r="W223" i="17" s="1"/>
  <c r="Y362" i="17"/>
  <c r="W28" i="13"/>
  <c r="AA54" i="15"/>
  <c r="AH48" i="15" s="1"/>
  <c r="AB54" i="15"/>
  <c r="AI48" i="15" s="1"/>
  <c r="Z54" i="15"/>
  <c r="AG48" i="15" s="1"/>
  <c r="AC54" i="15"/>
  <c r="AJ48" i="15" s="1"/>
  <c r="V326" i="17"/>
  <c r="V327" i="17" s="1"/>
  <c r="W65" i="20"/>
  <c r="X65" i="20"/>
  <c r="W289" i="17" l="1"/>
  <c r="V410" i="17"/>
  <c r="W106" i="23"/>
  <c r="T109" i="23" s="1"/>
  <c r="X106" i="23"/>
  <c r="AC17" i="9"/>
  <c r="AV8" i="9" s="1"/>
  <c r="AN96" i="17"/>
  <c r="AJ224" i="17"/>
  <c r="AJ228" i="17" s="1"/>
  <c r="T265" i="23"/>
  <c r="V415" i="17"/>
  <c r="S414" i="17"/>
  <c r="T39" i="13"/>
  <c r="AK9" i="13" s="1"/>
  <c r="H8" i="8"/>
  <c r="T37" i="8"/>
  <c r="Z15" i="15"/>
  <c r="AG9" i="15" s="1"/>
  <c r="AC15" i="15"/>
  <c r="AJ9" i="15" s="1"/>
  <c r="AA15" i="15"/>
  <c r="AH9" i="15" s="1"/>
  <c r="AB15" i="15"/>
  <c r="AI9" i="15" s="1"/>
  <c r="AA14" i="9"/>
  <c r="AH8" i="9" s="1"/>
  <c r="AN8" i="9" s="1"/>
  <c r="AB53" i="15"/>
  <c r="AI47" i="15" s="1"/>
  <c r="W35" i="8"/>
  <c r="T146" i="20"/>
  <c r="U441" i="17"/>
  <c r="U442" i="17"/>
  <c r="U409" i="17"/>
  <c r="K457" i="17"/>
  <c r="K458" i="17" s="1"/>
  <c r="X35" i="8"/>
  <c r="I9" i="8" s="1"/>
  <c r="T39" i="8"/>
  <c r="H10" i="8"/>
  <c r="H12" i="15"/>
  <c r="T39" i="15"/>
  <c r="AK9" i="15" s="1"/>
  <c r="V441" i="17"/>
  <c r="V442" i="17"/>
  <c r="T441" i="17"/>
  <c r="T442" i="17"/>
  <c r="P346" i="17"/>
  <c r="Q346" i="17" s="1"/>
  <c r="AH224" i="17"/>
  <c r="AH228" i="17" s="1"/>
  <c r="T25" i="10"/>
  <c r="V25" i="10" s="1"/>
  <c r="T24" i="10"/>
  <c r="V24" i="10" s="1"/>
  <c r="X24" i="10" s="1"/>
  <c r="U405" i="17"/>
  <c r="T37" i="15"/>
  <c r="H10" i="15"/>
  <c r="W424" i="17"/>
  <c r="S442" i="17"/>
  <c r="S441" i="17"/>
  <c r="W441" i="17" s="1"/>
  <c r="T148" i="20"/>
  <c r="U476" i="17"/>
  <c r="Y528" i="17"/>
  <c r="V476" i="17"/>
  <c r="S476" i="17"/>
  <c r="T476" i="17"/>
  <c r="W28" i="8"/>
  <c r="T225" i="23"/>
  <c r="X36" i="14"/>
  <c r="W36" i="14"/>
  <c r="V404" i="17"/>
  <c r="T303" i="23"/>
  <c r="S404" i="17"/>
  <c r="X34" i="14"/>
  <c r="W34" i="14"/>
  <c r="T37" i="14" s="1"/>
  <c r="T303" i="20"/>
  <c r="W288" i="17"/>
  <c r="W21" i="11"/>
  <c r="S28" i="11" s="1"/>
  <c r="U28" i="11" s="1"/>
  <c r="T414" i="17"/>
  <c r="T68" i="23"/>
  <c r="AC13" i="15"/>
  <c r="AA13" i="15"/>
  <c r="AH7" i="15" s="1"/>
  <c r="Z13" i="15"/>
  <c r="AA14" i="15"/>
  <c r="AH8" i="15" s="1"/>
  <c r="AB13" i="15"/>
  <c r="AI7" i="15" s="1"/>
  <c r="H11" i="15"/>
  <c r="T38" i="15"/>
  <c r="V405" i="17"/>
  <c r="AB24" i="15"/>
  <c r="AC25" i="15" s="1"/>
  <c r="W105" i="23"/>
  <c r="X105" i="23"/>
  <c r="X28" i="10"/>
  <c r="T27" i="10"/>
  <c r="V27" i="10" s="1"/>
  <c r="T415" i="17"/>
  <c r="V414" i="17"/>
  <c r="W389" i="17"/>
  <c r="T304" i="23"/>
  <c r="L393" i="17"/>
  <c r="M393" i="17" s="1"/>
  <c r="T70" i="23"/>
  <c r="U415" i="17"/>
  <c r="W104" i="23"/>
  <c r="T107" i="23" s="1"/>
  <c r="X104" i="23"/>
  <c r="W390" i="17"/>
  <c r="Z15" i="5"/>
  <c r="AG30" i="5"/>
  <c r="AG32" i="5"/>
  <c r="Z21" i="5"/>
  <c r="AG27" i="5"/>
  <c r="AG28" i="5"/>
  <c r="AG26" i="5"/>
  <c r="AG31" i="5"/>
  <c r="AG29" i="5"/>
  <c r="Z20" i="5"/>
  <c r="V23" i="5"/>
  <c r="B27" i="2159"/>
  <c r="B26" i="2159"/>
  <c r="T28" i="5"/>
  <c r="V28" i="5" s="1"/>
  <c r="T27" i="5"/>
  <c r="T26" i="5"/>
  <c r="V26" i="5" s="1"/>
  <c r="Z19" i="5"/>
  <c r="B85" i="5"/>
  <c r="B84" i="5"/>
  <c r="Z16" i="5"/>
  <c r="B87" i="5"/>
  <c r="B86" i="5"/>
  <c r="J15" i="5"/>
  <c r="B29" i="2159"/>
  <c r="B28" i="2159"/>
  <c r="T25" i="5"/>
  <c r="Z17" i="5"/>
  <c r="T24" i="5"/>
  <c r="V24" i="5" s="1"/>
  <c r="Z18" i="5"/>
  <c r="T376" i="17"/>
  <c r="V376" i="17"/>
  <c r="M394" i="17"/>
  <c r="AB28" i="20"/>
  <c r="AB29" i="20"/>
  <c r="AA28" i="20"/>
  <c r="AE28" i="20" s="1"/>
  <c r="AC9" i="20" s="1"/>
  <c r="AC29" i="20"/>
  <c r="AC28" i="20"/>
  <c r="AA27" i="20"/>
  <c r="AA29" i="20"/>
  <c r="S465" i="17"/>
  <c r="S460" i="17"/>
  <c r="U465" i="17"/>
  <c r="AP123" i="17" s="1"/>
  <c r="S459" i="17"/>
  <c r="U460" i="17"/>
  <c r="AP121" i="17" s="1"/>
  <c r="T465" i="17"/>
  <c r="AO123" i="17" s="1"/>
  <c r="V465" i="17"/>
  <c r="AQ123" i="17" s="1"/>
  <c r="V460" i="17"/>
  <c r="AQ121" i="17" s="1"/>
  <c r="T459" i="17"/>
  <c r="AO122" i="17" s="1"/>
  <c r="V459" i="17"/>
  <c r="AQ122" i="17" s="1"/>
  <c r="AQ125" i="17" s="1"/>
  <c r="T460" i="17"/>
  <c r="AO121" i="17" s="1"/>
  <c r="AO124" i="17" s="1"/>
  <c r="U459" i="17"/>
  <c r="AP122" i="17" s="1"/>
  <c r="AP125" i="17" s="1"/>
  <c r="M525" i="17"/>
  <c r="W326" i="17"/>
  <c r="S327" i="17"/>
  <c r="W327" i="17" s="1"/>
  <c r="AE79" i="16"/>
  <c r="AF79" i="16"/>
  <c r="W145" i="23"/>
  <c r="X145" i="23"/>
  <c r="S271" i="17"/>
  <c r="W271" i="17" s="1"/>
  <c r="W270" i="17"/>
  <c r="AL8" i="6"/>
  <c r="AL7" i="6"/>
  <c r="AI12" i="6"/>
  <c r="AI9" i="6"/>
  <c r="P592" i="17"/>
  <c r="Q592" i="17" s="1"/>
  <c r="P591" i="17"/>
  <c r="P593" i="17"/>
  <c r="T68" i="20"/>
  <c r="AK46" i="15"/>
  <c r="AK47" i="15"/>
  <c r="W62" i="14"/>
  <c r="X73" i="14"/>
  <c r="W73" i="14"/>
  <c r="X182" i="20"/>
  <c r="W182" i="20"/>
  <c r="M339" i="17"/>
  <c r="U322" i="17"/>
  <c r="U323" i="17" s="1"/>
  <c r="V322" i="17"/>
  <c r="V323" i="17" s="1"/>
  <c r="L343" i="17"/>
  <c r="M343" i="17" s="1"/>
  <c r="T322" i="17"/>
  <c r="T323" i="17" s="1"/>
  <c r="S322" i="17"/>
  <c r="AA25" i="23"/>
  <c r="AC29" i="23" s="1"/>
  <c r="AN7" i="9"/>
  <c r="AH15" i="9"/>
  <c r="AH14" i="9"/>
  <c r="AK53" i="16"/>
  <c r="X62" i="5"/>
  <c r="W83" i="5"/>
  <c r="V83" i="5"/>
  <c r="AI327" i="17"/>
  <c r="AJ327" i="17"/>
  <c r="AJ328" i="17" s="1"/>
  <c r="AJ332" i="17" s="1"/>
  <c r="AK327" i="17"/>
  <c r="AH327" i="17"/>
  <c r="Q349" i="17"/>
  <c r="X353" i="17"/>
  <c r="X358" i="17"/>
  <c r="X356" i="17"/>
  <c r="M388" i="17"/>
  <c r="S396" i="17"/>
  <c r="AF377" i="17"/>
  <c r="AF376" i="17"/>
  <c r="S397" i="17"/>
  <c r="S394" i="17" s="1"/>
  <c r="L391" i="17"/>
  <c r="L398" i="17" s="1"/>
  <c r="M398" i="17" s="1"/>
  <c r="T397" i="17"/>
  <c r="U394" i="17" s="1"/>
  <c r="T396" i="17"/>
  <c r="S378" i="17"/>
  <c r="V77" i="12"/>
  <c r="AM46" i="12" s="1"/>
  <c r="Y405" i="17"/>
  <c r="X66" i="5"/>
  <c r="W85" i="5"/>
  <c r="V85" i="5"/>
  <c r="V221" i="17"/>
  <c r="AB27" i="20"/>
  <c r="AF78" i="16"/>
  <c r="AE78" i="16"/>
  <c r="AF77" i="16"/>
  <c r="AE77" i="16"/>
  <c r="W324" i="17"/>
  <c r="AF316" i="17" s="1"/>
  <c r="T69" i="20"/>
  <c r="L526" i="17"/>
  <c r="M535" i="17"/>
  <c r="S25" i="11"/>
  <c r="W143" i="23"/>
  <c r="X143" i="23"/>
  <c r="AK9" i="6"/>
  <c r="AK12" i="6"/>
  <c r="L528" i="17"/>
  <c r="M538" i="17"/>
  <c r="S411" i="17"/>
  <c r="U411" i="17"/>
  <c r="U416" i="17"/>
  <c r="V411" i="17"/>
  <c r="S412" i="17"/>
  <c r="T412" i="17"/>
  <c r="U412" i="17"/>
  <c r="V412" i="17"/>
  <c r="T416" i="17"/>
  <c r="V416" i="17"/>
  <c r="S416" i="17"/>
  <c r="T411" i="17"/>
  <c r="P401" i="17"/>
  <c r="P402" i="17"/>
  <c r="Q402" i="17" s="1"/>
  <c r="L590" i="17"/>
  <c r="M589" i="17"/>
  <c r="AN25" i="9"/>
  <c r="AW25" i="9"/>
  <c r="AP25" i="9"/>
  <c r="AK25" i="9"/>
  <c r="AH25" i="9"/>
  <c r="AO25" i="9"/>
  <c r="AU25" i="9"/>
  <c r="AQ25" i="9"/>
  <c r="AV25" i="9"/>
  <c r="AT25" i="9"/>
  <c r="AI25" i="9"/>
  <c r="AJ25" i="9"/>
  <c r="O509" i="17"/>
  <c r="M510" i="17" s="1"/>
  <c r="M474" i="17"/>
  <c r="K503" i="17"/>
  <c r="AJ326" i="17"/>
  <c r="AK326" i="17"/>
  <c r="AH326" i="17"/>
  <c r="AI326" i="17"/>
  <c r="Q345" i="17"/>
  <c r="AP7" i="9"/>
  <c r="AJ15" i="9"/>
  <c r="AJ14" i="9"/>
  <c r="AK54" i="16"/>
  <c r="L490" i="17"/>
  <c r="AG47" i="5"/>
  <c r="AG48" i="5"/>
  <c r="X354" i="17"/>
  <c r="X357" i="17"/>
  <c r="T378" i="17"/>
  <c r="T379" i="17" s="1"/>
  <c r="X28" i="20"/>
  <c r="W28" i="20"/>
  <c r="T26" i="10"/>
  <c r="V26" i="10" s="1"/>
  <c r="X26" i="10" s="1"/>
  <c r="S26" i="11"/>
  <c r="U26" i="11" s="1"/>
  <c r="W26" i="11" s="1"/>
  <c r="I9" i="11" s="1"/>
  <c r="AE282" i="17"/>
  <c r="AG49" i="5"/>
  <c r="AG53" i="5"/>
  <c r="AC27" i="20"/>
  <c r="U325" i="17"/>
  <c r="X25" i="14"/>
  <c r="AC38" i="14"/>
  <c r="I13" i="14" s="1"/>
  <c r="Z38" i="14"/>
  <c r="AD38" i="14"/>
  <c r="W274" i="17"/>
  <c r="S275" i="17"/>
  <c r="W275" i="17" s="1"/>
  <c r="V458" i="17"/>
  <c r="S458" i="17"/>
  <c r="X456" i="17" s="1"/>
  <c r="T458" i="17"/>
  <c r="U458" i="17"/>
  <c r="Q391" i="17"/>
  <c r="P393" i="17"/>
  <c r="Q393" i="17" s="1"/>
  <c r="T23" i="23"/>
  <c r="T22" i="23"/>
  <c r="T20" i="23"/>
  <c r="T19" i="23"/>
  <c r="T18" i="23"/>
  <c r="T21" i="23"/>
  <c r="AL51" i="16"/>
  <c r="AL54" i="16" s="1"/>
  <c r="W84" i="5"/>
  <c r="X64" i="5"/>
  <c r="V84" i="5"/>
  <c r="V378" i="17"/>
  <c r="V379" i="17" s="1"/>
  <c r="X26" i="20"/>
  <c r="W26" i="20"/>
  <c r="Q681" i="17"/>
  <c r="P682" i="17"/>
  <c r="AN98" i="17"/>
  <c r="P552" i="17"/>
  <c r="Q552" i="17" s="1"/>
  <c r="P548" i="17"/>
  <c r="Q548" i="17" s="1"/>
  <c r="Q539" i="17"/>
  <c r="AA17" i="9"/>
  <c r="AT8" i="9" s="1"/>
  <c r="AT15" i="9" s="1"/>
  <c r="E13" i="14"/>
  <c r="AC22" i="14"/>
  <c r="AC48" i="14"/>
  <c r="AC61" i="14" s="1"/>
  <c r="AC53" i="15"/>
  <c r="AJ47" i="15" s="1"/>
  <c r="AJ54" i="15" s="1"/>
  <c r="AD335" i="17"/>
  <c r="AA335" i="17"/>
  <c r="AB334" i="17"/>
  <c r="AD334" i="17"/>
  <c r="AB335" i="17"/>
  <c r="AA334" i="17"/>
  <c r="AC334" i="17"/>
  <c r="AC335" i="17"/>
  <c r="P589" i="17"/>
  <c r="Q595" i="17"/>
  <c r="E14" i="14"/>
  <c r="AF10" i="14"/>
  <c r="AC49" i="14"/>
  <c r="AC23" i="14"/>
  <c r="U341" i="17"/>
  <c r="U340" i="17"/>
  <c r="V55" i="23"/>
  <c r="V88" i="23"/>
  <c r="AB14" i="9"/>
  <c r="AI8" i="9" s="1"/>
  <c r="AO8" i="9" s="1"/>
  <c r="AK52" i="16"/>
  <c r="AE231" i="17"/>
  <c r="X361" i="17"/>
  <c r="X360" i="17"/>
  <c r="X359" i="17"/>
  <c r="X355" i="17"/>
  <c r="V78" i="12"/>
  <c r="AM48" i="12" s="1"/>
  <c r="G15" i="14"/>
  <c r="I22" i="14" s="1"/>
  <c r="T23" i="10"/>
  <c r="V23" i="10" s="1"/>
  <c r="X27" i="10" s="1"/>
  <c r="T20" i="20"/>
  <c r="T21" i="20"/>
  <c r="T18" i="20"/>
  <c r="T23" i="20"/>
  <c r="T22" i="20"/>
  <c r="T19" i="20"/>
  <c r="S415" i="17"/>
  <c r="Y415" i="17" s="1"/>
  <c r="S409" i="17"/>
  <c r="Y409" i="17" s="1"/>
  <c r="U414" i="17"/>
  <c r="Y414" i="17" s="1"/>
  <c r="AE283" i="17"/>
  <c r="T221" i="17"/>
  <c r="AD17" i="9"/>
  <c r="AW8" i="9" s="1"/>
  <c r="AW15" i="9" s="1"/>
  <c r="S408" i="17"/>
  <c r="U413" i="17"/>
  <c r="AP109" i="17" s="1"/>
  <c r="U408" i="17"/>
  <c r="AP107" i="17" s="1"/>
  <c r="T408" i="17"/>
  <c r="AO107" i="17" s="1"/>
  <c r="T413" i="17"/>
  <c r="AO109" i="17" s="1"/>
  <c r="T407" i="17"/>
  <c r="AO108" i="17" s="1"/>
  <c r="V408" i="17"/>
  <c r="AQ107" i="17" s="1"/>
  <c r="AQ110" i="17" s="1"/>
  <c r="V407" i="17"/>
  <c r="AQ108" i="17" s="1"/>
  <c r="V413" i="17"/>
  <c r="AQ109" i="17" s="1"/>
  <c r="U407" i="17"/>
  <c r="AP108" i="17" s="1"/>
  <c r="S413" i="17"/>
  <c r="S407" i="17"/>
  <c r="L346" i="17"/>
  <c r="M346" i="17" s="1"/>
  <c r="W237" i="17"/>
  <c r="Q498" i="17"/>
  <c r="AG54" i="15"/>
  <c r="AG55" i="15" s="1"/>
  <c r="AG59" i="15" s="1"/>
  <c r="AG53" i="15"/>
  <c r="U406" i="17"/>
  <c r="V406" i="17"/>
  <c r="T406" i="17"/>
  <c r="S406" i="17"/>
  <c r="AH274" i="17"/>
  <c r="AH276" i="17" s="1"/>
  <c r="AH280" i="17" s="1"/>
  <c r="AK274" i="17"/>
  <c r="AK276" i="17" s="1"/>
  <c r="AK280" i="17" s="1"/>
  <c r="AJ274" i="17"/>
  <c r="Q293" i="17"/>
  <c r="AI274" i="17"/>
  <c r="AI276" i="17" s="1"/>
  <c r="AI280" i="17" s="1"/>
  <c r="T263" i="23"/>
  <c r="W64" i="14"/>
  <c r="X74" i="14"/>
  <c r="W74" i="14"/>
  <c r="M586" i="17"/>
  <c r="L587" i="17"/>
  <c r="X27" i="14"/>
  <c r="AC39" i="14"/>
  <c r="I14" i="14" s="1"/>
  <c r="Z39" i="14"/>
  <c r="AI11" i="16"/>
  <c r="AO7" i="9"/>
  <c r="AI14" i="9"/>
  <c r="AJ276" i="17"/>
  <c r="AJ280" i="17" s="1"/>
  <c r="AN97" i="17"/>
  <c r="X36" i="10"/>
  <c r="Y36" i="10"/>
  <c r="S27" i="11"/>
  <c r="AD77" i="16"/>
  <c r="AC77" i="16"/>
  <c r="AA80" i="16" s="1"/>
  <c r="AD78" i="16"/>
  <c r="AC78" i="16"/>
  <c r="Q541" i="17"/>
  <c r="P550" i="17"/>
  <c r="AU15" i="9"/>
  <c r="AU14" i="9"/>
  <c r="P785" i="17"/>
  <c r="Q783" i="17"/>
  <c r="V325" i="17"/>
  <c r="T37" i="13"/>
  <c r="W236" i="17"/>
  <c r="L439" i="17"/>
  <c r="M438" i="17"/>
  <c r="AI54" i="15"/>
  <c r="AI53" i="15"/>
  <c r="AJ10" i="16"/>
  <c r="AK9" i="16" s="1"/>
  <c r="X23" i="14"/>
  <c r="G12" i="14" s="1"/>
  <c r="AC37" i="14"/>
  <c r="I12" i="14" s="1"/>
  <c r="AD37" i="14"/>
  <c r="Z37" i="14"/>
  <c r="W183" i="20"/>
  <c r="X183" i="20"/>
  <c r="Q537" i="17"/>
  <c r="L493" i="17"/>
  <c r="M493" i="17" s="1"/>
  <c r="M476" i="17"/>
  <c r="K512" i="17"/>
  <c r="K513" i="17" s="1"/>
  <c r="M584" i="17"/>
  <c r="L577" i="17"/>
  <c r="W67" i="14"/>
  <c r="T186" i="23"/>
  <c r="AI13" i="16"/>
  <c r="AQ7" i="9"/>
  <c r="AK15" i="9"/>
  <c r="AK14" i="9"/>
  <c r="W27" i="12"/>
  <c r="AD10" i="12"/>
  <c r="AE230" i="17"/>
  <c r="Q434" i="17"/>
  <c r="P443" i="17"/>
  <c r="P447" i="17"/>
  <c r="U378" i="17"/>
  <c r="U379" i="17" s="1"/>
  <c r="V94" i="20"/>
  <c r="V127" i="20"/>
  <c r="S273" i="17"/>
  <c r="W273" i="17" s="1"/>
  <c r="W272" i="17"/>
  <c r="AF264" i="17" s="1"/>
  <c r="X27" i="20"/>
  <c r="W27" i="20"/>
  <c r="AI23" i="9"/>
  <c r="AI24" i="9" s="1"/>
  <c r="AH23" i="9"/>
  <c r="AH24" i="9"/>
  <c r="AJ23" i="9"/>
  <c r="AN23" i="9"/>
  <c r="AN24" i="9"/>
  <c r="AT23" i="9"/>
  <c r="AK23" i="9"/>
  <c r="AO23" i="9"/>
  <c r="AO24" i="9" s="1"/>
  <c r="AU23" i="9"/>
  <c r="AP23" i="9"/>
  <c r="AP24" i="9" s="1"/>
  <c r="AV23" i="9"/>
  <c r="AQ23" i="9"/>
  <c r="AW23" i="9"/>
  <c r="AW24" i="9" s="1"/>
  <c r="T70" i="20"/>
  <c r="AD54" i="12"/>
  <c r="AK48" i="12" s="1"/>
  <c r="AE54" i="12"/>
  <c r="AL48" i="12" s="1"/>
  <c r="AB54" i="12"/>
  <c r="AI48" i="12" s="1"/>
  <c r="AC54" i="12"/>
  <c r="AJ48" i="12" s="1"/>
  <c r="AC79" i="16"/>
  <c r="AA82" i="16" s="1"/>
  <c r="AD79" i="16"/>
  <c r="T404" i="17"/>
  <c r="Y404" i="17" s="1"/>
  <c r="T410" i="17"/>
  <c r="Y410" i="17" s="1"/>
  <c r="AD8" i="12"/>
  <c r="U221" i="17"/>
  <c r="AV15" i="9"/>
  <c r="AV14" i="9"/>
  <c r="P733" i="17"/>
  <c r="Q731" i="17"/>
  <c r="T325" i="17"/>
  <c r="I8" i="13"/>
  <c r="AA8" i="13"/>
  <c r="AB8" i="13" s="1"/>
  <c r="AB16" i="6"/>
  <c r="AI10" i="6" s="1"/>
  <c r="AB17" i="6"/>
  <c r="AI8" i="6" s="1"/>
  <c r="AC16" i="6"/>
  <c r="AJ7" i="6" s="1"/>
  <c r="AA16" i="6"/>
  <c r="AH10" i="6" s="1"/>
  <c r="AD16" i="6"/>
  <c r="AD17" i="6" s="1"/>
  <c r="AK11" i="6" s="1"/>
  <c r="AA53" i="15"/>
  <c r="AH47" i="15" s="1"/>
  <c r="AH54" i="15" s="1"/>
  <c r="W144" i="23"/>
  <c r="X144" i="23"/>
  <c r="AD9" i="12"/>
  <c r="AH12" i="6"/>
  <c r="AH9" i="6"/>
  <c r="AI64" i="15"/>
  <c r="AG64" i="15"/>
  <c r="AJ64" i="15"/>
  <c r="AH64" i="15"/>
  <c r="W66" i="14"/>
  <c r="W75" i="14"/>
  <c r="X75" i="14"/>
  <c r="W184" i="20"/>
  <c r="X184" i="20"/>
  <c r="AI12" i="16"/>
  <c r="S341" i="17"/>
  <c r="S340" i="17"/>
  <c r="W340" i="17" s="1"/>
  <c r="P647" i="17"/>
  <c r="L638" i="17"/>
  <c r="L641" i="17"/>
  <c r="L637" i="17"/>
  <c r="M637" i="17" s="1"/>
  <c r="Q630" i="17"/>
  <c r="L640" i="17"/>
  <c r="M640" i="17" s="1"/>
  <c r="P648" i="17"/>
  <c r="Q648" i="17" s="1"/>
  <c r="L636" i="17"/>
  <c r="L643" i="17"/>
  <c r="M643" i="17" s="1"/>
  <c r="X25" i="10"/>
  <c r="Y35" i="10"/>
  <c r="X35" i="10"/>
  <c r="AD52" i="12"/>
  <c r="AK46" i="12" s="1"/>
  <c r="AC52" i="12"/>
  <c r="AJ46" i="12" s="1"/>
  <c r="AB52" i="12"/>
  <c r="AI46" i="12" s="1"/>
  <c r="AE52" i="12"/>
  <c r="AL46" i="12" s="1"/>
  <c r="AC47" i="14"/>
  <c r="AC21" i="14"/>
  <c r="AF8" i="14"/>
  <c r="AF9" i="14"/>
  <c r="E12" i="14"/>
  <c r="T302" i="23"/>
  <c r="P486" i="17"/>
  <c r="S24" i="11"/>
  <c r="U24" i="11" s="1"/>
  <c r="W24" i="11" s="1"/>
  <c r="I8" i="11" s="1"/>
  <c r="Y23" i="12"/>
  <c r="I10" i="12" s="1"/>
  <c r="Y34" i="12"/>
  <c r="Z34" i="12"/>
  <c r="S221" i="17"/>
  <c r="W221" i="17" s="1"/>
  <c r="W220" i="17"/>
  <c r="T264" i="23"/>
  <c r="L345" i="17"/>
  <c r="M345" i="17" s="1"/>
  <c r="Y25" i="12"/>
  <c r="Z35" i="12"/>
  <c r="Y35" i="12"/>
  <c r="AJ9" i="6"/>
  <c r="AJ12" i="6"/>
  <c r="M456" i="17"/>
  <c r="M457" i="17" s="1"/>
  <c r="K456" i="17"/>
  <c r="T467" i="17" s="1"/>
  <c r="AP110" i="17" l="1"/>
  <c r="S23" i="11"/>
  <c r="U23" i="11" s="1"/>
  <c r="V493" i="17"/>
  <c r="V494" i="17"/>
  <c r="AK7" i="6"/>
  <c r="P504" i="17"/>
  <c r="Q504" i="17" s="1"/>
  <c r="S528" i="17"/>
  <c r="V528" i="17"/>
  <c r="T528" i="17"/>
  <c r="Y580" i="17"/>
  <c r="U528" i="17"/>
  <c r="U493" i="17"/>
  <c r="U494" i="17"/>
  <c r="T78" i="14"/>
  <c r="W37" i="8"/>
  <c r="V38" i="12"/>
  <c r="AK10" i="6"/>
  <c r="T108" i="23"/>
  <c r="W442" i="17"/>
  <c r="W39" i="8"/>
  <c r="AL9" i="8"/>
  <c r="AC24" i="14"/>
  <c r="AD25" i="14" s="1"/>
  <c r="U39" i="10"/>
  <c r="T76" i="14"/>
  <c r="S376" i="17"/>
  <c r="AV24" i="9"/>
  <c r="AV31" i="9" s="1"/>
  <c r="AV32" i="9" s="1"/>
  <c r="AV33" i="9" s="1"/>
  <c r="AB8" i="11"/>
  <c r="AE53" i="12"/>
  <c r="AL47" i="12" s="1"/>
  <c r="AI7" i="6"/>
  <c r="AH31" i="9"/>
  <c r="AH32" i="9" s="1"/>
  <c r="AH33" i="9" s="1"/>
  <c r="K509" i="17"/>
  <c r="K510" i="17" s="1"/>
  <c r="S325" i="17"/>
  <c r="W394" i="17"/>
  <c r="U376" i="17"/>
  <c r="AK7" i="15"/>
  <c r="AK8" i="15"/>
  <c r="AB80" i="16"/>
  <c r="AA17" i="6"/>
  <c r="AH8" i="6" s="1"/>
  <c r="AI31" i="9"/>
  <c r="AI15" i="15"/>
  <c r="AI14" i="15"/>
  <c r="T39" i="14"/>
  <c r="W341" i="17"/>
  <c r="AJ12" i="16"/>
  <c r="K511" i="17"/>
  <c r="AH16" i="9"/>
  <c r="AH20" i="9" s="1"/>
  <c r="AH21" i="9" s="1"/>
  <c r="T148" i="23"/>
  <c r="AG7" i="15"/>
  <c r="Z14" i="15"/>
  <c r="AG8" i="15" s="1"/>
  <c r="T38" i="8"/>
  <c r="W38" i="8" s="1"/>
  <c r="H9" i="8"/>
  <c r="U38" i="10"/>
  <c r="AI11" i="6"/>
  <c r="P397" i="17"/>
  <c r="AB14" i="15"/>
  <c r="AI8" i="15" s="1"/>
  <c r="AB82" i="16"/>
  <c r="AH15" i="15"/>
  <c r="AH16" i="15" s="1"/>
  <c r="AH20" i="15" s="1"/>
  <c r="AH14" i="15"/>
  <c r="T493" i="17"/>
  <c r="T494" i="17"/>
  <c r="AO110" i="17"/>
  <c r="AJ7" i="15"/>
  <c r="AC14" i="15"/>
  <c r="AJ8" i="15" s="1"/>
  <c r="S494" i="17"/>
  <c r="W476" i="17"/>
  <c r="S493" i="17"/>
  <c r="W493" i="17" s="1"/>
  <c r="U89" i="5"/>
  <c r="AM48" i="5" s="1"/>
  <c r="AA16" i="5"/>
  <c r="V27" i="5"/>
  <c r="AD10" i="5"/>
  <c r="Y28" i="5"/>
  <c r="X28" i="5"/>
  <c r="Z28" i="5" s="1"/>
  <c r="B33" i="2159"/>
  <c r="B36" i="2159" s="1"/>
  <c r="C33" i="2159"/>
  <c r="C36" i="2159" s="1"/>
  <c r="X24" i="5"/>
  <c r="Y24" i="5"/>
  <c r="B102" i="5"/>
  <c r="B101" i="5"/>
  <c r="B94" i="5"/>
  <c r="B97" i="5" s="1"/>
  <c r="B41" i="5" s="1"/>
  <c r="AD8" i="5"/>
  <c r="V25" i="5"/>
  <c r="AD9" i="5"/>
  <c r="G13" i="5" s="1"/>
  <c r="B104" i="5"/>
  <c r="B103" i="5"/>
  <c r="X23" i="5"/>
  <c r="Y23" i="5"/>
  <c r="AG50" i="5"/>
  <c r="AG52" i="5" s="1"/>
  <c r="AG55" i="5" s="1"/>
  <c r="X26" i="5"/>
  <c r="Y26" i="5"/>
  <c r="E11" i="11"/>
  <c r="E14" i="11" s="1"/>
  <c r="L639" i="17"/>
  <c r="M638" i="17"/>
  <c r="Q785" i="17"/>
  <c r="P786" i="17"/>
  <c r="AI32" i="16"/>
  <c r="AI31" i="16"/>
  <c r="AG61" i="15"/>
  <c r="AG60" i="15"/>
  <c r="AN108" i="17"/>
  <c r="Z407" i="17"/>
  <c r="U18" i="20"/>
  <c r="T57" i="20"/>
  <c r="T96" i="20" s="1"/>
  <c r="T135" i="20" s="1"/>
  <c r="T174" i="20" s="1"/>
  <c r="T213" i="20" s="1"/>
  <c r="T252" i="20" s="1"/>
  <c r="T291" i="20" s="1"/>
  <c r="T457" i="17"/>
  <c r="U462" i="17"/>
  <c r="V462" i="17"/>
  <c r="T62" i="23"/>
  <c r="T101" i="23" s="1"/>
  <c r="T140" i="23" s="1"/>
  <c r="T179" i="23" s="1"/>
  <c r="T218" i="23" s="1"/>
  <c r="T257" i="23" s="1"/>
  <c r="T296" i="23" s="1"/>
  <c r="U23" i="23"/>
  <c r="AP15" i="9"/>
  <c r="AP31" i="9"/>
  <c r="AP14" i="9"/>
  <c r="W23" i="11"/>
  <c r="I7" i="11" s="1"/>
  <c r="AH11" i="6"/>
  <c r="AH18" i="6" s="1"/>
  <c r="K555" i="17"/>
  <c r="O561" i="17"/>
  <c r="K563" i="17" s="1"/>
  <c r="M526" i="17"/>
  <c r="S323" i="17"/>
  <c r="W323" i="17" s="1"/>
  <c r="W322" i="17"/>
  <c r="AK8" i="6"/>
  <c r="AK14" i="6" s="1"/>
  <c r="AT14" i="9"/>
  <c r="AT16" i="9" s="1"/>
  <c r="AT20" i="9" s="1"/>
  <c r="AT21" i="9" s="1"/>
  <c r="L542" i="17"/>
  <c r="AN122" i="17"/>
  <c r="Z459" i="17"/>
  <c r="AC48" i="20"/>
  <c r="AC87" i="20" s="1"/>
  <c r="AC126" i="20" s="1"/>
  <c r="AC165" i="20" s="1"/>
  <c r="AC204" i="20" s="1"/>
  <c r="AC243" i="20" s="1"/>
  <c r="AC282" i="20" s="1"/>
  <c r="E13" i="20"/>
  <c r="T186" i="20"/>
  <c r="AK11" i="16"/>
  <c r="AK10" i="16"/>
  <c r="AL9" i="16" s="1"/>
  <c r="AL9" i="14"/>
  <c r="AL48" i="14"/>
  <c r="AN109" i="17"/>
  <c r="Z413" i="17"/>
  <c r="U21" i="20"/>
  <c r="T60" i="20"/>
  <c r="T99" i="20" s="1"/>
  <c r="T138" i="20" s="1"/>
  <c r="T177" i="20" s="1"/>
  <c r="T216" i="20" s="1"/>
  <c r="T255" i="20" s="1"/>
  <c r="T294" i="20" s="1"/>
  <c r="Q589" i="17"/>
  <c r="V467" i="17"/>
  <c r="V461" i="17"/>
  <c r="U467" i="17"/>
  <c r="AL52" i="16"/>
  <c r="AP52" i="16" s="1"/>
  <c r="AM60" i="16" s="1"/>
  <c r="Q397" i="17"/>
  <c r="V511" i="17"/>
  <c r="AQ136" i="17" s="1"/>
  <c r="U512" i="17"/>
  <c r="AP135" i="17" s="1"/>
  <c r="T512" i="17"/>
  <c r="AO135" i="17" s="1"/>
  <c r="V517" i="17"/>
  <c r="AQ137" i="17" s="1"/>
  <c r="S517" i="17"/>
  <c r="U517" i="17"/>
  <c r="AP137" i="17" s="1"/>
  <c r="U511" i="17"/>
  <c r="AP136" i="17" s="1"/>
  <c r="T511" i="17"/>
  <c r="AO136" i="17" s="1"/>
  <c r="V512" i="17"/>
  <c r="AQ135" i="17" s="1"/>
  <c r="T517" i="17"/>
  <c r="AO137" i="17" s="1"/>
  <c r="S511" i="17"/>
  <c r="S512" i="17"/>
  <c r="X412" i="17"/>
  <c r="X407" i="17"/>
  <c r="X413" i="17"/>
  <c r="X411" i="17"/>
  <c r="AH53" i="15"/>
  <c r="AH55" i="15" s="1"/>
  <c r="AH59" i="15" s="1"/>
  <c r="AW31" i="9"/>
  <c r="AW32" i="9" s="1"/>
  <c r="AC387" i="17"/>
  <c r="AC386" i="17"/>
  <c r="AB386" i="17"/>
  <c r="AD386" i="17"/>
  <c r="AB387" i="17"/>
  <c r="AA386" i="17"/>
  <c r="AD387" i="17"/>
  <c r="AA387" i="17"/>
  <c r="AI328" i="17"/>
  <c r="AI332" i="17" s="1"/>
  <c r="AP126" i="17"/>
  <c r="L397" i="17"/>
  <c r="M397" i="17" s="1"/>
  <c r="AB53" i="12"/>
  <c r="AI47" i="12" s="1"/>
  <c r="AI54" i="12" s="1"/>
  <c r="S464" i="17"/>
  <c r="V468" i="17"/>
  <c r="S463" i="17"/>
  <c r="T464" i="17"/>
  <c r="U464" i="17"/>
  <c r="U463" i="17"/>
  <c r="T468" i="17"/>
  <c r="V463" i="17"/>
  <c r="T463" i="17"/>
  <c r="S468" i="17"/>
  <c r="V464" i="17"/>
  <c r="U468" i="17"/>
  <c r="AC53" i="12"/>
  <c r="AJ47" i="12" s="1"/>
  <c r="M636" i="17"/>
  <c r="L629" i="17"/>
  <c r="AB21" i="13"/>
  <c r="AB10" i="13"/>
  <c r="G8" i="13"/>
  <c r="H8" i="13" s="1"/>
  <c r="AB9" i="13"/>
  <c r="AE8" i="13" s="1"/>
  <c r="AV16" i="9"/>
  <c r="AV20" i="9" s="1"/>
  <c r="AV21" i="9" s="1"/>
  <c r="AU24" i="9"/>
  <c r="AU31" i="9" s="1"/>
  <c r="AU32" i="9" s="1"/>
  <c r="AU33" i="9" s="1"/>
  <c r="AJ24" i="9"/>
  <c r="AJ31" i="9" s="1"/>
  <c r="AJ32" i="9" s="1"/>
  <c r="AJ33" i="9" s="1"/>
  <c r="AG10" i="12"/>
  <c r="E12" i="12"/>
  <c r="AD23" i="12"/>
  <c r="AJ11" i="16"/>
  <c r="L440" i="17"/>
  <c r="P453" i="17" s="1"/>
  <c r="M439" i="17"/>
  <c r="X404" i="17"/>
  <c r="AP111" i="17"/>
  <c r="AP112" i="17"/>
  <c r="U20" i="20"/>
  <c r="T59" i="20"/>
  <c r="T98" i="20" s="1"/>
  <c r="T137" i="20" s="1"/>
  <c r="T176" i="20" s="1"/>
  <c r="T215" i="20" s="1"/>
  <c r="T254" i="20" s="1"/>
  <c r="T293" i="20" s="1"/>
  <c r="AE335" i="17"/>
  <c r="V456" i="17"/>
  <c r="S467" i="17"/>
  <c r="Y467" i="17" s="1"/>
  <c r="U466" i="17"/>
  <c r="AL53" i="16"/>
  <c r="P398" i="17"/>
  <c r="Q398" i="17" s="1"/>
  <c r="AE52" i="5"/>
  <c r="AL46" i="5" s="1"/>
  <c r="AC52" i="5"/>
  <c r="AJ46" i="5" s="1"/>
  <c r="AD52" i="5"/>
  <c r="AK46" i="5" s="1"/>
  <c r="AB52" i="5"/>
  <c r="AI46" i="5" s="1"/>
  <c r="AW14" i="9"/>
  <c r="AW16" i="9" s="1"/>
  <c r="AW20" i="9" s="1"/>
  <c r="AW21" i="9" s="1"/>
  <c r="U87" i="5"/>
  <c r="AN15" i="9"/>
  <c r="AN16" i="9" s="1"/>
  <c r="AN20" i="9" s="1"/>
  <c r="AN21" i="9" s="1"/>
  <c r="AN31" i="9"/>
  <c r="AN14" i="9"/>
  <c r="AM47" i="12"/>
  <c r="AI62" i="12" s="1"/>
  <c r="AN121" i="17"/>
  <c r="Z460" i="17"/>
  <c r="AJ33" i="16"/>
  <c r="AJ34" i="16"/>
  <c r="AK18" i="6"/>
  <c r="AK17" i="6"/>
  <c r="Q647" i="17"/>
  <c r="P641" i="17"/>
  <c r="AH28" i="9"/>
  <c r="AH27" i="9"/>
  <c r="AC13" i="14"/>
  <c r="AJ7" i="14" s="1"/>
  <c r="AB13" i="14"/>
  <c r="AI7" i="14" s="1"/>
  <c r="AA13" i="14"/>
  <c r="AD13" i="14"/>
  <c r="AK7" i="14" s="1"/>
  <c r="AD14" i="14"/>
  <c r="AK8" i="14" s="1"/>
  <c r="AD53" i="12"/>
  <c r="AK47" i="12" s="1"/>
  <c r="P644" i="17"/>
  <c r="Q644" i="17" s="1"/>
  <c r="P645" i="17"/>
  <c r="P643" i="17"/>
  <c r="E11" i="12"/>
  <c r="AD22" i="12"/>
  <c r="AC17" i="6"/>
  <c r="H11" i="13"/>
  <c r="C9" i="13"/>
  <c r="AV28" i="9"/>
  <c r="AV27" i="9"/>
  <c r="AT24" i="9"/>
  <c r="AT27" i="9" s="1"/>
  <c r="V133" i="20"/>
  <c r="V166" i="20"/>
  <c r="Y27" i="12"/>
  <c r="Z36" i="12"/>
  <c r="Y36" i="12"/>
  <c r="AJ13" i="16"/>
  <c r="AI55" i="15"/>
  <c r="AI59" i="15" s="1"/>
  <c r="AU16" i="9"/>
  <c r="AU20" i="9" s="1"/>
  <c r="AU21" i="9" s="1"/>
  <c r="U27" i="11"/>
  <c r="AB10" i="11"/>
  <c r="AH7" i="6"/>
  <c r="AQ112" i="17"/>
  <c r="AN107" i="17"/>
  <c r="AN110" i="17" s="1"/>
  <c r="Z408" i="17"/>
  <c r="X23" i="10"/>
  <c r="Y34" i="10"/>
  <c r="X34" i="10"/>
  <c r="U461" i="17"/>
  <c r="S461" i="17"/>
  <c r="T461" i="17"/>
  <c r="U88" i="5"/>
  <c r="T60" i="23"/>
  <c r="T99" i="23" s="1"/>
  <c r="T138" i="23" s="1"/>
  <c r="T177" i="23" s="1"/>
  <c r="T216" i="23" s="1"/>
  <c r="T255" i="23" s="1"/>
  <c r="T294" i="23" s="1"/>
  <c r="U21" i="23"/>
  <c r="P399" i="17"/>
  <c r="Q399" i="17" s="1"/>
  <c r="L491" i="17"/>
  <c r="L496" i="17" s="1"/>
  <c r="M490" i="17"/>
  <c r="K508" i="17"/>
  <c r="T514" i="17" s="1"/>
  <c r="M508" i="17"/>
  <c r="M509" i="17" s="1"/>
  <c r="X408" i="17"/>
  <c r="X405" i="17"/>
  <c r="X410" i="17"/>
  <c r="U25" i="11"/>
  <c r="AB9" i="11"/>
  <c r="AE8" i="11" s="1"/>
  <c r="S393" i="17"/>
  <c r="S392" i="17"/>
  <c r="AB28" i="23"/>
  <c r="AI23" i="6"/>
  <c r="AI24" i="6" s="1"/>
  <c r="AI34" i="6" s="1"/>
  <c r="AI35" i="6" s="1"/>
  <c r="AK23" i="6"/>
  <c r="AH23" i="6"/>
  <c r="AJ23" i="6"/>
  <c r="AJ24" i="6" s="1"/>
  <c r="AO125" i="17"/>
  <c r="AN123" i="17"/>
  <c r="AN126" i="17" s="1"/>
  <c r="Z465" i="17"/>
  <c r="U377" i="17"/>
  <c r="AJ53" i="12"/>
  <c r="AJ54" i="12"/>
  <c r="AI33" i="16"/>
  <c r="AI34" i="16"/>
  <c r="AI14" i="6"/>
  <c r="AI15" i="6"/>
  <c r="AG9" i="12"/>
  <c r="AD21" i="12"/>
  <c r="AG8" i="12"/>
  <c r="E10" i="12"/>
  <c r="AP28" i="9"/>
  <c r="AP27" i="9"/>
  <c r="AL7" i="14"/>
  <c r="AL8" i="14"/>
  <c r="AL46" i="14"/>
  <c r="AL47" i="14"/>
  <c r="Q550" i="17"/>
  <c r="L578" i="17"/>
  <c r="M587" i="17"/>
  <c r="AQ111" i="17"/>
  <c r="AP50" i="16"/>
  <c r="AM58" i="16" s="1"/>
  <c r="AF49" i="14"/>
  <c r="AC62" i="14"/>
  <c r="U457" i="17"/>
  <c r="T456" i="17"/>
  <c r="V457" i="17"/>
  <c r="U18" i="23"/>
  <c r="T57" i="23"/>
  <c r="T96" i="23" s="1"/>
  <c r="T135" i="23" s="1"/>
  <c r="T174" i="23" s="1"/>
  <c r="T213" i="23" s="1"/>
  <c r="T252" i="23" s="1"/>
  <c r="T291" i="23" s="1"/>
  <c r="AJ53" i="15"/>
  <c r="AJ55" i="15" s="1"/>
  <c r="AJ59" i="15" s="1"/>
  <c r="T31" i="20"/>
  <c r="AP67" i="16"/>
  <c r="AP65" i="16"/>
  <c r="AP66" i="16"/>
  <c r="AP68" i="16"/>
  <c r="AP64" i="16"/>
  <c r="AP69" i="16"/>
  <c r="W325" i="17"/>
  <c r="W378" i="17"/>
  <c r="S379" i="17"/>
  <c r="W379" i="17" s="1"/>
  <c r="AI62" i="15"/>
  <c r="AI63" i="15" s="1"/>
  <c r="AH62" i="15"/>
  <c r="AG62" i="15"/>
  <c r="AG63" i="15" s="1"/>
  <c r="AJ62" i="15"/>
  <c r="AJ63" i="15" s="1"/>
  <c r="AI25" i="6"/>
  <c r="AJ25" i="6"/>
  <c r="AH25" i="6"/>
  <c r="AK25" i="6"/>
  <c r="AQ124" i="17"/>
  <c r="AE29" i="20"/>
  <c r="AC10" i="20" s="1"/>
  <c r="AK53" i="12"/>
  <c r="AK54" i="12"/>
  <c r="AH21" i="15"/>
  <c r="AH22" i="15"/>
  <c r="AK24" i="9"/>
  <c r="AK27" i="9" s="1"/>
  <c r="AQ24" i="9"/>
  <c r="AQ31" i="9" s="1"/>
  <c r="AK8" i="13"/>
  <c r="AK7" i="13"/>
  <c r="AX9" i="10"/>
  <c r="AR9" i="10"/>
  <c r="AL9" i="10"/>
  <c r="U19" i="20"/>
  <c r="T58" i="20"/>
  <c r="T97" i="20" s="1"/>
  <c r="T136" i="20" s="1"/>
  <c r="T175" i="20" s="1"/>
  <c r="T214" i="20" s="1"/>
  <c r="T253" i="20" s="1"/>
  <c r="T292" i="20" s="1"/>
  <c r="AI64" i="12"/>
  <c r="AJ64" i="12"/>
  <c r="AK64" i="12"/>
  <c r="AL64" i="12"/>
  <c r="AA15" i="14"/>
  <c r="AD15" i="14"/>
  <c r="AK9" i="14" s="1"/>
  <c r="AC15" i="14"/>
  <c r="AJ9" i="14" s="1"/>
  <c r="AB15" i="14"/>
  <c r="AI9" i="14" s="1"/>
  <c r="S456" i="17"/>
  <c r="S466" i="17"/>
  <c r="T466" i="17"/>
  <c r="AJ10" i="6"/>
  <c r="L689" i="17"/>
  <c r="M689" i="17" s="1"/>
  <c r="Q682" i="17"/>
  <c r="P700" i="17"/>
  <c r="Q700" i="17" s="1"/>
  <c r="P699" i="17"/>
  <c r="L688" i="17"/>
  <c r="L695" i="17"/>
  <c r="M695" i="17" s="1"/>
  <c r="L690" i="17"/>
  <c r="L693" i="17"/>
  <c r="L692" i="17"/>
  <c r="M692" i="17" s="1"/>
  <c r="U19" i="23"/>
  <c r="T58" i="23"/>
  <c r="T97" i="23" s="1"/>
  <c r="T136" i="23" s="1"/>
  <c r="T175" i="23" s="1"/>
  <c r="T214" i="23" s="1"/>
  <c r="T253" i="23" s="1"/>
  <c r="T292" i="23" s="1"/>
  <c r="AD54" i="5"/>
  <c r="AK48" i="5" s="1"/>
  <c r="AB54" i="5"/>
  <c r="AI48" i="5" s="1"/>
  <c r="AC54" i="5"/>
  <c r="AJ48" i="5" s="1"/>
  <c r="AE54" i="5"/>
  <c r="AL48" i="5" s="1"/>
  <c r="M590" i="17"/>
  <c r="L580" i="17"/>
  <c r="L545" i="17"/>
  <c r="M545" i="17" s="1"/>
  <c r="M528" i="17"/>
  <c r="P538" i="17" s="1"/>
  <c r="K564" i="17"/>
  <c r="K565" i="17" s="1"/>
  <c r="U392" i="17"/>
  <c r="U393" i="17"/>
  <c r="AA28" i="23"/>
  <c r="AA29" i="23"/>
  <c r="AB27" i="23"/>
  <c r="AC27" i="23"/>
  <c r="AA27" i="23"/>
  <c r="AQ126" i="17"/>
  <c r="AE27" i="20"/>
  <c r="AC8" i="20" s="1"/>
  <c r="T187" i="20"/>
  <c r="AU28" i="9"/>
  <c r="AU27" i="9"/>
  <c r="AN28" i="9"/>
  <c r="AN27" i="9"/>
  <c r="AI28" i="9"/>
  <c r="AI27" i="9"/>
  <c r="AI29" i="9" s="1"/>
  <c r="AI30" i="9" s="1"/>
  <c r="AK16" i="9"/>
  <c r="AK20" i="9" s="1"/>
  <c r="AK21" i="9" s="1"/>
  <c r="L444" i="17"/>
  <c r="AA81" i="16"/>
  <c r="AI15" i="9"/>
  <c r="AI16" i="9" s="1"/>
  <c r="AI20" i="9" s="1"/>
  <c r="AI21" i="9" s="1"/>
  <c r="AL20" i="9" s="1"/>
  <c r="T77" i="14"/>
  <c r="AO111" i="17"/>
  <c r="U22" i="20"/>
  <c r="T61" i="20"/>
  <c r="T100" i="20" s="1"/>
  <c r="T139" i="20" s="1"/>
  <c r="T178" i="20" s="1"/>
  <c r="T217" i="20" s="1"/>
  <c r="T256" i="20" s="1"/>
  <c r="T295" i="20" s="1"/>
  <c r="V94" i="23"/>
  <c r="V127" i="23"/>
  <c r="AE334" i="17"/>
  <c r="T462" i="17"/>
  <c r="V466" i="17"/>
  <c r="S457" i="17"/>
  <c r="T59" i="23"/>
  <c r="T98" i="23" s="1"/>
  <c r="T137" i="23" s="1"/>
  <c r="T176" i="23" s="1"/>
  <c r="T215" i="23" s="1"/>
  <c r="T254" i="23" s="1"/>
  <c r="T293" i="23" s="1"/>
  <c r="U20" i="23"/>
  <c r="U510" i="17"/>
  <c r="V510" i="17"/>
  <c r="S510" i="17"/>
  <c r="T510" i="17"/>
  <c r="AH328" i="17"/>
  <c r="AH332" i="17" s="1"/>
  <c r="AP56" i="16"/>
  <c r="AP59" i="16"/>
  <c r="AP61" i="16"/>
  <c r="AP60" i="16"/>
  <c r="AP57" i="16"/>
  <c r="AP58" i="16"/>
  <c r="AB29" i="23"/>
  <c r="T185" i="20"/>
  <c r="P602" i="17"/>
  <c r="Q593" i="17"/>
  <c r="AO126" i="17"/>
  <c r="W28" i="11"/>
  <c r="AF212" i="17"/>
  <c r="AF47" i="14"/>
  <c r="AC60" i="14"/>
  <c r="AF48" i="14"/>
  <c r="AI18" i="6"/>
  <c r="AI17" i="6"/>
  <c r="V37" i="12"/>
  <c r="Q486" i="17"/>
  <c r="P499" i="17"/>
  <c r="P495" i="17"/>
  <c r="AL54" i="12"/>
  <c r="AL53" i="12"/>
  <c r="L642" i="17"/>
  <c r="M641" i="17"/>
  <c r="T147" i="23"/>
  <c r="P734" i="17"/>
  <c r="Q733" i="17"/>
  <c r="AW28" i="9"/>
  <c r="AW27" i="9"/>
  <c r="AW29" i="9" s="1"/>
  <c r="AW30" i="9" s="1"/>
  <c r="AO28" i="9"/>
  <c r="AO27" i="9"/>
  <c r="AO29" i="9" s="1"/>
  <c r="AO30" i="9" s="1"/>
  <c r="AJ28" i="9"/>
  <c r="AJ27" i="9"/>
  <c r="T30" i="20"/>
  <c r="Q443" i="17"/>
  <c r="P445" i="17"/>
  <c r="Q445" i="17" s="1"/>
  <c r="P451" i="17"/>
  <c r="Q451" i="17" s="1"/>
  <c r="AQ15" i="9"/>
  <c r="AQ14" i="9"/>
  <c r="M577" i="17"/>
  <c r="L594" i="17"/>
  <c r="AO15" i="9"/>
  <c r="AO14" i="9"/>
  <c r="AO31" i="9"/>
  <c r="AO32" i="9" s="1"/>
  <c r="AO33" i="9" s="1"/>
  <c r="AO112" i="17"/>
  <c r="U23" i="20"/>
  <c r="T62" i="20"/>
  <c r="T101" i="20" s="1"/>
  <c r="T140" i="20" s="1"/>
  <c r="T179" i="20" s="1"/>
  <c r="T218" i="20" s="1"/>
  <c r="T257" i="20" s="1"/>
  <c r="T296" i="20" s="1"/>
  <c r="S462" i="17"/>
  <c r="Y462" i="17" s="1"/>
  <c r="U456" i="17"/>
  <c r="T29" i="20"/>
  <c r="U22" i="23"/>
  <c r="T61" i="23"/>
  <c r="T100" i="23" s="1"/>
  <c r="T139" i="23" s="1"/>
  <c r="T178" i="23" s="1"/>
  <c r="T217" i="23" s="1"/>
  <c r="T256" i="23" s="1"/>
  <c r="T295" i="23" s="1"/>
  <c r="AJ16" i="9"/>
  <c r="AJ20" i="9" s="1"/>
  <c r="AJ21" i="9" s="1"/>
  <c r="AH379" i="17"/>
  <c r="AI379" i="17"/>
  <c r="Q401" i="17"/>
  <c r="AJ379" i="17"/>
  <c r="AK379" i="17"/>
  <c r="X406" i="17"/>
  <c r="X409" i="17"/>
  <c r="T146" i="23"/>
  <c r="AB81" i="16"/>
  <c r="U374" i="17"/>
  <c r="U375" i="17" s="1"/>
  <c r="L395" i="17"/>
  <c r="M395" i="17" s="1"/>
  <c r="V374" i="17"/>
  <c r="V375" i="17" s="1"/>
  <c r="S374" i="17"/>
  <c r="M391" i="17"/>
  <c r="T374" i="17"/>
  <c r="T375" i="17" s="1"/>
  <c r="AK328" i="17"/>
  <c r="AK332" i="17" s="1"/>
  <c r="AC28" i="23"/>
  <c r="P604" i="17"/>
  <c r="Q604" i="17" s="1"/>
  <c r="P600" i="17"/>
  <c r="Q600" i="17" s="1"/>
  <c r="Q591" i="17"/>
  <c r="AP124" i="17"/>
  <c r="S377" i="17"/>
  <c r="W376" i="17"/>
  <c r="AF368" i="17" s="1"/>
  <c r="X34" i="5" l="1"/>
  <c r="AK13" i="16"/>
  <c r="AL7" i="8"/>
  <c r="AP53" i="16"/>
  <c r="AM61" i="16" s="1"/>
  <c r="X34" i="11"/>
  <c r="AM33" i="16"/>
  <c r="AK31" i="9"/>
  <c r="AK32" i="9" s="1"/>
  <c r="AK33" i="9" s="1"/>
  <c r="AP49" i="16"/>
  <c r="AM57" i="16" s="1"/>
  <c r="AO61" i="16"/>
  <c r="AP48" i="16"/>
  <c r="AM56" i="16" s="1"/>
  <c r="V509" i="17"/>
  <c r="U545" i="17"/>
  <c r="U546" i="17"/>
  <c r="AC63" i="14"/>
  <c r="AD64" i="14" s="1"/>
  <c r="AP51" i="16"/>
  <c r="AM59" i="16" s="1"/>
  <c r="AI16" i="15"/>
  <c r="AI20" i="15" s="1"/>
  <c r="Y632" i="17"/>
  <c r="T580" i="17"/>
  <c r="U580" i="17"/>
  <c r="S580" i="17"/>
  <c r="V580" i="17"/>
  <c r="P454" i="17"/>
  <c r="Q454" i="17" s="1"/>
  <c r="AQ32" i="9"/>
  <c r="AQ33" i="9" s="1"/>
  <c r="V513" i="17"/>
  <c r="AE9" i="13"/>
  <c r="AQ138" i="17"/>
  <c r="S514" i="17"/>
  <c r="T546" i="17"/>
  <c r="T545" i="17"/>
  <c r="AD24" i="12"/>
  <c r="AE25" i="12" s="1"/>
  <c r="AT29" i="9"/>
  <c r="AT30" i="9" s="1"/>
  <c r="V545" i="17"/>
  <c r="V546" i="17"/>
  <c r="AO56" i="16"/>
  <c r="P450" i="17"/>
  <c r="Q450" i="17" s="1"/>
  <c r="AT28" i="9"/>
  <c r="AC14" i="14"/>
  <c r="AJ8" i="14" s="1"/>
  <c r="V377" i="17"/>
  <c r="AI25" i="8"/>
  <c r="AB22" i="8" s="1"/>
  <c r="AJ25" i="8"/>
  <c r="AC22" i="8" s="1"/>
  <c r="AH25" i="8"/>
  <c r="AA22" i="8" s="1"/>
  <c r="AK25" i="8"/>
  <c r="AD22" i="8" s="1"/>
  <c r="S546" i="17"/>
  <c r="S545" i="17"/>
  <c r="W528" i="17"/>
  <c r="AN29" i="9"/>
  <c r="AN30" i="9" s="1"/>
  <c r="AC9" i="13"/>
  <c r="E9" i="13" s="1"/>
  <c r="AP140" i="17"/>
  <c r="AP32" i="9"/>
  <c r="AI25" i="15"/>
  <c r="AJ25" i="15"/>
  <c r="AH25" i="15"/>
  <c r="AG25" i="15"/>
  <c r="AK55" i="12"/>
  <c r="AK59" i="12" s="1"/>
  <c r="P556" i="17"/>
  <c r="Q556" i="17" s="1"/>
  <c r="AI31" i="6"/>
  <c r="AI32" i="6" s="1"/>
  <c r="AI33" i="6" s="1"/>
  <c r="AH29" i="9"/>
  <c r="AH30" i="9" s="1"/>
  <c r="AH35" i="9" s="1"/>
  <c r="AH39" i="9" s="1"/>
  <c r="B12" i="9" s="1"/>
  <c r="AK28" i="9"/>
  <c r="AK29" i="9" s="1"/>
  <c r="AK30" i="9" s="1"/>
  <c r="AH23" i="15"/>
  <c r="AH24" i="15" s="1"/>
  <c r="AJ23" i="15"/>
  <c r="AG23" i="15"/>
  <c r="AI23" i="15"/>
  <c r="AO57" i="16"/>
  <c r="AU29" i="9"/>
  <c r="AU30" i="9" s="1"/>
  <c r="AW33" i="9"/>
  <c r="AJ29" i="9"/>
  <c r="AJ30" i="9" s="1"/>
  <c r="AJ35" i="9" s="1"/>
  <c r="AJ39" i="9" s="1"/>
  <c r="D12" i="9" s="1"/>
  <c r="T377" i="17"/>
  <c r="AO138" i="17"/>
  <c r="W494" i="17"/>
  <c r="AG15" i="15"/>
  <c r="AG14" i="15"/>
  <c r="AN61" i="16"/>
  <c r="AH79" i="16" s="1"/>
  <c r="W392" i="17"/>
  <c r="AX20" i="9"/>
  <c r="AK19" i="6"/>
  <c r="AK21" i="6" s="1"/>
  <c r="AJ15" i="15"/>
  <c r="AJ16" i="15" s="1"/>
  <c r="AJ20" i="15" s="1"/>
  <c r="AJ14" i="15"/>
  <c r="AL8" i="8"/>
  <c r="AG51" i="5"/>
  <c r="AG54" i="5" s="1"/>
  <c r="AG56" i="5" s="1"/>
  <c r="H26" i="5" s="1"/>
  <c r="B95" i="5"/>
  <c r="B98" i="5" s="1"/>
  <c r="B42" i="5" s="1"/>
  <c r="Y34" i="5"/>
  <c r="J7" i="5" s="1"/>
  <c r="G7" i="5"/>
  <c r="H7" i="5" s="1"/>
  <c r="AA23" i="5"/>
  <c r="Z23" i="5"/>
  <c r="AG8" i="5"/>
  <c r="G12" i="5"/>
  <c r="AG9" i="5"/>
  <c r="C32" i="2159"/>
  <c r="C35" i="2159" s="1"/>
  <c r="AE53" i="5"/>
  <c r="AL47" i="5" s="1"/>
  <c r="AL54" i="5" s="1"/>
  <c r="I7" i="5"/>
  <c r="F15" i="5" s="1"/>
  <c r="J20" i="5" s="1"/>
  <c r="U37" i="5"/>
  <c r="Z26" i="5"/>
  <c r="G9" i="5"/>
  <c r="G14" i="5"/>
  <c r="AG10" i="5"/>
  <c r="AG14" i="5"/>
  <c r="G8" i="5"/>
  <c r="H8" i="5" s="1"/>
  <c r="Z24" i="5"/>
  <c r="Y27" i="5"/>
  <c r="X36" i="5"/>
  <c r="Y36" i="5"/>
  <c r="J9" i="5" s="1"/>
  <c r="X27" i="5"/>
  <c r="Z27" i="5" s="1"/>
  <c r="Y35" i="5"/>
  <c r="J8" i="5" s="1"/>
  <c r="X25" i="5"/>
  <c r="Z25" i="5" s="1"/>
  <c r="Y25" i="5"/>
  <c r="X35" i="5"/>
  <c r="B32" i="2159"/>
  <c r="B35" i="2159" s="1"/>
  <c r="AI63" i="12"/>
  <c r="AI67" i="12" s="1"/>
  <c r="AJ34" i="9"/>
  <c r="AU34" i="9"/>
  <c r="AU35" i="9"/>
  <c r="AU39" i="9" s="1"/>
  <c r="V564" i="17"/>
  <c r="AQ149" i="17" s="1"/>
  <c r="U563" i="17"/>
  <c r="AP150" i="17" s="1"/>
  <c r="T563" i="17"/>
  <c r="AO150" i="17" s="1"/>
  <c r="T569" i="17"/>
  <c r="AO151" i="17" s="1"/>
  <c r="S564" i="17"/>
  <c r="V563" i="17"/>
  <c r="AQ150" i="17" s="1"/>
  <c r="U564" i="17"/>
  <c r="AP149" i="17" s="1"/>
  <c r="V569" i="17"/>
  <c r="AQ151" i="17" s="1"/>
  <c r="T564" i="17"/>
  <c r="AO149" i="17" s="1"/>
  <c r="AO152" i="17" s="1"/>
  <c r="S569" i="17"/>
  <c r="S563" i="17"/>
  <c r="U569" i="17"/>
  <c r="AP151" i="17" s="1"/>
  <c r="AH431" i="17"/>
  <c r="AI431" i="17"/>
  <c r="AJ431" i="17"/>
  <c r="AK431" i="17"/>
  <c r="Q453" i="17"/>
  <c r="AH60" i="15"/>
  <c r="AH61" i="15"/>
  <c r="P652" i="17"/>
  <c r="Q652" i="17" s="1"/>
  <c r="P656" i="17"/>
  <c r="Q656" i="17" s="1"/>
  <c r="Q643" i="17"/>
  <c r="AH378" i="17"/>
  <c r="V23" i="23"/>
  <c r="V62" i="23" s="1"/>
  <c r="V101" i="23" s="1"/>
  <c r="V140" i="23" s="1"/>
  <c r="V179" i="23" s="1"/>
  <c r="V218" i="23" s="1"/>
  <c r="V257" i="23" s="1"/>
  <c r="V296" i="23" s="1"/>
  <c r="U62" i="23"/>
  <c r="U101" i="23" s="1"/>
  <c r="U140" i="23" s="1"/>
  <c r="U179" i="23" s="1"/>
  <c r="U218" i="23" s="1"/>
  <c r="U257" i="23" s="1"/>
  <c r="U296" i="23" s="1"/>
  <c r="AJ60" i="15"/>
  <c r="AJ61" i="15"/>
  <c r="P449" i="17"/>
  <c r="AI19" i="6"/>
  <c r="AI21" i="6" s="1"/>
  <c r="AO60" i="16"/>
  <c r="M444" i="17"/>
  <c r="AE29" i="23"/>
  <c r="AC10" i="23" s="1"/>
  <c r="V19" i="23"/>
  <c r="U58" i="23"/>
  <c r="U97" i="23" s="1"/>
  <c r="U136" i="23" s="1"/>
  <c r="U175" i="23" s="1"/>
  <c r="U214" i="23" s="1"/>
  <c r="U253" i="23" s="1"/>
  <c r="U292" i="23" s="1"/>
  <c r="AC49" i="20"/>
  <c r="E14" i="20"/>
  <c r="AF10" i="20"/>
  <c r="AN56" i="16"/>
  <c r="V18" i="23"/>
  <c r="U57" i="23"/>
  <c r="U96" i="23" s="1"/>
  <c r="U135" i="23" s="1"/>
  <c r="U174" i="23" s="1"/>
  <c r="U213" i="23" s="1"/>
  <c r="U252" i="23" s="1"/>
  <c r="U291" i="23" s="1"/>
  <c r="AD31" i="23"/>
  <c r="AD70" i="23" s="1"/>
  <c r="AD109" i="23" s="1"/>
  <c r="AD148" i="23" s="1"/>
  <c r="AD187" i="23" s="1"/>
  <c r="AD226" i="23" s="1"/>
  <c r="AD265" i="23" s="1"/>
  <c r="AD304" i="23" s="1"/>
  <c r="AC31" i="23"/>
  <c r="AP29" i="9"/>
  <c r="AP30" i="9" s="1"/>
  <c r="AJ27" i="6"/>
  <c r="AJ28" i="6"/>
  <c r="V21" i="23"/>
  <c r="U60" i="23"/>
  <c r="U99" i="23" s="1"/>
  <c r="U138" i="23" s="1"/>
  <c r="U177" i="23" s="1"/>
  <c r="U216" i="23" s="1"/>
  <c r="U255" i="23" s="1"/>
  <c r="U294" i="23" s="1"/>
  <c r="Y461" i="17"/>
  <c r="V39" i="12"/>
  <c r="AM9" i="12" s="1"/>
  <c r="AV29" i="9"/>
  <c r="AV30" i="9" s="1"/>
  <c r="AV34" i="9" s="1"/>
  <c r="P654" i="17"/>
  <c r="Q645" i="17"/>
  <c r="AB14" i="14"/>
  <c r="AI8" i="14" s="1"/>
  <c r="AN124" i="17"/>
  <c r="X462" i="17"/>
  <c r="X457" i="17"/>
  <c r="X460" i="17"/>
  <c r="AN137" i="17"/>
  <c r="Z517" i="17"/>
  <c r="AK378" i="17"/>
  <c r="U60" i="20"/>
  <c r="U99" i="20" s="1"/>
  <c r="U138" i="20" s="1"/>
  <c r="U177" i="20" s="1"/>
  <c r="U216" i="20" s="1"/>
  <c r="U255" i="20" s="1"/>
  <c r="U294" i="20" s="1"/>
  <c r="V21" i="20"/>
  <c r="AL13" i="16"/>
  <c r="AP25" i="16" s="1"/>
  <c r="AL10" i="16"/>
  <c r="AL12" i="16" s="1"/>
  <c r="AL11" i="16"/>
  <c r="AP7" i="16" s="1"/>
  <c r="U508" i="17"/>
  <c r="S519" i="17"/>
  <c r="S508" i="17"/>
  <c r="AK62" i="12"/>
  <c r="AH17" i="6"/>
  <c r="AH19" i="6" s="1"/>
  <c r="AH21" i="6" s="1"/>
  <c r="Q538" i="17"/>
  <c r="P551" i="17"/>
  <c r="P547" i="17"/>
  <c r="U61" i="23"/>
  <c r="U100" i="23" s="1"/>
  <c r="U139" i="23" s="1"/>
  <c r="U178" i="23" s="1"/>
  <c r="U217" i="23" s="1"/>
  <c r="U256" i="23" s="1"/>
  <c r="U295" i="23" s="1"/>
  <c r="V22" i="23"/>
  <c r="V61" i="23" s="1"/>
  <c r="V100" i="23" s="1"/>
  <c r="V139" i="23" s="1"/>
  <c r="V178" i="23" s="1"/>
  <c r="V217" i="23" s="1"/>
  <c r="V256" i="23" s="1"/>
  <c r="V295" i="23" s="1"/>
  <c r="AD33" i="23"/>
  <c r="AD72" i="23" s="1"/>
  <c r="AD111" i="23" s="1"/>
  <c r="AD150" i="23" s="1"/>
  <c r="AD189" i="23" s="1"/>
  <c r="AD228" i="23" s="1"/>
  <c r="AD267" i="23" s="1"/>
  <c r="AD306" i="23" s="1"/>
  <c r="AC33" i="23"/>
  <c r="V23" i="20"/>
  <c r="V62" i="20" s="1"/>
  <c r="V101" i="20" s="1"/>
  <c r="V140" i="20" s="1"/>
  <c r="V179" i="20" s="1"/>
  <c r="V218" i="20" s="1"/>
  <c r="V257" i="20" s="1"/>
  <c r="V296" i="20" s="1"/>
  <c r="U62" i="20"/>
  <c r="U101" i="20" s="1"/>
  <c r="U140" i="20" s="1"/>
  <c r="U179" i="20" s="1"/>
  <c r="U218" i="20" s="1"/>
  <c r="U257" i="20" s="1"/>
  <c r="U296" i="20" s="1"/>
  <c r="AI36" i="6"/>
  <c r="Y457" i="17"/>
  <c r="V22" i="20"/>
  <c r="V61" i="20" s="1"/>
  <c r="V100" i="20" s="1"/>
  <c r="V139" i="20" s="1"/>
  <c r="V178" i="20" s="1"/>
  <c r="V217" i="20" s="1"/>
  <c r="V256" i="20" s="1"/>
  <c r="V295" i="20" s="1"/>
  <c r="U61" i="20"/>
  <c r="U100" i="20" s="1"/>
  <c r="U139" i="20" s="1"/>
  <c r="U178" i="20" s="1"/>
  <c r="U217" i="20" s="1"/>
  <c r="U256" i="20" s="1"/>
  <c r="U295" i="20" s="1"/>
  <c r="AD33" i="20"/>
  <c r="AD72" i="20" s="1"/>
  <c r="AD111" i="20" s="1"/>
  <c r="AD150" i="20" s="1"/>
  <c r="AD189" i="20" s="1"/>
  <c r="AD228" i="20" s="1"/>
  <c r="AD267" i="20" s="1"/>
  <c r="AD306" i="20" s="1"/>
  <c r="AC33" i="20"/>
  <c r="AE28" i="23"/>
  <c r="AC9" i="23" s="1"/>
  <c r="K616" i="17"/>
  <c r="K617" i="17" s="1"/>
  <c r="L597" i="17"/>
  <c r="M597" i="17" s="1"/>
  <c r="M580" i="17"/>
  <c r="AA19" i="14"/>
  <c r="AH9" i="14"/>
  <c r="AI67" i="15"/>
  <c r="AI66" i="15"/>
  <c r="AI70" i="15"/>
  <c r="AI71" i="15" s="1"/>
  <c r="AI72" i="15" s="1"/>
  <c r="AN60" i="16"/>
  <c r="AB54" i="14"/>
  <c r="AI48" i="14" s="1"/>
  <c r="AC54" i="14"/>
  <c r="AJ48" i="14" s="1"/>
  <c r="AA54" i="14"/>
  <c r="AH48" i="14" s="1"/>
  <c r="AD54" i="14"/>
  <c r="AK48" i="14" s="1"/>
  <c r="AK24" i="6"/>
  <c r="AK34" i="6" s="1"/>
  <c r="AK35" i="6" s="1"/>
  <c r="AK36" i="6" s="1"/>
  <c r="AH14" i="6"/>
  <c r="AH15" i="6"/>
  <c r="E23" i="6"/>
  <c r="AP20" i="6"/>
  <c r="AP22" i="6"/>
  <c r="AB53" i="5"/>
  <c r="AI47" i="5" s="1"/>
  <c r="AI54" i="5" s="1"/>
  <c r="AC10" i="13"/>
  <c r="E10" i="13" s="1"/>
  <c r="X459" i="17"/>
  <c r="X465" i="17"/>
  <c r="X463" i="17"/>
  <c r="X464" i="17"/>
  <c r="AE387" i="17"/>
  <c r="AW34" i="9"/>
  <c r="AW35" i="9"/>
  <c r="AW39" i="9" s="1"/>
  <c r="AN135" i="17"/>
  <c r="Z512" i="17"/>
  <c r="AQ140" i="17"/>
  <c r="AJ378" i="17"/>
  <c r="T519" i="17"/>
  <c r="S509" i="17"/>
  <c r="V514" i="17"/>
  <c r="AV35" i="9"/>
  <c r="AV39" i="9" s="1"/>
  <c r="W34" i="11"/>
  <c r="AN111" i="17"/>
  <c r="L630" i="17"/>
  <c r="M639" i="17"/>
  <c r="AL62" i="12"/>
  <c r="V20" i="23"/>
  <c r="U59" i="23"/>
  <c r="U98" i="23" s="1"/>
  <c r="U137" i="23" s="1"/>
  <c r="U176" i="23" s="1"/>
  <c r="U215" i="23" s="1"/>
  <c r="U254" i="23" s="1"/>
  <c r="U293" i="23" s="1"/>
  <c r="AD32" i="23"/>
  <c r="AD71" i="23" s="1"/>
  <c r="AD110" i="23" s="1"/>
  <c r="AD149" i="23" s="1"/>
  <c r="AD188" i="23" s="1"/>
  <c r="AD227" i="23" s="1"/>
  <c r="AD266" i="23" s="1"/>
  <c r="AD305" i="23" s="1"/>
  <c r="AC32" i="23"/>
  <c r="AK380" i="17"/>
  <c r="AK384" i="17" s="1"/>
  <c r="L595" i="17"/>
  <c r="L600" i="17" s="1"/>
  <c r="M594" i="17"/>
  <c r="AL55" i="12"/>
  <c r="AL59" i="12" s="1"/>
  <c r="L694" i="17"/>
  <c r="M693" i="17"/>
  <c r="AN58" i="16"/>
  <c r="O613" i="17"/>
  <c r="K613" i="17" s="1"/>
  <c r="K614" i="17" s="1"/>
  <c r="M578" i="17"/>
  <c r="K607" i="17"/>
  <c r="AJ62" i="14"/>
  <c r="AH63" i="14"/>
  <c r="AH62" i="14"/>
  <c r="AI62" i="14"/>
  <c r="AK62" i="14"/>
  <c r="AI63" i="14"/>
  <c r="G10" i="12"/>
  <c r="G14" i="12"/>
  <c r="AJ55" i="12"/>
  <c r="AJ59" i="12" s="1"/>
  <c r="W393" i="17"/>
  <c r="U37" i="10"/>
  <c r="E13" i="11"/>
  <c r="G14" i="11" s="1"/>
  <c r="AE10" i="11"/>
  <c r="AJ14" i="14"/>
  <c r="AJ15" i="14"/>
  <c r="AN32" i="9"/>
  <c r="AN33" i="9" s="1"/>
  <c r="AD53" i="5"/>
  <c r="AK47" i="5" s="1"/>
  <c r="AK54" i="5" s="1"/>
  <c r="AC8" i="13"/>
  <c r="X458" i="17"/>
  <c r="X461" i="17"/>
  <c r="AN136" i="17"/>
  <c r="AN139" i="17" s="1"/>
  <c r="Z511" i="17"/>
  <c r="AI378" i="17"/>
  <c r="AI380" i="17" s="1"/>
  <c r="AI384" i="17" s="1"/>
  <c r="AN112" i="17"/>
  <c r="U519" i="17"/>
  <c r="T509" i="17"/>
  <c r="V508" i="17"/>
  <c r="AQ27" i="9"/>
  <c r="AJ62" i="12"/>
  <c r="L632" i="17"/>
  <c r="M642" i="17"/>
  <c r="Q495" i="17"/>
  <c r="P497" i="17"/>
  <c r="Q497" i="17" s="1"/>
  <c r="AE386" i="17"/>
  <c r="AO140" i="17"/>
  <c r="AP138" i="17"/>
  <c r="AK64" i="14"/>
  <c r="AI64" i="14"/>
  <c r="AJ64" i="14"/>
  <c r="AH64" i="14"/>
  <c r="S518" i="17"/>
  <c r="T513" i="17"/>
  <c r="V519" i="17"/>
  <c r="AQ28" i="9"/>
  <c r="AN125" i="17"/>
  <c r="AI32" i="9"/>
  <c r="AI33" i="9" s="1"/>
  <c r="P697" i="17"/>
  <c r="P695" i="17"/>
  <c r="P696" i="17"/>
  <c r="Q696" i="17" s="1"/>
  <c r="AB15" i="12"/>
  <c r="AI9" i="12" s="1"/>
  <c r="AC15" i="12"/>
  <c r="AJ9" i="12" s="1"/>
  <c r="AD15" i="12"/>
  <c r="AK9" i="12" s="1"/>
  <c r="AE15" i="12"/>
  <c r="AL9" i="12" s="1"/>
  <c r="AJ380" i="17"/>
  <c r="AJ384" i="17" s="1"/>
  <c r="AK61" i="12"/>
  <c r="AK60" i="12"/>
  <c r="AB13" i="12"/>
  <c r="AI7" i="12" s="1"/>
  <c r="AE13" i="12"/>
  <c r="AL7" i="12" s="1"/>
  <c r="AC13" i="12"/>
  <c r="AJ7" i="12" s="1"/>
  <c r="AB14" i="12"/>
  <c r="AI8" i="12" s="1"/>
  <c r="AD13" i="12"/>
  <c r="AK7" i="12" s="1"/>
  <c r="AK28" i="6"/>
  <c r="AK27" i="6"/>
  <c r="V520" i="17"/>
  <c r="T520" i="17"/>
  <c r="V515" i="17"/>
  <c r="U520" i="17"/>
  <c r="T516" i="17"/>
  <c r="S520" i="17"/>
  <c r="S515" i="17"/>
  <c r="U516" i="17"/>
  <c r="U515" i="17"/>
  <c r="T515" i="17"/>
  <c r="S516" i="17"/>
  <c r="V516" i="17"/>
  <c r="W27" i="11"/>
  <c r="X36" i="11"/>
  <c r="W36" i="11"/>
  <c r="T39" i="11" s="1"/>
  <c r="AK9" i="11" s="1"/>
  <c r="W377" i="17"/>
  <c r="AA52" i="14"/>
  <c r="AH46" i="14" s="1"/>
  <c r="AD52" i="14"/>
  <c r="AK46" i="14" s="1"/>
  <c r="AB52" i="14"/>
  <c r="AI46" i="14" s="1"/>
  <c r="AD53" i="14"/>
  <c r="AK47" i="14" s="1"/>
  <c r="AC52" i="14"/>
  <c r="AJ46" i="14" s="1"/>
  <c r="AC53" i="14"/>
  <c r="AJ47" i="14" s="1"/>
  <c r="X508" i="17"/>
  <c r="Y466" i="17"/>
  <c r="AI23" i="13"/>
  <c r="AH23" i="13"/>
  <c r="AG23" i="13"/>
  <c r="AJ23" i="13"/>
  <c r="AJ24" i="13" s="1"/>
  <c r="AN59" i="16"/>
  <c r="AH77" i="16" s="1"/>
  <c r="AO73" i="16"/>
  <c r="AA64" i="16"/>
  <c r="AC64" i="16" s="1"/>
  <c r="AE64" i="16" s="1"/>
  <c r="AI23" i="14"/>
  <c r="AH23" i="14"/>
  <c r="AH24" i="14" s="1"/>
  <c r="AJ24" i="14"/>
  <c r="AK23" i="14"/>
  <c r="AJ23" i="14"/>
  <c r="AK24" i="14"/>
  <c r="AK15" i="6"/>
  <c r="AK16" i="6" s="1"/>
  <c r="AK20" i="6" s="1"/>
  <c r="W25" i="11"/>
  <c r="X35" i="11"/>
  <c r="W35" i="11"/>
  <c r="F10" i="10"/>
  <c r="E9" i="10"/>
  <c r="AB10" i="10"/>
  <c r="AD8" i="10" s="1"/>
  <c r="E8" i="10"/>
  <c r="W23" i="10"/>
  <c r="E7" i="10"/>
  <c r="AB8" i="10"/>
  <c r="AC5" i="10"/>
  <c r="AJ11" i="6"/>
  <c r="AJ18" i="6" s="1"/>
  <c r="AJ8" i="6"/>
  <c r="AJ31" i="6" s="1"/>
  <c r="AK14" i="14"/>
  <c r="AK15" i="14"/>
  <c r="AF37" i="16"/>
  <c r="AE36" i="16"/>
  <c r="AB39" i="16" s="1"/>
  <c r="AF108" i="16" s="1"/>
  <c r="AF36" i="16"/>
  <c r="AE37" i="16"/>
  <c r="AM47" i="5"/>
  <c r="AM46" i="5"/>
  <c r="AJ31" i="16"/>
  <c r="AM31" i="16" s="1"/>
  <c r="AJ32" i="16"/>
  <c r="AM32" i="16" s="1"/>
  <c r="L646" i="17"/>
  <c r="M629" i="17"/>
  <c r="AQ139" i="17"/>
  <c r="AH25" i="14"/>
  <c r="AK25" i="14"/>
  <c r="AI25" i="14"/>
  <c r="AJ25" i="14"/>
  <c r="U518" i="17"/>
  <c r="T518" i="17"/>
  <c r="V518" i="17"/>
  <c r="AP23" i="16"/>
  <c r="L543" i="17"/>
  <c r="L548" i="17" s="1"/>
  <c r="M542" i="17"/>
  <c r="K560" i="17"/>
  <c r="T570" i="17" s="1"/>
  <c r="M560" i="17"/>
  <c r="M561" i="17" s="1"/>
  <c r="AP10" i="16"/>
  <c r="P803" i="17"/>
  <c r="L793" i="17"/>
  <c r="M793" i="17" s="1"/>
  <c r="L794" i="17"/>
  <c r="Q786" i="17"/>
  <c r="L792" i="17"/>
  <c r="P804" i="17"/>
  <c r="Q804" i="17" s="1"/>
  <c r="L797" i="17"/>
  <c r="L799" i="17"/>
  <c r="M799" i="17" s="1"/>
  <c r="L796" i="17"/>
  <c r="M796" i="17" s="1"/>
  <c r="AT31" i="9"/>
  <c r="AT32" i="9" s="1"/>
  <c r="AT33" i="9" s="1"/>
  <c r="AI14" i="14"/>
  <c r="AI15" i="14"/>
  <c r="AE10" i="13"/>
  <c r="AC13" i="13" s="1"/>
  <c r="AJ7" i="13" s="1"/>
  <c r="AB23" i="13"/>
  <c r="C10" i="13"/>
  <c r="G10" i="13"/>
  <c r="H10" i="13" s="1"/>
  <c r="AO34" i="9"/>
  <c r="AO35" i="9"/>
  <c r="AO39" i="9" s="1"/>
  <c r="Q602" i="17"/>
  <c r="P608" i="17"/>
  <c r="Q608" i="17" s="1"/>
  <c r="L691" i="17"/>
  <c r="M690" i="17"/>
  <c r="AN57" i="16"/>
  <c r="P505" i="17"/>
  <c r="AO16" i="9"/>
  <c r="AO20" i="9" s="1"/>
  <c r="AO21" i="9" s="1"/>
  <c r="AC47" i="20"/>
  <c r="AF9" i="20"/>
  <c r="E12" i="20"/>
  <c r="AF8" i="20"/>
  <c r="AE27" i="23"/>
  <c r="AC8" i="23" s="1"/>
  <c r="L681" i="17"/>
  <c r="M688" i="17"/>
  <c r="Y456" i="17"/>
  <c r="AI25" i="13"/>
  <c r="AH25" i="13"/>
  <c r="AG25" i="13"/>
  <c r="AJ25" i="13"/>
  <c r="AG67" i="15"/>
  <c r="AG66" i="15"/>
  <c r="AG70" i="15"/>
  <c r="AG71" i="15" s="1"/>
  <c r="AG72" i="15" s="1"/>
  <c r="AM62" i="16"/>
  <c r="AA68" i="16" s="1"/>
  <c r="AC68" i="16" s="1"/>
  <c r="AA67" i="16"/>
  <c r="AC67" i="16" s="1"/>
  <c r="AE67" i="16" s="1"/>
  <c r="AA65" i="16"/>
  <c r="AC65" i="16" s="1"/>
  <c r="AE65" i="16" s="1"/>
  <c r="AO72" i="16"/>
  <c r="AK31" i="6"/>
  <c r="AK32" i="6" s="1"/>
  <c r="AK33" i="6" s="1"/>
  <c r="AI27" i="6"/>
  <c r="AI28" i="6"/>
  <c r="M496" i="17"/>
  <c r="AH7" i="14"/>
  <c r="AA17" i="14"/>
  <c r="Q641" i="17"/>
  <c r="AC53" i="5"/>
  <c r="AJ47" i="5" s="1"/>
  <c r="AJ53" i="5" s="1"/>
  <c r="G9" i="13"/>
  <c r="H9" i="13" s="1"/>
  <c r="AB22" i="13"/>
  <c r="AB24" i="13" s="1"/>
  <c r="AC25" i="13" s="1"/>
  <c r="AO139" i="17"/>
  <c r="S513" i="17"/>
  <c r="Y513" i="17" s="1"/>
  <c r="U514" i="17"/>
  <c r="Y514" i="17" s="1"/>
  <c r="U509" i="17"/>
  <c r="AI53" i="12"/>
  <c r="AI55" i="12" s="1"/>
  <c r="AI59" i="12" s="1"/>
  <c r="K561" i="17"/>
  <c r="K562" i="17" s="1"/>
  <c r="AP33" i="9"/>
  <c r="V18" i="20"/>
  <c r="U57" i="20"/>
  <c r="U96" i="20" s="1"/>
  <c r="U135" i="20" s="1"/>
  <c r="U174" i="20" s="1"/>
  <c r="U213" i="20" s="1"/>
  <c r="U252" i="20" s="1"/>
  <c r="U291" i="20" s="1"/>
  <c r="AD31" i="20"/>
  <c r="AD70" i="20" s="1"/>
  <c r="AD109" i="20" s="1"/>
  <c r="AD148" i="20" s="1"/>
  <c r="AD187" i="20" s="1"/>
  <c r="AD226" i="20" s="1"/>
  <c r="AD265" i="20" s="1"/>
  <c r="AD304" i="20" s="1"/>
  <c r="AC31" i="20"/>
  <c r="AP12" i="16"/>
  <c r="AH34" i="9"/>
  <c r="V19" i="20"/>
  <c r="U58" i="20"/>
  <c r="U97" i="20" s="1"/>
  <c r="U136" i="20" s="1"/>
  <c r="U175" i="20" s="1"/>
  <c r="U214" i="20" s="1"/>
  <c r="U253" i="20" s="1"/>
  <c r="U292" i="20" s="1"/>
  <c r="AJ67" i="15"/>
  <c r="AJ66" i="15"/>
  <c r="AJ68" i="15" s="1"/>
  <c r="AJ69" i="15" s="1"/>
  <c r="AJ70" i="15"/>
  <c r="AJ71" i="15" s="1"/>
  <c r="AJ72" i="15" s="1"/>
  <c r="E12" i="11"/>
  <c r="F14" i="11" s="1"/>
  <c r="C8" i="11"/>
  <c r="V172" i="20"/>
  <c r="V205" i="20"/>
  <c r="AM34" i="16"/>
  <c r="M440" i="17"/>
  <c r="S448" i="17"/>
  <c r="AF429" i="17"/>
  <c r="T448" i="17"/>
  <c r="L443" i="17"/>
  <c r="T449" i="17"/>
  <c r="U446" i="17" s="1"/>
  <c r="L445" i="17"/>
  <c r="M445" i="17" s="1"/>
  <c r="S449" i="17"/>
  <c r="S446" i="17" s="1"/>
  <c r="AF428" i="17"/>
  <c r="L446" i="17"/>
  <c r="P751" i="17"/>
  <c r="L745" i="17"/>
  <c r="L744" i="17"/>
  <c r="M744" i="17" s="1"/>
  <c r="Q734" i="17"/>
  <c r="L740" i="17"/>
  <c r="L747" i="17"/>
  <c r="M747" i="17" s="1"/>
  <c r="P752" i="17"/>
  <c r="Q752" i="17" s="1"/>
  <c r="L742" i="17"/>
  <c r="L741" i="17"/>
  <c r="M741" i="17" s="1"/>
  <c r="S375" i="17"/>
  <c r="W375" i="17" s="1"/>
  <c r="W374" i="17"/>
  <c r="AH380" i="17"/>
  <c r="AH384" i="17" s="1"/>
  <c r="AQ16" i="9"/>
  <c r="AQ20" i="9" s="1"/>
  <c r="AQ21" i="9" s="1"/>
  <c r="AM7" i="12"/>
  <c r="AM8" i="12"/>
  <c r="AO58" i="16"/>
  <c r="V166" i="23"/>
  <c r="V133" i="23"/>
  <c r="T561" i="17"/>
  <c r="U571" i="17"/>
  <c r="T571" i="17"/>
  <c r="T566" i="17"/>
  <c r="U561" i="17"/>
  <c r="V560" i="17"/>
  <c r="S566" i="17"/>
  <c r="S561" i="17"/>
  <c r="Q699" i="17"/>
  <c r="P693" i="17"/>
  <c r="AH63" i="15"/>
  <c r="AH70" i="15" s="1"/>
  <c r="AH71" i="15" s="1"/>
  <c r="AH72" i="15" s="1"/>
  <c r="AI16" i="6"/>
  <c r="AI20" i="6" s="1"/>
  <c r="AH24" i="6"/>
  <c r="AH34" i="6" s="1"/>
  <c r="AH35" i="6" s="1"/>
  <c r="AH36" i="6" s="1"/>
  <c r="L492" i="17"/>
  <c r="P502" i="17" s="1"/>
  <c r="Q502" i="17" s="1"/>
  <c r="M491" i="17"/>
  <c r="AI61" i="15"/>
  <c r="AI60" i="15"/>
  <c r="G11" i="12"/>
  <c r="G15" i="12"/>
  <c r="AA14" i="14"/>
  <c r="U59" i="20"/>
  <c r="U98" i="20" s="1"/>
  <c r="U137" i="20" s="1"/>
  <c r="U176" i="20" s="1"/>
  <c r="U215" i="20" s="1"/>
  <c r="U254" i="20" s="1"/>
  <c r="U293" i="20" s="1"/>
  <c r="V20" i="20"/>
  <c r="AC32" i="20"/>
  <c r="AD32" i="20"/>
  <c r="AD71" i="20" s="1"/>
  <c r="AD110" i="20" s="1"/>
  <c r="AD149" i="20" s="1"/>
  <c r="AD188" i="20" s="1"/>
  <c r="AD227" i="20" s="1"/>
  <c r="AD266" i="20" s="1"/>
  <c r="AD305" i="20" s="1"/>
  <c r="G16" i="12"/>
  <c r="G12" i="12"/>
  <c r="AP139" i="17"/>
  <c r="P590" i="17"/>
  <c r="AK12" i="16"/>
  <c r="T508" i="17"/>
  <c r="U513" i="17"/>
  <c r="M562" i="17"/>
  <c r="AP16" i="9"/>
  <c r="AP20" i="9" s="1"/>
  <c r="AP21" i="9" s="1"/>
  <c r="AP8" i="16"/>
  <c r="AE9" i="11"/>
  <c r="AC13" i="11" s="1"/>
  <c r="AK34" i="9" l="1"/>
  <c r="AK35" i="9"/>
  <c r="AK39" i="9" s="1"/>
  <c r="E12" i="9" s="1"/>
  <c r="G13" i="9" s="1"/>
  <c r="U560" i="17"/>
  <c r="U570" i="17"/>
  <c r="C9" i="11"/>
  <c r="K615" i="17"/>
  <c r="AG31" i="15"/>
  <c r="AG32" i="15" s="1"/>
  <c r="AG33" i="15" s="1"/>
  <c r="AI21" i="15"/>
  <c r="AI22" i="15"/>
  <c r="AJ21" i="15"/>
  <c r="AJ22" i="15"/>
  <c r="AJ24" i="15"/>
  <c r="AJ31" i="15" s="1"/>
  <c r="AJ32" i="15" s="1"/>
  <c r="AJ33" i="15" s="1"/>
  <c r="V561" i="17"/>
  <c r="AE68" i="16"/>
  <c r="AR20" i="9"/>
  <c r="AK29" i="6"/>
  <c r="AK30" i="6" s="1"/>
  <c r="AA13" i="13"/>
  <c r="AH7" i="13" s="1"/>
  <c r="AG24" i="15"/>
  <c r="AG28" i="15" s="1"/>
  <c r="AG68" i="15"/>
  <c r="AG69" i="15" s="1"/>
  <c r="P506" i="17"/>
  <c r="Q506" i="17" s="1"/>
  <c r="AI16" i="14"/>
  <c r="AI20" i="14" s="1"/>
  <c r="AH28" i="15"/>
  <c r="AH27" i="15"/>
  <c r="AH29" i="15" s="1"/>
  <c r="AH30" i="15" s="1"/>
  <c r="AH37" i="15" s="1"/>
  <c r="AH39" i="15" s="1"/>
  <c r="AH31" i="15"/>
  <c r="AH32" i="15" s="1"/>
  <c r="AH33" i="15" s="1"/>
  <c r="W545" i="17"/>
  <c r="P501" i="17"/>
  <c r="W546" i="17"/>
  <c r="AP152" i="17"/>
  <c r="V565" i="17"/>
  <c r="AG16" i="15"/>
  <c r="AG20" i="15" s="1"/>
  <c r="AO59" i="16"/>
  <c r="AO63" i="16" s="1"/>
  <c r="S570" i="17"/>
  <c r="AK59" i="15"/>
  <c r="V597" i="17"/>
  <c r="V598" i="17"/>
  <c r="T565" i="17"/>
  <c r="AJ16" i="14"/>
  <c r="AJ20" i="14" s="1"/>
  <c r="AQ152" i="17"/>
  <c r="W580" i="17"/>
  <c r="S597" i="17"/>
  <c r="S598" i="17"/>
  <c r="AK31" i="14"/>
  <c r="AK32" i="14" s="1"/>
  <c r="AK33" i="14" s="1"/>
  <c r="AB53" i="14"/>
  <c r="AI47" i="14" s="1"/>
  <c r="M614" i="17"/>
  <c r="AH31" i="6"/>
  <c r="AH32" i="6" s="1"/>
  <c r="AH33" i="6" s="1"/>
  <c r="U598" i="17"/>
  <c r="U597" i="17"/>
  <c r="AK37" i="6"/>
  <c r="AK39" i="6" s="1"/>
  <c r="T597" i="17"/>
  <c r="T598" i="17"/>
  <c r="AI23" i="8"/>
  <c r="AK23" i="8"/>
  <c r="AK24" i="8" s="1"/>
  <c r="AD21" i="8" s="1"/>
  <c r="AJ23" i="8"/>
  <c r="AH23" i="8"/>
  <c r="AH24" i="8"/>
  <c r="AA21" i="8" s="1"/>
  <c r="AK38" i="6"/>
  <c r="AK40" i="6" s="1"/>
  <c r="AI24" i="15"/>
  <c r="AI27" i="15" s="1"/>
  <c r="AI29" i="15" s="1"/>
  <c r="AI30" i="15" s="1"/>
  <c r="AI28" i="15"/>
  <c r="T632" i="17"/>
  <c r="V632" i="17"/>
  <c r="U632" i="17"/>
  <c r="Y684" i="17"/>
  <c r="S632" i="17"/>
  <c r="AK53" i="5"/>
  <c r="AK55" i="5" s="1"/>
  <c r="AK59" i="5" s="1"/>
  <c r="AK60" i="5" s="1"/>
  <c r="AE15" i="5"/>
  <c r="AL9" i="5" s="1"/>
  <c r="AC15" i="5"/>
  <c r="AJ9" i="5" s="1"/>
  <c r="AD15" i="5"/>
  <c r="AK9" i="5" s="1"/>
  <c r="AB15" i="5"/>
  <c r="AI9" i="5" s="1"/>
  <c r="AG11" i="5"/>
  <c r="AG13" i="5" s="1"/>
  <c r="AG16" i="5" s="1"/>
  <c r="AL53" i="5"/>
  <c r="AL55" i="5" s="1"/>
  <c r="AL59" i="5" s="1"/>
  <c r="C21" i="5"/>
  <c r="H9" i="5"/>
  <c r="AB13" i="5"/>
  <c r="AE13" i="5"/>
  <c r="AC13" i="5"/>
  <c r="AD13" i="5"/>
  <c r="I9" i="5"/>
  <c r="H15" i="5" s="1"/>
  <c r="U39" i="5"/>
  <c r="X37" i="5"/>
  <c r="U38" i="5"/>
  <c r="X38" i="5" s="1"/>
  <c r="I8" i="5"/>
  <c r="G15" i="5" s="1"/>
  <c r="AI60" i="12"/>
  <c r="AI61" i="12"/>
  <c r="B23" i="6"/>
  <c r="AM20" i="6"/>
  <c r="AM22" i="6"/>
  <c r="AO25" i="16"/>
  <c r="AJ7" i="11"/>
  <c r="AC14" i="11"/>
  <c r="AH38" i="15"/>
  <c r="C7" i="15" s="1"/>
  <c r="M548" i="17"/>
  <c r="M600" i="17"/>
  <c r="AB34" i="13"/>
  <c r="AB35" i="13" s="1"/>
  <c r="AA34" i="13"/>
  <c r="AA35" i="13" s="1"/>
  <c r="Z34" i="13"/>
  <c r="Z35" i="13" s="1"/>
  <c r="Q590" i="17"/>
  <c r="P603" i="17"/>
  <c r="P599" i="17"/>
  <c r="AO23" i="16"/>
  <c r="AC8" i="10"/>
  <c r="AE16" i="10"/>
  <c r="AF16" i="10" s="1"/>
  <c r="AC6" i="10"/>
  <c r="AD6" i="10" s="1"/>
  <c r="H7" i="10"/>
  <c r="P708" i="17"/>
  <c r="Q708" i="17" s="1"/>
  <c r="Q695" i="17"/>
  <c r="P704" i="17"/>
  <c r="Q704" i="17" s="1"/>
  <c r="AP24" i="16"/>
  <c r="E8" i="13"/>
  <c r="AC11" i="13"/>
  <c r="AH76" i="16"/>
  <c r="T37" i="11"/>
  <c r="C7" i="11"/>
  <c r="AP26" i="16"/>
  <c r="H14" i="20"/>
  <c r="V60" i="20"/>
  <c r="V99" i="20" s="1"/>
  <c r="V138" i="20" s="1"/>
  <c r="V177" i="20" s="1"/>
  <c r="V216" i="20" s="1"/>
  <c r="V255" i="20" s="1"/>
  <c r="V294" i="20" s="1"/>
  <c r="AJ29" i="6"/>
  <c r="AJ30" i="6" s="1"/>
  <c r="AH66" i="15"/>
  <c r="AK430" i="17"/>
  <c r="AI430" i="17"/>
  <c r="AI432" i="17" s="1"/>
  <c r="AI436" i="17" s="1"/>
  <c r="Q449" i="17"/>
  <c r="AH430" i="17"/>
  <c r="AH432" i="17" s="1"/>
  <c r="AH436" i="17" s="1"/>
  <c r="AJ430" i="17"/>
  <c r="AP28" i="16"/>
  <c r="AQ154" i="17"/>
  <c r="AJ37" i="9"/>
  <c r="AJ38" i="9"/>
  <c r="D11" i="9" s="1"/>
  <c r="AP27" i="16"/>
  <c r="AH54" i="14"/>
  <c r="AH53" i="14"/>
  <c r="H13" i="20"/>
  <c r="V58" i="20"/>
  <c r="V97" i="20" s="1"/>
  <c r="V136" i="20" s="1"/>
  <c r="V175" i="20" s="1"/>
  <c r="V214" i="20" s="1"/>
  <c r="V253" i="20" s="1"/>
  <c r="V292" i="20" s="1"/>
  <c r="Q751" i="17"/>
  <c r="P745" i="17"/>
  <c r="AJ76" i="15"/>
  <c r="AH37" i="9"/>
  <c r="AH38" i="9"/>
  <c r="H12" i="20"/>
  <c r="V57" i="20"/>
  <c r="V96" i="20" s="1"/>
  <c r="V135" i="20" s="1"/>
  <c r="V174" i="20" s="1"/>
  <c r="V213" i="20" s="1"/>
  <c r="V252" i="20" s="1"/>
  <c r="V291" i="20" s="1"/>
  <c r="AA13" i="20"/>
  <c r="AA14" i="20" s="1"/>
  <c r="AA15" i="13"/>
  <c r="AH9" i="13" s="1"/>
  <c r="Z15" i="13"/>
  <c r="AG9" i="13" s="1"/>
  <c r="AC15" i="13"/>
  <c r="AJ9" i="13" s="1"/>
  <c r="AB15" i="13"/>
  <c r="AI9" i="13" s="1"/>
  <c r="P797" i="17"/>
  <c r="Q803" i="17"/>
  <c r="AK16" i="14"/>
  <c r="AK20" i="14" s="1"/>
  <c r="E22" i="6"/>
  <c r="AP19" i="6"/>
  <c r="AP21" i="6"/>
  <c r="AA53" i="14"/>
  <c r="AH47" i="14" s="1"/>
  <c r="AH70" i="14" s="1"/>
  <c r="P706" i="17"/>
  <c r="Q697" i="17"/>
  <c r="AA14" i="13"/>
  <c r="AH8" i="13" s="1"/>
  <c r="AH15" i="13" s="1"/>
  <c r="AR7" i="10"/>
  <c r="AX8" i="10"/>
  <c r="AX7" i="10"/>
  <c r="AL7" i="10"/>
  <c r="AR8" i="10"/>
  <c r="AL8" i="10"/>
  <c r="AJ17" i="6"/>
  <c r="AJ19" i="6" s="1"/>
  <c r="AJ21" i="6" s="1"/>
  <c r="H15" i="23"/>
  <c r="V59" i="23"/>
  <c r="V98" i="23" s="1"/>
  <c r="V137" i="23" s="1"/>
  <c r="V176" i="23" s="1"/>
  <c r="V215" i="23" s="1"/>
  <c r="V254" i="23" s="1"/>
  <c r="V293" i="23" s="1"/>
  <c r="AN138" i="17"/>
  <c r="AI68" i="15"/>
  <c r="AI69" i="15" s="1"/>
  <c r="AI76" i="15" s="1"/>
  <c r="I14" i="20"/>
  <c r="AE33" i="20"/>
  <c r="AC72" i="20"/>
  <c r="AC111" i="20" s="1"/>
  <c r="AC150" i="20" s="1"/>
  <c r="AC189" i="20" s="1"/>
  <c r="AC228" i="20" s="1"/>
  <c r="AC267" i="20" s="1"/>
  <c r="AC306" i="20" s="1"/>
  <c r="I14" i="23"/>
  <c r="AE33" i="23"/>
  <c r="AC72" i="23"/>
  <c r="AC111" i="23" s="1"/>
  <c r="AC150" i="23" s="1"/>
  <c r="AC189" i="23" s="1"/>
  <c r="AC228" i="23" s="1"/>
  <c r="AC267" i="23" s="1"/>
  <c r="AC306" i="23" s="1"/>
  <c r="Y508" i="17"/>
  <c r="AH67" i="15"/>
  <c r="V430" i="17"/>
  <c r="V431" i="17" s="1"/>
  <c r="M681" i="17"/>
  <c r="M794" i="17"/>
  <c r="L795" i="17"/>
  <c r="AH78" i="16"/>
  <c r="AF10" i="23"/>
  <c r="E14" i="23"/>
  <c r="AC49" i="23"/>
  <c r="L746" i="17"/>
  <c r="M745" i="17"/>
  <c r="AF9" i="23"/>
  <c r="E12" i="23"/>
  <c r="AC47" i="23"/>
  <c r="AF8" i="23"/>
  <c r="S500" i="17"/>
  <c r="M492" i="17"/>
  <c r="AF481" i="17"/>
  <c r="S501" i="17"/>
  <c r="S498" i="17" s="1"/>
  <c r="AF480" i="17"/>
  <c r="L497" i="17"/>
  <c r="T500" i="17"/>
  <c r="T501" i="17"/>
  <c r="U498" i="17" s="1"/>
  <c r="L495" i="17"/>
  <c r="L498" i="17"/>
  <c r="AO10" i="16"/>
  <c r="AM18" i="16"/>
  <c r="AA91" i="16" s="1"/>
  <c r="H8" i="10"/>
  <c r="E15" i="10"/>
  <c r="AJ54" i="14"/>
  <c r="AJ53" i="14"/>
  <c r="AI35" i="9"/>
  <c r="AI39" i="9" s="1"/>
  <c r="C12" i="9" s="1"/>
  <c r="AI34" i="9"/>
  <c r="AB13" i="13"/>
  <c r="AN34" i="9"/>
  <c r="AN35" i="9"/>
  <c r="AN39" i="9" s="1"/>
  <c r="AJ34" i="6"/>
  <c r="AJ35" i="6" s="1"/>
  <c r="AV38" i="9"/>
  <c r="AV37" i="9"/>
  <c r="Y519" i="17"/>
  <c r="Q654" i="17"/>
  <c r="I12" i="23"/>
  <c r="AE31" i="23"/>
  <c r="AC70" i="23"/>
  <c r="AC109" i="23" s="1"/>
  <c r="AC148" i="23" s="1"/>
  <c r="AC187" i="23" s="1"/>
  <c r="AC226" i="23" s="1"/>
  <c r="AC265" i="23" s="1"/>
  <c r="AC304" i="23" s="1"/>
  <c r="AA15" i="20"/>
  <c r="AQ153" i="17"/>
  <c r="AI70" i="12"/>
  <c r="AI71" i="12" s="1"/>
  <c r="AI72" i="12" s="1"/>
  <c r="H15" i="20"/>
  <c r="V59" i="20"/>
  <c r="V98" i="20" s="1"/>
  <c r="V137" i="20" s="1"/>
  <c r="V176" i="20" s="1"/>
  <c r="V215" i="20" s="1"/>
  <c r="V254" i="20" s="1"/>
  <c r="V293" i="20" s="1"/>
  <c r="AK23" i="12"/>
  <c r="AK24" i="12" s="1"/>
  <c r="AL23" i="12"/>
  <c r="AJ23" i="12"/>
  <c r="AI23" i="12"/>
  <c r="AI24" i="12" s="1"/>
  <c r="AL24" i="12"/>
  <c r="AJ24" i="12"/>
  <c r="AK38" i="9"/>
  <c r="E11" i="9" s="1"/>
  <c r="AK37" i="9"/>
  <c r="AB13" i="11"/>
  <c r="U445" i="17"/>
  <c r="U444" i="17"/>
  <c r="AT35" i="9"/>
  <c r="AT39" i="9" s="1"/>
  <c r="AT34" i="9"/>
  <c r="AJ28" i="13"/>
  <c r="AJ27" i="13"/>
  <c r="Q693" i="17"/>
  <c r="L743" i="17"/>
  <c r="M742" i="17"/>
  <c r="AB439" i="17"/>
  <c r="AC439" i="17"/>
  <c r="AA438" i="17"/>
  <c r="AC438" i="17"/>
  <c r="AD439" i="17"/>
  <c r="AA439" i="17"/>
  <c r="AB438" i="17"/>
  <c r="AD438" i="17"/>
  <c r="S562" i="17"/>
  <c r="T562" i="17"/>
  <c r="V562" i="17"/>
  <c r="U562" i="17"/>
  <c r="AP73" i="16"/>
  <c r="L798" i="17"/>
  <c r="M797" i="17"/>
  <c r="U572" i="17"/>
  <c r="T568" i="17"/>
  <c r="U567" i="17"/>
  <c r="S567" i="17"/>
  <c r="V567" i="17"/>
  <c r="U568" i="17"/>
  <c r="S572" i="17"/>
  <c r="T572" i="17"/>
  <c r="S568" i="17"/>
  <c r="T567" i="17"/>
  <c r="V572" i="17"/>
  <c r="V568" i="17"/>
  <c r="L647" i="17"/>
  <c r="L652" i="17" s="1"/>
  <c r="M646" i="17"/>
  <c r="AK62" i="5"/>
  <c r="AK63" i="5" s="1"/>
  <c r="AI62" i="5"/>
  <c r="AL62" i="5"/>
  <c r="AL63" i="5" s="1"/>
  <c r="AJ62" i="5"/>
  <c r="AJ63" i="5" s="1"/>
  <c r="AD9" i="10"/>
  <c r="AF12" i="10" s="1"/>
  <c r="AF11" i="10"/>
  <c r="AD10" i="10"/>
  <c r="AF13" i="10" s="1"/>
  <c r="X514" i="17"/>
  <c r="X509" i="17"/>
  <c r="X512" i="17"/>
  <c r="AI15" i="12"/>
  <c r="AI14" i="12"/>
  <c r="Y518" i="17"/>
  <c r="AC14" i="13"/>
  <c r="AJ8" i="13" s="1"/>
  <c r="AJ15" i="13" s="1"/>
  <c r="P503" i="17"/>
  <c r="Q503" i="17" s="1"/>
  <c r="AJ63" i="12"/>
  <c r="AJ67" i="12" s="1"/>
  <c r="AJ21" i="14"/>
  <c r="AJ22" i="14"/>
  <c r="AH27" i="6"/>
  <c r="AH29" i="6" s="1"/>
  <c r="AH30" i="6" s="1"/>
  <c r="AH37" i="6" s="1"/>
  <c r="AJ63" i="14"/>
  <c r="AJ67" i="14" s="1"/>
  <c r="AL61" i="12"/>
  <c r="AL60" i="12"/>
  <c r="L596" i="17"/>
  <c r="M595" i="17"/>
  <c r="AW38" i="9"/>
  <c r="AW37" i="9"/>
  <c r="U622" i="17"/>
  <c r="AN149" i="17"/>
  <c r="Z564" i="17"/>
  <c r="AU37" i="9"/>
  <c r="AU38" i="9"/>
  <c r="AI66" i="12"/>
  <c r="AI68" i="12" s="1"/>
  <c r="AI69" i="12" s="1"/>
  <c r="AA13" i="11"/>
  <c r="AI29" i="6"/>
  <c r="AI30" i="6" s="1"/>
  <c r="AI37" i="6" s="1"/>
  <c r="AI39" i="6" s="1"/>
  <c r="V428" i="17"/>
  <c r="S428" i="17"/>
  <c r="L449" i="17"/>
  <c r="M449" i="17" s="1"/>
  <c r="U428" i="17"/>
  <c r="M446" i="17"/>
  <c r="T428" i="17"/>
  <c r="L450" i="17"/>
  <c r="M450" i="17" s="1"/>
  <c r="AP34" i="9"/>
  <c r="AP35" i="9"/>
  <c r="AP39" i="9" s="1"/>
  <c r="Y561" i="17"/>
  <c r="AN19" i="6"/>
  <c r="C22" i="6"/>
  <c r="AN21" i="6"/>
  <c r="S571" i="17"/>
  <c r="V566" i="17"/>
  <c r="T560" i="17"/>
  <c r="V172" i="23"/>
  <c r="V205" i="23"/>
  <c r="W446" i="17"/>
  <c r="AF38" i="16"/>
  <c r="AE38" i="16"/>
  <c r="AB41" i="16" s="1"/>
  <c r="AF110" i="16" s="1"/>
  <c r="AC86" i="20"/>
  <c r="AF48" i="20"/>
  <c r="AF47" i="20"/>
  <c r="P799" i="17"/>
  <c r="P801" i="17"/>
  <c r="P800" i="17"/>
  <c r="Q800" i="17" s="1"/>
  <c r="AD38" i="16"/>
  <c r="AC38" i="16"/>
  <c r="AA41" i="16" s="1"/>
  <c r="AF107" i="16" s="1"/>
  <c r="AJ64" i="5"/>
  <c r="AK64" i="5"/>
  <c r="AI64" i="5"/>
  <c r="AL64" i="5"/>
  <c r="AJ14" i="6"/>
  <c r="AJ15" i="6"/>
  <c r="AJ32" i="6" s="1"/>
  <c r="AJ33" i="6" s="1"/>
  <c r="AJ37" i="6" s="1"/>
  <c r="AJ39" i="6" s="1"/>
  <c r="H9" i="10"/>
  <c r="AJ27" i="14"/>
  <c r="AJ28" i="14"/>
  <c r="AH24" i="13"/>
  <c r="AH28" i="13" s="1"/>
  <c r="X515" i="17"/>
  <c r="X511" i="17"/>
  <c r="X516" i="17"/>
  <c r="X517" i="17"/>
  <c r="AD14" i="12"/>
  <c r="AK8" i="12" s="1"/>
  <c r="AK15" i="12" s="1"/>
  <c r="AA69" i="16"/>
  <c r="AC69" i="16" s="1"/>
  <c r="AE69" i="16" s="1"/>
  <c r="AI53" i="5"/>
  <c r="AI55" i="5" s="1"/>
  <c r="AI59" i="5" s="1"/>
  <c r="AA66" i="16"/>
  <c r="AC66" i="16" s="1"/>
  <c r="AE66" i="16" s="1"/>
  <c r="AH28" i="6"/>
  <c r="AK63" i="14"/>
  <c r="AK67" i="14" s="1"/>
  <c r="U614" i="17"/>
  <c r="V614" i="17"/>
  <c r="S614" i="17"/>
  <c r="T614" i="17"/>
  <c r="AL67" i="12"/>
  <c r="AL63" i="12"/>
  <c r="AL70" i="12" s="1"/>
  <c r="AL71" i="12" s="1"/>
  <c r="AL72" i="12" s="1"/>
  <c r="Y509" i="17"/>
  <c r="E13" i="23"/>
  <c r="AC48" i="23"/>
  <c r="AC87" i="23" s="1"/>
  <c r="AC126" i="23" s="1"/>
  <c r="AC165" i="23" s="1"/>
  <c r="AC204" i="23" s="1"/>
  <c r="AC243" i="23" s="1"/>
  <c r="AC282" i="23" s="1"/>
  <c r="AO7" i="16"/>
  <c r="AM15" i="16"/>
  <c r="AN140" i="17"/>
  <c r="AJ25" i="12"/>
  <c r="AI25" i="12"/>
  <c r="AK25" i="12"/>
  <c r="AL25" i="12"/>
  <c r="AC88" i="20"/>
  <c r="AF49" i="20"/>
  <c r="AA54" i="20" s="1"/>
  <c r="S430" i="17"/>
  <c r="AP154" i="17"/>
  <c r="AO154" i="17"/>
  <c r="X510" i="17"/>
  <c r="X513" i="17"/>
  <c r="S445" i="17"/>
  <c r="S444" i="17"/>
  <c r="AA18" i="14"/>
  <c r="AH8" i="14"/>
  <c r="AH14" i="14" s="1"/>
  <c r="P748" i="17"/>
  <c r="Q748" i="17" s="1"/>
  <c r="P747" i="17"/>
  <c r="P749" i="17"/>
  <c r="V570" i="17"/>
  <c r="Y570" i="17" s="1"/>
  <c r="U565" i="17"/>
  <c r="S560" i="17"/>
  <c r="Y560" i="17" s="1"/>
  <c r="L733" i="17"/>
  <c r="M740" i="17"/>
  <c r="V211" i="20"/>
  <c r="V244" i="20"/>
  <c r="AO12" i="16"/>
  <c r="AM20" i="16"/>
  <c r="AA93" i="16" s="1"/>
  <c r="L682" i="17"/>
  <c r="L698" i="17" s="1"/>
  <c r="M691" i="17"/>
  <c r="AO37" i="9"/>
  <c r="AO38" i="9"/>
  <c r="L785" i="17"/>
  <c r="M792" i="17"/>
  <c r="AC36" i="16"/>
  <c r="AD37" i="16"/>
  <c r="AC37" i="16"/>
  <c r="AA40" i="16" s="1"/>
  <c r="AF106" i="16" s="1"/>
  <c r="AD36" i="16"/>
  <c r="AB40" i="16"/>
  <c r="AF109" i="16" s="1"/>
  <c r="AI24" i="14"/>
  <c r="AI31" i="14" s="1"/>
  <c r="AI32" i="14" s="1"/>
  <c r="AI33" i="14" s="1"/>
  <c r="AG24" i="13"/>
  <c r="AG28" i="13" s="1"/>
  <c r="AI54" i="14"/>
  <c r="AI53" i="14"/>
  <c r="AI70" i="14"/>
  <c r="AC14" i="12"/>
  <c r="AJ8" i="12" s="1"/>
  <c r="AJ15" i="12" s="1"/>
  <c r="AJ54" i="5"/>
  <c r="AJ55" i="5" s="1"/>
  <c r="AJ59" i="5" s="1"/>
  <c r="AQ29" i="9"/>
  <c r="AQ30" i="9" s="1"/>
  <c r="AJ31" i="14"/>
  <c r="AJ32" i="14" s="1"/>
  <c r="AJ33" i="14" s="1"/>
  <c r="AJ61" i="12"/>
  <c r="AJ60" i="12"/>
  <c r="AI66" i="14"/>
  <c r="AI67" i="14"/>
  <c r="T621" i="17"/>
  <c r="AO165" i="17" s="1"/>
  <c r="AO168" i="17" s="1"/>
  <c r="T616" i="17"/>
  <c r="AO163" i="17" s="1"/>
  <c r="V621" i="17"/>
  <c r="AQ165" i="17" s="1"/>
  <c r="S615" i="17"/>
  <c r="U615" i="17"/>
  <c r="AP164" i="17" s="1"/>
  <c r="T615" i="17"/>
  <c r="AO164" i="17" s="1"/>
  <c r="V616" i="17"/>
  <c r="AQ163" i="17" s="1"/>
  <c r="S616" i="17"/>
  <c r="U616" i="17"/>
  <c r="AP163" i="17" s="1"/>
  <c r="V615" i="17"/>
  <c r="AQ164" i="17" s="1"/>
  <c r="S621" i="17"/>
  <c r="U621" i="17"/>
  <c r="AP165" i="17" s="1"/>
  <c r="L684" i="17"/>
  <c r="M694" i="17"/>
  <c r="AK63" i="12"/>
  <c r="AK67" i="12" s="1"/>
  <c r="H12" i="23"/>
  <c r="V57" i="23"/>
  <c r="V96" i="23" s="1"/>
  <c r="V135" i="23" s="1"/>
  <c r="V174" i="23" s="1"/>
  <c r="V213" i="23" s="1"/>
  <c r="V252" i="23" s="1"/>
  <c r="V291" i="23" s="1"/>
  <c r="T430" i="17"/>
  <c r="T431" i="17" s="1"/>
  <c r="AK432" i="17"/>
  <c r="AK436" i="17" s="1"/>
  <c r="AN150" i="17"/>
  <c r="Z563" i="17"/>
  <c r="AO153" i="17"/>
  <c r="AP9" i="16"/>
  <c r="Z13" i="11"/>
  <c r="M443" i="17"/>
  <c r="S426" i="17"/>
  <c r="L447" i="17"/>
  <c r="M447" i="17" s="1"/>
  <c r="T426" i="17"/>
  <c r="T427" i="17" s="1"/>
  <c r="U426" i="17"/>
  <c r="U427" i="17" s="1"/>
  <c r="V426" i="17"/>
  <c r="V427" i="17" s="1"/>
  <c r="AH483" i="17"/>
  <c r="AI483" i="17"/>
  <c r="AJ483" i="17"/>
  <c r="AK483" i="17"/>
  <c r="Q505" i="17"/>
  <c r="AK14" i="12"/>
  <c r="Q501" i="17"/>
  <c r="AJ482" i="17"/>
  <c r="AN22" i="6"/>
  <c r="C23" i="6"/>
  <c r="AN20" i="6"/>
  <c r="AO8" i="16"/>
  <c r="AM16" i="16"/>
  <c r="AH27" i="14"/>
  <c r="AH29" i="14" s="1"/>
  <c r="AH30" i="14" s="1"/>
  <c r="AH28" i="14"/>
  <c r="AP20" i="16"/>
  <c r="AP15" i="16"/>
  <c r="AP16" i="16"/>
  <c r="AP19" i="16"/>
  <c r="AP17" i="16"/>
  <c r="AN17" i="16" s="1"/>
  <c r="AP18" i="16"/>
  <c r="I13" i="20"/>
  <c r="AE32" i="20"/>
  <c r="AC71" i="20"/>
  <c r="AC110" i="20" s="1"/>
  <c r="AC149" i="20" s="1"/>
  <c r="AC188" i="20" s="1"/>
  <c r="AC227" i="20" s="1"/>
  <c r="AC266" i="20" s="1"/>
  <c r="AC305" i="20" s="1"/>
  <c r="V571" i="17"/>
  <c r="S565" i="17"/>
  <c r="Y565" i="17" s="1"/>
  <c r="U566" i="17"/>
  <c r="Y566" i="17" s="1"/>
  <c r="AC70" i="20"/>
  <c r="AC109" i="20" s="1"/>
  <c r="AC148" i="20" s="1"/>
  <c r="AC187" i="20" s="1"/>
  <c r="AC226" i="20" s="1"/>
  <c r="AC265" i="20" s="1"/>
  <c r="AC304" i="20" s="1"/>
  <c r="AE31" i="20"/>
  <c r="I12" i="20"/>
  <c r="AG76" i="15"/>
  <c r="L544" i="17"/>
  <c r="P557" i="17" s="1"/>
  <c r="M543" i="17"/>
  <c r="T38" i="11"/>
  <c r="AK27" i="14"/>
  <c r="AK29" i="14" s="1"/>
  <c r="AK30" i="14" s="1"/>
  <c r="AK37" i="14" s="1"/>
  <c r="AK28" i="14"/>
  <c r="AI24" i="13"/>
  <c r="AI28" i="13" s="1"/>
  <c r="AK70" i="14"/>
  <c r="AK53" i="14"/>
  <c r="AK54" i="14"/>
  <c r="AE14" i="12"/>
  <c r="AL8" i="12" s="1"/>
  <c r="AL15" i="12" s="1"/>
  <c r="Z13" i="13"/>
  <c r="L649" i="17"/>
  <c r="M649" i="17" s="1"/>
  <c r="M632" i="17"/>
  <c r="P642" i="17" s="1"/>
  <c r="K668" i="17"/>
  <c r="K669" i="17" s="1"/>
  <c r="AC15" i="11"/>
  <c r="AA15" i="11"/>
  <c r="AB15" i="11"/>
  <c r="Z15" i="11"/>
  <c r="AH67" i="14"/>
  <c r="AH66" i="14"/>
  <c r="AH68" i="14" s="1"/>
  <c r="AH69" i="14" s="1"/>
  <c r="K612" i="17"/>
  <c r="S617" i="17" s="1"/>
  <c r="M612" i="17"/>
  <c r="M613" i="17" s="1"/>
  <c r="L602" i="17"/>
  <c r="I13" i="23"/>
  <c r="AE32" i="23"/>
  <c r="AC71" i="23"/>
  <c r="AC110" i="23" s="1"/>
  <c r="AC149" i="23" s="1"/>
  <c r="AC188" i="23" s="1"/>
  <c r="AC227" i="23" s="1"/>
  <c r="AC266" i="23" s="1"/>
  <c r="AC305" i="23" s="1"/>
  <c r="O665" i="17"/>
  <c r="K667" i="17" s="1"/>
  <c r="K659" i="17"/>
  <c r="M630" i="17"/>
  <c r="AH16" i="6"/>
  <c r="AH20" i="6" s="1"/>
  <c r="AI38" i="6"/>
  <c r="AI40" i="6" s="1"/>
  <c r="P549" i="17"/>
  <c r="Q549" i="17" s="1"/>
  <c r="Q547" i="17"/>
  <c r="AP11" i="16"/>
  <c r="H14" i="23"/>
  <c r="V60" i="23"/>
  <c r="V99" i="23" s="1"/>
  <c r="V138" i="23" s="1"/>
  <c r="V177" i="23" s="1"/>
  <c r="V216" i="23" s="1"/>
  <c r="V255" i="23" s="1"/>
  <c r="V294" i="23" s="1"/>
  <c r="AN62" i="16"/>
  <c r="AB67" i="16" s="1"/>
  <c r="AD67" i="16" s="1"/>
  <c r="AF67" i="16" s="1"/>
  <c r="AP72" i="16"/>
  <c r="H13" i="23"/>
  <c r="V58" i="23"/>
  <c r="V97" i="23" s="1"/>
  <c r="V136" i="23" s="1"/>
  <c r="V175" i="23" s="1"/>
  <c r="V214" i="23" s="1"/>
  <c r="V253" i="23" s="1"/>
  <c r="V292" i="23" s="1"/>
  <c r="U430" i="17"/>
  <c r="U431" i="17" s="1"/>
  <c r="AJ432" i="17"/>
  <c r="AJ436" i="17" s="1"/>
  <c r="AN151" i="17"/>
  <c r="AN154" i="17" s="1"/>
  <c r="Z569" i="17"/>
  <c r="AP153" i="17"/>
  <c r="AJ31" i="12" l="1"/>
  <c r="AI31" i="15"/>
  <c r="AI32" i="15" s="1"/>
  <c r="AI33" i="15" s="1"/>
  <c r="AI37" i="15" s="1"/>
  <c r="AJ27" i="15"/>
  <c r="AP167" i="17"/>
  <c r="AJ70" i="12"/>
  <c r="AJ71" i="12" s="1"/>
  <c r="AJ72" i="12" s="1"/>
  <c r="AJ28" i="15"/>
  <c r="W598" i="17"/>
  <c r="AJ484" i="17"/>
  <c r="AJ488" i="17" s="1"/>
  <c r="W597" i="17"/>
  <c r="X612" i="17"/>
  <c r="AJ29" i="13"/>
  <c r="AJ30" i="13" s="1"/>
  <c r="AH71" i="14"/>
  <c r="AH72" i="14" s="1"/>
  <c r="AH76" i="14" s="1"/>
  <c r="AH78" i="14" s="1"/>
  <c r="AH31" i="8"/>
  <c r="AH32" i="8" s="1"/>
  <c r="AH33" i="8" s="1"/>
  <c r="AA20" i="8"/>
  <c r="AA23" i="8" s="1"/>
  <c r="AA17" i="8" s="1"/>
  <c r="S51" i="8" s="1"/>
  <c r="AH27" i="8"/>
  <c r="AH29" i="8" s="1"/>
  <c r="AH30" i="8" s="1"/>
  <c r="AH28" i="8"/>
  <c r="T618" i="17"/>
  <c r="AG27" i="13"/>
  <c r="AJ24" i="8"/>
  <c r="AC21" i="8" s="1"/>
  <c r="AJ27" i="8"/>
  <c r="AJ28" i="8"/>
  <c r="AC20" i="8"/>
  <c r="AC23" i="8" s="1"/>
  <c r="AC17" i="8" s="1"/>
  <c r="U51" i="8" s="1"/>
  <c r="AJ31" i="8"/>
  <c r="AJ32" i="8" s="1"/>
  <c r="AJ33" i="8" s="1"/>
  <c r="AK66" i="12"/>
  <c r="AI68" i="14"/>
  <c r="AI69" i="14" s="1"/>
  <c r="AI16" i="12"/>
  <c r="AI20" i="12" s="1"/>
  <c r="AD20" i="8"/>
  <c r="AD23" i="8" s="1"/>
  <c r="AD17" i="8" s="1"/>
  <c r="V51" i="8" s="1"/>
  <c r="AK31" i="8"/>
  <c r="AK32" i="8" s="1"/>
  <c r="AK33" i="8" s="1"/>
  <c r="AK37" i="8" s="1"/>
  <c r="AK28" i="8"/>
  <c r="AK27" i="8"/>
  <c r="AK29" i="8" s="1"/>
  <c r="AK30" i="8" s="1"/>
  <c r="AK55" i="14"/>
  <c r="AK59" i="14" s="1"/>
  <c r="AI24" i="8"/>
  <c r="AB21" i="8" s="1"/>
  <c r="AB20" i="8"/>
  <c r="AI31" i="8"/>
  <c r="AI32" i="8" s="1"/>
  <c r="AI33" i="8" s="1"/>
  <c r="AG27" i="15"/>
  <c r="AG29" i="15" s="1"/>
  <c r="AG30" i="15" s="1"/>
  <c r="AG37" i="15" s="1"/>
  <c r="AA39" i="16"/>
  <c r="AF105" i="16" s="1"/>
  <c r="S650" i="17"/>
  <c r="S649" i="17"/>
  <c r="W649" i="17" s="1"/>
  <c r="W632" i="17"/>
  <c r="AI482" i="17"/>
  <c r="AI484" i="17" s="1"/>
  <c r="AI488" i="17" s="1"/>
  <c r="AL14" i="12"/>
  <c r="AL16" i="12" s="1"/>
  <c r="AL20" i="12" s="1"/>
  <c r="S684" i="17"/>
  <c r="U684" i="17"/>
  <c r="V684" i="17"/>
  <c r="Y736" i="17"/>
  <c r="T684" i="17"/>
  <c r="U649" i="17"/>
  <c r="U650" i="17"/>
  <c r="V623" i="17"/>
  <c r="AH482" i="17"/>
  <c r="AD11" i="10"/>
  <c r="AD12" i="10" s="1"/>
  <c r="AJ55" i="14"/>
  <c r="AJ59" i="14" s="1"/>
  <c r="V649" i="17"/>
  <c r="V650" i="17"/>
  <c r="T649" i="17"/>
  <c r="T650" i="17"/>
  <c r="AG22" i="15"/>
  <c r="AG21" i="15"/>
  <c r="AK20" i="15" s="1"/>
  <c r="AK482" i="17"/>
  <c r="AQ166" i="17"/>
  <c r="AI31" i="12"/>
  <c r="AI32" i="12" s="1"/>
  <c r="AI33" i="12" s="1"/>
  <c r="P660" i="17"/>
  <c r="Q660" i="17" s="1"/>
  <c r="AK61" i="5"/>
  <c r="AM8" i="5"/>
  <c r="AM7" i="5"/>
  <c r="AK7" i="5"/>
  <c r="AJ7" i="5"/>
  <c r="X39" i="5"/>
  <c r="AM9" i="5"/>
  <c r="AL7" i="5"/>
  <c r="AI7" i="5"/>
  <c r="AC14" i="5"/>
  <c r="AG12" i="5"/>
  <c r="AG15" i="5" s="1"/>
  <c r="AG17" i="5" s="1"/>
  <c r="H25" i="5" s="1"/>
  <c r="I15" i="5"/>
  <c r="AB14" i="5"/>
  <c r="AE14" i="5"/>
  <c r="AL8" i="5" s="1"/>
  <c r="AL66" i="5" s="1"/>
  <c r="AD14" i="5"/>
  <c r="AK8" i="5" s="1"/>
  <c r="AK66" i="5" s="1"/>
  <c r="V668" i="17"/>
  <c r="AQ177" i="17" s="1"/>
  <c r="V673" i="17"/>
  <c r="AQ179" i="17" s="1"/>
  <c r="V667" i="17"/>
  <c r="AQ178" i="17" s="1"/>
  <c r="S667" i="17"/>
  <c r="S673" i="17"/>
  <c r="U667" i="17"/>
  <c r="AP178" i="17" s="1"/>
  <c r="S668" i="17"/>
  <c r="U673" i="17"/>
  <c r="AP179" i="17" s="1"/>
  <c r="U668" i="17"/>
  <c r="AP177" i="17" s="1"/>
  <c r="T673" i="17"/>
  <c r="AO179" i="17" s="1"/>
  <c r="T668" i="17"/>
  <c r="AO177" i="17" s="1"/>
  <c r="T667" i="17"/>
  <c r="AO178" i="17" s="1"/>
  <c r="AH39" i="6"/>
  <c r="D23" i="6"/>
  <c r="AO20" i="6"/>
  <c r="AO22" i="6"/>
  <c r="Q557" i="17"/>
  <c r="AL76" i="12"/>
  <c r="AI61" i="5"/>
  <c r="AI60" i="5"/>
  <c r="AH35" i="16"/>
  <c r="AE90" i="16"/>
  <c r="L699" i="17"/>
  <c r="M698" i="17"/>
  <c r="AJ32" i="12"/>
  <c r="AI77" i="15"/>
  <c r="D8" i="15" s="1"/>
  <c r="AI78" i="15"/>
  <c r="G13" i="23"/>
  <c r="AE71" i="23"/>
  <c r="AE110" i="23" s="1"/>
  <c r="AE149" i="23" s="1"/>
  <c r="AE188" i="23" s="1"/>
  <c r="AE227" i="23" s="1"/>
  <c r="AE266" i="23" s="1"/>
  <c r="AE305" i="23" s="1"/>
  <c r="AK68" i="12"/>
  <c r="AK69" i="12" s="1"/>
  <c r="P758" i="17"/>
  <c r="Q749" i="17"/>
  <c r="T429" i="17"/>
  <c r="S496" i="17"/>
  <c r="W496" i="17" s="1"/>
  <c r="S497" i="17"/>
  <c r="W497" i="17" s="1"/>
  <c r="AJ31" i="13"/>
  <c r="AJ32" i="13" s="1"/>
  <c r="AJ8" i="11"/>
  <c r="AJ15" i="11" s="1"/>
  <c r="AK38" i="14"/>
  <c r="E8" i="14" s="1"/>
  <c r="AK39" i="14"/>
  <c r="AO11" i="16"/>
  <c r="AM19" i="16"/>
  <c r="M666" i="17"/>
  <c r="AH9" i="11"/>
  <c r="AO48" i="16"/>
  <c r="AO15" i="16"/>
  <c r="AK16" i="12"/>
  <c r="AK20" i="12" s="1"/>
  <c r="AK484" i="17"/>
  <c r="AK488" i="17" s="1"/>
  <c r="S427" i="17"/>
  <c r="W427" i="17" s="1"/>
  <c r="W426" i="17"/>
  <c r="AO167" i="17"/>
  <c r="AI71" i="14"/>
  <c r="AI72" i="14" s="1"/>
  <c r="AI76" i="14" s="1"/>
  <c r="Q747" i="17"/>
  <c r="P756" i="17"/>
  <c r="Q756" i="17" s="1"/>
  <c r="P760" i="17"/>
  <c r="Q760" i="17" s="1"/>
  <c r="AO31" i="16"/>
  <c r="AA88" i="16"/>
  <c r="AL66" i="12"/>
  <c r="AL68" i="12" s="1"/>
  <c r="AL69" i="12" s="1"/>
  <c r="T622" i="17"/>
  <c r="V612" i="17"/>
  <c r="S618" i="17"/>
  <c r="AD16" i="10"/>
  <c r="AW7" i="10" s="1"/>
  <c r="AA16" i="10"/>
  <c r="AT7" i="10" s="1"/>
  <c r="AC16" i="10"/>
  <c r="AV7" i="10" s="1"/>
  <c r="AB16" i="10"/>
  <c r="AU7" i="10" s="1"/>
  <c r="L648" i="17"/>
  <c r="M647" i="17"/>
  <c r="X563" i="17"/>
  <c r="X567" i="17"/>
  <c r="X568" i="17"/>
  <c r="X569" i="17"/>
  <c r="L788" i="17"/>
  <c r="M798" i="17"/>
  <c r="AA13" i="23"/>
  <c r="AA14" i="23"/>
  <c r="AA15" i="23"/>
  <c r="AI9" i="20"/>
  <c r="G14" i="20"/>
  <c r="AE72" i="20"/>
  <c r="AE111" i="20" s="1"/>
  <c r="AE150" i="20" s="1"/>
  <c r="AE189" i="20" s="1"/>
  <c r="AE228" i="20" s="1"/>
  <c r="AE267" i="20" s="1"/>
  <c r="AE306" i="20" s="1"/>
  <c r="AI25" i="10"/>
  <c r="AP25" i="10"/>
  <c r="AQ25" i="10"/>
  <c r="AV25" i="10"/>
  <c r="AW25" i="10"/>
  <c r="AO25" i="10"/>
  <c r="AH25" i="10"/>
  <c r="AT25" i="10"/>
  <c r="AK25" i="10"/>
  <c r="AU25" i="10"/>
  <c r="AJ25" i="10"/>
  <c r="AN25" i="10"/>
  <c r="Q797" i="17"/>
  <c r="AB68" i="16"/>
  <c r="AD68" i="16" s="1"/>
  <c r="AJ14" i="13"/>
  <c r="AJ16" i="13" s="1"/>
  <c r="AJ20" i="13" s="1"/>
  <c r="P605" i="17"/>
  <c r="Q599" i="17"/>
  <c r="P601" i="17"/>
  <c r="Q601" i="17" s="1"/>
  <c r="P606" i="17"/>
  <c r="Q606" i="17" s="1"/>
  <c r="AJ29" i="14"/>
  <c r="AJ30" i="14" s="1"/>
  <c r="AJ37" i="14" s="1"/>
  <c r="AC125" i="20"/>
  <c r="AF87" i="20"/>
  <c r="AF86" i="20"/>
  <c r="U429" i="17"/>
  <c r="AH7" i="11"/>
  <c r="AA14" i="11"/>
  <c r="S622" i="17"/>
  <c r="S623" i="17"/>
  <c r="Y623" i="17" s="1"/>
  <c r="U623" i="17"/>
  <c r="AB64" i="16"/>
  <c r="AD64" i="16" s="1"/>
  <c r="AF64" i="16" s="1"/>
  <c r="AH38" i="6"/>
  <c r="AH40" i="6" s="1"/>
  <c r="AT38" i="9"/>
  <c r="AX38" i="9" s="1"/>
  <c r="G9" i="9" s="1"/>
  <c r="AT37" i="9"/>
  <c r="AH9" i="20"/>
  <c r="AN37" i="9"/>
  <c r="AN38" i="9"/>
  <c r="U496" i="17"/>
  <c r="U497" i="17"/>
  <c r="AC86" i="23"/>
  <c r="AF48" i="23"/>
  <c r="AF47" i="23"/>
  <c r="AB66" i="16"/>
  <c r="AD66" i="16" s="1"/>
  <c r="AF66" i="16" s="1"/>
  <c r="Q706" i="17"/>
  <c r="AI28" i="14"/>
  <c r="AB69" i="16"/>
  <c r="AD69" i="16" s="1"/>
  <c r="P558" i="17"/>
  <c r="Q558" i="17" s="1"/>
  <c r="P609" i="17"/>
  <c r="P610" i="17"/>
  <c r="Q610" i="17" s="1"/>
  <c r="AO49" i="16"/>
  <c r="AO16" i="16"/>
  <c r="AC89" i="16" s="1"/>
  <c r="M602" i="17"/>
  <c r="AG78" i="15"/>
  <c r="AG77" i="15"/>
  <c r="AG7" i="11"/>
  <c r="Z14" i="11"/>
  <c r="AP168" i="17"/>
  <c r="AN164" i="17"/>
  <c r="Z615" i="17"/>
  <c r="AI55" i="14"/>
  <c r="AI59" i="14" s="1"/>
  <c r="M733" i="17"/>
  <c r="W430" i="17"/>
  <c r="S431" i="17"/>
  <c r="W431" i="17" s="1"/>
  <c r="AC127" i="20"/>
  <c r="AF88" i="20"/>
  <c r="AH15" i="14"/>
  <c r="AH16" i="14" s="1"/>
  <c r="AH20" i="14" s="1"/>
  <c r="V244" i="23"/>
  <c r="V211" i="23"/>
  <c r="V617" i="17"/>
  <c r="T613" i="17"/>
  <c r="U617" i="17"/>
  <c r="AI22" i="12"/>
  <c r="AI21" i="12"/>
  <c r="AI76" i="12"/>
  <c r="AI7" i="13"/>
  <c r="AB14" i="13"/>
  <c r="AI8" i="13" s="1"/>
  <c r="AJ70" i="14"/>
  <c r="AJ71" i="14" s="1"/>
  <c r="AJ72" i="14" s="1"/>
  <c r="AJ76" i="14" s="1"/>
  <c r="M497" i="17"/>
  <c r="T482" i="17"/>
  <c r="T483" i="17" s="1"/>
  <c r="S482" i="17"/>
  <c r="U482" i="17"/>
  <c r="U483" i="17" s="1"/>
  <c r="V482" i="17"/>
  <c r="V483" i="17" s="1"/>
  <c r="AH23" i="10"/>
  <c r="AV23" i="10"/>
  <c r="AV24" i="10" s="1"/>
  <c r="AJ23" i="10"/>
  <c r="AJ24" i="10" s="1"/>
  <c r="AW23" i="10"/>
  <c r="AK23" i="10"/>
  <c r="AK24" i="10" s="1"/>
  <c r="AQ23" i="10"/>
  <c r="AQ24" i="10" s="1"/>
  <c r="AP23" i="10"/>
  <c r="AP24" i="10" s="1"/>
  <c r="AT23" i="10"/>
  <c r="AT24" i="10"/>
  <c r="AI23" i="10"/>
  <c r="AN23" i="10"/>
  <c r="AO23" i="10"/>
  <c r="AO24" i="10" s="1"/>
  <c r="AN24" i="10"/>
  <c r="AU23" i="10"/>
  <c r="AJ14" i="12"/>
  <c r="AJ16" i="12" s="1"/>
  <c r="AJ20" i="12" s="1"/>
  <c r="AI27" i="14"/>
  <c r="AI29" i="14" s="1"/>
  <c r="AI30" i="14" s="1"/>
  <c r="B11" i="9"/>
  <c r="AJ66" i="14"/>
  <c r="AJ68" i="14" s="1"/>
  <c r="AJ69" i="14" s="1"/>
  <c r="AO24" i="16"/>
  <c r="AN16" i="16"/>
  <c r="B22" i="6"/>
  <c r="AM21" i="6"/>
  <c r="AM19" i="6"/>
  <c r="M544" i="17"/>
  <c r="S552" i="17"/>
  <c r="AF533" i="17"/>
  <c r="S553" i="17"/>
  <c r="S550" i="17" s="1"/>
  <c r="L550" i="17"/>
  <c r="AF532" i="17"/>
  <c r="T553" i="17"/>
  <c r="U550" i="17" s="1"/>
  <c r="T552" i="17"/>
  <c r="L547" i="17"/>
  <c r="L549" i="17"/>
  <c r="V250" i="20"/>
  <c r="V283" i="20"/>
  <c r="V289" i="20" s="1"/>
  <c r="AA52" i="20"/>
  <c r="AL61" i="5"/>
  <c r="AL60" i="5"/>
  <c r="M652" i="17"/>
  <c r="AK28" i="12"/>
  <c r="AK27" i="12"/>
  <c r="M495" i="17"/>
  <c r="L499" i="17"/>
  <c r="M499" i="17" s="1"/>
  <c r="V478" i="17"/>
  <c r="V479" i="17" s="1"/>
  <c r="S478" i="17"/>
  <c r="T478" i="17"/>
  <c r="T479" i="17" s="1"/>
  <c r="U478" i="17"/>
  <c r="U479" i="17" s="1"/>
  <c r="AJ9" i="11"/>
  <c r="AH48" i="20"/>
  <c r="P553" i="17"/>
  <c r="S624" i="17"/>
  <c r="T619" i="17"/>
  <c r="V620" i="17"/>
  <c r="U619" i="17"/>
  <c r="T624" i="17"/>
  <c r="S620" i="17"/>
  <c r="U624" i="17"/>
  <c r="V624" i="17"/>
  <c r="S619" i="17"/>
  <c r="V619" i="17"/>
  <c r="U620" i="17"/>
  <c r="T620" i="17"/>
  <c r="S674" i="17"/>
  <c r="G13" i="20"/>
  <c r="AE71" i="20"/>
  <c r="AE110" i="20" s="1"/>
  <c r="AE149" i="20" s="1"/>
  <c r="AE188" i="20" s="1"/>
  <c r="AE227" i="20" s="1"/>
  <c r="AE266" i="20" s="1"/>
  <c r="AE305" i="20" s="1"/>
  <c r="AB65" i="16"/>
  <c r="AD65" i="16" s="1"/>
  <c r="AF65" i="16" s="1"/>
  <c r="P554" i="17"/>
  <c r="Q554" i="17" s="1"/>
  <c r="AI8" i="20"/>
  <c r="AI47" i="20" s="1"/>
  <c r="AI86" i="20" s="1"/>
  <c r="AI125" i="20" s="1"/>
  <c r="AI164" i="20" s="1"/>
  <c r="AI203" i="20" s="1"/>
  <c r="AI242" i="20" s="1"/>
  <c r="AI281" i="20" s="1"/>
  <c r="G12" i="20"/>
  <c r="AI7" i="20"/>
  <c r="AE70" i="20"/>
  <c r="AE109" i="20" s="1"/>
  <c r="AE148" i="20" s="1"/>
  <c r="AE187" i="20" s="1"/>
  <c r="AE226" i="20" s="1"/>
  <c r="AE265" i="20" s="1"/>
  <c r="AE304" i="20" s="1"/>
  <c r="AH484" i="17"/>
  <c r="AH488" i="17" s="1"/>
  <c r="AO9" i="16"/>
  <c r="AM17" i="16"/>
  <c r="AN165" i="17"/>
  <c r="Z621" i="17"/>
  <c r="AQ168" i="17"/>
  <c r="AQ34" i="9"/>
  <c r="AQ35" i="9"/>
  <c r="AQ39" i="9" s="1"/>
  <c r="M785" i="17"/>
  <c r="AH31" i="14"/>
  <c r="S429" i="17"/>
  <c r="W428" i="17"/>
  <c r="V618" i="17"/>
  <c r="S613" i="17"/>
  <c r="U612" i="17"/>
  <c r="M596" i="17"/>
  <c r="S604" i="17"/>
  <c r="AF584" i="17"/>
  <c r="AF585" i="17"/>
  <c r="S605" i="17"/>
  <c r="S602" i="17" s="1"/>
  <c r="T605" i="17"/>
  <c r="U602" i="17" s="1"/>
  <c r="T604" i="17"/>
  <c r="L599" i="17"/>
  <c r="L605" i="17" s="1"/>
  <c r="M605" i="17" s="1"/>
  <c r="L601" i="17"/>
  <c r="T584" i="17" s="1"/>
  <c r="AI27" i="13"/>
  <c r="AI29" i="13" s="1"/>
  <c r="AI30" i="13" s="1"/>
  <c r="X564" i="17"/>
  <c r="X561" i="17"/>
  <c r="X566" i="17"/>
  <c r="AE439" i="17"/>
  <c r="L734" i="17"/>
  <c r="M743" i="17"/>
  <c r="AI163" i="23"/>
  <c r="AI203" i="23"/>
  <c r="AI202" i="23"/>
  <c r="AI242" i="23"/>
  <c r="AI241" i="23"/>
  <c r="AI281" i="23"/>
  <c r="AI280" i="23"/>
  <c r="AI46" i="23"/>
  <c r="AI7" i="23"/>
  <c r="AI47" i="23"/>
  <c r="AI85" i="23"/>
  <c r="G12" i="23"/>
  <c r="AI8" i="23"/>
  <c r="AI125" i="23"/>
  <c r="AI86" i="23"/>
  <c r="AI124" i="23"/>
  <c r="AI164" i="23"/>
  <c r="AE70" i="23"/>
  <c r="AE109" i="23" s="1"/>
  <c r="AE148" i="23" s="1"/>
  <c r="AE187" i="23" s="1"/>
  <c r="AE226" i="23" s="1"/>
  <c r="AE265" i="23" s="1"/>
  <c r="AE304" i="23" s="1"/>
  <c r="AJ61" i="14"/>
  <c r="AJ60" i="14"/>
  <c r="AB99" i="16"/>
  <c r="AF91" i="16"/>
  <c r="H137" i="16" s="1"/>
  <c r="AM91" i="16"/>
  <c r="AB490" i="17"/>
  <c r="AD490" i="17"/>
  <c r="AB491" i="17"/>
  <c r="AC491" i="17"/>
  <c r="AA490" i="17"/>
  <c r="AC490" i="17"/>
  <c r="AD491" i="17"/>
  <c r="AA491" i="17"/>
  <c r="AH31" i="13"/>
  <c r="AH32" i="13" s="1"/>
  <c r="AH33" i="13" s="1"/>
  <c r="AH55" i="14"/>
  <c r="AH59" i="14" s="1"/>
  <c r="AO28" i="16"/>
  <c r="AN20" i="16"/>
  <c r="AO26" i="16"/>
  <c r="AN18" i="16"/>
  <c r="AM59" i="12"/>
  <c r="AO53" i="16"/>
  <c r="AO20" i="16"/>
  <c r="AC93" i="16" s="1"/>
  <c r="AK31" i="12"/>
  <c r="AK32" i="12" s="1"/>
  <c r="AK33" i="12" s="1"/>
  <c r="L701" i="17"/>
  <c r="M701" i="17" s="1"/>
  <c r="M684" i="17"/>
  <c r="P694" i="17" s="1"/>
  <c r="K720" i="17"/>
  <c r="K721" i="17" s="1"/>
  <c r="M664" i="17"/>
  <c r="M665" i="17" s="1"/>
  <c r="K664" i="17"/>
  <c r="U670" i="17" s="1"/>
  <c r="AO51" i="16"/>
  <c r="AO18" i="16"/>
  <c r="AC91" i="16" s="1"/>
  <c r="AK70" i="12"/>
  <c r="AK71" i="12" s="1"/>
  <c r="AK72" i="12" s="1"/>
  <c r="AK76" i="12" s="1"/>
  <c r="AQ167" i="17"/>
  <c r="AO166" i="17"/>
  <c r="AI37" i="14"/>
  <c r="O717" i="17"/>
  <c r="K717" i="17" s="1"/>
  <c r="K718" i="17" s="1"/>
  <c r="M682" i="17"/>
  <c r="K711" i="17"/>
  <c r="AJ16" i="6"/>
  <c r="AJ20" i="6" s="1"/>
  <c r="V429" i="17"/>
  <c r="U618" i="17"/>
  <c r="T612" i="17"/>
  <c r="V622" i="17"/>
  <c r="AJ66" i="12"/>
  <c r="AJ68" i="12" s="1"/>
  <c r="AJ69" i="12" s="1"/>
  <c r="AJ76" i="12" s="1"/>
  <c r="AI27" i="12"/>
  <c r="AI28" i="12"/>
  <c r="AJ36" i="6"/>
  <c r="AJ38" i="6" s="1"/>
  <c r="AJ40" i="6" s="1"/>
  <c r="AI37" i="9"/>
  <c r="AI38" i="9"/>
  <c r="C11" i="9" s="1"/>
  <c r="AH27" i="13"/>
  <c r="AH29" i="13" s="1"/>
  <c r="AH30" i="13" s="1"/>
  <c r="W498" i="17"/>
  <c r="AH14" i="13"/>
  <c r="AH16" i="13" s="1"/>
  <c r="AH20" i="13" s="1"/>
  <c r="AJ78" i="15"/>
  <c r="AJ77" i="15"/>
  <c r="E8" i="15" s="1"/>
  <c r="AF17" i="10"/>
  <c r="AF19" i="10" s="1"/>
  <c r="AF18" i="10"/>
  <c r="AI9" i="11"/>
  <c r="AG29" i="13"/>
  <c r="AG30" i="13" s="1"/>
  <c r="AK71" i="14"/>
  <c r="AK72" i="14" s="1"/>
  <c r="AG7" i="13"/>
  <c r="Z14" i="13"/>
  <c r="AG8" i="13" s="1"/>
  <c r="AA89" i="16"/>
  <c r="AO32" i="16"/>
  <c r="AP166" i="17"/>
  <c r="AA99" i="16"/>
  <c r="AB98" i="16" s="1"/>
  <c r="AF93" i="16"/>
  <c r="H139" i="16" s="1"/>
  <c r="AM93" i="16"/>
  <c r="P810" i="17"/>
  <c r="Q801" i="17"/>
  <c r="AP37" i="9"/>
  <c r="AP38" i="9"/>
  <c r="V613" i="17"/>
  <c r="T623" i="17"/>
  <c r="U613" i="17"/>
  <c r="AB18" i="10"/>
  <c r="AU9" i="10" s="1"/>
  <c r="AU12" i="10" s="1"/>
  <c r="AC18" i="10"/>
  <c r="AV9" i="10" s="1"/>
  <c r="AV12" i="10" s="1"/>
  <c r="AD18" i="10"/>
  <c r="AW9" i="10" s="1"/>
  <c r="AW12" i="10" s="1"/>
  <c r="AA18" i="10"/>
  <c r="AT9" i="10" s="1"/>
  <c r="AT12" i="10" s="1"/>
  <c r="AI7" i="11"/>
  <c r="AB14" i="11"/>
  <c r="AJ27" i="12"/>
  <c r="AJ29" i="12" s="1"/>
  <c r="AJ30" i="12" s="1"/>
  <c r="AJ28" i="12"/>
  <c r="AK66" i="14"/>
  <c r="AK68" i="14" s="1"/>
  <c r="AK69" i="14" s="1"/>
  <c r="M746" i="17"/>
  <c r="L736" i="17"/>
  <c r="AI87" i="23"/>
  <c r="AH103" i="23" s="1"/>
  <c r="AI204" i="23"/>
  <c r="AH220" i="23" s="1"/>
  <c r="AI48" i="23"/>
  <c r="AI243" i="23"/>
  <c r="AI126" i="23"/>
  <c r="AI282" i="23"/>
  <c r="G14" i="23"/>
  <c r="AI9" i="23"/>
  <c r="AI165" i="23"/>
  <c r="AH181" i="23" s="1"/>
  <c r="AE72" i="23"/>
  <c r="AE111" i="23" s="1"/>
  <c r="AE150" i="23" s="1"/>
  <c r="AE189" i="23" s="1"/>
  <c r="AE228" i="23" s="1"/>
  <c r="AE267" i="23" s="1"/>
  <c r="AE306" i="23" s="1"/>
  <c r="AH8" i="20"/>
  <c r="AH68" i="15"/>
  <c r="AH69" i="15" s="1"/>
  <c r="AH76" i="15" s="1"/>
  <c r="AC10" i="10"/>
  <c r="AF10" i="10" s="1"/>
  <c r="AC9" i="10"/>
  <c r="AF9" i="10" s="1"/>
  <c r="AK61" i="14"/>
  <c r="AK60" i="14"/>
  <c r="W445" i="17"/>
  <c r="Q642" i="17"/>
  <c r="P655" i="17"/>
  <c r="P651" i="17"/>
  <c r="P555" i="17"/>
  <c r="Q555" i="17" s="1"/>
  <c r="K665" i="17"/>
  <c r="K666" i="17" s="1"/>
  <c r="AO50" i="16"/>
  <c r="AO17" i="16"/>
  <c r="AC90" i="16" s="1"/>
  <c r="AG9" i="11"/>
  <c r="AO52" i="16"/>
  <c r="AO19" i="16"/>
  <c r="AC92" i="16" s="1"/>
  <c r="AN153" i="17"/>
  <c r="AN163" i="17"/>
  <c r="Z616" i="17"/>
  <c r="AJ61" i="5"/>
  <c r="AJ60" i="5"/>
  <c r="W444" i="17"/>
  <c r="Q799" i="17"/>
  <c r="P808" i="17"/>
  <c r="Q808" i="17" s="1"/>
  <c r="P812" i="17"/>
  <c r="Q812" i="17" s="1"/>
  <c r="Y571" i="17"/>
  <c r="AN152" i="17"/>
  <c r="T617" i="17"/>
  <c r="Y617" i="17" s="1"/>
  <c r="S612" i="17"/>
  <c r="AI63" i="5"/>
  <c r="X562" i="17"/>
  <c r="X565" i="17"/>
  <c r="X560" i="17"/>
  <c r="AE438" i="17"/>
  <c r="AL28" i="12"/>
  <c r="AL27" i="12"/>
  <c r="AL29" i="12" s="1"/>
  <c r="AL30" i="12" s="1"/>
  <c r="AL31" i="12"/>
  <c r="AL32" i="12" s="1"/>
  <c r="AL33" i="12" s="1"/>
  <c r="L501" i="17"/>
  <c r="M501" i="17" s="1"/>
  <c r="M498" i="17"/>
  <c r="L502" i="17"/>
  <c r="M502" i="17" s="1"/>
  <c r="U480" i="17"/>
  <c r="U481" i="17" s="1"/>
  <c r="T480" i="17"/>
  <c r="T481" i="17" s="1"/>
  <c r="V480" i="17"/>
  <c r="V481" i="17" s="1"/>
  <c r="S480" i="17"/>
  <c r="AC88" i="23"/>
  <c r="AF49" i="23"/>
  <c r="L786" i="17"/>
  <c r="L802" i="17" s="1"/>
  <c r="M795" i="17"/>
  <c r="AK22" i="14"/>
  <c r="AK21" i="14"/>
  <c r="AH7" i="20"/>
  <c r="Q745" i="17"/>
  <c r="AO27" i="16"/>
  <c r="AN19" i="16"/>
  <c r="AK7" i="11"/>
  <c r="AK8" i="11"/>
  <c r="AN15" i="16"/>
  <c r="H23" i="6"/>
  <c r="V47" i="8" l="1"/>
  <c r="E26" i="8" s="1"/>
  <c r="V54" i="8"/>
  <c r="V55" i="8"/>
  <c r="V56" i="8"/>
  <c r="V58" i="8"/>
  <c r="V57" i="8"/>
  <c r="V59" i="8"/>
  <c r="AL21" i="12"/>
  <c r="AL22" i="12"/>
  <c r="K719" i="17"/>
  <c r="AL40" i="6"/>
  <c r="W684" i="17"/>
  <c r="S701" i="17"/>
  <c r="S702" i="17"/>
  <c r="AK38" i="8"/>
  <c r="AK39" i="8"/>
  <c r="AO181" i="17"/>
  <c r="S669" i="17"/>
  <c r="AF68" i="16"/>
  <c r="S670" i="17"/>
  <c r="P712" i="17"/>
  <c r="Q712" i="17" s="1"/>
  <c r="W650" i="17"/>
  <c r="AH259" i="23"/>
  <c r="AI29" i="12"/>
  <c r="AI30" i="12" s="1"/>
  <c r="AI37" i="12" s="1"/>
  <c r="AC17" i="10"/>
  <c r="AV8" i="10" s="1"/>
  <c r="AV11" i="10" s="1"/>
  <c r="AH64" i="23"/>
  <c r="AP181" i="17"/>
  <c r="AG39" i="15"/>
  <c r="AG38" i="15"/>
  <c r="U59" i="8"/>
  <c r="U47" i="8"/>
  <c r="D26" i="8" s="1"/>
  <c r="U58" i="8"/>
  <c r="U54" i="8"/>
  <c r="U55" i="8"/>
  <c r="U56" i="8"/>
  <c r="U57" i="8"/>
  <c r="V584" i="17"/>
  <c r="AB23" i="8"/>
  <c r="AB17" i="8" s="1"/>
  <c r="T51" i="8" s="1"/>
  <c r="AJ29" i="8"/>
  <c r="AJ30" i="8" s="1"/>
  <c r="AJ37" i="8" s="1"/>
  <c r="AH77" i="14"/>
  <c r="AJ535" i="17"/>
  <c r="AQ181" i="17"/>
  <c r="AI28" i="8"/>
  <c r="AK29" i="12"/>
  <c r="AK30" i="12" s="1"/>
  <c r="AI535" i="17"/>
  <c r="AI27" i="8"/>
  <c r="AI29" i="8" s="1"/>
  <c r="AI30" i="8" s="1"/>
  <c r="AI37" i="8" s="1"/>
  <c r="AJ29" i="15"/>
  <c r="AJ30" i="15" s="1"/>
  <c r="AJ37" i="15" s="1"/>
  <c r="AJ14" i="11"/>
  <c r="T701" i="17"/>
  <c r="T702" i="17"/>
  <c r="AI38" i="15"/>
  <c r="D7" i="15" s="1"/>
  <c r="AI39" i="15"/>
  <c r="AN166" i="17"/>
  <c r="AC11" i="10"/>
  <c r="T736" i="17"/>
  <c r="Y788" i="17"/>
  <c r="U736" i="17"/>
  <c r="S736" i="17"/>
  <c r="V736" i="17"/>
  <c r="V701" i="17"/>
  <c r="V702" i="17"/>
  <c r="AH37" i="8"/>
  <c r="U701" i="17"/>
  <c r="U702" i="17"/>
  <c r="S57" i="8"/>
  <c r="S58" i="8"/>
  <c r="S59" i="8"/>
  <c r="S54" i="8"/>
  <c r="S55" i="8"/>
  <c r="S56" i="8"/>
  <c r="S47" i="8"/>
  <c r="B26" i="8" s="1"/>
  <c r="AL67" i="5"/>
  <c r="AL68" i="5" s="1"/>
  <c r="AL69" i="5" s="1"/>
  <c r="AL70" i="5"/>
  <c r="AL71" i="5" s="1"/>
  <c r="AL72" i="5" s="1"/>
  <c r="AL15" i="5"/>
  <c r="AL14" i="5"/>
  <c r="AI8" i="5"/>
  <c r="AI66" i="5" s="1"/>
  <c r="AK23" i="5"/>
  <c r="AI25" i="5"/>
  <c r="AB22" i="5" s="1"/>
  <c r="AK25" i="5"/>
  <c r="AD22" i="5" s="1"/>
  <c r="AJ25" i="5"/>
  <c r="AC22" i="5" s="1"/>
  <c r="AL25" i="5"/>
  <c r="AE22" i="5" s="1"/>
  <c r="AL23" i="5"/>
  <c r="L20" i="5"/>
  <c r="B16" i="5"/>
  <c r="AI23" i="5"/>
  <c r="AK70" i="5"/>
  <c r="AK71" i="5" s="1"/>
  <c r="AK72" i="5" s="1"/>
  <c r="D12" i="5"/>
  <c r="D13" i="5"/>
  <c r="D14" i="5"/>
  <c r="AJ23" i="5"/>
  <c r="AK67" i="5"/>
  <c r="AK68" i="5" s="1"/>
  <c r="AK69" i="5" s="1"/>
  <c r="AJ8" i="5"/>
  <c r="AJ15" i="5" s="1"/>
  <c r="AK14" i="5"/>
  <c r="AK15" i="5"/>
  <c r="AJ39" i="14"/>
  <c r="AJ38" i="14"/>
  <c r="D8" i="14" s="1"/>
  <c r="AH21" i="13"/>
  <c r="AH22" i="13"/>
  <c r="AJ77" i="12"/>
  <c r="C8" i="12" s="1"/>
  <c r="AJ78" i="12"/>
  <c r="AJ21" i="13"/>
  <c r="AJ22" i="13"/>
  <c r="V718" i="17"/>
  <c r="T718" i="17"/>
  <c r="U718" i="17"/>
  <c r="S718" i="17"/>
  <c r="AJ21" i="12"/>
  <c r="AJ22" i="12"/>
  <c r="AH15" i="20"/>
  <c r="AH14" i="20"/>
  <c r="S601" i="17"/>
  <c r="S600" i="17"/>
  <c r="L803" i="17"/>
  <c r="L808" i="17" s="1"/>
  <c r="M802" i="17"/>
  <c r="Z97" i="16"/>
  <c r="AM88" i="16"/>
  <c r="AF88" i="16"/>
  <c r="AA94" i="16"/>
  <c r="S481" i="17"/>
  <c r="W481" i="17" s="1"/>
  <c r="W480" i="17"/>
  <c r="AF472" i="17" s="1"/>
  <c r="AH142" i="23"/>
  <c r="Q810" i="17"/>
  <c r="AK78" i="12"/>
  <c r="AK77" i="12"/>
  <c r="D8" i="12" s="1"/>
  <c r="AK37" i="12"/>
  <c r="AH140" i="23"/>
  <c r="AH62" i="23"/>
  <c r="AH63" i="23"/>
  <c r="W429" i="17"/>
  <c r="AA90" i="16"/>
  <c r="T670" i="17"/>
  <c r="Y670" i="17" s="1"/>
  <c r="T664" i="17"/>
  <c r="U675" i="17"/>
  <c r="AH46" i="20"/>
  <c r="S532" i="17"/>
  <c r="U532" i="17"/>
  <c r="L554" i="17"/>
  <c r="M554" i="17" s="1"/>
  <c r="M550" i="17"/>
  <c r="L553" i="17"/>
  <c r="M553" i="17" s="1"/>
  <c r="T532" i="17"/>
  <c r="V532" i="17"/>
  <c r="AK28" i="10"/>
  <c r="AK27" i="10"/>
  <c r="AO89" i="16"/>
  <c r="AH89" i="16"/>
  <c r="J135" i="16" s="1"/>
  <c r="AA101" i="16"/>
  <c r="AD98" i="16" s="1"/>
  <c r="AF69" i="16"/>
  <c r="AA91" i="20"/>
  <c r="AA92" i="20"/>
  <c r="AJ586" i="17"/>
  <c r="Q605" i="17"/>
  <c r="AT10" i="10"/>
  <c r="L700" i="17"/>
  <c r="M699" i="17"/>
  <c r="AN177" i="17"/>
  <c r="Z668" i="17"/>
  <c r="O769" i="17"/>
  <c r="K769" i="17" s="1"/>
  <c r="K770" i="17" s="1"/>
  <c r="M734" i="17"/>
  <c r="K763" i="17"/>
  <c r="AA92" i="16"/>
  <c r="B9" i="14"/>
  <c r="AI23" i="11"/>
  <c r="AJ23" i="11"/>
  <c r="AG23" i="11"/>
  <c r="AG24" i="11" s="1"/>
  <c r="AG31" i="11" s="1"/>
  <c r="AH23" i="11"/>
  <c r="AH24" i="11" s="1"/>
  <c r="AC15" i="10"/>
  <c r="AJ9" i="10" s="1"/>
  <c r="AD15" i="10"/>
  <c r="AK9" i="10" s="1"/>
  <c r="AB15" i="10"/>
  <c r="AI9" i="10" s="1"/>
  <c r="AA15" i="10"/>
  <c r="AH9" i="10" s="1"/>
  <c r="D12" i="6"/>
  <c r="D13" i="6"/>
  <c r="AE88" i="16"/>
  <c r="AP31" i="16"/>
  <c r="AN21" i="16"/>
  <c r="AB28" i="16" s="1"/>
  <c r="AD28" i="16" s="1"/>
  <c r="Z102" i="16"/>
  <c r="AO92" i="16"/>
  <c r="AH92" i="16"/>
  <c r="J138" i="16" s="1"/>
  <c r="P658" i="17"/>
  <c r="Q658" i="17" s="1"/>
  <c r="Q651" i="17"/>
  <c r="P659" i="17"/>
  <c r="Q659" i="17" s="1"/>
  <c r="P653" i="17"/>
  <c r="Q653" i="17" s="1"/>
  <c r="AF8" i="10"/>
  <c r="L753" i="17"/>
  <c r="M753" i="17" s="1"/>
  <c r="M736" i="17"/>
  <c r="P746" i="17" s="1"/>
  <c r="K772" i="17"/>
  <c r="K773" i="17" s="1"/>
  <c r="C26" i="16"/>
  <c r="B72" i="16"/>
  <c r="C139" i="16"/>
  <c r="AF89" i="16"/>
  <c r="H135" i="16" s="1"/>
  <c r="AA98" i="16"/>
  <c r="AM89" i="16"/>
  <c r="AB102" i="16"/>
  <c r="AE99" i="16" s="1"/>
  <c r="AO91" i="16"/>
  <c r="AH91" i="16"/>
  <c r="J137" i="16" s="1"/>
  <c r="AA102" i="16"/>
  <c r="AH93" i="16"/>
  <c r="J139" i="16" s="1"/>
  <c r="AO93" i="16"/>
  <c r="AE91" i="16"/>
  <c r="AH36" i="16"/>
  <c r="AE491" i="17"/>
  <c r="C137" i="16"/>
  <c r="C24" i="16"/>
  <c r="M56" i="16" s="1"/>
  <c r="B70" i="16"/>
  <c r="AH296" i="23"/>
  <c r="AH297" i="23" s="1"/>
  <c r="AB595" i="17"/>
  <c r="AC595" i="17"/>
  <c r="AA594" i="17"/>
  <c r="AC594" i="17"/>
  <c r="AD595" i="17"/>
  <c r="AA595" i="17"/>
  <c r="AD594" i="17"/>
  <c r="AB594" i="17"/>
  <c r="AH32" i="14"/>
  <c r="AH33" i="14" s="1"/>
  <c r="AH37" i="14" s="1"/>
  <c r="U674" i="17"/>
  <c r="T674" i="17"/>
  <c r="V669" i="17"/>
  <c r="X614" i="17"/>
  <c r="X617" i="17"/>
  <c r="W550" i="17"/>
  <c r="AU28" i="10"/>
  <c r="AU27" i="10"/>
  <c r="AU24" i="10"/>
  <c r="AI15" i="13"/>
  <c r="AI14" i="13"/>
  <c r="AI31" i="13"/>
  <c r="AG8" i="11"/>
  <c r="AA52" i="23"/>
  <c r="AA53" i="23"/>
  <c r="AH9" i="23"/>
  <c r="AD17" i="10"/>
  <c r="AW8" i="10" s="1"/>
  <c r="AW11" i="10" s="1"/>
  <c r="AJ33" i="13"/>
  <c r="AJ37" i="13" s="1"/>
  <c r="AK535" i="17"/>
  <c r="AH8" i="23"/>
  <c r="AH257" i="23"/>
  <c r="AH258" i="23" s="1"/>
  <c r="M601" i="17"/>
  <c r="S586" i="17"/>
  <c r="T586" i="17"/>
  <c r="T587" i="17" s="1"/>
  <c r="V586" i="17"/>
  <c r="V587" i="17" s="1"/>
  <c r="U586" i="17"/>
  <c r="U587" i="17" s="1"/>
  <c r="V665" i="17"/>
  <c r="V674" i="17"/>
  <c r="U664" i="17"/>
  <c r="M549" i="17"/>
  <c r="V534" i="17"/>
  <c r="V535" i="17" s="1"/>
  <c r="T534" i="17"/>
  <c r="T535" i="17" s="1"/>
  <c r="S534" i="17"/>
  <c r="U534" i="17"/>
  <c r="U535" i="17" s="1"/>
  <c r="S548" i="17"/>
  <c r="S549" i="17"/>
  <c r="AJ28" i="10"/>
  <c r="AJ27" i="10"/>
  <c r="AH22" i="14"/>
  <c r="AH21" i="14"/>
  <c r="AL20" i="14" s="1"/>
  <c r="AJ16" i="11"/>
  <c r="AJ20" i="11" s="1"/>
  <c r="AC125" i="23"/>
  <c r="AF87" i="23"/>
  <c r="AF86" i="23"/>
  <c r="H9" i="9"/>
  <c r="I9" i="9"/>
  <c r="Y622" i="17"/>
  <c r="AB13" i="23"/>
  <c r="I94" i="23" s="1"/>
  <c r="AH7" i="23"/>
  <c r="AA16" i="23"/>
  <c r="AB15" i="23" s="1"/>
  <c r="AW10" i="10"/>
  <c r="AO22" i="16"/>
  <c r="AC88" i="16"/>
  <c r="AL78" i="12"/>
  <c r="AL77" i="12"/>
  <c r="E8" i="12" s="1"/>
  <c r="AN178" i="17"/>
  <c r="Z667" i="17"/>
  <c r="L603" i="17"/>
  <c r="M603" i="17" s="1"/>
  <c r="U582" i="17"/>
  <c r="U583" i="17" s="1"/>
  <c r="V582" i="17"/>
  <c r="V583" i="17" s="1"/>
  <c r="M599" i="17"/>
  <c r="S582" i="17"/>
  <c r="T582" i="17"/>
  <c r="T583" i="17" s="1"/>
  <c r="AQ38" i="9"/>
  <c r="AQ37" i="9"/>
  <c r="AH24" i="20"/>
  <c r="AB14" i="20" s="1"/>
  <c r="AI46" i="20"/>
  <c r="AH23" i="20"/>
  <c r="T665" i="17"/>
  <c r="U665" i="17"/>
  <c r="V675" i="17"/>
  <c r="S530" i="17"/>
  <c r="L551" i="17"/>
  <c r="M551" i="17" s="1"/>
  <c r="T530" i="17"/>
  <c r="T531" i="17" s="1"/>
  <c r="M547" i="17"/>
  <c r="U530" i="17"/>
  <c r="U531" i="17" s="1"/>
  <c r="V530" i="17"/>
  <c r="V531" i="17" s="1"/>
  <c r="AW24" i="10"/>
  <c r="AW28" i="10" s="1"/>
  <c r="W482" i="17"/>
  <c r="S483" i="17"/>
  <c r="W483" i="17" s="1"/>
  <c r="AA93" i="20"/>
  <c r="B8" i="15"/>
  <c r="U584" i="17"/>
  <c r="AH8" i="11"/>
  <c r="P607" i="17"/>
  <c r="Q607" i="17" s="1"/>
  <c r="AI48" i="20"/>
  <c r="AH25" i="20"/>
  <c r="AB15" i="20" s="1"/>
  <c r="M648" i="17"/>
  <c r="S656" i="17"/>
  <c r="AF637" i="17"/>
  <c r="AF636" i="17"/>
  <c r="T657" i="17"/>
  <c r="U654" i="17" s="1"/>
  <c r="L654" i="17"/>
  <c r="T656" i="17"/>
  <c r="L653" i="17"/>
  <c r="L651" i="17"/>
  <c r="S657" i="17"/>
  <c r="S654" i="17" s="1"/>
  <c r="AB17" i="10"/>
  <c r="AU8" i="10" s="1"/>
  <c r="AU11" i="10" s="1"/>
  <c r="L705" i="17"/>
  <c r="M705" i="17" s="1"/>
  <c r="AH535" i="17"/>
  <c r="AO180" i="17"/>
  <c r="AG25" i="11"/>
  <c r="Z22" i="11" s="1"/>
  <c r="AJ25" i="11"/>
  <c r="AC22" i="11" s="1"/>
  <c r="AH25" i="11"/>
  <c r="AA22" i="11" s="1"/>
  <c r="AI25" i="11"/>
  <c r="AB22" i="11" s="1"/>
  <c r="V283" i="23"/>
  <c r="V289" i="23" s="1"/>
  <c r="V250" i="23"/>
  <c r="AK22" i="12"/>
  <c r="AK21" i="12"/>
  <c r="AE92" i="16"/>
  <c r="AH37" i="16"/>
  <c r="AG15" i="13"/>
  <c r="AG16" i="13" s="1"/>
  <c r="AG20" i="13" s="1"/>
  <c r="AG31" i="13"/>
  <c r="AG32" i="13" s="1"/>
  <c r="AG33" i="13" s="1"/>
  <c r="AG37" i="13" s="1"/>
  <c r="AG14" i="13"/>
  <c r="K716" i="17"/>
  <c r="S716" i="17" s="1"/>
  <c r="M716" i="17"/>
  <c r="M717" i="17" s="1"/>
  <c r="T676" i="17"/>
  <c r="V676" i="17"/>
  <c r="T671" i="17"/>
  <c r="T672" i="17"/>
  <c r="U676" i="17"/>
  <c r="U671" i="17"/>
  <c r="S672" i="17"/>
  <c r="S671" i="17"/>
  <c r="U672" i="17"/>
  <c r="V672" i="17"/>
  <c r="V671" i="17"/>
  <c r="S676" i="17"/>
  <c r="AE490" i="17"/>
  <c r="M786" i="17"/>
  <c r="O821" i="17"/>
  <c r="K823" i="17" s="1"/>
  <c r="K815" i="17"/>
  <c r="Z101" i="16"/>
  <c r="AH90" i="16"/>
  <c r="J136" i="16" s="1"/>
  <c r="AO90" i="16"/>
  <c r="AH25" i="23"/>
  <c r="AK76" i="14"/>
  <c r="D22" i="6"/>
  <c r="G22" i="6" s="1"/>
  <c r="AO21" i="6"/>
  <c r="AO19" i="6"/>
  <c r="AL20" i="6" s="1"/>
  <c r="T722" i="17"/>
  <c r="S727" i="17"/>
  <c r="S721" i="17"/>
  <c r="S722" i="17"/>
  <c r="AH60" i="14"/>
  <c r="AL59" i="14" s="1"/>
  <c r="AH61" i="14"/>
  <c r="AH101" i="23"/>
  <c r="AH218" i="23"/>
  <c r="AH219" i="23"/>
  <c r="U600" i="17"/>
  <c r="U601" i="17"/>
  <c r="Y613" i="17"/>
  <c r="V670" i="17"/>
  <c r="S675" i="17"/>
  <c r="S664" i="17"/>
  <c r="U549" i="17"/>
  <c r="U548" i="17"/>
  <c r="G11" i="9"/>
  <c r="AO28" i="10"/>
  <c r="AO27" i="10"/>
  <c r="AT28" i="10"/>
  <c r="AT27" i="10"/>
  <c r="AT29" i="10" s="1"/>
  <c r="AT30" i="10" s="1"/>
  <c r="AC166" i="20"/>
  <c r="AF127" i="20"/>
  <c r="AA132" i="20" s="1"/>
  <c r="AH14" i="11"/>
  <c r="AH15" i="11"/>
  <c r="AU10" i="10"/>
  <c r="Y618" i="17"/>
  <c r="AM21" i="16"/>
  <c r="AA23" i="16" s="1"/>
  <c r="AC23" i="16" s="1"/>
  <c r="AE23" i="16" s="1"/>
  <c r="L706" i="17"/>
  <c r="AN90" i="16"/>
  <c r="AC101" i="16"/>
  <c r="AD100" i="16" s="1"/>
  <c r="AG90" i="16"/>
  <c r="I136" i="16" s="1"/>
  <c r="AO182" i="17"/>
  <c r="AQ182" i="17"/>
  <c r="P662" i="17"/>
  <c r="Q662" i="17" s="1"/>
  <c r="P661" i="17"/>
  <c r="Q694" i="17"/>
  <c r="P703" i="17"/>
  <c r="P707" i="17"/>
  <c r="AP32" i="16"/>
  <c r="AE89" i="16"/>
  <c r="AI78" i="12"/>
  <c r="AI77" i="12"/>
  <c r="AG14" i="11"/>
  <c r="AC164" i="20"/>
  <c r="AF125" i="20"/>
  <c r="AF126" i="20"/>
  <c r="AN179" i="17"/>
  <c r="Z673" i="17"/>
  <c r="AH38" i="16"/>
  <c r="AE93" i="16"/>
  <c r="AA54" i="23"/>
  <c r="AH77" i="15"/>
  <c r="C8" i="15" s="1"/>
  <c r="AH78" i="15"/>
  <c r="AH37" i="13"/>
  <c r="T675" i="17"/>
  <c r="T669" i="17"/>
  <c r="Y669" i="17" s="1"/>
  <c r="V664" i="17"/>
  <c r="X616" i="17"/>
  <c r="X618" i="17"/>
  <c r="X613" i="17"/>
  <c r="X619" i="17"/>
  <c r="X620" i="17"/>
  <c r="X621" i="17"/>
  <c r="X615" i="17"/>
  <c r="S479" i="17"/>
  <c r="W479" i="17" s="1"/>
  <c r="W478" i="17"/>
  <c r="AL38" i="9"/>
  <c r="AH24" i="10"/>
  <c r="AH27" i="10" s="1"/>
  <c r="AP28" i="10"/>
  <c r="AP27" i="10"/>
  <c r="AV28" i="10"/>
  <c r="AV27" i="10"/>
  <c r="AV29" i="10" s="1"/>
  <c r="AV30" i="10" s="1"/>
  <c r="S584" i="17"/>
  <c r="Q609" i="17"/>
  <c r="AJ587" i="17"/>
  <c r="AH587" i="17"/>
  <c r="AK587" i="17"/>
  <c r="AI587" i="17"/>
  <c r="AR38" i="9"/>
  <c r="G8" i="9" s="1"/>
  <c r="L805" i="17"/>
  <c r="M805" i="17" s="1"/>
  <c r="M788" i="17"/>
  <c r="P798" i="17" s="1"/>
  <c r="K824" i="17"/>
  <c r="K825" i="17" s="1"/>
  <c r="AV10" i="10"/>
  <c r="AV15" i="10"/>
  <c r="AV14" i="10"/>
  <c r="AV31" i="10"/>
  <c r="Q758" i="17"/>
  <c r="P764" i="17"/>
  <c r="Q764" i="17" s="1"/>
  <c r="AJ33" i="12"/>
  <c r="AJ37" i="12" s="1"/>
  <c r="L704" i="17"/>
  <c r="AP180" i="17"/>
  <c r="AQ180" i="17"/>
  <c r="L750" i="17"/>
  <c r="AI38" i="12"/>
  <c r="AI39" i="12"/>
  <c r="V719" i="17"/>
  <c r="AQ192" i="17" s="1"/>
  <c r="U725" i="17"/>
  <c r="AP193" i="17" s="1"/>
  <c r="V720" i="17"/>
  <c r="AQ191" i="17" s="1"/>
  <c r="S720" i="17"/>
  <c r="U720" i="17"/>
  <c r="AP191" i="17" s="1"/>
  <c r="S719" i="17"/>
  <c r="T720" i="17"/>
  <c r="AO191" i="17" s="1"/>
  <c r="U719" i="17"/>
  <c r="AP192" i="17" s="1"/>
  <c r="T719" i="17"/>
  <c r="AO192" i="17" s="1"/>
  <c r="S725" i="17"/>
  <c r="T725" i="17"/>
  <c r="AO193" i="17" s="1"/>
  <c r="V725" i="17"/>
  <c r="AQ193" i="17" s="1"/>
  <c r="AC127" i="23"/>
  <c r="AF88" i="23"/>
  <c r="AL37" i="12"/>
  <c r="Y612" i="17"/>
  <c r="T666" i="17"/>
  <c r="U666" i="17"/>
  <c r="V666" i="17"/>
  <c r="S666" i="17"/>
  <c r="AH298" i="23"/>
  <c r="AI8" i="11"/>
  <c r="AI15" i="11" s="1"/>
  <c r="M718" i="17"/>
  <c r="AH23" i="23"/>
  <c r="AH24" i="23"/>
  <c r="AH179" i="23"/>
  <c r="W602" i="17"/>
  <c r="AF420" i="17"/>
  <c r="AN168" i="17"/>
  <c r="U669" i="17"/>
  <c r="S665" i="17"/>
  <c r="Y665" i="17" s="1"/>
  <c r="AJ534" i="17"/>
  <c r="AJ536" i="17" s="1"/>
  <c r="AJ540" i="17" s="1"/>
  <c r="AI534" i="17"/>
  <c r="AI536" i="17" s="1"/>
  <c r="AI540" i="17" s="1"/>
  <c r="Q553" i="17"/>
  <c r="AK534" i="17"/>
  <c r="AH534" i="17"/>
  <c r="AA53" i="20"/>
  <c r="AC543" i="17"/>
  <c r="AA542" i="17"/>
  <c r="AC542" i="17"/>
  <c r="AD543" i="17"/>
  <c r="AA543" i="17"/>
  <c r="AB542" i="17"/>
  <c r="AD542" i="17"/>
  <c r="AB543" i="17"/>
  <c r="AN28" i="10"/>
  <c r="AN27" i="10"/>
  <c r="AN29" i="10" s="1"/>
  <c r="AN30" i="10" s="1"/>
  <c r="AQ28" i="10"/>
  <c r="AQ27" i="10"/>
  <c r="AI24" i="10"/>
  <c r="AI28" i="10" s="1"/>
  <c r="AJ77" i="14"/>
  <c r="D9" i="14" s="1"/>
  <c r="AJ78" i="14"/>
  <c r="AN167" i="17"/>
  <c r="L606" i="17"/>
  <c r="M606" i="17" s="1"/>
  <c r="AA17" i="10"/>
  <c r="AT8" i="10" s="1"/>
  <c r="AT11" i="10" s="1"/>
  <c r="AM59" i="5"/>
  <c r="AP182" i="17"/>
  <c r="AJ39" i="8" l="1"/>
  <c r="AJ38" i="8"/>
  <c r="AI38" i="8"/>
  <c r="AI39" i="8"/>
  <c r="AH39" i="8"/>
  <c r="AH38" i="8"/>
  <c r="AL37" i="8" s="1"/>
  <c r="B7" i="15"/>
  <c r="W702" i="17"/>
  <c r="AO195" i="17"/>
  <c r="AJ588" i="17"/>
  <c r="AJ592" i="17" s="1"/>
  <c r="K821" i="17"/>
  <c r="K822" i="17" s="1"/>
  <c r="AJ29" i="10"/>
  <c r="AJ30" i="10" s="1"/>
  <c r="AU29" i="10"/>
  <c r="AU30" i="10" s="1"/>
  <c r="AM20" i="12"/>
  <c r="V753" i="17"/>
  <c r="V754" i="17"/>
  <c r="W701" i="17"/>
  <c r="T716" i="17"/>
  <c r="M822" i="17"/>
  <c r="S753" i="17"/>
  <c r="W736" i="17"/>
  <c r="S754" i="17"/>
  <c r="AV32" i="10"/>
  <c r="AV33" i="10" s="1"/>
  <c r="W549" i="17"/>
  <c r="U533" i="17"/>
  <c r="U754" i="17"/>
  <c r="U753" i="17"/>
  <c r="U716" i="17"/>
  <c r="T788" i="17"/>
  <c r="U788" i="17"/>
  <c r="S788" i="17"/>
  <c r="V788" i="17"/>
  <c r="AB14" i="23"/>
  <c r="I104" i="23" s="1"/>
  <c r="AH28" i="10"/>
  <c r="T754" i="17"/>
  <c r="T753" i="17"/>
  <c r="AP29" i="10"/>
  <c r="AP30" i="10" s="1"/>
  <c r="AU31" i="10"/>
  <c r="W654" i="17"/>
  <c r="AN180" i="17"/>
  <c r="AK29" i="10"/>
  <c r="AK30" i="10" s="1"/>
  <c r="S77" i="8"/>
  <c r="S80" i="8"/>
  <c r="W56" i="8"/>
  <c r="T47" i="8"/>
  <c r="C26" i="8" s="1"/>
  <c r="T56" i="8"/>
  <c r="T57" i="8"/>
  <c r="T58" i="8"/>
  <c r="T54" i="8"/>
  <c r="T59" i="8"/>
  <c r="W59" i="8" s="1"/>
  <c r="X59" i="8" s="1"/>
  <c r="T55" i="8"/>
  <c r="AU14" i="10"/>
  <c r="Y664" i="17"/>
  <c r="W55" i="8"/>
  <c r="AP196" i="17"/>
  <c r="AQ29" i="10"/>
  <c r="AQ30" i="10" s="1"/>
  <c r="AQ195" i="17"/>
  <c r="AH29" i="10"/>
  <c r="AH30" i="10" s="1"/>
  <c r="AU15" i="10"/>
  <c r="AU16" i="10" s="1"/>
  <c r="S79" i="8"/>
  <c r="W54" i="8"/>
  <c r="S76" i="8"/>
  <c r="V78" i="8"/>
  <c r="V81" i="8"/>
  <c r="S81" i="8"/>
  <c r="S78" i="8"/>
  <c r="W58" i="8"/>
  <c r="U80" i="8"/>
  <c r="U77" i="8"/>
  <c r="V77" i="8"/>
  <c r="V80" i="8"/>
  <c r="Y674" i="17"/>
  <c r="W57" i="8"/>
  <c r="X57" i="8" s="1"/>
  <c r="AH16" i="11"/>
  <c r="AH20" i="11" s="1"/>
  <c r="AH22" i="11" s="1"/>
  <c r="AK586" i="17"/>
  <c r="AK588" i="17" s="1"/>
  <c r="AK592" i="17" s="1"/>
  <c r="U79" i="8"/>
  <c r="U76" i="8"/>
  <c r="V76" i="8"/>
  <c r="V79" i="8"/>
  <c r="AI32" i="13"/>
  <c r="AI33" i="13" s="1"/>
  <c r="AI37" i="13" s="1"/>
  <c r="AJ39" i="15"/>
  <c r="AJ38" i="15"/>
  <c r="E7" i="15" s="1"/>
  <c r="U78" i="8"/>
  <c r="U81" i="8"/>
  <c r="AI70" i="5"/>
  <c r="AI71" i="5" s="1"/>
  <c r="AI72" i="5" s="1"/>
  <c r="AI67" i="5"/>
  <c r="AI68" i="5" s="1"/>
  <c r="AI69" i="5" s="1"/>
  <c r="AI76" i="5" s="1"/>
  <c r="AL76" i="5"/>
  <c r="F24" i="5" s="1"/>
  <c r="AK76" i="5"/>
  <c r="E24" i="5" s="1"/>
  <c r="AI14" i="5"/>
  <c r="AI15" i="5"/>
  <c r="AK16" i="5"/>
  <c r="AK20" i="5" s="1"/>
  <c r="AK21" i="5" s="1"/>
  <c r="AJ14" i="5"/>
  <c r="AJ16" i="5" s="1"/>
  <c r="AJ20" i="5" s="1"/>
  <c r="AJ21" i="5" s="1"/>
  <c r="AD20" i="5"/>
  <c r="AK24" i="5"/>
  <c r="AD21" i="5" s="1"/>
  <c r="AL24" i="5"/>
  <c r="AE21" i="5" s="1"/>
  <c r="AE20" i="5"/>
  <c r="AC20" i="5"/>
  <c r="AJ24" i="5"/>
  <c r="AJ31" i="5" s="1"/>
  <c r="AJ32" i="5" s="1"/>
  <c r="AJ66" i="5"/>
  <c r="AJ67" i="5"/>
  <c r="AJ70" i="5"/>
  <c r="AJ71" i="5" s="1"/>
  <c r="AJ72" i="5" s="1"/>
  <c r="AI24" i="5"/>
  <c r="AI28" i="5" s="1"/>
  <c r="AB20" i="5"/>
  <c r="AL16" i="5"/>
  <c r="AL20" i="5" s="1"/>
  <c r="Q798" i="17"/>
  <c r="P807" i="17"/>
  <c r="P811" i="17"/>
  <c r="AH31" i="11"/>
  <c r="AH32" i="11" s="1"/>
  <c r="AH33" i="11" s="1"/>
  <c r="AA21" i="11"/>
  <c r="Q746" i="17"/>
  <c r="P759" i="17"/>
  <c r="P755" i="17"/>
  <c r="T823" i="17"/>
  <c r="AO220" i="17" s="1"/>
  <c r="U823" i="17"/>
  <c r="AP220" i="17" s="1"/>
  <c r="S823" i="17"/>
  <c r="S829" i="17"/>
  <c r="U829" i="17"/>
  <c r="AP221" i="17" s="1"/>
  <c r="V823" i="17"/>
  <c r="AQ220" i="17" s="1"/>
  <c r="T824" i="17"/>
  <c r="AO219" i="17" s="1"/>
  <c r="AO222" i="17" s="1"/>
  <c r="T829" i="17"/>
  <c r="AO221" i="17" s="1"/>
  <c r="V824" i="17"/>
  <c r="AQ219" i="17" s="1"/>
  <c r="V829" i="17"/>
  <c r="AQ221" i="17" s="1"/>
  <c r="U824" i="17"/>
  <c r="AP219" i="17" s="1"/>
  <c r="S824" i="17"/>
  <c r="D14" i="6"/>
  <c r="F13" i="6"/>
  <c r="F14" i="6"/>
  <c r="F12" i="6"/>
  <c r="AN193" i="17"/>
  <c r="Z725" i="17"/>
  <c r="AI85" i="20"/>
  <c r="AH62" i="20"/>
  <c r="S690" i="17"/>
  <c r="S691" i="17"/>
  <c r="T690" i="17"/>
  <c r="T691" i="17" s="1"/>
  <c r="U690" i="17"/>
  <c r="U691" i="17" s="1"/>
  <c r="M704" i="17"/>
  <c r="V690" i="17"/>
  <c r="V691" i="17" s="1"/>
  <c r="H8" i="9"/>
  <c r="I8" i="9"/>
  <c r="AQ196" i="17"/>
  <c r="AN182" i="17"/>
  <c r="Q661" i="17"/>
  <c r="AK639" i="17"/>
  <c r="AH639" i="17"/>
  <c r="AI639" i="17"/>
  <c r="AJ639" i="17"/>
  <c r="AH126" i="20"/>
  <c r="U721" i="17"/>
  <c r="T727" i="17"/>
  <c r="Y727" i="17" s="1"/>
  <c r="AB101" i="16"/>
  <c r="AE98" i="16" s="1"/>
  <c r="AD99" i="16"/>
  <c r="AB13" i="10"/>
  <c r="AI7" i="10" s="1"/>
  <c r="AA13" i="10"/>
  <c r="AH7" i="10" s="1"/>
  <c r="AC13" i="10"/>
  <c r="AJ7" i="10" s="1"/>
  <c r="AD13" i="10"/>
  <c r="AK7" i="10" s="1"/>
  <c r="AC99" i="16"/>
  <c r="AB100" i="16"/>
  <c r="AE97" i="16" s="1"/>
  <c r="AG28" i="11"/>
  <c r="AG27" i="11"/>
  <c r="AG29" i="11" s="1"/>
  <c r="AG30" i="11" s="1"/>
  <c r="Z20" i="11"/>
  <c r="AM92" i="16"/>
  <c r="Z99" i="16"/>
  <c r="AB97" i="16" s="1"/>
  <c r="AF92" i="16"/>
  <c r="H138" i="16" s="1"/>
  <c r="K768" i="17"/>
  <c r="S774" i="17" s="1"/>
  <c r="M768" i="17"/>
  <c r="M769" i="17" s="1"/>
  <c r="AT15" i="10"/>
  <c r="C68" i="16"/>
  <c r="E22" i="16"/>
  <c r="A22" i="16" s="1"/>
  <c r="E135" i="16"/>
  <c r="H134" i="16"/>
  <c r="AF95" i="16"/>
  <c r="AC203" i="20"/>
  <c r="AF164" i="20"/>
  <c r="AF165" i="20"/>
  <c r="X668" i="17"/>
  <c r="X665" i="17"/>
  <c r="X670" i="17"/>
  <c r="AE542" i="17"/>
  <c r="AH187" i="23"/>
  <c r="AH188" i="23" s="1"/>
  <c r="AH189" i="23" s="1"/>
  <c r="X664" i="17"/>
  <c r="AN191" i="17"/>
  <c r="Z720" i="17"/>
  <c r="D23" i="16"/>
  <c r="D69" i="16"/>
  <c r="D136" i="16"/>
  <c r="U727" i="17"/>
  <c r="AA26" i="16"/>
  <c r="AC26" i="16" s="1"/>
  <c r="AE26" i="16" s="1"/>
  <c r="AA647" i="17"/>
  <c r="AB646" i="17"/>
  <c r="AD646" i="17"/>
  <c r="AB647" i="17"/>
  <c r="AC647" i="17"/>
  <c r="AA646" i="17"/>
  <c r="AC646" i="17"/>
  <c r="AD647" i="17"/>
  <c r="AH180" i="23"/>
  <c r="AH183" i="23" s="1"/>
  <c r="AO196" i="17"/>
  <c r="AQ194" i="17"/>
  <c r="AB23" i="16"/>
  <c r="AD23" i="16" s="1"/>
  <c r="AF23" i="16" s="1"/>
  <c r="V688" i="17"/>
  <c r="S688" i="17"/>
  <c r="M706" i="17"/>
  <c r="U688" i="17"/>
  <c r="T688" i="17"/>
  <c r="AC205" i="20"/>
  <c r="AF166" i="20"/>
  <c r="AA171" i="20" s="1"/>
  <c r="AH226" i="23"/>
  <c r="AH227" i="23" s="1"/>
  <c r="AH228" i="23" s="1"/>
  <c r="AH223" i="23"/>
  <c r="AH222" i="23"/>
  <c r="AH224" i="23" s="1"/>
  <c r="AH225" i="23" s="1"/>
  <c r="U717" i="17"/>
  <c r="V727" i="17"/>
  <c r="S717" i="17"/>
  <c r="AK78" i="14"/>
  <c r="AK77" i="14"/>
  <c r="E9" i="14" s="1"/>
  <c r="AB25" i="16"/>
  <c r="AD25" i="16" s="1"/>
  <c r="U585" i="17"/>
  <c r="AH27" i="20"/>
  <c r="AH29" i="20" s="1"/>
  <c r="AH30" i="20" s="1"/>
  <c r="AH28" i="20"/>
  <c r="AB13" i="20"/>
  <c r="AO88" i="16"/>
  <c r="Z100" i="16"/>
  <c r="AC97" i="16" s="1"/>
  <c r="AH88" i="16"/>
  <c r="AC94" i="16"/>
  <c r="AH31" i="23"/>
  <c r="AH32" i="23" s="1"/>
  <c r="AH14" i="23"/>
  <c r="AH15" i="23"/>
  <c r="AC164" i="23"/>
  <c r="AC203" i="23" s="1"/>
  <c r="AC242" i="23" s="1"/>
  <c r="AC281" i="23" s="1"/>
  <c r="AF126" i="23"/>
  <c r="AF125" i="23"/>
  <c r="W548" i="17"/>
  <c r="AH262" i="23"/>
  <c r="AH261" i="23"/>
  <c r="AH265" i="23"/>
  <c r="AH266" i="23" s="1"/>
  <c r="AH267" i="23" s="1"/>
  <c r="AK536" i="17"/>
  <c r="AK540" i="17" s="1"/>
  <c r="Z21" i="11"/>
  <c r="AH39" i="14"/>
  <c r="AH38" i="14"/>
  <c r="AE594" i="17"/>
  <c r="AB24" i="16"/>
  <c r="AD24" i="16" s="1"/>
  <c r="AF24" i="16" s="1"/>
  <c r="AN9" i="10"/>
  <c r="AH12" i="10"/>
  <c r="AN12" i="10" s="1"/>
  <c r="AC20" i="11"/>
  <c r="V585" i="17"/>
  <c r="AA28" i="16"/>
  <c r="AC28" i="16" s="1"/>
  <c r="AH141" i="23"/>
  <c r="AH145" i="23" s="1"/>
  <c r="AM95" i="16"/>
  <c r="AQ88" i="16" s="1"/>
  <c r="C134" i="16"/>
  <c r="C21" i="16"/>
  <c r="B67" i="16"/>
  <c r="AH16" i="20"/>
  <c r="AH20" i="20" s="1"/>
  <c r="AI39" i="13"/>
  <c r="AI38" i="13"/>
  <c r="D15" i="13" s="1"/>
  <c r="AI12" i="10"/>
  <c r="AO12" i="10" s="1"/>
  <c r="AO9" i="10"/>
  <c r="AB20" i="11"/>
  <c r="AM90" i="16"/>
  <c r="AF90" i="16"/>
  <c r="H136" i="16" s="1"/>
  <c r="Z98" i="16"/>
  <c r="AA97" i="16" s="1"/>
  <c r="AK38" i="12"/>
  <c r="D7" i="12" s="1"/>
  <c r="AK39" i="12"/>
  <c r="M808" i="17"/>
  <c r="AD101" i="16"/>
  <c r="AG89" i="16"/>
  <c r="I135" i="16" s="1"/>
  <c r="AN89" i="16"/>
  <c r="AK76" i="15"/>
  <c r="AJ21" i="11"/>
  <c r="AJ22" i="11"/>
  <c r="Y675" i="17"/>
  <c r="G8" i="15"/>
  <c r="W534" i="17"/>
  <c r="S535" i="17"/>
  <c r="W535" i="17" s="1"/>
  <c r="T774" i="17"/>
  <c r="AQ9" i="10"/>
  <c r="AK12" i="10"/>
  <c r="AQ12" i="10" s="1"/>
  <c r="V770" i="17"/>
  <c r="S770" i="17"/>
  <c r="T770" i="17"/>
  <c r="U770" i="17"/>
  <c r="AH86" i="20"/>
  <c r="S533" i="17"/>
  <c r="W532" i="17"/>
  <c r="AA27" i="16"/>
  <c r="AC27" i="16" s="1"/>
  <c r="AE27" i="16" s="1"/>
  <c r="M803" i="17"/>
  <c r="L804" i="17"/>
  <c r="AB27" i="16"/>
  <c r="AD27" i="16" s="1"/>
  <c r="AF27" i="16" s="1"/>
  <c r="AH47" i="20"/>
  <c r="AH54" i="20" s="1"/>
  <c r="AN92" i="16"/>
  <c r="AG92" i="16"/>
  <c r="I138" i="16" s="1"/>
  <c r="AC102" i="16"/>
  <c r="AE100" i="16" s="1"/>
  <c r="AJ39" i="13"/>
  <c r="AJ38" i="13"/>
  <c r="E15" i="13" s="1"/>
  <c r="C70" i="16"/>
  <c r="E137" i="16"/>
  <c r="E24" i="16"/>
  <c r="A24" i="16" s="1"/>
  <c r="AH48" i="23"/>
  <c r="AH102" i="23"/>
  <c r="AH106" i="23" s="1"/>
  <c r="AP195" i="17"/>
  <c r="AJ38" i="12"/>
  <c r="C7" i="12" s="1"/>
  <c r="AJ39" i="12"/>
  <c r="AO29" i="10"/>
  <c r="AO30" i="10" s="1"/>
  <c r="U722" i="17"/>
  <c r="Y722" i="17" s="1"/>
  <c r="S726" i="17"/>
  <c r="T726" i="17"/>
  <c r="K820" i="17"/>
  <c r="M820" i="17"/>
  <c r="M821" i="17" s="1"/>
  <c r="X666" i="17"/>
  <c r="X669" i="17"/>
  <c r="M653" i="17"/>
  <c r="V638" i="17"/>
  <c r="V639" i="17" s="1"/>
  <c r="T638" i="17"/>
  <c r="T639" i="17" s="1"/>
  <c r="U638" i="17"/>
  <c r="U639" i="17" s="1"/>
  <c r="S638" i="17"/>
  <c r="AH87" i="20"/>
  <c r="AW31" i="10"/>
  <c r="AI16" i="13"/>
  <c r="AI20" i="13" s="1"/>
  <c r="C135" i="16"/>
  <c r="B68" i="16"/>
  <c r="C22" i="16"/>
  <c r="AB26" i="16"/>
  <c r="AD26" i="16" s="1"/>
  <c r="AF26" i="16" s="1"/>
  <c r="AJ12" i="10"/>
  <c r="AP12" i="10" s="1"/>
  <c r="AP9" i="10"/>
  <c r="AI24" i="11"/>
  <c r="AB21" i="11" s="1"/>
  <c r="M700" i="17"/>
  <c r="S708" i="17"/>
  <c r="AF689" i="17"/>
  <c r="AF688" i="17"/>
  <c r="L703" i="17"/>
  <c r="S709" i="17"/>
  <c r="S706" i="17" s="1"/>
  <c r="T708" i="17"/>
  <c r="T709" i="17"/>
  <c r="U706" i="17" s="1"/>
  <c r="AH85" i="20"/>
  <c r="L810" i="17"/>
  <c r="W600" i="17"/>
  <c r="T585" i="17"/>
  <c r="V717" i="17"/>
  <c r="T717" i="17"/>
  <c r="V716" i="17"/>
  <c r="Y716" i="17" s="1"/>
  <c r="C69" i="16"/>
  <c r="E23" i="16"/>
  <c r="A23" i="16" s="1"/>
  <c r="E136" i="16"/>
  <c r="U653" i="17"/>
  <c r="U652" i="17"/>
  <c r="AH64" i="20"/>
  <c r="AB54" i="20" s="1"/>
  <c r="AI87" i="20"/>
  <c r="S531" i="17"/>
  <c r="W531" i="17" s="1"/>
  <c r="W530" i="17"/>
  <c r="AN181" i="17"/>
  <c r="AW14" i="10"/>
  <c r="W586" i="17"/>
  <c r="S587" i="17"/>
  <c r="W587" i="17" s="1"/>
  <c r="AW27" i="10"/>
  <c r="AW29" i="10" s="1"/>
  <c r="AW30" i="10" s="1"/>
  <c r="AN91" i="16"/>
  <c r="AG91" i="16"/>
  <c r="I137" i="16" s="1"/>
  <c r="AE102" i="16"/>
  <c r="P657" i="17"/>
  <c r="AC100" i="16"/>
  <c r="AE94" i="16"/>
  <c r="AG88" i="16"/>
  <c r="AN88" i="16"/>
  <c r="G9" i="14"/>
  <c r="K771" i="17"/>
  <c r="AI27" i="10"/>
  <c r="AI29" i="10" s="1"/>
  <c r="AI30" i="10" s="1"/>
  <c r="V533" i="17"/>
  <c r="P816" i="17"/>
  <c r="Q816" i="17" s="1"/>
  <c r="W601" i="17"/>
  <c r="AH28" i="23"/>
  <c r="AH27" i="23"/>
  <c r="AH29" i="23" s="1"/>
  <c r="AH30" i="23" s="1"/>
  <c r="T723" i="17"/>
  <c r="V723" i="17"/>
  <c r="V724" i="17"/>
  <c r="S728" i="17"/>
  <c r="U728" i="17"/>
  <c r="T728" i="17"/>
  <c r="U723" i="17"/>
  <c r="T724" i="17"/>
  <c r="S724" i="17"/>
  <c r="V728" i="17"/>
  <c r="S723" i="17"/>
  <c r="U724" i="17"/>
  <c r="L655" i="17"/>
  <c r="M655" i="17" s="1"/>
  <c r="S634" i="17"/>
  <c r="M651" i="17"/>
  <c r="T634" i="17"/>
  <c r="T635" i="17" s="1"/>
  <c r="U634" i="17"/>
  <c r="U635" i="17" s="1"/>
  <c r="V634" i="17"/>
  <c r="V635" i="17" s="1"/>
  <c r="AA24" i="16"/>
  <c r="AC24" i="16" s="1"/>
  <c r="AE24" i="16" s="1"/>
  <c r="AV36" i="10"/>
  <c r="AV39" i="10" s="1"/>
  <c r="AV35" i="10"/>
  <c r="AG93" i="16"/>
  <c r="I139" i="16" s="1"/>
  <c r="AN93" i="16"/>
  <c r="AD102" i="16"/>
  <c r="AE101" i="16" s="1"/>
  <c r="H22" i="6"/>
  <c r="AA93" i="23"/>
  <c r="L751" i="17"/>
  <c r="L756" i="17" s="1"/>
  <c r="M750" i="17"/>
  <c r="S585" i="17"/>
  <c r="W585" i="17" s="1"/>
  <c r="W584" i="17"/>
  <c r="AF576" i="17" s="1"/>
  <c r="AG15" i="11"/>
  <c r="AG16" i="11" s="1"/>
  <c r="AG20" i="11" s="1"/>
  <c r="Q703" i="17"/>
  <c r="P705" i="17"/>
  <c r="Q705" i="17" s="1"/>
  <c r="P710" i="17"/>
  <c r="Q710" i="17" s="1"/>
  <c r="P709" i="17"/>
  <c r="P711" i="17"/>
  <c r="Q711" i="17" s="1"/>
  <c r="G7" i="9"/>
  <c r="F9" i="9"/>
  <c r="F7" i="9"/>
  <c r="F8" i="9"/>
  <c r="V721" i="17"/>
  <c r="V722" i="17"/>
  <c r="V726" i="17"/>
  <c r="AG38" i="13"/>
  <c r="AG39" i="13"/>
  <c r="AH536" i="17"/>
  <c r="AH540" i="17" s="1"/>
  <c r="L658" i="17"/>
  <c r="M658" i="17" s="1"/>
  <c r="S636" i="17"/>
  <c r="U636" i="17"/>
  <c r="M654" i="17"/>
  <c r="L657" i="17"/>
  <c r="M657" i="17" s="1"/>
  <c r="T636" i="17"/>
  <c r="V636" i="17"/>
  <c r="AW15" i="10"/>
  <c r="AH47" i="23"/>
  <c r="AE595" i="17"/>
  <c r="AH304" i="23"/>
  <c r="AH305" i="23" s="1"/>
  <c r="AH306" i="23" s="1"/>
  <c r="AH301" i="23"/>
  <c r="AH300" i="23"/>
  <c r="AH302" i="23" s="1"/>
  <c r="AH303" i="23" s="1"/>
  <c r="E26" i="16"/>
  <c r="A26" i="16" s="1"/>
  <c r="C72" i="16"/>
  <c r="E139" i="16"/>
  <c r="AH28" i="11"/>
  <c r="AH27" i="11"/>
  <c r="AA20" i="11"/>
  <c r="AA23" i="11" s="1"/>
  <c r="AL76" i="14"/>
  <c r="M770" i="17"/>
  <c r="AT14" i="10"/>
  <c r="AI586" i="17"/>
  <c r="AI588" i="17" s="1"/>
  <c r="AI592" i="17" s="1"/>
  <c r="T533" i="17"/>
  <c r="L807" i="17"/>
  <c r="X716" i="17"/>
  <c r="AA130" i="20"/>
  <c r="AA131" i="20"/>
  <c r="V822" i="17"/>
  <c r="S822" i="17"/>
  <c r="T822" i="17"/>
  <c r="U822" i="17"/>
  <c r="S653" i="17"/>
  <c r="S652" i="17"/>
  <c r="W652" i="17" s="1"/>
  <c r="AE543" i="17"/>
  <c r="AL38" i="12"/>
  <c r="E7" i="12" s="1"/>
  <c r="AL39" i="12"/>
  <c r="AO194" i="17"/>
  <c r="B7" i="12"/>
  <c r="P713" i="17"/>
  <c r="P714" i="17"/>
  <c r="Q714" i="17" s="1"/>
  <c r="AN192" i="17"/>
  <c r="AN195" i="17" s="1"/>
  <c r="Z719" i="17"/>
  <c r="AC166" i="23"/>
  <c r="AC205" i="23" s="1"/>
  <c r="AC244" i="23" s="1"/>
  <c r="AC283" i="23" s="1"/>
  <c r="AF127" i="23"/>
  <c r="AA132" i="23" s="1"/>
  <c r="AP194" i="17"/>
  <c r="AV16" i="10"/>
  <c r="AH38" i="13"/>
  <c r="C15" i="13" s="1"/>
  <c r="AH39" i="13"/>
  <c r="AM76" i="12"/>
  <c r="B8" i="12"/>
  <c r="G8" i="12" s="1"/>
  <c r="U726" i="17"/>
  <c r="T721" i="17"/>
  <c r="AA100" i="16"/>
  <c r="AD97" i="16" s="1"/>
  <c r="AC98" i="16"/>
  <c r="X673" i="17"/>
  <c r="X671" i="17"/>
  <c r="X672" i="17"/>
  <c r="X667" i="17"/>
  <c r="AG21" i="13"/>
  <c r="AG22" i="13"/>
  <c r="S583" i="17"/>
  <c r="W583" i="17" s="1"/>
  <c r="W582" i="17"/>
  <c r="AA91" i="23"/>
  <c r="AA92" i="23" s="1"/>
  <c r="AH46" i="23"/>
  <c r="AA55" i="23"/>
  <c r="AB53" i="23" s="1"/>
  <c r="I105" i="23" s="1"/>
  <c r="AB52" i="23"/>
  <c r="I95" i="23" s="1"/>
  <c r="E138" i="16"/>
  <c r="E25" i="16"/>
  <c r="A25" i="16" s="1"/>
  <c r="C71" i="16"/>
  <c r="AJ24" i="11"/>
  <c r="AC21" i="11" s="1"/>
  <c r="AA25" i="16"/>
  <c r="AC25" i="16" s="1"/>
  <c r="AE25" i="16" s="1"/>
  <c r="AT31" i="10"/>
  <c r="AT32" i="10" s="1"/>
  <c r="AH586" i="17"/>
  <c r="AH588" i="17" s="1"/>
  <c r="AH592" i="17" s="1"/>
  <c r="AH66" i="23"/>
  <c r="AH67" i="23"/>
  <c r="AI14" i="11"/>
  <c r="AI16" i="11" s="1"/>
  <c r="AI20" i="11" s="1"/>
  <c r="L809" i="17"/>
  <c r="M809" i="17" s="1"/>
  <c r="AH31" i="20"/>
  <c r="AH32" i="20" s="1"/>
  <c r="AH33" i="20" s="1"/>
  <c r="AH37" i="20" s="1"/>
  <c r="AK31" i="5" l="1"/>
  <c r="AK32" i="5" s="1"/>
  <c r="AK33" i="5" s="1"/>
  <c r="AJ33" i="5"/>
  <c r="T778" i="17"/>
  <c r="V779" i="17"/>
  <c r="AA47" i="8"/>
  <c r="W60" i="8"/>
  <c r="S65" i="8" s="1"/>
  <c r="U65" i="8" s="1"/>
  <c r="W65" i="8" s="1"/>
  <c r="G10" i="8" s="1"/>
  <c r="X54" i="8"/>
  <c r="T805" i="17"/>
  <c r="T806" i="17"/>
  <c r="T637" i="17"/>
  <c r="S773" i="17"/>
  <c r="AH33" i="23"/>
  <c r="S66" i="8"/>
  <c r="U66" i="8" s="1"/>
  <c r="AA48" i="8"/>
  <c r="X56" i="8"/>
  <c r="S67" i="8"/>
  <c r="U67" i="8" s="1"/>
  <c r="U637" i="17"/>
  <c r="V774" i="17"/>
  <c r="AQ223" i="17"/>
  <c r="AH29" i="11"/>
  <c r="AH30" i="11" s="1"/>
  <c r="T826" i="17"/>
  <c r="S769" i="17"/>
  <c r="V778" i="17"/>
  <c r="V768" i="17"/>
  <c r="T773" i="17"/>
  <c r="S62" i="8"/>
  <c r="U62" i="8" s="1"/>
  <c r="X55" i="8"/>
  <c r="AU32" i="10"/>
  <c r="AU33" i="10" s="1"/>
  <c r="G7" i="15"/>
  <c r="W754" i="17"/>
  <c r="AK37" i="15"/>
  <c r="S768" i="17"/>
  <c r="AH21" i="11"/>
  <c r="S778" i="17"/>
  <c r="V773" i="17"/>
  <c r="AA49" i="8"/>
  <c r="S64" i="8"/>
  <c r="U64" i="8" s="1"/>
  <c r="X58" i="8"/>
  <c r="AH105" i="23"/>
  <c r="U774" i="17"/>
  <c r="T779" i="17"/>
  <c r="W753" i="17"/>
  <c r="AH68" i="23"/>
  <c r="AH69" i="23" s="1"/>
  <c r="Y721" i="17"/>
  <c r="U773" i="17"/>
  <c r="T769" i="17"/>
  <c r="V794" i="17"/>
  <c r="V795" i="17" s="1"/>
  <c r="S825" i="17"/>
  <c r="AC14" i="10"/>
  <c r="AJ8" i="10" s="1"/>
  <c r="U769" i="17"/>
  <c r="V769" i="17"/>
  <c r="U831" i="17"/>
  <c r="T76" i="8"/>
  <c r="T79" i="8"/>
  <c r="T83" i="8" s="1"/>
  <c r="AT33" i="10"/>
  <c r="U768" i="17"/>
  <c r="T768" i="17"/>
  <c r="S830" i="17"/>
  <c r="S85" i="8"/>
  <c r="T81" i="8"/>
  <c r="T85" i="8" s="1"/>
  <c r="T78" i="8"/>
  <c r="V805" i="17"/>
  <c r="V806" i="17"/>
  <c r="S779" i="17"/>
  <c r="U778" i="17"/>
  <c r="AP222" i="17"/>
  <c r="W788" i="17"/>
  <c r="S805" i="17"/>
  <c r="S806" i="17"/>
  <c r="W806" i="17" s="1"/>
  <c r="V637" i="17"/>
  <c r="U779" i="17"/>
  <c r="Z106" i="16" a="1"/>
  <c r="AD109" i="16" s="1"/>
  <c r="G23" i="16" s="1"/>
  <c r="S83" i="8"/>
  <c r="T80" i="8"/>
  <c r="T84" i="8" s="1"/>
  <c r="T77" i="8"/>
  <c r="S84" i="8" s="1"/>
  <c r="S88" i="8" s="1"/>
  <c r="U805" i="17"/>
  <c r="U806" i="17"/>
  <c r="AL31" i="5"/>
  <c r="AL32" i="5" s="1"/>
  <c r="AL33" i="5" s="1"/>
  <c r="AI16" i="5"/>
  <c r="AI20" i="5" s="1"/>
  <c r="AI21" i="5" s="1"/>
  <c r="AK22" i="5"/>
  <c r="AJ22" i="5"/>
  <c r="AK27" i="5"/>
  <c r="AJ27" i="5"/>
  <c r="AK28" i="5"/>
  <c r="AB21" i="5"/>
  <c r="AI31" i="5"/>
  <c r="AI32" i="5" s="1"/>
  <c r="AI33" i="5" s="1"/>
  <c r="AI27" i="5"/>
  <c r="AI29" i="5" s="1"/>
  <c r="AI30" i="5" s="1"/>
  <c r="AL27" i="5"/>
  <c r="AJ68" i="5"/>
  <c r="AJ69" i="5" s="1"/>
  <c r="AJ76" i="5" s="1"/>
  <c r="D24" i="5" s="1"/>
  <c r="AL28" i="5"/>
  <c r="AL21" i="5"/>
  <c r="AL22" i="5"/>
  <c r="AJ28" i="5"/>
  <c r="AC21" i="5"/>
  <c r="M756" i="17"/>
  <c r="AD106" i="16"/>
  <c r="H23" i="16" s="1"/>
  <c r="Z110" i="16"/>
  <c r="AE109" i="16"/>
  <c r="G25" i="16" s="1"/>
  <c r="Z107" i="16"/>
  <c r="AC106" i="16"/>
  <c r="H21" i="16" s="1"/>
  <c r="Z111" i="16"/>
  <c r="AE107" i="16"/>
  <c r="H26" i="16" s="1"/>
  <c r="AA109" i="16"/>
  <c r="I23" i="16" s="1"/>
  <c r="Z108" i="16"/>
  <c r="Z109" i="16"/>
  <c r="AD108" i="16"/>
  <c r="AB109" i="16"/>
  <c r="I25" i="16" s="1"/>
  <c r="AC107" i="16"/>
  <c r="AE108" i="16"/>
  <c r="H24" i="16" s="1"/>
  <c r="AB111" i="16"/>
  <c r="AA107" i="16"/>
  <c r="F22" i="16" s="1"/>
  <c r="AA110" i="16"/>
  <c r="AC108" i="16"/>
  <c r="AH86" i="23"/>
  <c r="AI21" i="11"/>
  <c r="AI22" i="11"/>
  <c r="AG21" i="11"/>
  <c r="AG22" i="11"/>
  <c r="AH10" i="10"/>
  <c r="AN10" i="10" s="1"/>
  <c r="AN7" i="10"/>
  <c r="AB52" i="20"/>
  <c r="P757" i="17"/>
  <c r="Q757" i="17" s="1"/>
  <c r="Q755" i="17"/>
  <c r="C24" i="5"/>
  <c r="X820" i="17"/>
  <c r="AU18" i="10"/>
  <c r="AU17" i="10"/>
  <c r="AU20" i="10" s="1"/>
  <c r="X717" i="17"/>
  <c r="X722" i="17"/>
  <c r="X720" i="17"/>
  <c r="AH53" i="20"/>
  <c r="AH55" i="20" s="1"/>
  <c r="AH59" i="20" s="1"/>
  <c r="I134" i="16"/>
  <c r="AG95" i="16"/>
  <c r="U704" i="17"/>
  <c r="U705" i="17"/>
  <c r="AW32" i="10"/>
  <c r="AW33" i="10" s="1"/>
  <c r="AB16" i="20"/>
  <c r="AC13" i="20" s="1"/>
  <c r="F22" i="20" s="1"/>
  <c r="Y717" i="17"/>
  <c r="AC244" i="20"/>
  <c r="AF205" i="20"/>
  <c r="S821" i="17"/>
  <c r="U825" i="17"/>
  <c r="V825" i="17"/>
  <c r="AE647" i="17"/>
  <c r="AT16" i="10"/>
  <c r="AA14" i="10"/>
  <c r="AH8" i="10" s="1"/>
  <c r="AH14" i="10" s="1"/>
  <c r="AI124" i="20"/>
  <c r="AH101" i="20"/>
  <c r="AH102" i="20"/>
  <c r="AB92" i="20" s="1"/>
  <c r="AG32" i="11"/>
  <c r="AG33" i="11" s="1"/>
  <c r="AG37" i="11" s="1"/>
  <c r="AA17" i="11"/>
  <c r="T51" i="11" s="1"/>
  <c r="AK37" i="13"/>
  <c r="B15" i="13"/>
  <c r="G15" i="13" s="1"/>
  <c r="AT35" i="10"/>
  <c r="AT36" i="10"/>
  <c r="AT39" i="10" s="1"/>
  <c r="D15" i="12"/>
  <c r="D16" i="12"/>
  <c r="D14" i="12"/>
  <c r="F14" i="12"/>
  <c r="F15" i="12"/>
  <c r="F16" i="12"/>
  <c r="AH310" i="23"/>
  <c r="AV38" i="10"/>
  <c r="AV37" i="10"/>
  <c r="W706" i="17"/>
  <c r="AB54" i="23"/>
  <c r="S812" i="17"/>
  <c r="M804" i="17"/>
  <c r="AF793" i="17"/>
  <c r="T813" i="17"/>
  <c r="U810" i="17" s="1"/>
  <c r="S813" i="17"/>
  <c r="S810" i="17" s="1"/>
  <c r="AF792" i="17"/>
  <c r="T812" i="17"/>
  <c r="Y769" i="17"/>
  <c r="D16" i="15"/>
  <c r="D15" i="15"/>
  <c r="D14" i="15"/>
  <c r="F14" i="15"/>
  <c r="F16" i="15"/>
  <c r="F15" i="15"/>
  <c r="AQ90" i="16"/>
  <c r="C23" i="16"/>
  <c r="C136" i="16"/>
  <c r="B69" i="16"/>
  <c r="AE28" i="16"/>
  <c r="AH16" i="23"/>
  <c r="AH20" i="23" s="1"/>
  <c r="T831" i="17"/>
  <c r="S820" i="17"/>
  <c r="V820" i="17"/>
  <c r="AK805" i="17" s="1"/>
  <c r="H141" i="16"/>
  <c r="H144" i="16" s="1"/>
  <c r="T776" i="17"/>
  <c r="U780" i="17"/>
  <c r="S780" i="17"/>
  <c r="S776" i="17"/>
  <c r="S775" i="17"/>
  <c r="V780" i="17"/>
  <c r="U776" i="17"/>
  <c r="T780" i="17"/>
  <c r="T775" i="17"/>
  <c r="V775" i="17"/>
  <c r="U775" i="17"/>
  <c r="V776" i="17"/>
  <c r="AO7" i="10"/>
  <c r="AI10" i="10"/>
  <c r="AO10" i="10" s="1"/>
  <c r="AP224" i="17"/>
  <c r="AH37" i="11"/>
  <c r="AH126" i="23"/>
  <c r="H7" i="9"/>
  <c r="I7" i="9"/>
  <c r="X724" i="17"/>
  <c r="X725" i="17"/>
  <c r="X723" i="17"/>
  <c r="X719" i="17"/>
  <c r="D134" i="16"/>
  <c r="D21" i="16"/>
  <c r="D67" i="16"/>
  <c r="AN95" i="16"/>
  <c r="AR90" i="16" s="1"/>
  <c r="AI22" i="13"/>
  <c r="AI21" i="13"/>
  <c r="AK20" i="13" s="1"/>
  <c r="AH125" i="20"/>
  <c r="X718" i="17"/>
  <c r="X721" i="17"/>
  <c r="L707" i="17"/>
  <c r="M707" i="17" s="1"/>
  <c r="V686" i="17"/>
  <c r="V687" i="17" s="1"/>
  <c r="S686" i="17"/>
  <c r="T686" i="17"/>
  <c r="T687" i="17" s="1"/>
  <c r="M703" i="17"/>
  <c r="U686" i="17"/>
  <c r="U687" i="17" s="1"/>
  <c r="X768" i="17"/>
  <c r="T794" i="17"/>
  <c r="T795" i="17" s="1"/>
  <c r="AB23" i="11"/>
  <c r="AH21" i="20"/>
  <c r="AI20" i="20" s="1"/>
  <c r="AH22" i="20"/>
  <c r="AH263" i="23"/>
  <c r="AH264" i="23" s="1"/>
  <c r="AH271" i="23" s="1"/>
  <c r="L710" i="17"/>
  <c r="M710" i="17" s="1"/>
  <c r="V826" i="17"/>
  <c r="T821" i="17"/>
  <c r="U826" i="17"/>
  <c r="AH144" i="23"/>
  <c r="AH146" i="23" s="1"/>
  <c r="AH147" i="23" s="1"/>
  <c r="AD14" i="10"/>
  <c r="AK8" i="10" s="1"/>
  <c r="AK31" i="10" s="1"/>
  <c r="AK32" i="10" s="1"/>
  <c r="AN196" i="17"/>
  <c r="AN219" i="17"/>
  <c r="Z824" i="17"/>
  <c r="AN221" i="17"/>
  <c r="Z829" i="17"/>
  <c r="P817" i="17"/>
  <c r="P818" i="17"/>
  <c r="Q818" i="17" s="1"/>
  <c r="AH124" i="20"/>
  <c r="AH690" i="17"/>
  <c r="AI690" i="17"/>
  <c r="Q709" i="17"/>
  <c r="AJ690" i="17"/>
  <c r="AK690" i="17"/>
  <c r="L752" i="17"/>
  <c r="L757" i="17" s="1"/>
  <c r="M751" i="17"/>
  <c r="AI638" i="17"/>
  <c r="AK638" i="17"/>
  <c r="AK640" i="17" s="1"/>
  <c r="AK644" i="17" s="1"/>
  <c r="AH638" i="17"/>
  <c r="AJ638" i="17"/>
  <c r="Q657" i="17"/>
  <c r="V792" i="17"/>
  <c r="L814" i="17"/>
  <c r="M814" i="17" s="1"/>
  <c r="S792" i="17"/>
  <c r="U792" i="17"/>
  <c r="M810" i="17"/>
  <c r="L813" i="17"/>
  <c r="M813" i="17" s="1"/>
  <c r="T792" i="17"/>
  <c r="AA699" i="17"/>
  <c r="AB698" i="17"/>
  <c r="AD698" i="17"/>
  <c r="AB699" i="17"/>
  <c r="AC699" i="17"/>
  <c r="AA698" i="17"/>
  <c r="AE698" i="17" s="1"/>
  <c r="AD699" i="17"/>
  <c r="AC698" i="17"/>
  <c r="AQ89" i="16"/>
  <c r="AQ95" i="16" s="1"/>
  <c r="V828" i="17"/>
  <c r="V827" i="17"/>
  <c r="U832" i="17"/>
  <c r="S832" i="17"/>
  <c r="U827" i="17"/>
  <c r="T832" i="17"/>
  <c r="S828" i="17"/>
  <c r="V832" i="17"/>
  <c r="T828" i="17"/>
  <c r="T827" i="17"/>
  <c r="U828" i="17"/>
  <c r="S827" i="17"/>
  <c r="AU35" i="10"/>
  <c r="AU37" i="10" s="1"/>
  <c r="AU36" i="10"/>
  <c r="D25" i="16"/>
  <c r="D71" i="16"/>
  <c r="D138" i="16"/>
  <c r="Y779" i="17"/>
  <c r="U794" i="17"/>
  <c r="U795" i="17" s="1"/>
  <c r="AI27" i="11"/>
  <c r="AJ31" i="11"/>
  <c r="AJ32" i="11" s="1"/>
  <c r="AJ33" i="11" s="1"/>
  <c r="AH37" i="23"/>
  <c r="L709" i="17"/>
  <c r="M709" i="17" s="1"/>
  <c r="S831" i="17"/>
  <c r="V830" i="17"/>
  <c r="V821" i="17"/>
  <c r="AE646" i="17"/>
  <c r="AN194" i="17"/>
  <c r="H148" i="16"/>
  <c r="AP8" i="10"/>
  <c r="AJ11" i="10"/>
  <c r="AP11" i="10" s="1"/>
  <c r="W691" i="17"/>
  <c r="AN220" i="17"/>
  <c r="Z823" i="17"/>
  <c r="Q807" i="17"/>
  <c r="P809" i="17"/>
  <c r="Q809" i="17" s="1"/>
  <c r="AB17" i="11"/>
  <c r="U51" i="11" s="1"/>
  <c r="AH38" i="20"/>
  <c r="AH39" i="20"/>
  <c r="W638" i="17"/>
  <c r="S639" i="17"/>
  <c r="W639" i="17" s="1"/>
  <c r="AH107" i="23"/>
  <c r="AH108" i="23" s="1"/>
  <c r="AF524" i="17"/>
  <c r="Y774" i="17"/>
  <c r="AI28" i="11"/>
  <c r="B85" i="16"/>
  <c r="B84" i="16"/>
  <c r="AC23" i="11"/>
  <c r="AC17" i="11" s="1"/>
  <c r="V51" i="11" s="1"/>
  <c r="U689" i="17"/>
  <c r="U830" i="17"/>
  <c r="S826" i="17"/>
  <c r="U821" i="17"/>
  <c r="AK10" i="10"/>
  <c r="AQ10" i="10" s="1"/>
  <c r="AQ7" i="10"/>
  <c r="AK15" i="10"/>
  <c r="AJ640" i="17"/>
  <c r="AJ644" i="17" s="1"/>
  <c r="W690" i="17"/>
  <c r="AQ224" i="17"/>
  <c r="AP223" i="17"/>
  <c r="D135" i="16"/>
  <c r="D68" i="16"/>
  <c r="D22" i="16"/>
  <c r="AQ93" i="16"/>
  <c r="AQ91" i="16"/>
  <c r="AH165" i="20"/>
  <c r="AH70" i="23"/>
  <c r="AH71" i="23" s="1"/>
  <c r="AH53" i="23"/>
  <c r="AH54" i="23"/>
  <c r="AK691" i="17"/>
  <c r="AK692" i="17" s="1"/>
  <c r="AK696" i="17" s="1"/>
  <c r="AH691" i="17"/>
  <c r="AH692" i="17" s="1"/>
  <c r="AH696" i="17" s="1"/>
  <c r="AI691" i="17"/>
  <c r="AJ691" i="17"/>
  <c r="Q713" i="17"/>
  <c r="AH87" i="23"/>
  <c r="AV17" i="10"/>
  <c r="AV18" i="10"/>
  <c r="G7" i="12"/>
  <c r="W653" i="17"/>
  <c r="U790" i="17"/>
  <c r="U791" i="17" s="1"/>
  <c r="V790" i="17"/>
  <c r="V791" i="17" s="1"/>
  <c r="M807" i="17"/>
  <c r="L811" i="17"/>
  <c r="M811" i="17" s="1"/>
  <c r="S790" i="17"/>
  <c r="T790" i="17"/>
  <c r="T791" i="17" s="1"/>
  <c r="AW16" i="10"/>
  <c r="L755" i="17"/>
  <c r="D8" i="6"/>
  <c r="D9" i="6"/>
  <c r="D7" i="6"/>
  <c r="F7" i="6"/>
  <c r="F9" i="6"/>
  <c r="F8" i="6"/>
  <c r="S635" i="17"/>
  <c r="W635" i="17" s="1"/>
  <c r="W634" i="17"/>
  <c r="S777" i="17"/>
  <c r="T772" i="17"/>
  <c r="AO205" i="17" s="1"/>
  <c r="U777" i="17"/>
  <c r="AP207" i="17" s="1"/>
  <c r="V771" i="17"/>
  <c r="AQ206" i="17" s="1"/>
  <c r="V772" i="17"/>
  <c r="AQ205" i="17" s="1"/>
  <c r="AQ208" i="17" s="1"/>
  <c r="S772" i="17"/>
  <c r="T777" i="17"/>
  <c r="AO207" i="17" s="1"/>
  <c r="S771" i="17"/>
  <c r="U772" i="17"/>
  <c r="AP205" i="17" s="1"/>
  <c r="V777" i="17"/>
  <c r="AQ207" i="17" s="1"/>
  <c r="U771" i="17"/>
  <c r="AP206" i="17" s="1"/>
  <c r="T771" i="17"/>
  <c r="AO206" i="17" s="1"/>
  <c r="S704" i="17"/>
  <c r="W704" i="17" s="1"/>
  <c r="S705" i="17"/>
  <c r="W705" i="17" s="1"/>
  <c r="W533" i="17"/>
  <c r="Y768" i="17"/>
  <c r="S794" i="17"/>
  <c r="I31" i="16"/>
  <c r="AJ27" i="11"/>
  <c r="B8" i="14"/>
  <c r="G8" i="14" s="1"/>
  <c r="I8" i="14" s="1"/>
  <c r="AL37" i="14"/>
  <c r="J134" i="16"/>
  <c r="AH95" i="16"/>
  <c r="AF25" i="16"/>
  <c r="AH232" i="23"/>
  <c r="T820" i="17"/>
  <c r="AI805" i="17" s="1"/>
  <c r="U820" i="17"/>
  <c r="AJ805" i="17" s="1"/>
  <c r="V831" i="17"/>
  <c r="AH184" i="23"/>
  <c r="AH185" i="23" s="1"/>
  <c r="AH186" i="23" s="1"/>
  <c r="AH193" i="23" s="1"/>
  <c r="AA170" i="20"/>
  <c r="AA169" i="20"/>
  <c r="AQ92" i="16"/>
  <c r="B71" i="16"/>
  <c r="C138" i="16"/>
  <c r="C25" i="16"/>
  <c r="AB14" i="10"/>
  <c r="AI8" i="10" s="1"/>
  <c r="AI15" i="10" s="1"/>
  <c r="AI640" i="17"/>
  <c r="AI644" i="17" s="1"/>
  <c r="AQ222" i="17"/>
  <c r="AO223" i="17"/>
  <c r="D139" i="16"/>
  <c r="D72" i="16"/>
  <c r="D26" i="16"/>
  <c r="AR93" i="16"/>
  <c r="AO95" i="16"/>
  <c r="AS88" i="16" s="1"/>
  <c r="E134" i="16"/>
  <c r="C67" i="16"/>
  <c r="E21" i="16"/>
  <c r="S637" i="17"/>
  <c r="W637" i="17" s="1"/>
  <c r="W636" i="17"/>
  <c r="AF628" i="17" s="1"/>
  <c r="AH85" i="23"/>
  <c r="AA94" i="23"/>
  <c r="AB92" i="23" s="1"/>
  <c r="I106" i="23" s="1"/>
  <c r="AM37" i="12"/>
  <c r="L758" i="17"/>
  <c r="D137" i="16"/>
  <c r="D70" i="16"/>
  <c r="D24" i="16"/>
  <c r="AI126" i="20"/>
  <c r="AH103" i="20"/>
  <c r="AB93" i="20" s="1"/>
  <c r="AH93" i="20"/>
  <c r="AH92" i="20"/>
  <c r="Y726" i="17"/>
  <c r="Y778" i="17"/>
  <c r="Y773" i="17"/>
  <c r="C141" i="16"/>
  <c r="C145" i="16" s="1"/>
  <c r="AJ28" i="11"/>
  <c r="AA130" i="23"/>
  <c r="S689" i="17"/>
  <c r="W688" i="17"/>
  <c r="AF680" i="17" s="1"/>
  <c r="T830" i="17"/>
  <c r="Y830" i="17" s="1"/>
  <c r="T825" i="17"/>
  <c r="Y825" i="17" s="1"/>
  <c r="J23" i="16"/>
  <c r="AT98" i="16"/>
  <c r="AC242" i="20"/>
  <c r="AF204" i="20"/>
  <c r="AF203" i="20"/>
  <c r="Z23" i="11"/>
  <c r="Z17" i="11" s="1"/>
  <c r="S51" i="11" s="1"/>
  <c r="AJ10" i="10"/>
  <c r="AP10" i="10" s="1"/>
  <c r="AP7" i="10"/>
  <c r="AJ15" i="10"/>
  <c r="AJ14" i="10"/>
  <c r="AJ31" i="10"/>
  <c r="AJ32" i="10" s="1"/>
  <c r="N56" i="16"/>
  <c r="O56" i="16" s="1"/>
  <c r="AH640" i="17"/>
  <c r="AH644" i="17" s="1"/>
  <c r="AH63" i="20"/>
  <c r="AB53" i="20" s="1"/>
  <c r="AO224" i="17"/>
  <c r="AI31" i="11"/>
  <c r="AI32" i="11" s="1"/>
  <c r="AI33" i="11" s="1"/>
  <c r="AF28" i="16"/>
  <c r="AI22" i="5" l="1"/>
  <c r="AJ33" i="10"/>
  <c r="AK20" i="11"/>
  <c r="D12" i="15"/>
  <c r="D42" i="15" s="1"/>
  <c r="D10" i="15"/>
  <c r="B42" i="15" s="1"/>
  <c r="D11" i="15"/>
  <c r="F12" i="15"/>
  <c r="F11" i="15"/>
  <c r="F10" i="15"/>
  <c r="S89" i="8"/>
  <c r="C144" i="16"/>
  <c r="W66" i="8"/>
  <c r="V85" i="8"/>
  <c r="U85" i="8"/>
  <c r="AB110" i="16"/>
  <c r="I26" i="16" s="1"/>
  <c r="AC111" i="16"/>
  <c r="S87" i="8"/>
  <c r="W62" i="8"/>
  <c r="G8" i="8" s="1"/>
  <c r="V83" i="8"/>
  <c r="T87" i="8" s="1"/>
  <c r="C148" i="16"/>
  <c r="V689" i="17"/>
  <c r="AB107" i="16"/>
  <c r="F26" i="16" s="1"/>
  <c r="AD107" i="16"/>
  <c r="H22" i="16" s="1"/>
  <c r="AA106" i="16"/>
  <c r="F23" i="16" s="1"/>
  <c r="AR89" i="16"/>
  <c r="AN223" i="17"/>
  <c r="Y826" i="17"/>
  <c r="AH109" i="20"/>
  <c r="AH110" i="20" s="1"/>
  <c r="AH111" i="20" s="1"/>
  <c r="AE106" i="16"/>
  <c r="H25" i="16" s="1"/>
  <c r="AA108" i="16"/>
  <c r="AE111" i="16"/>
  <c r="G24" i="16" s="1"/>
  <c r="W805" i="17"/>
  <c r="U83" i="8"/>
  <c r="W64" i="8"/>
  <c r="AR92" i="16"/>
  <c r="AE110" i="16"/>
  <c r="G26" i="16" s="1"/>
  <c r="AA111" i="16"/>
  <c r="S63" i="8"/>
  <c r="U63" i="8" s="1"/>
  <c r="W63" i="8" s="1"/>
  <c r="G9" i="8" s="1"/>
  <c r="AJ692" i="17"/>
  <c r="AJ696" i="17" s="1"/>
  <c r="AD111" i="16"/>
  <c r="Z106" i="16"/>
  <c r="AH94" i="20"/>
  <c r="AH98" i="20" s="1"/>
  <c r="AH99" i="20" s="1"/>
  <c r="AI98" i="20" s="1"/>
  <c r="AD110" i="16"/>
  <c r="G22" i="16" s="1"/>
  <c r="AB108" i="16"/>
  <c r="F24" i="16" s="1"/>
  <c r="AP208" i="17"/>
  <c r="AB106" i="16"/>
  <c r="F25" i="16" s="1"/>
  <c r="AC110" i="16"/>
  <c r="AI692" i="17"/>
  <c r="AI696" i="17" s="1"/>
  <c r="AR91" i="16"/>
  <c r="AK14" i="10"/>
  <c r="AK33" i="10" s="1"/>
  <c r="AO210" i="17"/>
  <c r="AC109" i="16"/>
  <c r="G21" i="16" s="1"/>
  <c r="AJ29" i="5"/>
  <c r="AJ30" i="5" s="1"/>
  <c r="AJ37" i="5" s="1"/>
  <c r="D23" i="5" s="1"/>
  <c r="AM20" i="5"/>
  <c r="AK29" i="5"/>
  <c r="AK30" i="5" s="1"/>
  <c r="AK37" i="5" s="1"/>
  <c r="E23" i="5" s="1"/>
  <c r="AL29" i="5"/>
  <c r="AL30" i="5" s="1"/>
  <c r="AL37" i="5" s="1"/>
  <c r="F23" i="5" s="1"/>
  <c r="AM76" i="5"/>
  <c r="H24" i="5"/>
  <c r="AI37" i="5"/>
  <c r="M757" i="17"/>
  <c r="S742" i="17"/>
  <c r="U742" i="17"/>
  <c r="U743" i="17" s="1"/>
  <c r="T742" i="17"/>
  <c r="T743" i="17" s="1"/>
  <c r="V742" i="17"/>
  <c r="V743" i="17" s="1"/>
  <c r="V47" i="11"/>
  <c r="E24" i="11" s="1"/>
  <c r="V58" i="11"/>
  <c r="V54" i="11"/>
  <c r="V55" i="11" s="1"/>
  <c r="V56" i="11"/>
  <c r="AH61" i="20"/>
  <c r="AH60" i="20"/>
  <c r="AI59" i="20" s="1"/>
  <c r="S54" i="11"/>
  <c r="S58" i="11"/>
  <c r="S59" i="11"/>
  <c r="S55" i="11"/>
  <c r="S56" i="11"/>
  <c r="S47" i="11"/>
  <c r="B24" i="11" s="1"/>
  <c r="AH124" i="23"/>
  <c r="AC281" i="20"/>
  <c r="AF242" i="20"/>
  <c r="AF243" i="20"/>
  <c r="G27" i="16"/>
  <c r="A21" i="16"/>
  <c r="A27" i="16" s="1"/>
  <c r="H31" i="16" s="1"/>
  <c r="J26" i="16"/>
  <c r="AW98" i="16"/>
  <c r="AJ29" i="11"/>
  <c r="AJ30" i="11" s="1"/>
  <c r="S791" i="17"/>
  <c r="W791" i="17" s="1"/>
  <c r="W790" i="17"/>
  <c r="AI14" i="10"/>
  <c r="AI16" i="10" s="1"/>
  <c r="E42" i="15"/>
  <c r="C42" i="15"/>
  <c r="Y821" i="17"/>
  <c r="AW35" i="10"/>
  <c r="AW36" i="10"/>
  <c r="AW39" i="10" s="1"/>
  <c r="AH67" i="20"/>
  <c r="AH72" i="23"/>
  <c r="AH76" i="23" s="1"/>
  <c r="AJ16" i="10"/>
  <c r="C149" i="16"/>
  <c r="C147" i="16"/>
  <c r="C151" i="16" s="1"/>
  <c r="U740" i="17"/>
  <c r="L761" i="17"/>
  <c r="M761" i="17" s="1"/>
  <c r="L762" i="17"/>
  <c r="M762" i="17" s="1"/>
  <c r="T740" i="17"/>
  <c r="M758" i="17"/>
  <c r="S740" i="17"/>
  <c r="V740" i="17"/>
  <c r="B87" i="16"/>
  <c r="B86" i="16"/>
  <c r="AO209" i="17"/>
  <c r="AQ209" i="17"/>
  <c r="AV20" i="10"/>
  <c r="AV21" i="10" s="1"/>
  <c r="U54" i="11"/>
  <c r="U55" i="11" s="1"/>
  <c r="U56" i="11"/>
  <c r="U47" i="11"/>
  <c r="D24" i="11" s="1"/>
  <c r="U58" i="11"/>
  <c r="Y831" i="17"/>
  <c r="U793" i="17"/>
  <c r="AN224" i="17"/>
  <c r="AH70" i="20"/>
  <c r="AH71" i="20" s="1"/>
  <c r="AH72" i="20" s="1"/>
  <c r="D85" i="16"/>
  <c r="D84" i="16"/>
  <c r="H149" i="16"/>
  <c r="H147" i="16"/>
  <c r="H145" i="16"/>
  <c r="H151" i="16" s="1"/>
  <c r="F9" i="13"/>
  <c r="F16" i="13" s="1"/>
  <c r="F10" i="13"/>
  <c r="G16" i="13" s="1"/>
  <c r="F8" i="13"/>
  <c r="E16" i="13" s="1"/>
  <c r="AH106" i="20"/>
  <c r="AH105" i="20"/>
  <c r="AB91" i="20"/>
  <c r="AA210" i="20"/>
  <c r="F21" i="16"/>
  <c r="AG105" i="16" a="1"/>
  <c r="Z116" i="16" a="1"/>
  <c r="E141" i="16"/>
  <c r="W794" i="17"/>
  <c r="S795" i="17"/>
  <c r="W795" i="17" s="1"/>
  <c r="AP209" i="17"/>
  <c r="AP210" i="17"/>
  <c r="P815" i="17"/>
  <c r="Q815" i="17" s="1"/>
  <c r="D87" i="16"/>
  <c r="D86" i="16"/>
  <c r="S793" i="17"/>
  <c r="W792" i="17"/>
  <c r="AF784" i="17" s="1"/>
  <c r="AH132" i="20"/>
  <c r="AH133" i="20" s="1"/>
  <c r="AH137" i="20" s="1"/>
  <c r="AH131" i="20"/>
  <c r="AR88" i="16"/>
  <c r="AR95" i="16" s="1"/>
  <c r="C146" i="16"/>
  <c r="S809" i="17"/>
  <c r="S808" i="17"/>
  <c r="AH140" i="20"/>
  <c r="AI163" i="20"/>
  <c r="AC283" i="20"/>
  <c r="AF283" i="20" s="1"/>
  <c r="AF244" i="20"/>
  <c r="AA249" i="20" s="1"/>
  <c r="AS89" i="16"/>
  <c r="AS90" i="16"/>
  <c r="AS92" i="16"/>
  <c r="AS91" i="16"/>
  <c r="AS93" i="16"/>
  <c r="AH163" i="20"/>
  <c r="AQ210" i="17"/>
  <c r="AO208" i="17"/>
  <c r="AB93" i="23"/>
  <c r="B94" i="16"/>
  <c r="B97" i="16" s="1"/>
  <c r="F31" i="16"/>
  <c r="B101" i="16"/>
  <c r="B102" i="16"/>
  <c r="P813" i="17"/>
  <c r="AH39" i="23"/>
  <c r="AH38" i="23"/>
  <c r="J25" i="16"/>
  <c r="J27" i="16" s="1"/>
  <c r="AV98" i="16"/>
  <c r="F27" i="16"/>
  <c r="S760" i="17"/>
  <c r="M752" i="17"/>
  <c r="AF741" i="17"/>
  <c r="T761" i="17"/>
  <c r="U758" i="17" s="1"/>
  <c r="V30" i="17" s="1"/>
  <c r="AF740" i="17"/>
  <c r="S761" i="17"/>
  <c r="S758" i="17" s="1"/>
  <c r="T760" i="17"/>
  <c r="AN222" i="17"/>
  <c r="AR98" i="16"/>
  <c r="J21" i="16"/>
  <c r="J31" i="16"/>
  <c r="X769" i="17"/>
  <c r="X772" i="17"/>
  <c r="X774" i="17"/>
  <c r="AH805" i="17"/>
  <c r="Y820" i="17"/>
  <c r="AN8" i="10"/>
  <c r="AN15" i="10" s="1"/>
  <c r="AH11" i="10"/>
  <c r="AN11" i="10" s="1"/>
  <c r="P761" i="17"/>
  <c r="AH31" i="10"/>
  <c r="AA131" i="23"/>
  <c r="AP15" i="10"/>
  <c r="AP14" i="10"/>
  <c r="AP31" i="10"/>
  <c r="G31" i="16"/>
  <c r="B104" i="16"/>
  <c r="B103" i="16"/>
  <c r="AJ37" i="11"/>
  <c r="X822" i="17"/>
  <c r="X825" i="17"/>
  <c r="V793" i="17"/>
  <c r="D141" i="16"/>
  <c r="E144" i="16" s="1"/>
  <c r="X770" i="17"/>
  <c r="X773" i="17"/>
  <c r="U808" i="17"/>
  <c r="U809" i="17"/>
  <c r="T58" i="11"/>
  <c r="T59" i="11"/>
  <c r="T56" i="11"/>
  <c r="T57" i="11" s="1"/>
  <c r="T47" i="11"/>
  <c r="C24" i="11" s="1"/>
  <c r="T54" i="11"/>
  <c r="AT17" i="10"/>
  <c r="AT18" i="10"/>
  <c r="I141" i="16"/>
  <c r="I144" i="16" s="1"/>
  <c r="P763" i="17"/>
  <c r="Q763" i="17" s="1"/>
  <c r="AH15" i="10"/>
  <c r="AH16" i="10" s="1"/>
  <c r="AI165" i="20"/>
  <c r="AH142" i="20"/>
  <c r="AB132" i="20" s="1"/>
  <c r="AH92" i="23"/>
  <c r="AH93" i="23"/>
  <c r="AH109" i="23"/>
  <c r="AS95" i="16"/>
  <c r="AH164" i="20"/>
  <c r="J141" i="16"/>
  <c r="AN207" i="17"/>
  <c r="Z777" i="17"/>
  <c r="AA208" i="20"/>
  <c r="AA209" i="20" s="1"/>
  <c r="W689" i="17"/>
  <c r="M57" i="16"/>
  <c r="N57" i="16" s="1"/>
  <c r="O57" i="16" s="1"/>
  <c r="AU98" i="16"/>
  <c r="J24" i="16"/>
  <c r="AB91" i="23"/>
  <c r="I96" i="23" s="1"/>
  <c r="AN206" i="17"/>
  <c r="Z771" i="17"/>
  <c r="V738" i="17"/>
  <c r="V739" i="17" s="1"/>
  <c r="S738" i="17"/>
  <c r="L759" i="17"/>
  <c r="M759" i="17" s="1"/>
  <c r="T738" i="17"/>
  <c r="T739" i="17" s="1"/>
  <c r="M755" i="17"/>
  <c r="U738" i="17"/>
  <c r="U739" i="17" s="1"/>
  <c r="P814" i="17"/>
  <c r="Q814" i="17" s="1"/>
  <c r="AI29" i="11"/>
  <c r="AI30" i="11" s="1"/>
  <c r="AI37" i="11" s="1"/>
  <c r="AE699" i="17"/>
  <c r="AQ8" i="10"/>
  <c r="AQ15" i="10" s="1"/>
  <c r="AK11" i="10"/>
  <c r="AQ11" i="10" s="1"/>
  <c r="S687" i="17"/>
  <c r="W687" i="17" s="1"/>
  <c r="W686" i="17"/>
  <c r="AH39" i="11"/>
  <c r="AH38" i="11"/>
  <c r="C22" i="11" s="1"/>
  <c r="X776" i="17"/>
  <c r="X771" i="17"/>
  <c r="X775" i="17"/>
  <c r="X777" i="17"/>
  <c r="T689" i="17"/>
  <c r="AC803" i="17"/>
  <c r="AA802" i="17"/>
  <c r="AC802" i="17"/>
  <c r="AD803" i="17"/>
  <c r="AA803" i="17"/>
  <c r="AB802" i="17"/>
  <c r="AD802" i="17"/>
  <c r="AB803" i="17"/>
  <c r="P765" i="17"/>
  <c r="AC15" i="20"/>
  <c r="AC14" i="20"/>
  <c r="G22" i="20" s="1"/>
  <c r="P762" i="17"/>
  <c r="Q762" i="17" s="1"/>
  <c r="AN31" i="10"/>
  <c r="AN14" i="10"/>
  <c r="AO8" i="10"/>
  <c r="AO15" i="10" s="1"/>
  <c r="AI11" i="10"/>
  <c r="AO11" i="10" s="1"/>
  <c r="AW18" i="10"/>
  <c r="AW17" i="10"/>
  <c r="AH55" i="23"/>
  <c r="AH59" i="23" s="1"/>
  <c r="T793" i="17"/>
  <c r="AH21" i="23"/>
  <c r="AI20" i="23" s="1"/>
  <c r="AH22" i="23"/>
  <c r="W810" i="17"/>
  <c r="P766" i="17"/>
  <c r="Q766" i="17" s="1"/>
  <c r="H146" i="16"/>
  <c r="AB55" i="20"/>
  <c r="AC54" i="20" s="1"/>
  <c r="AJ36" i="10"/>
  <c r="AJ39" i="10" s="1"/>
  <c r="D13" i="10" s="1"/>
  <c r="AJ35" i="10"/>
  <c r="D14" i="14"/>
  <c r="D13" i="14"/>
  <c r="D12" i="14"/>
  <c r="F14" i="14"/>
  <c r="F12" i="14"/>
  <c r="F13" i="14"/>
  <c r="AN205" i="17"/>
  <c r="AN208" i="17" s="1"/>
  <c r="Z772" i="17"/>
  <c r="D11" i="12"/>
  <c r="D10" i="12"/>
  <c r="D12" i="12"/>
  <c r="F10" i="12"/>
  <c r="F11" i="12"/>
  <c r="F12" i="12"/>
  <c r="AS98" i="16"/>
  <c r="J22" i="16"/>
  <c r="AI37" i="20"/>
  <c r="B19" i="20"/>
  <c r="X824" i="17"/>
  <c r="X826" i="17"/>
  <c r="X821" i="17"/>
  <c r="X827" i="17"/>
  <c r="X829" i="17"/>
  <c r="X823" i="17"/>
  <c r="X828" i="17"/>
  <c r="AH795" i="17"/>
  <c r="AJ795" i="17"/>
  <c r="AI795" i="17"/>
  <c r="AK795" i="17"/>
  <c r="Q817" i="17"/>
  <c r="AI31" i="10"/>
  <c r="AI32" i="10" s="1"/>
  <c r="AI33" i="10" s="1"/>
  <c r="AT37" i="10"/>
  <c r="AT38" i="10"/>
  <c r="AG39" i="11"/>
  <c r="AG38" i="11"/>
  <c r="AH66" i="20"/>
  <c r="AH68" i="20" s="1"/>
  <c r="AH69" i="20" s="1"/>
  <c r="AK35" i="10" l="1"/>
  <c r="AK36" i="10"/>
  <c r="AK39" i="10" s="1"/>
  <c r="E13" i="10" s="1"/>
  <c r="V741" i="17"/>
  <c r="AG97" i="16" a="1"/>
  <c r="T89" i="8"/>
  <c r="AL48" i="8" s="1"/>
  <c r="AE803" i="17"/>
  <c r="J144" i="16"/>
  <c r="W67" i="8"/>
  <c r="AO31" i="10"/>
  <c r="AQ31" i="10"/>
  <c r="V84" i="8"/>
  <c r="AH32" i="10"/>
  <c r="AH33" i="10" s="1"/>
  <c r="U84" i="8"/>
  <c r="T88" i="8" s="1"/>
  <c r="AL47" i="8" s="1"/>
  <c r="AK16" i="10"/>
  <c r="AE802" i="17"/>
  <c r="W809" i="17"/>
  <c r="AH100" i="20"/>
  <c r="AN32" i="10"/>
  <c r="AH110" i="23"/>
  <c r="AH111" i="23" s="1"/>
  <c r="AH115" i="23" s="1"/>
  <c r="AM37" i="5"/>
  <c r="C23" i="5"/>
  <c r="AI18" i="10"/>
  <c r="AI17" i="10"/>
  <c r="AI20" i="10" s="1"/>
  <c r="AI38" i="11"/>
  <c r="D22" i="11" s="1"/>
  <c r="AI39" i="11"/>
  <c r="E147" i="16"/>
  <c r="E149" i="16"/>
  <c r="D146" i="16"/>
  <c r="E148" i="16"/>
  <c r="E145" i="16"/>
  <c r="E146" i="16"/>
  <c r="B95" i="16"/>
  <c r="B98" i="16" s="1"/>
  <c r="T741" i="17"/>
  <c r="AW37" i="10"/>
  <c r="AW38" i="10"/>
  <c r="AX38" i="10" s="1"/>
  <c r="G9" i="10" s="1"/>
  <c r="AH60" i="23"/>
  <c r="AI59" i="23" s="1"/>
  <c r="AH61" i="23"/>
  <c r="B22" i="11"/>
  <c r="AK37" i="10"/>
  <c r="AK38" i="10"/>
  <c r="E12" i="10" s="1"/>
  <c r="AI204" i="20"/>
  <c r="AH181" i="20"/>
  <c r="AB171" i="20" s="1"/>
  <c r="AT20" i="10"/>
  <c r="AT21" i="10" s="1"/>
  <c r="T78" i="11"/>
  <c r="T81" i="11"/>
  <c r="AP32" i="10"/>
  <c r="AP33" i="10" s="1"/>
  <c r="U756" i="17"/>
  <c r="V28" i="17" s="1"/>
  <c r="U757" i="17"/>
  <c r="V29" i="17" s="1"/>
  <c r="AH141" i="20"/>
  <c r="AB131" i="20" s="1"/>
  <c r="D148" i="16"/>
  <c r="AH78" i="23"/>
  <c r="AH77" i="23"/>
  <c r="AJ37" i="10"/>
  <c r="AJ38" i="10"/>
  <c r="D12" i="10" s="1"/>
  <c r="S739" i="17"/>
  <c r="W739" i="17" s="1"/>
  <c r="X11" i="17" s="1"/>
  <c r="V18" i="17" s="1"/>
  <c r="W738" i="17"/>
  <c r="X10" i="17" s="1"/>
  <c r="AC53" i="20"/>
  <c r="G23" i="20" s="1"/>
  <c r="AO32" i="10"/>
  <c r="W758" i="17"/>
  <c r="X30" i="17" s="1"/>
  <c r="T30" i="17"/>
  <c r="B62" i="16"/>
  <c r="C158" i="16"/>
  <c r="AI202" i="20"/>
  <c r="AH180" i="20"/>
  <c r="AB170" i="20" s="1"/>
  <c r="AH179" i="20"/>
  <c r="AH139" i="20"/>
  <c r="AH138" i="20"/>
  <c r="AI137" i="20" s="1"/>
  <c r="AC117" i="16"/>
  <c r="AD120" i="16"/>
  <c r="AD116" i="16"/>
  <c r="AE117" i="16"/>
  <c r="AD119" i="16"/>
  <c r="AA116" i="16"/>
  <c r="AB117" i="16"/>
  <c r="AB121" i="16"/>
  <c r="AC119" i="16"/>
  <c r="AA120" i="16"/>
  <c r="AC120" i="16"/>
  <c r="Z119" i="16"/>
  <c r="AE118" i="16"/>
  <c r="Z116" i="16"/>
  <c r="AA118" i="16"/>
  <c r="AE120" i="16"/>
  <c r="AA121" i="16"/>
  <c r="AC121" i="16"/>
  <c r="AD118" i="16"/>
  <c r="AE121" i="16"/>
  <c r="AE119" i="16"/>
  <c r="AB120" i="16"/>
  <c r="AC116" i="16"/>
  <c r="AD121" i="16"/>
  <c r="AC118" i="16"/>
  <c r="AB118" i="16"/>
  <c r="Z121" i="16"/>
  <c r="AE116" i="16"/>
  <c r="AA119" i="16"/>
  <c r="Z120" i="16"/>
  <c r="Z117" i="16"/>
  <c r="AD117" i="16"/>
  <c r="Z118" i="16"/>
  <c r="AB119" i="16"/>
  <c r="AB116" i="16"/>
  <c r="AA117" i="16"/>
  <c r="AH204" i="20"/>
  <c r="U79" i="11"/>
  <c r="U76" i="11"/>
  <c r="AA247" i="20"/>
  <c r="AA248" i="20" s="1"/>
  <c r="S77" i="11"/>
  <c r="S80" i="11"/>
  <c r="W56" i="11"/>
  <c r="V79" i="11"/>
  <c r="V76" i="11"/>
  <c r="AN33" i="10"/>
  <c r="AH202" i="20"/>
  <c r="AH18" i="10"/>
  <c r="AH17" i="10"/>
  <c r="T76" i="11"/>
  <c r="T79" i="11"/>
  <c r="AP16" i="10"/>
  <c r="AO14" i="10"/>
  <c r="AO16" i="10" s="1"/>
  <c r="AA751" i="17"/>
  <c r="AB750" i="17"/>
  <c r="AD750" i="17"/>
  <c r="AB751" i="17"/>
  <c r="AC751" i="17"/>
  <c r="AA750" i="17"/>
  <c r="AC750" i="17"/>
  <c r="AD751" i="17"/>
  <c r="AI37" i="23"/>
  <c r="C25" i="23"/>
  <c r="AH144" i="20"/>
  <c r="AH146" i="20" s="1"/>
  <c r="AH147" i="20" s="1"/>
  <c r="AH145" i="20"/>
  <c r="AB130" i="20"/>
  <c r="AG100" i="16"/>
  <c r="AU8" i="16" s="1"/>
  <c r="AG99" i="16"/>
  <c r="AT10" i="16" s="1"/>
  <c r="AG98" i="16"/>
  <c r="AT9" i="16" s="1"/>
  <c r="AG97" i="16"/>
  <c r="AT8" i="16" s="1"/>
  <c r="AG102" i="16"/>
  <c r="AU10" i="16" s="1"/>
  <c r="AG101" i="16"/>
  <c r="AU9" i="16" s="1"/>
  <c r="AB94" i="20"/>
  <c r="AC91" i="20" s="1"/>
  <c r="F24" i="20" s="1"/>
  <c r="U741" i="17"/>
  <c r="AF282" i="20"/>
  <c r="AA288" i="20" s="1"/>
  <c r="AF281" i="20"/>
  <c r="AI36" i="10"/>
  <c r="AI35" i="10"/>
  <c r="AI37" i="10" s="1"/>
  <c r="H12" i="12"/>
  <c r="H16" i="12"/>
  <c r="AC52" i="20"/>
  <c r="F23" i="20" s="1"/>
  <c r="AN16" i="10"/>
  <c r="AK743" i="17"/>
  <c r="AH743" i="17"/>
  <c r="AI743" i="17"/>
  <c r="AJ743" i="17"/>
  <c r="AJ744" i="17" s="1"/>
  <c r="AJ748" i="17" s="1"/>
  <c r="Q765" i="17"/>
  <c r="AH203" i="20"/>
  <c r="AJ39" i="11"/>
  <c r="AJ38" i="11"/>
  <c r="E22" i="11" s="1"/>
  <c r="AH125" i="23"/>
  <c r="W808" i="17"/>
  <c r="W793" i="17"/>
  <c r="D149" i="16"/>
  <c r="AG106" i="16"/>
  <c r="AG109" i="16"/>
  <c r="AG108" i="16"/>
  <c r="AG107" i="16"/>
  <c r="AG110" i="16"/>
  <c r="AG105" i="16"/>
  <c r="AH107" i="20"/>
  <c r="AH108" i="20" s="1"/>
  <c r="AH115" i="20" s="1"/>
  <c r="D94" i="16"/>
  <c r="D97" i="16" s="1"/>
  <c r="G62" i="16" s="1"/>
  <c r="D95" i="16"/>
  <c r="D98" i="16" s="1"/>
  <c r="G63" i="16" s="1"/>
  <c r="D101" i="16"/>
  <c r="D102" i="16"/>
  <c r="U59" i="11"/>
  <c r="U80" i="11" s="1"/>
  <c r="AQ14" i="10"/>
  <c r="AQ16" i="10" s="1"/>
  <c r="V57" i="11"/>
  <c r="AH117" i="23"/>
  <c r="AH116" i="23"/>
  <c r="AH36" i="10"/>
  <c r="AH39" i="10" s="1"/>
  <c r="B13" i="10" s="1"/>
  <c r="AH35" i="10"/>
  <c r="AK794" i="17"/>
  <c r="AK796" i="17" s="1"/>
  <c r="AK800" i="17" s="1"/>
  <c r="AI794" i="17"/>
  <c r="AI796" i="17" s="1"/>
  <c r="AI800" i="17" s="1"/>
  <c r="AJ794" i="17"/>
  <c r="AJ796" i="17" s="1"/>
  <c r="AJ800" i="17" s="1"/>
  <c r="AH794" i="17"/>
  <c r="AH796" i="17" s="1"/>
  <c r="AH800" i="17" s="1"/>
  <c r="Q813" i="17"/>
  <c r="E151" i="16"/>
  <c r="D103" i="16"/>
  <c r="D104" i="16"/>
  <c r="AQ32" i="10"/>
  <c r="AQ33" i="10" s="1"/>
  <c r="AA133" i="23"/>
  <c r="W58" i="11"/>
  <c r="W742" i="17"/>
  <c r="X14" i="17" s="1"/>
  <c r="V21" i="17" s="1"/>
  <c r="S743" i="17"/>
  <c r="W743" i="17" s="1"/>
  <c r="X15" i="17" s="1"/>
  <c r="V22" i="17" s="1"/>
  <c r="AN209" i="17"/>
  <c r="H10" i="12"/>
  <c r="H14" i="12"/>
  <c r="AW20" i="10"/>
  <c r="AW21" i="10" s="1"/>
  <c r="AN210" i="17"/>
  <c r="AH94" i="23"/>
  <c r="AH98" i="23" s="1"/>
  <c r="T55" i="11"/>
  <c r="W55" i="11" s="1"/>
  <c r="AI742" i="17"/>
  <c r="AH742" i="17"/>
  <c r="AK742" i="17"/>
  <c r="AJ742" i="17"/>
  <c r="Q761" i="17"/>
  <c r="AH76" i="20"/>
  <c r="U57" i="11"/>
  <c r="S741" i="17"/>
  <c r="W741" i="17" s="1"/>
  <c r="X13" i="17" s="1"/>
  <c r="V20" i="17" s="1"/>
  <c r="W740" i="17"/>
  <c r="AJ17" i="10"/>
  <c r="AJ18" i="10"/>
  <c r="AH148" i="23"/>
  <c r="AH149" i="23" s="1"/>
  <c r="AH150" i="23" s="1"/>
  <c r="AH154" i="23" s="1"/>
  <c r="AH131" i="23"/>
  <c r="AH132" i="23"/>
  <c r="W54" i="11"/>
  <c r="S79" i="11"/>
  <c r="S76" i="11"/>
  <c r="S83" i="11" s="1"/>
  <c r="V59" i="11"/>
  <c r="V78" i="11" s="1"/>
  <c r="H15" i="12"/>
  <c r="H11" i="12"/>
  <c r="J148" i="16"/>
  <c r="J147" i="16"/>
  <c r="I146" i="16"/>
  <c r="J149" i="16"/>
  <c r="J146" i="16"/>
  <c r="J145" i="16"/>
  <c r="I145" i="16"/>
  <c r="I151" i="16" s="1"/>
  <c r="I149" i="16"/>
  <c r="I148" i="16"/>
  <c r="I147" i="16"/>
  <c r="D144" i="16"/>
  <c r="S756" i="17"/>
  <c r="S757" i="17"/>
  <c r="AH171" i="20"/>
  <c r="AH170" i="20"/>
  <c r="AH243" i="20"/>
  <c r="D145" i="16"/>
  <c r="D147" i="16"/>
  <c r="S57" i="11"/>
  <c r="W57" i="11" s="1"/>
  <c r="X57" i="11" s="1"/>
  <c r="AK17" i="10" l="1"/>
  <c r="AK20" i="10" s="1"/>
  <c r="AK21" i="10" s="1"/>
  <c r="AK18" i="10"/>
  <c r="AH187" i="20"/>
  <c r="AH172" i="20"/>
  <c r="AH176" i="20" s="1"/>
  <c r="T80" i="11"/>
  <c r="AL46" i="8"/>
  <c r="T77" i="11"/>
  <c r="AH64" i="8"/>
  <c r="AA61" i="8" s="1"/>
  <c r="AK64" i="8"/>
  <c r="AD61" i="8" s="1"/>
  <c r="AJ64" i="8"/>
  <c r="AC61" i="8" s="1"/>
  <c r="AI64" i="8"/>
  <c r="AB61" i="8" s="1"/>
  <c r="AJ20" i="10"/>
  <c r="AJ21" i="10" s="1"/>
  <c r="T83" i="11"/>
  <c r="J151" i="16"/>
  <c r="I22" i="5"/>
  <c r="H23" i="5"/>
  <c r="AH282" i="20"/>
  <c r="V17" i="17"/>
  <c r="AO18" i="10"/>
  <c r="AO17" i="10"/>
  <c r="AO20" i="10" s="1"/>
  <c r="AQ17" i="10"/>
  <c r="AQ18" i="10"/>
  <c r="X55" i="11"/>
  <c r="AH242" i="20"/>
  <c r="J9" i="10"/>
  <c r="I9" i="10" s="1"/>
  <c r="G15" i="10"/>
  <c r="F9" i="10"/>
  <c r="AF732" i="17"/>
  <c r="X12" i="17"/>
  <c r="V19" i="17" s="1"/>
  <c r="X58" i="11"/>
  <c r="AI115" i="23"/>
  <c r="C27" i="23"/>
  <c r="BC52" i="16"/>
  <c r="BC51" i="16"/>
  <c r="BC11" i="16"/>
  <c r="BC10" i="16"/>
  <c r="AU51" i="16"/>
  <c r="AW54" i="16" s="1"/>
  <c r="AW13" i="16"/>
  <c r="H19" i="16"/>
  <c r="AH20" i="10"/>
  <c r="AH21" i="10" s="1"/>
  <c r="AL21" i="10" s="1"/>
  <c r="X56" i="11"/>
  <c r="AH220" i="20"/>
  <c r="AB210" i="20" s="1"/>
  <c r="AI243" i="20"/>
  <c r="V77" i="11"/>
  <c r="S78" i="11"/>
  <c r="AU21" i="16"/>
  <c r="AT49" i="16"/>
  <c r="AW8" i="16"/>
  <c r="AW9" i="16"/>
  <c r="H13" i="16"/>
  <c r="AT21" i="16"/>
  <c r="AH218" i="20"/>
  <c r="AI241" i="20"/>
  <c r="V80" i="11"/>
  <c r="T84" i="11" s="1"/>
  <c r="B63" i="16"/>
  <c r="E158" i="16"/>
  <c r="X54" i="11"/>
  <c r="W756" i="17"/>
  <c r="X28" i="17" s="1"/>
  <c r="T28" i="17"/>
  <c r="AH133" i="23"/>
  <c r="AH137" i="23" s="1"/>
  <c r="AB132" i="23"/>
  <c r="AB130" i="23"/>
  <c r="I97" i="23" s="1"/>
  <c r="AI744" i="17"/>
  <c r="AI748" i="17" s="1"/>
  <c r="AT22" i="16"/>
  <c r="H14" i="16"/>
  <c r="AU22" i="16"/>
  <c r="AT50" i="16"/>
  <c r="D158" i="16"/>
  <c r="U159" i="16" s="1"/>
  <c r="U161" i="16" s="1"/>
  <c r="T159" i="16"/>
  <c r="T161" i="16" s="1"/>
  <c r="AH77" i="20"/>
  <c r="AH78" i="20"/>
  <c r="AH99" i="23"/>
  <c r="AI98" i="23" s="1"/>
  <c r="AH100" i="23"/>
  <c r="AH744" i="17"/>
  <c r="AH748" i="17" s="1"/>
  <c r="U81" i="11"/>
  <c r="AW10" i="16"/>
  <c r="AT23" i="16"/>
  <c r="AU23" i="16"/>
  <c r="H15" i="16"/>
  <c r="AT51" i="16"/>
  <c r="AE751" i="17"/>
  <c r="AF25" i="17" s="1"/>
  <c r="AH209" i="20"/>
  <c r="AH210" i="20"/>
  <c r="AP36" i="10"/>
  <c r="AP39" i="10" s="1"/>
  <c r="AP35" i="10"/>
  <c r="AK37" i="11"/>
  <c r="AH148" i="20"/>
  <c r="AH149" i="20" s="1"/>
  <c r="AH150" i="20" s="1"/>
  <c r="AH154" i="20" s="1"/>
  <c r="AH178" i="20"/>
  <c r="AH177" i="20"/>
  <c r="AI176" i="20" s="1"/>
  <c r="AQ36" i="10"/>
  <c r="AQ39" i="10" s="1"/>
  <c r="AQ35" i="10"/>
  <c r="AQ37" i="10" s="1"/>
  <c r="AQ38" i="10" s="1"/>
  <c r="W59" i="11"/>
  <c r="X59" i="11" s="1"/>
  <c r="AH116" i="20"/>
  <c r="AH117" i="20"/>
  <c r="AK744" i="17"/>
  <c r="AK748" i="17" s="1"/>
  <c r="V81" i="11"/>
  <c r="U78" i="11"/>
  <c r="AU49" i="16"/>
  <c r="AW11" i="16"/>
  <c r="AW12" i="16"/>
  <c r="H17" i="16"/>
  <c r="AN36" i="10"/>
  <c r="AN39" i="10" s="1"/>
  <c r="AN35" i="10"/>
  <c r="AH241" i="20"/>
  <c r="C26" i="23"/>
  <c r="AI76" i="23"/>
  <c r="G22" i="11"/>
  <c r="BC49" i="16"/>
  <c r="BC7" i="16"/>
  <c r="BC8" i="16"/>
  <c r="BC48" i="16"/>
  <c r="AN17" i="10"/>
  <c r="AN18" i="10"/>
  <c r="AB133" i="20"/>
  <c r="AC132" i="20" s="1"/>
  <c r="AP18" i="10"/>
  <c r="AP17" i="10"/>
  <c r="U77" i="11"/>
  <c r="S84" i="11" s="1"/>
  <c r="AH156" i="23"/>
  <c r="AH155" i="23"/>
  <c r="AH37" i="10"/>
  <c r="AH38" i="10"/>
  <c r="BC12" i="16"/>
  <c r="BC53" i="16"/>
  <c r="AB131" i="23"/>
  <c r="I107" i="23" s="1"/>
  <c r="AC93" i="20"/>
  <c r="AC92" i="20"/>
  <c r="G24" i="20" s="1"/>
  <c r="AE750" i="17"/>
  <c r="AF23" i="17" s="1"/>
  <c r="AO33" i="10"/>
  <c r="AX21" i="10"/>
  <c r="W757" i="17"/>
  <c r="X29" i="17" s="1"/>
  <c r="T29" i="17"/>
  <c r="D151" i="16"/>
  <c r="AH188" i="20"/>
  <c r="AH189" i="20" s="1"/>
  <c r="S87" i="11"/>
  <c r="S81" i="11"/>
  <c r="T85" i="11" s="1"/>
  <c r="BC50" i="16"/>
  <c r="BC9" i="16"/>
  <c r="AA286" i="20"/>
  <c r="AA287" i="20"/>
  <c r="AU50" i="16"/>
  <c r="H18" i="16"/>
  <c r="AH183" i="20"/>
  <c r="AH184" i="20"/>
  <c r="AB169" i="20"/>
  <c r="S88" i="11" l="1"/>
  <c r="AP20" i="10"/>
  <c r="AP21" i="10" s="1"/>
  <c r="AP37" i="10"/>
  <c r="AP38" i="10" s="1"/>
  <c r="AK62" i="8"/>
  <c r="AI62" i="8"/>
  <c r="AI63" i="8" s="1"/>
  <c r="AB60" i="8" s="1"/>
  <c r="AJ62" i="8"/>
  <c r="AJ63" i="8" s="1"/>
  <c r="AC60" i="8" s="1"/>
  <c r="AH62" i="8"/>
  <c r="AH63" i="8" s="1"/>
  <c r="AA60" i="8" s="1"/>
  <c r="AK63" i="8"/>
  <c r="AD60" i="8" s="1"/>
  <c r="J22" i="5"/>
  <c r="D9" i="5"/>
  <c r="D7" i="5"/>
  <c r="H13" i="5"/>
  <c r="H12" i="5"/>
  <c r="D8" i="5"/>
  <c r="H14" i="5"/>
  <c r="J26" i="5"/>
  <c r="J23" i="5"/>
  <c r="BA17" i="16"/>
  <c r="AY16" i="16"/>
  <c r="BB17" i="16"/>
  <c r="BA16" i="16"/>
  <c r="AZ17" i="16"/>
  <c r="AZ16" i="16"/>
  <c r="AY17" i="16"/>
  <c r="BB16" i="16"/>
  <c r="AH249" i="20"/>
  <c r="AH248" i="20"/>
  <c r="T162" i="16"/>
  <c r="T167" i="16" s="1"/>
  <c r="T165" i="16"/>
  <c r="AB208" i="20"/>
  <c r="AU24" i="16"/>
  <c r="AU25" i="16" s="1"/>
  <c r="AN38" i="10"/>
  <c r="AR38" i="10" s="1"/>
  <c r="G8" i="10" s="1"/>
  <c r="AN37" i="10"/>
  <c r="AH156" i="20"/>
  <c r="AH155" i="20"/>
  <c r="AW51" i="16"/>
  <c r="AU64" i="16"/>
  <c r="AT64" i="16"/>
  <c r="U162" i="16"/>
  <c r="U167" i="16" s="1"/>
  <c r="U168" i="16" s="1"/>
  <c r="AH219" i="20"/>
  <c r="AB209" i="20" s="1"/>
  <c r="S85" i="11"/>
  <c r="S89" i="11" s="1"/>
  <c r="AQ20" i="10"/>
  <c r="AQ21" i="10" s="1"/>
  <c r="AC130" i="20"/>
  <c r="F25" i="20" s="1"/>
  <c r="W60" i="11"/>
  <c r="S66" i="11" s="1"/>
  <c r="AH281" i="20"/>
  <c r="AL38" i="10"/>
  <c r="G7" i="10" s="1"/>
  <c r="B12" i="10"/>
  <c r="G12" i="10" s="1"/>
  <c r="AC12" i="10" s="1"/>
  <c r="D10" i="10" s="1"/>
  <c r="AI115" i="20"/>
  <c r="D19" i="20"/>
  <c r="AU63" i="16"/>
  <c r="AT63" i="16"/>
  <c r="AT24" i="16"/>
  <c r="AH259" i="20"/>
  <c r="AB249" i="20" s="1"/>
  <c r="AI282" i="20"/>
  <c r="AH298" i="20" s="1"/>
  <c r="AB288" i="20" s="1"/>
  <c r="AH280" i="20"/>
  <c r="F158" i="16"/>
  <c r="W159" i="16" s="1"/>
  <c r="W161" i="16" s="1"/>
  <c r="V159" i="16"/>
  <c r="V161" i="16" s="1"/>
  <c r="X16" i="17"/>
  <c r="AB172" i="20"/>
  <c r="AY59" i="16"/>
  <c r="BB59" i="16"/>
  <c r="BA59" i="16"/>
  <c r="AZ59" i="16"/>
  <c r="AH185" i="20"/>
  <c r="AH186" i="20" s="1"/>
  <c r="AI154" i="23"/>
  <c r="C28" i="23"/>
  <c r="C33" i="23" s="1"/>
  <c r="AN20" i="10"/>
  <c r="AN21" i="10" s="1"/>
  <c r="AU16" i="16"/>
  <c r="AU17" i="16"/>
  <c r="AT17" i="16"/>
  <c r="AR16" i="16"/>
  <c r="AR17" i="16" s="1"/>
  <c r="AT16" i="16"/>
  <c r="AS16" i="16"/>
  <c r="AS17" i="16" s="1"/>
  <c r="AH211" i="20"/>
  <c r="AH215" i="20" s="1"/>
  <c r="AT15" i="16"/>
  <c r="AR15" i="16"/>
  <c r="AY9" i="16" s="1"/>
  <c r="AU15" i="16"/>
  <c r="BB9" i="16" s="1"/>
  <c r="AS15" i="16"/>
  <c r="AW16" i="16"/>
  <c r="C19" i="20"/>
  <c r="AI76" i="20"/>
  <c r="AH138" i="23"/>
  <c r="AI137" i="23" s="1"/>
  <c r="AH139" i="23"/>
  <c r="AW15" i="16"/>
  <c r="AW17" i="16" s="1"/>
  <c r="AC131" i="20"/>
  <c r="G25" i="20" s="1"/>
  <c r="AU18" i="16"/>
  <c r="AS18" i="16"/>
  <c r="AR18" i="16"/>
  <c r="AT18" i="16"/>
  <c r="S64" i="11"/>
  <c r="X17" i="17"/>
  <c r="BA18" i="16"/>
  <c r="BB18" i="16"/>
  <c r="AZ18" i="16"/>
  <c r="AY18" i="16"/>
  <c r="AO35" i="10"/>
  <c r="AO37" i="10" s="1"/>
  <c r="AO36" i="10"/>
  <c r="AZ57" i="16"/>
  <c r="AZ58" i="16"/>
  <c r="AY58" i="16"/>
  <c r="AY57" i="16"/>
  <c r="BA57" i="16"/>
  <c r="BA58" i="16"/>
  <c r="BB58" i="16"/>
  <c r="BB57" i="16"/>
  <c r="AW53" i="16"/>
  <c r="AU59" i="16" s="1"/>
  <c r="AW52" i="16"/>
  <c r="AH226" i="20"/>
  <c r="AH227" i="20" s="1"/>
  <c r="AH228" i="20" s="1"/>
  <c r="AT13" i="16"/>
  <c r="BA7" i="16" s="1"/>
  <c r="AW14" i="16"/>
  <c r="AS13" i="16"/>
  <c r="AZ7" i="16" s="1"/>
  <c r="AR13" i="16"/>
  <c r="AY7" i="16" s="1"/>
  <c r="AU13" i="16"/>
  <c r="BB7" i="16" s="1"/>
  <c r="AT59" i="16"/>
  <c r="AR59" i="16"/>
  <c r="S62" i="11"/>
  <c r="AH193" i="20"/>
  <c r="AI280" i="20"/>
  <c r="AH257" i="20"/>
  <c r="AH258" i="20"/>
  <c r="AB248" i="20" s="1"/>
  <c r="AT62" i="16"/>
  <c r="AT65" i="16" s="1"/>
  <c r="AU62" i="16"/>
  <c r="AW49" i="16"/>
  <c r="AW50" i="16"/>
  <c r="AW56" i="16" s="1"/>
  <c r="U169" i="16" l="1"/>
  <c r="U170" i="16" s="1"/>
  <c r="U165" i="16"/>
  <c r="U166" i="16" s="1"/>
  <c r="AH250" i="20"/>
  <c r="AH254" i="20" s="1"/>
  <c r="AR21" i="10"/>
  <c r="AS14" i="16"/>
  <c r="AZ8" i="16" s="1"/>
  <c r="AA59" i="8"/>
  <c r="AA62" i="8" s="1"/>
  <c r="AA56" i="8" s="1"/>
  <c r="S52" i="8" s="1"/>
  <c r="B27" i="8" s="1"/>
  <c r="AH67" i="8"/>
  <c r="AH66" i="8"/>
  <c r="AH68" i="8" s="1"/>
  <c r="AH69" i="8" s="1"/>
  <c r="AH70" i="8"/>
  <c r="AH71" i="8" s="1"/>
  <c r="AH72" i="8" s="1"/>
  <c r="AJ66" i="8"/>
  <c r="AJ68" i="8" s="1"/>
  <c r="AJ69" i="8" s="1"/>
  <c r="AC59" i="8"/>
  <c r="AC62" i="8" s="1"/>
  <c r="AC56" i="8" s="1"/>
  <c r="U52" i="8" s="1"/>
  <c r="D27" i="8" s="1"/>
  <c r="AJ70" i="8"/>
  <c r="AJ71" i="8" s="1"/>
  <c r="AJ72" i="8" s="1"/>
  <c r="AJ76" i="8" s="1"/>
  <c r="AJ67" i="8"/>
  <c r="AU65" i="16"/>
  <c r="AU66" i="16" s="1"/>
  <c r="AT14" i="16"/>
  <c r="BA8" i="16" s="1"/>
  <c r="AZ9" i="16"/>
  <c r="AI70" i="8"/>
  <c r="AI71" i="8" s="1"/>
  <c r="AI72" i="8" s="1"/>
  <c r="AB59" i="8"/>
  <c r="AB62" i="8" s="1"/>
  <c r="AB56" i="8" s="1"/>
  <c r="T52" i="8" s="1"/>
  <c r="C27" i="8" s="1"/>
  <c r="AI67" i="8"/>
  <c r="AI66" i="8"/>
  <c r="AI68" i="8" s="1"/>
  <c r="AI69" i="8" s="1"/>
  <c r="AD59" i="8"/>
  <c r="AD62" i="8" s="1"/>
  <c r="AD56" i="8" s="1"/>
  <c r="V52" i="8" s="1"/>
  <c r="E27" i="8" s="1"/>
  <c r="AK66" i="8"/>
  <c r="AK70" i="8"/>
  <c r="AK71" i="8" s="1"/>
  <c r="AK72" i="8" s="1"/>
  <c r="AK67" i="8"/>
  <c r="AH265" i="20"/>
  <c r="AH266" i="20" s="1"/>
  <c r="AH267" i="20" s="1"/>
  <c r="AH223" i="20"/>
  <c r="T169" i="16"/>
  <c r="J13" i="5"/>
  <c r="E7" i="5"/>
  <c r="E13" i="5"/>
  <c r="J25" i="5"/>
  <c r="E8" i="5"/>
  <c r="E9" i="5"/>
  <c r="E14" i="5"/>
  <c r="E12" i="5"/>
  <c r="J24" i="5"/>
  <c r="J14" i="5"/>
  <c r="J12" i="5"/>
  <c r="H17" i="23"/>
  <c r="I17" i="23" s="1"/>
  <c r="D12" i="23"/>
  <c r="B17" i="23" s="1"/>
  <c r="D13" i="23"/>
  <c r="D17" i="23" s="1"/>
  <c r="D14" i="23"/>
  <c r="F17" i="23" s="1"/>
  <c r="F14" i="23"/>
  <c r="E17" i="23" s="1"/>
  <c r="F13" i="23"/>
  <c r="C17" i="23" s="1"/>
  <c r="F12" i="23"/>
  <c r="A17" i="23" s="1"/>
  <c r="G17" i="23" s="1"/>
  <c r="U66" i="11"/>
  <c r="U62" i="11"/>
  <c r="AB47" i="11"/>
  <c r="AZ62" i="16"/>
  <c r="AZ61" i="16"/>
  <c r="AZ63" i="16" s="1"/>
  <c r="AZ64" i="16" s="1"/>
  <c r="AW20" i="16"/>
  <c r="S21" i="17"/>
  <c r="S20" i="17"/>
  <c r="T20" i="17" s="1"/>
  <c r="U20" i="17" s="1"/>
  <c r="H39" i="17" s="1"/>
  <c r="S19" i="17"/>
  <c r="S18" i="17"/>
  <c r="T18" i="17" s="1"/>
  <c r="U18" i="17" s="1"/>
  <c r="H38" i="17" s="1"/>
  <c r="S22" i="17"/>
  <c r="T22" i="17" s="1"/>
  <c r="S17" i="17"/>
  <c r="W162" i="16"/>
  <c r="W167" i="16" s="1"/>
  <c r="W168" i="16" s="1"/>
  <c r="W169" i="16"/>
  <c r="W170" i="16" s="1"/>
  <c r="W165" i="16"/>
  <c r="W166" i="16" s="1"/>
  <c r="AS59" i="16"/>
  <c r="AZ11" i="16"/>
  <c r="AZ24" i="16"/>
  <c r="AZ12" i="16"/>
  <c r="AZ13" i="16" s="1"/>
  <c r="AZ14" i="16" s="1"/>
  <c r="D28" i="16" s="1"/>
  <c r="BB62" i="16"/>
  <c r="BB61" i="16"/>
  <c r="BB63" i="16" s="1"/>
  <c r="BB64" i="16" s="1"/>
  <c r="AH287" i="20"/>
  <c r="AH288" i="20"/>
  <c r="T170" i="16"/>
  <c r="AZ20" i="16"/>
  <c r="AZ22" i="16" s="1"/>
  <c r="AZ23" i="16" s="1"/>
  <c r="AZ21" i="16"/>
  <c r="AU14" i="16"/>
  <c r="BB8" i="16" s="1"/>
  <c r="BB11" i="16" s="1"/>
  <c r="U64" i="11"/>
  <c r="F15" i="10"/>
  <c r="J8" i="10"/>
  <c r="F8" i="10"/>
  <c r="T166" i="16"/>
  <c r="S67" i="11"/>
  <c r="U67" i="11" s="1"/>
  <c r="T168" i="16"/>
  <c r="BA20" i="16"/>
  <c r="BA21" i="16"/>
  <c r="AW19" i="16"/>
  <c r="AW18" i="16"/>
  <c r="BA62" i="16"/>
  <c r="BA61" i="16"/>
  <c r="BA9" i="16"/>
  <c r="BA11" i="16" s="1"/>
  <c r="J7" i="10"/>
  <c r="I7" i="10" s="1"/>
  <c r="F7" i="10"/>
  <c r="AH262" i="20"/>
  <c r="AH261" i="20"/>
  <c r="AB247" i="20"/>
  <c r="AH296" i="20"/>
  <c r="AR14" i="16"/>
  <c r="AY8" i="16" s="1"/>
  <c r="BA12" i="16"/>
  <c r="AY62" i="16"/>
  <c r="AY61" i="16"/>
  <c r="AH217" i="20"/>
  <c r="AH216" i="20"/>
  <c r="AI215" i="20" s="1"/>
  <c r="AB211" i="20"/>
  <c r="AC210" i="20" s="1"/>
  <c r="AC208" i="20"/>
  <c r="F27" i="20" s="1"/>
  <c r="AY20" i="16"/>
  <c r="AY21" i="16"/>
  <c r="AC170" i="20"/>
  <c r="G26" i="20" s="1"/>
  <c r="AC171" i="20"/>
  <c r="AU56" i="16"/>
  <c r="BB50" i="16" s="1"/>
  <c r="AS56" i="16"/>
  <c r="AZ50" i="16" s="1"/>
  <c r="AW57" i="16"/>
  <c r="AW58" i="16" s="1"/>
  <c r="AR56" i="16"/>
  <c r="AY50" i="16" s="1"/>
  <c r="AT56" i="16"/>
  <c r="BA50" i="16" s="1"/>
  <c r="AH255" i="20"/>
  <c r="AI254" i="20" s="1"/>
  <c r="AH256" i="20"/>
  <c r="AU54" i="16"/>
  <c r="AW55" i="16"/>
  <c r="AU55" i="16"/>
  <c r="AS54" i="16"/>
  <c r="AZ48" i="16" s="1"/>
  <c r="AT54" i="16"/>
  <c r="BA48" i="16" s="1"/>
  <c r="AR54" i="16"/>
  <c r="AR55" i="16" s="1"/>
  <c r="AH194" i="20"/>
  <c r="AH195" i="20"/>
  <c r="AY24" i="16"/>
  <c r="AY11" i="16"/>
  <c r="AY12" i="16"/>
  <c r="AY13" i="16" s="1"/>
  <c r="AY14" i="16" s="1"/>
  <c r="AR57" i="16"/>
  <c r="AR58" i="16" s="1"/>
  <c r="AS57" i="16"/>
  <c r="AS58" i="16" s="1"/>
  <c r="AU57" i="16"/>
  <c r="AU58" i="16" s="1"/>
  <c r="AT57" i="16"/>
  <c r="AT58" i="16"/>
  <c r="AC169" i="20"/>
  <c r="F26" i="20" s="1"/>
  <c r="V162" i="16"/>
  <c r="V167" i="16" s="1"/>
  <c r="V168" i="16" s="1"/>
  <c r="V165" i="16"/>
  <c r="V166" i="16" s="1"/>
  <c r="S65" i="11"/>
  <c r="U65" i="11" s="1"/>
  <c r="W65" i="11" s="1"/>
  <c r="I13" i="11" s="1"/>
  <c r="S63" i="11"/>
  <c r="U63" i="11" s="1"/>
  <c r="W63" i="11" s="1"/>
  <c r="I12" i="11" s="1"/>
  <c r="AC209" i="20"/>
  <c r="G27" i="20" s="1"/>
  <c r="E19" i="20"/>
  <c r="AI154" i="20"/>
  <c r="AH222" i="20"/>
  <c r="BB20" i="16"/>
  <c r="BB21" i="16"/>
  <c r="V169" i="16" l="1"/>
  <c r="V170" i="16" s="1"/>
  <c r="AH76" i="8"/>
  <c r="AK68" i="8"/>
  <c r="AK69" i="8" s="1"/>
  <c r="AK76" i="8" s="1"/>
  <c r="BA63" i="16"/>
  <c r="BA64" i="16" s="1"/>
  <c r="BB12" i="16"/>
  <c r="BB24" i="16"/>
  <c r="BB25" i="16" s="1"/>
  <c r="BB26" i="16" s="1"/>
  <c r="BB27" i="16" s="1"/>
  <c r="BB28" i="16" s="1"/>
  <c r="AY63" i="16"/>
  <c r="AY64" i="16" s="1"/>
  <c r="AJ78" i="8"/>
  <c r="AJ77" i="8"/>
  <c r="D25" i="8" s="1"/>
  <c r="G16" i="8" s="1"/>
  <c r="AZ25" i="16"/>
  <c r="AZ26" i="16" s="1"/>
  <c r="AI76" i="8"/>
  <c r="AH224" i="20"/>
  <c r="AH225" i="20" s="1"/>
  <c r="AH232" i="20" s="1"/>
  <c r="AH234" i="20" s="1"/>
  <c r="BB22" i="16"/>
  <c r="BB23" i="16" s="1"/>
  <c r="BA24" i="16"/>
  <c r="BA25" i="16" s="1"/>
  <c r="BA26" i="16" s="1"/>
  <c r="BA27" i="16" s="1"/>
  <c r="BA28" i="16" s="1"/>
  <c r="I14" i="5"/>
  <c r="I13" i="5"/>
  <c r="I12" i="5"/>
  <c r="X167" i="16"/>
  <c r="Y167" i="16" s="1"/>
  <c r="F69" i="16" s="1"/>
  <c r="G69" i="16" s="1"/>
  <c r="U83" i="11"/>
  <c r="T87" i="11" s="1"/>
  <c r="V83" i="11"/>
  <c r="W62" i="11"/>
  <c r="I11" i="11" s="1"/>
  <c r="AB286" i="20"/>
  <c r="W67" i="11"/>
  <c r="AB48" i="11"/>
  <c r="AE47" i="11" s="1"/>
  <c r="X169" i="16"/>
  <c r="Y169" i="16" s="1"/>
  <c r="F71" i="16" s="1"/>
  <c r="AC9" i="17"/>
  <c r="T19" i="17"/>
  <c r="AY49" i="16"/>
  <c r="AH297" i="20"/>
  <c r="AB287" i="20" s="1"/>
  <c r="V84" i="11"/>
  <c r="W64" i="11"/>
  <c r="U84" i="11"/>
  <c r="AY25" i="16"/>
  <c r="AY26" i="16" s="1"/>
  <c r="AS55" i="16"/>
  <c r="AZ49" i="16" s="1"/>
  <c r="AZ53" i="16" s="1"/>
  <c r="AB250" i="20"/>
  <c r="AW21" i="16"/>
  <c r="AW24" i="16"/>
  <c r="X166" i="16"/>
  <c r="Y166" i="16" s="1"/>
  <c r="F68" i="16" s="1"/>
  <c r="G68" i="16" s="1"/>
  <c r="AC10" i="17"/>
  <c r="T21" i="17"/>
  <c r="BB49" i="16"/>
  <c r="AH263" i="20"/>
  <c r="AH264" i="20" s="1"/>
  <c r="AH271" i="20" s="1"/>
  <c r="AW25" i="16"/>
  <c r="AW22" i="16"/>
  <c r="X165" i="16"/>
  <c r="Y165" i="16" s="1"/>
  <c r="F67" i="16" s="1"/>
  <c r="G67" i="16" s="1"/>
  <c r="C28" i="16"/>
  <c r="BA13" i="16"/>
  <c r="BA14" i="16" s="1"/>
  <c r="E28" i="16" s="1"/>
  <c r="AZ27" i="16"/>
  <c r="AZ28" i="16" s="1"/>
  <c r="F19" i="20"/>
  <c r="AI193" i="20"/>
  <c r="AW60" i="16"/>
  <c r="AW59" i="16"/>
  <c r="AY48" i="16"/>
  <c r="BB48" i="16"/>
  <c r="AY22" i="16"/>
  <c r="AY23" i="16" s="1"/>
  <c r="BA22" i="16"/>
  <c r="BA23" i="16" s="1"/>
  <c r="I8" i="10"/>
  <c r="AF20" i="10" s="1"/>
  <c r="AF21" i="10"/>
  <c r="X170" i="16"/>
  <c r="Y170" i="16" s="1"/>
  <c r="F72" i="16" s="1"/>
  <c r="T17" i="17"/>
  <c r="AC8" i="17"/>
  <c r="AB49" i="11"/>
  <c r="AE49" i="11" s="1"/>
  <c r="AT55" i="16"/>
  <c r="BA49" i="16" s="1"/>
  <c r="BA53" i="16" s="1"/>
  <c r="BB13" i="16"/>
  <c r="BB14" i="16" s="1"/>
  <c r="F28" i="16" s="1"/>
  <c r="X168" i="16"/>
  <c r="Y168" i="16" s="1"/>
  <c r="F70" i="16" s="1"/>
  <c r="G70" i="16" s="1"/>
  <c r="AH289" i="20"/>
  <c r="AH293" i="20" s="1"/>
  <c r="U22" i="17"/>
  <c r="AE48" i="11"/>
  <c r="V85" i="11"/>
  <c r="U85" i="11"/>
  <c r="T89" i="11" s="1"/>
  <c r="AK48" i="11" s="1"/>
  <c r="W66" i="11"/>
  <c r="AK77" i="8" l="1"/>
  <c r="E25" i="8" s="1"/>
  <c r="AK78" i="8"/>
  <c r="AI78" i="8"/>
  <c r="AI77" i="8"/>
  <c r="C25" i="8" s="1"/>
  <c r="AH233" i="20"/>
  <c r="AH77" i="8"/>
  <c r="AH78" i="8"/>
  <c r="Z52" i="11"/>
  <c r="AA52" i="11"/>
  <c r="AA53" i="11" s="1"/>
  <c r="AB52" i="11"/>
  <c r="AC52" i="11"/>
  <c r="AC53" i="11" s="1"/>
  <c r="AW63" i="16"/>
  <c r="AW66" i="16"/>
  <c r="AW23" i="16"/>
  <c r="AH304" i="20"/>
  <c r="AH305" i="20" s="1"/>
  <c r="AH306" i="20" s="1"/>
  <c r="AC249" i="20"/>
  <c r="AC248" i="20"/>
  <c r="G28" i="20" s="1"/>
  <c r="AC247" i="20"/>
  <c r="F28" i="20" s="1"/>
  <c r="AB289" i="20"/>
  <c r="AC288" i="20" s="1"/>
  <c r="BA65" i="16"/>
  <c r="BA66" i="16" s="1"/>
  <c r="AH295" i="20"/>
  <c r="AH294" i="20"/>
  <c r="AI293" i="20" s="1"/>
  <c r="Y30" i="17"/>
  <c r="Z30" i="17"/>
  <c r="U21" i="17"/>
  <c r="AA30" i="17"/>
  <c r="AY27" i="16"/>
  <c r="AW61" i="16"/>
  <c r="AH301" i="20"/>
  <c r="BA52" i="16"/>
  <c r="BA54" i="16" s="1"/>
  <c r="BA55" i="16" s="1"/>
  <c r="E29" i="16" s="1"/>
  <c r="Z54" i="11"/>
  <c r="AB54" i="11"/>
  <c r="AA54" i="11"/>
  <c r="AC54" i="11"/>
  <c r="BB53" i="16"/>
  <c r="BB52" i="16"/>
  <c r="BB65" i="16"/>
  <c r="BB66" i="16" s="1"/>
  <c r="BB67" i="16" s="1"/>
  <c r="BB68" i="16" s="1"/>
  <c r="BB69" i="16" s="1"/>
  <c r="BC14" i="16"/>
  <c r="E39" i="17"/>
  <c r="AF10" i="17"/>
  <c r="AC62" i="17"/>
  <c r="AC114" i="17" s="1"/>
  <c r="AC166" i="17" s="1"/>
  <c r="AC218" i="17" s="1"/>
  <c r="AC270" i="17" s="1"/>
  <c r="AC322" i="17" s="1"/>
  <c r="AC374" i="17" s="1"/>
  <c r="AC426" i="17" s="1"/>
  <c r="AC478" i="17" s="1"/>
  <c r="AC530" i="17" s="1"/>
  <c r="AC582" i="17" s="1"/>
  <c r="AC634" i="17" s="1"/>
  <c r="AC686" i="17" s="1"/>
  <c r="AC738" i="17" s="1"/>
  <c r="AC790" i="17" s="1"/>
  <c r="AZ52" i="16"/>
  <c r="AZ54" i="16" s="1"/>
  <c r="AZ55" i="16" s="1"/>
  <c r="D29" i="16" s="1"/>
  <c r="Z29" i="17"/>
  <c r="Z81" i="17" s="1"/>
  <c r="Z133" i="17" s="1"/>
  <c r="Z185" i="17" s="1"/>
  <c r="Z237" i="17" s="1"/>
  <c r="Z289" i="17" s="1"/>
  <c r="Z341" i="17" s="1"/>
  <c r="Z393" i="17" s="1"/>
  <c r="Z445" i="17" s="1"/>
  <c r="Z497" i="17" s="1"/>
  <c r="Z549" i="17" s="1"/>
  <c r="Z601" i="17" s="1"/>
  <c r="Z653" i="17" s="1"/>
  <c r="Z705" i="17" s="1"/>
  <c r="Z757" i="17" s="1"/>
  <c r="Z809" i="17" s="1"/>
  <c r="U19" i="17"/>
  <c r="H40" i="17" s="1"/>
  <c r="Y29" i="17"/>
  <c r="AA29" i="17"/>
  <c r="AH300" i="20"/>
  <c r="AY53" i="16"/>
  <c r="AY65" i="16"/>
  <c r="AY52" i="16"/>
  <c r="AZ65" i="16"/>
  <c r="AZ66" i="16" s="1"/>
  <c r="E38" i="17"/>
  <c r="AC61" i="17"/>
  <c r="AC113" i="17" s="1"/>
  <c r="AC165" i="17" s="1"/>
  <c r="AC217" i="17" s="1"/>
  <c r="AC269" i="17" s="1"/>
  <c r="AC321" i="17" s="1"/>
  <c r="AC373" i="17" s="1"/>
  <c r="AC425" i="17" s="1"/>
  <c r="AC477" i="17" s="1"/>
  <c r="AC529" i="17" s="1"/>
  <c r="AC581" i="17" s="1"/>
  <c r="AC633" i="17" s="1"/>
  <c r="AC685" i="17" s="1"/>
  <c r="AC737" i="17" s="1"/>
  <c r="AC789" i="17" s="1"/>
  <c r="G19" i="20"/>
  <c r="AI232" i="20"/>
  <c r="AH272" i="20"/>
  <c r="AH273" i="20"/>
  <c r="E37" i="17"/>
  <c r="AF9" i="17"/>
  <c r="AC60" i="17"/>
  <c r="AC112" i="17" s="1"/>
  <c r="AC164" i="17" s="1"/>
  <c r="AC216" i="17" s="1"/>
  <c r="AC268" i="17" s="1"/>
  <c r="AC320" i="17" s="1"/>
  <c r="AC372" i="17" s="1"/>
  <c r="AC424" i="17" s="1"/>
  <c r="AC476" i="17" s="1"/>
  <c r="AC528" i="17" s="1"/>
  <c r="AC580" i="17" s="1"/>
  <c r="AC632" i="17" s="1"/>
  <c r="AC684" i="17" s="1"/>
  <c r="AC736" i="17" s="1"/>
  <c r="AC788" i="17" s="1"/>
  <c r="AF8" i="17"/>
  <c r="AA28" i="17"/>
  <c r="Y28" i="17"/>
  <c r="Z28" i="17"/>
  <c r="U17" i="17"/>
  <c r="H37" i="17" s="1"/>
  <c r="AW65" i="16"/>
  <c r="AW67" i="16" s="1"/>
  <c r="AW62" i="16"/>
  <c r="AW64" i="16" s="1"/>
  <c r="AW26" i="16"/>
  <c r="T88" i="11"/>
  <c r="AK47" i="11" s="1"/>
  <c r="J29" i="16" l="1"/>
  <c r="AL76" i="8"/>
  <c r="B25" i="8"/>
  <c r="G25" i="8" s="1"/>
  <c r="BA67" i="16"/>
  <c r="BA68" i="16" s="1"/>
  <c r="BA69" i="16" s="1"/>
  <c r="AY66" i="16"/>
  <c r="AZ67" i="16"/>
  <c r="AZ68" i="16" s="1"/>
  <c r="AZ69" i="16" s="1"/>
  <c r="AH302" i="20"/>
  <c r="AH303" i="20" s="1"/>
  <c r="AJ64" i="11"/>
  <c r="AG64" i="11"/>
  <c r="AH64" i="11"/>
  <c r="AI64" i="11"/>
  <c r="AB61" i="11" s="1"/>
  <c r="AH47" i="11"/>
  <c r="AJ47" i="11"/>
  <c r="AA81" i="17"/>
  <c r="AA133" i="17" s="1"/>
  <c r="AA185" i="17" s="1"/>
  <c r="AA237" i="17" s="1"/>
  <c r="AA289" i="17" s="1"/>
  <c r="AA341" i="17" s="1"/>
  <c r="AA393" i="17" s="1"/>
  <c r="AA445" i="17" s="1"/>
  <c r="AA497" i="17" s="1"/>
  <c r="AA549" i="17" s="1"/>
  <c r="AA601" i="17" s="1"/>
  <c r="AA653" i="17" s="1"/>
  <c r="AA705" i="17" s="1"/>
  <c r="AA757" i="17" s="1"/>
  <c r="AA809" i="17" s="1"/>
  <c r="G38" i="17"/>
  <c r="AB15" i="17"/>
  <c r="AI9" i="17" s="1"/>
  <c r="AD15" i="17"/>
  <c r="AK9" i="17" s="1"/>
  <c r="AA15" i="17"/>
  <c r="AH9" i="17" s="1"/>
  <c r="AC15" i="17"/>
  <c r="AJ9" i="17" s="1"/>
  <c r="AI48" i="11"/>
  <c r="AK46" i="11"/>
  <c r="AI46" i="11"/>
  <c r="Y81" i="17"/>
  <c r="Y133" i="17" s="1"/>
  <c r="Y185" i="17" s="1"/>
  <c r="Y237" i="17" s="1"/>
  <c r="Y289" i="17" s="1"/>
  <c r="Y341" i="17" s="1"/>
  <c r="Y393" i="17" s="1"/>
  <c r="Y445" i="17" s="1"/>
  <c r="Y497" i="17" s="1"/>
  <c r="Y549" i="17" s="1"/>
  <c r="Y601" i="17" s="1"/>
  <c r="Y653" i="17" s="1"/>
  <c r="Y705" i="17" s="1"/>
  <c r="Y757" i="17" s="1"/>
  <c r="Y809" i="17" s="1"/>
  <c r="I38" i="17"/>
  <c r="AG48" i="11"/>
  <c r="Z61" i="11"/>
  <c r="BC27" i="16"/>
  <c r="AY28" i="16"/>
  <c r="AC286" i="20"/>
  <c r="F29" i="20" s="1"/>
  <c r="AA33" i="17"/>
  <c r="AA82" i="17"/>
  <c r="G39" i="17"/>
  <c r="AH310" i="20"/>
  <c r="AH46" i="11"/>
  <c r="H29" i="16"/>
  <c r="AB53" i="11"/>
  <c r="AB14" i="17"/>
  <c r="AB13" i="17"/>
  <c r="AD13" i="17"/>
  <c r="AA14" i="17"/>
  <c r="AA13" i="17"/>
  <c r="AC13" i="17"/>
  <c r="Z33" i="17"/>
  <c r="Z82" i="17"/>
  <c r="AC287" i="20"/>
  <c r="G29" i="20" s="1"/>
  <c r="AG46" i="11"/>
  <c r="AA31" i="17"/>
  <c r="AA80" i="17"/>
  <c r="G37" i="17"/>
  <c r="AA32" i="17"/>
  <c r="F18" i="16"/>
  <c r="F14" i="16"/>
  <c r="F19" i="16"/>
  <c r="F13" i="16"/>
  <c r="F15" i="16"/>
  <c r="F17" i="16"/>
  <c r="J13" i="16"/>
  <c r="J14" i="16"/>
  <c r="J15" i="16"/>
  <c r="J19" i="16"/>
  <c r="J17" i="16"/>
  <c r="J18" i="16"/>
  <c r="AY67" i="16"/>
  <c r="AY68" i="16" s="1"/>
  <c r="BB54" i="16"/>
  <c r="BB55" i="16" s="1"/>
  <c r="F29" i="16" s="1"/>
  <c r="Y33" i="17"/>
  <c r="Y82" i="17"/>
  <c r="I39" i="17"/>
  <c r="Z53" i="11"/>
  <c r="Z31" i="17"/>
  <c r="Z32" i="17"/>
  <c r="Z80" i="17"/>
  <c r="AI271" i="20"/>
  <c r="H19" i="20"/>
  <c r="AY54" i="16"/>
  <c r="AY55" i="16" s="1"/>
  <c r="AC61" i="11"/>
  <c r="AJ48" i="11"/>
  <c r="Y31" i="17"/>
  <c r="Y32" i="17"/>
  <c r="I37" i="17"/>
  <c r="Y80" i="17"/>
  <c r="AA61" i="11"/>
  <c r="AH48" i="11"/>
  <c r="AJ46" i="11"/>
  <c r="G26" i="8" l="1"/>
  <c r="I24" i="8"/>
  <c r="AH8" i="17"/>
  <c r="AH312" i="20"/>
  <c r="AH311" i="20"/>
  <c r="Z85" i="17"/>
  <c r="Z134" i="17"/>
  <c r="AK7" i="17"/>
  <c r="T34" i="17"/>
  <c r="AB16" i="17" s="1"/>
  <c r="U34" i="17"/>
  <c r="AC16" i="17" s="1"/>
  <c r="V34" i="17"/>
  <c r="AD16" i="17" s="1"/>
  <c r="T35" i="17"/>
  <c r="AB17" i="17" s="1"/>
  <c r="S34" i="17"/>
  <c r="AA16" i="17" s="1"/>
  <c r="AG47" i="11"/>
  <c r="AI7" i="17"/>
  <c r="AA134" i="17"/>
  <c r="AA85" i="17"/>
  <c r="AI8" i="17"/>
  <c r="T36" i="17"/>
  <c r="AB18" i="17" s="1"/>
  <c r="S36" i="17"/>
  <c r="AA18" i="17" s="1"/>
  <c r="U36" i="17"/>
  <c r="AC18" i="17" s="1"/>
  <c r="V36" i="17"/>
  <c r="AD18" i="17" s="1"/>
  <c r="T37" i="17"/>
  <c r="AB19" i="17" s="1"/>
  <c r="Y85" i="17"/>
  <c r="Y134" i="17"/>
  <c r="AJ7" i="17"/>
  <c r="AC20" i="17"/>
  <c r="AI47" i="11"/>
  <c r="C29" i="16"/>
  <c r="H28" i="16" s="1"/>
  <c r="BC55" i="16"/>
  <c r="U38" i="17"/>
  <c r="AJ23" i="17" s="1"/>
  <c r="T38" i="17"/>
  <c r="AI23" i="17" s="1"/>
  <c r="V38" i="17"/>
  <c r="AK23" i="17" s="1"/>
  <c r="S38" i="17"/>
  <c r="AH23" i="17" s="1"/>
  <c r="U39" i="17"/>
  <c r="AJ24" i="17" s="1"/>
  <c r="AC14" i="17"/>
  <c r="E13" i="16"/>
  <c r="C27" i="16" s="1"/>
  <c r="E14" i="16"/>
  <c r="E15" i="16"/>
  <c r="E19" i="16"/>
  <c r="E17" i="16"/>
  <c r="E18" i="16"/>
  <c r="I13" i="16"/>
  <c r="I14" i="16"/>
  <c r="I17" i="16"/>
  <c r="I18" i="16"/>
  <c r="I19" i="16"/>
  <c r="I15" i="16"/>
  <c r="AJ54" i="11"/>
  <c r="AJ55" i="11" s="1"/>
  <c r="AJ59" i="11" s="1"/>
  <c r="AJ53" i="11"/>
  <c r="AA84" i="17"/>
  <c r="AA83" i="17"/>
  <c r="AA132" i="17"/>
  <c r="Z83" i="17"/>
  <c r="Z84" i="17"/>
  <c r="Z132" i="17"/>
  <c r="AH7" i="17"/>
  <c r="AI54" i="11"/>
  <c r="AI53" i="11"/>
  <c r="Y83" i="17"/>
  <c r="Y132" i="17"/>
  <c r="Y84" i="17"/>
  <c r="BC68" i="16"/>
  <c r="AY69" i="16"/>
  <c r="AG54" i="11"/>
  <c r="AG53" i="11"/>
  <c r="AD14" i="17"/>
  <c r="AH54" i="11"/>
  <c r="AH53" i="11"/>
  <c r="AJ62" i="11"/>
  <c r="AG62" i="11"/>
  <c r="AH62" i="11"/>
  <c r="AI62" i="11"/>
  <c r="AG55" i="11" l="1"/>
  <c r="AG59" i="11" s="1"/>
  <c r="V35" i="17"/>
  <c r="AD17" i="17" s="1"/>
  <c r="I25" i="8"/>
  <c r="I12" i="8"/>
  <c r="I13" i="8"/>
  <c r="I14" i="8"/>
  <c r="E13" i="8"/>
  <c r="E14" i="8"/>
  <c r="E12" i="8"/>
  <c r="J28" i="16"/>
  <c r="G15" i="16"/>
  <c r="G13" i="16"/>
  <c r="G14" i="16"/>
  <c r="K13" i="16"/>
  <c r="K14" i="16"/>
  <c r="K15" i="16"/>
  <c r="AD20" i="17"/>
  <c r="AB59" i="11"/>
  <c r="AH14" i="17"/>
  <c r="AH15" i="17"/>
  <c r="Y136" i="17"/>
  <c r="Y184" i="17"/>
  <c r="Y135" i="17"/>
  <c r="AA186" i="17"/>
  <c r="AA137" i="17"/>
  <c r="Z186" i="17"/>
  <c r="Z137" i="17"/>
  <c r="Z59" i="11"/>
  <c r="AB20" i="17"/>
  <c r="S35" i="17"/>
  <c r="AA17" i="17" s="1"/>
  <c r="AE16" i="17" s="1"/>
  <c r="AA59" i="11"/>
  <c r="AK8" i="17"/>
  <c r="AK14" i="17" s="1"/>
  <c r="AA135" i="17"/>
  <c r="AA184" i="17"/>
  <c r="AA136" i="17"/>
  <c r="T39" i="17"/>
  <c r="AI14" i="17"/>
  <c r="AI15" i="17"/>
  <c r="AI16" i="17" s="1"/>
  <c r="AI20" i="17" s="1"/>
  <c r="I19" i="20"/>
  <c r="A19" i="20" s="1"/>
  <c r="AI310" i="20"/>
  <c r="T88" i="17"/>
  <c r="AB70" i="17" s="1"/>
  <c r="S88" i="17"/>
  <c r="AA70" i="17" s="1"/>
  <c r="V88" i="17"/>
  <c r="AD70" i="17" s="1"/>
  <c r="U88" i="17"/>
  <c r="AC70" i="17" s="1"/>
  <c r="T89" i="17"/>
  <c r="AB71" i="17" s="1"/>
  <c r="S89" i="17"/>
  <c r="AA71" i="17" s="1"/>
  <c r="AC59" i="11"/>
  <c r="S91" i="17"/>
  <c r="T90" i="17"/>
  <c r="S90" i="17"/>
  <c r="U90" i="17"/>
  <c r="U91" i="17"/>
  <c r="V90" i="17"/>
  <c r="V91" i="17" s="1"/>
  <c r="V39" i="17"/>
  <c r="AK24" i="17" s="1"/>
  <c r="AK27" i="17" s="1"/>
  <c r="Y186" i="17"/>
  <c r="Y137" i="17"/>
  <c r="U37" i="17"/>
  <c r="AC19" i="17" s="1"/>
  <c r="U35" i="17"/>
  <c r="AC17" i="17" s="1"/>
  <c r="AJ61" i="11"/>
  <c r="AJ60" i="11"/>
  <c r="AG63" i="11"/>
  <c r="Z60" i="11" s="1"/>
  <c r="AG61" i="11"/>
  <c r="AG60" i="11"/>
  <c r="AJ8" i="17"/>
  <c r="AJ14" i="17" s="1"/>
  <c r="AC21" i="17"/>
  <c r="AJ28" i="17"/>
  <c r="AJ27" i="17"/>
  <c r="AJ29" i="17" s="1"/>
  <c r="AJ30" i="17" s="1"/>
  <c r="V37" i="17"/>
  <c r="AD19" i="17" s="1"/>
  <c r="AH55" i="11"/>
  <c r="AH59" i="11" s="1"/>
  <c r="Z136" i="17"/>
  <c r="Z184" i="17"/>
  <c r="Z135" i="17"/>
  <c r="U86" i="17"/>
  <c r="AC68" i="17" s="1"/>
  <c r="T86" i="17"/>
  <c r="AB68" i="17" s="1"/>
  <c r="S86" i="17"/>
  <c r="AA68" i="17" s="1"/>
  <c r="V86" i="17"/>
  <c r="AD68" i="17" s="1"/>
  <c r="AH63" i="11"/>
  <c r="AA60" i="11" s="1"/>
  <c r="AI63" i="11"/>
  <c r="AB60" i="11" s="1"/>
  <c r="AI55" i="11"/>
  <c r="AI59" i="11" s="1"/>
  <c r="AJ63" i="11"/>
  <c r="AA20" i="17"/>
  <c r="S39" i="17"/>
  <c r="S37" i="17"/>
  <c r="AA19" i="17" s="1"/>
  <c r="AE18" i="17" l="1"/>
  <c r="AH16" i="17"/>
  <c r="AH20" i="17" s="1"/>
  <c r="I15" i="8"/>
  <c r="C15" i="8"/>
  <c r="D15" i="8" s="1"/>
  <c r="V87" i="17"/>
  <c r="AD69" i="17" s="1"/>
  <c r="AI70" i="11"/>
  <c r="AI71" i="11" s="1"/>
  <c r="AI72" i="11" s="1"/>
  <c r="AK15" i="17"/>
  <c r="AK16" i="17" s="1"/>
  <c r="AK20" i="17" s="1"/>
  <c r="H12" i="8"/>
  <c r="B15" i="8" s="1"/>
  <c r="H13" i="8"/>
  <c r="I26" i="8"/>
  <c r="D10" i="8"/>
  <c r="D8" i="8"/>
  <c r="D9" i="8"/>
  <c r="U89" i="17"/>
  <c r="AC71" i="17" s="1"/>
  <c r="AK76" i="17"/>
  <c r="AD73" i="17"/>
  <c r="AI75" i="17"/>
  <c r="AB72" i="17"/>
  <c r="AH70" i="11"/>
  <c r="AH71" i="11" s="1"/>
  <c r="AH72" i="11" s="1"/>
  <c r="AJ31" i="17"/>
  <c r="AA62" i="11"/>
  <c r="AA56" i="11" s="1"/>
  <c r="T52" i="11" s="1"/>
  <c r="C25" i="11" s="1"/>
  <c r="Z62" i="11"/>
  <c r="AK28" i="17"/>
  <c r="AK29" i="17" s="1"/>
  <c r="AK30" i="17" s="1"/>
  <c r="AI67" i="11"/>
  <c r="U140" i="17"/>
  <c r="AC122" i="17" s="1"/>
  <c r="V140" i="17"/>
  <c r="AD122" i="17" s="1"/>
  <c r="T140" i="17"/>
  <c r="AB122" i="17" s="1"/>
  <c r="S140" i="17"/>
  <c r="AA122" i="17" s="1"/>
  <c r="AH76" i="17"/>
  <c r="AA73" i="17"/>
  <c r="AI24" i="17"/>
  <c r="AB21" i="17"/>
  <c r="AH66" i="11"/>
  <c r="AG67" i="11"/>
  <c r="S138" i="17"/>
  <c r="AA120" i="17" s="1"/>
  <c r="U138" i="17"/>
  <c r="AC120" i="17" s="1"/>
  <c r="V138" i="17"/>
  <c r="AD120" i="17" s="1"/>
  <c r="T138" i="17"/>
  <c r="AB120" i="17" s="1"/>
  <c r="AI66" i="11"/>
  <c r="AI68" i="11" s="1"/>
  <c r="AI69" i="11" s="1"/>
  <c r="AI76" i="11" s="1"/>
  <c r="Z188" i="17"/>
  <c r="Z236" i="17"/>
  <c r="Z187" i="17"/>
  <c r="Y238" i="17"/>
  <c r="Y189" i="17"/>
  <c r="T91" i="17"/>
  <c r="G17" i="20"/>
  <c r="D14" i="20"/>
  <c r="F17" i="20" s="1"/>
  <c r="D13" i="20"/>
  <c r="D17" i="20" s="1"/>
  <c r="D12" i="20"/>
  <c r="B17" i="20" s="1"/>
  <c r="F13" i="20"/>
  <c r="C17" i="20" s="1"/>
  <c r="F14" i="20"/>
  <c r="E17" i="20" s="1"/>
  <c r="F12" i="20"/>
  <c r="A17" i="20" s="1"/>
  <c r="AH67" i="11"/>
  <c r="AG66" i="11"/>
  <c r="AG68" i="11" s="1"/>
  <c r="AG69" i="11" s="1"/>
  <c r="Y188" i="17"/>
  <c r="Y187" i="17"/>
  <c r="Y236" i="17"/>
  <c r="AA187" i="17"/>
  <c r="AA236" i="17"/>
  <c r="AA188" i="17"/>
  <c r="AH24" i="17"/>
  <c r="AA21" i="17"/>
  <c r="AE20" i="17" s="1"/>
  <c r="U87" i="17"/>
  <c r="AC69" i="17" s="1"/>
  <c r="S142" i="17"/>
  <c r="T142" i="17"/>
  <c r="U142" i="17"/>
  <c r="U143" i="17"/>
  <c r="T143" i="17"/>
  <c r="S143" i="17"/>
  <c r="V142" i="17"/>
  <c r="Z238" i="17"/>
  <c r="Z189" i="17"/>
  <c r="AH21" i="17"/>
  <c r="AL20" i="17" s="1"/>
  <c r="AH22" i="17"/>
  <c r="AK31" i="17"/>
  <c r="AK32" i="17" s="1"/>
  <c r="AK33" i="17" s="1"/>
  <c r="Z56" i="11"/>
  <c r="S52" i="11" s="1"/>
  <c r="B25" i="11" s="1"/>
  <c r="AC60" i="11"/>
  <c r="AJ70" i="11"/>
  <c r="AJ71" i="11" s="1"/>
  <c r="AJ72" i="11" s="1"/>
  <c r="AJ76" i="17"/>
  <c r="AC73" i="17"/>
  <c r="AG70" i="11"/>
  <c r="AG71" i="11" s="1"/>
  <c r="AG72" i="11" s="1"/>
  <c r="AK75" i="17"/>
  <c r="AD72" i="17"/>
  <c r="AI60" i="11"/>
  <c r="AI61" i="11"/>
  <c r="T87" i="17"/>
  <c r="AB69" i="17" s="1"/>
  <c r="AJ75" i="17"/>
  <c r="AC72" i="17"/>
  <c r="AJ67" i="11"/>
  <c r="V89" i="17"/>
  <c r="AD71" i="17" s="1"/>
  <c r="AE70" i="17" s="1"/>
  <c r="AJ15" i="17"/>
  <c r="AJ16" i="17" s="1"/>
  <c r="AJ20" i="17" s="1"/>
  <c r="AD21" i="17"/>
  <c r="AA189" i="17"/>
  <c r="AA238" i="17"/>
  <c r="AH61" i="11"/>
  <c r="AH60" i="11"/>
  <c r="AB56" i="11"/>
  <c r="U52" i="11" s="1"/>
  <c r="D25" i="11" s="1"/>
  <c r="S87" i="17"/>
  <c r="AA69" i="17" s="1"/>
  <c r="AH75" i="17"/>
  <c r="AA72" i="17"/>
  <c r="AJ66" i="11"/>
  <c r="AB62" i="11"/>
  <c r="E9" i="8" l="1"/>
  <c r="D13" i="8"/>
  <c r="E8" i="8"/>
  <c r="D12" i="8"/>
  <c r="H15" i="8" s="1"/>
  <c r="D14" i="8"/>
  <c r="E10" i="8"/>
  <c r="H14" i="8"/>
  <c r="G12" i="8"/>
  <c r="E16" i="8" s="1"/>
  <c r="C8" i="8"/>
  <c r="C12" i="8" s="1"/>
  <c r="G13" i="8"/>
  <c r="F16" i="8" s="1"/>
  <c r="C9" i="8"/>
  <c r="C13" i="8" s="1"/>
  <c r="G14" i="8"/>
  <c r="C10" i="8"/>
  <c r="C14" i="8" s="1"/>
  <c r="AE68" i="17"/>
  <c r="V139" i="17"/>
  <c r="AD121" i="17" s="1"/>
  <c r="AG76" i="11"/>
  <c r="AG78" i="11" s="1"/>
  <c r="AK59" i="11"/>
  <c r="AK127" i="17"/>
  <c r="AD124" i="17"/>
  <c r="AI78" i="11"/>
  <c r="AI77" i="11"/>
  <c r="D23" i="11" s="1"/>
  <c r="Y288" i="17"/>
  <c r="Y239" i="17"/>
  <c r="Y240" i="17"/>
  <c r="V192" i="17"/>
  <c r="AD174" i="17" s="1"/>
  <c r="S192" i="17"/>
  <c r="AA174" i="17" s="1"/>
  <c r="T192" i="17"/>
  <c r="AB174" i="17" s="1"/>
  <c r="U192" i="17"/>
  <c r="AC174" i="17" s="1"/>
  <c r="AK80" i="17"/>
  <c r="AK79" i="17"/>
  <c r="AK81" i="17" s="1"/>
  <c r="AK82" i="17" s="1"/>
  <c r="AK83" i="17"/>
  <c r="AK84" i="17" s="1"/>
  <c r="AK85" i="17" s="1"/>
  <c r="AK89" i="17" s="1"/>
  <c r="AH128" i="17"/>
  <c r="AA125" i="17"/>
  <c r="V190" i="17"/>
  <c r="AD172" i="17" s="1"/>
  <c r="U190" i="17"/>
  <c r="AC172" i="17" s="1"/>
  <c r="T190" i="17"/>
  <c r="AB172" i="17" s="1"/>
  <c r="S190" i="17"/>
  <c r="AA172" i="17" s="1"/>
  <c r="Z239" i="17"/>
  <c r="Z240" i="17"/>
  <c r="Z288" i="17"/>
  <c r="U139" i="17"/>
  <c r="AC121" i="17" s="1"/>
  <c r="AI80" i="17"/>
  <c r="AI79" i="17"/>
  <c r="AI81" i="17" s="1"/>
  <c r="AI82" i="17" s="1"/>
  <c r="AI128" i="17"/>
  <c r="AB125" i="17"/>
  <c r="AH80" i="17"/>
  <c r="AH79" i="17"/>
  <c r="AH81" i="17" s="1"/>
  <c r="AH82" i="17" s="1"/>
  <c r="AH83" i="17"/>
  <c r="AH84" i="17" s="1"/>
  <c r="AH85" i="17" s="1"/>
  <c r="AH89" i="17" s="1"/>
  <c r="AK37" i="17"/>
  <c r="AJ127" i="17"/>
  <c r="AC124" i="17"/>
  <c r="AI76" i="17"/>
  <c r="AI83" i="17" s="1"/>
  <c r="AI84" i="17" s="1"/>
  <c r="AI85" i="17" s="1"/>
  <c r="AB73" i="17"/>
  <c r="S141" i="17"/>
  <c r="AA123" i="17" s="1"/>
  <c r="AJ128" i="17"/>
  <c r="AC125" i="17"/>
  <c r="AA241" i="17"/>
  <c r="AA290" i="17"/>
  <c r="AC62" i="11"/>
  <c r="AC56" i="11" s="1"/>
  <c r="V52" i="11" s="1"/>
  <c r="E25" i="11" s="1"/>
  <c r="AI127" i="17"/>
  <c r="AB124" i="17"/>
  <c r="AA240" i="17"/>
  <c r="AA288" i="17"/>
  <c r="AA239" i="17"/>
  <c r="AH68" i="11"/>
  <c r="AH69" i="11" s="1"/>
  <c r="AH76" i="11" s="1"/>
  <c r="T141" i="17"/>
  <c r="AB123" i="17" s="1"/>
  <c r="AH28" i="17"/>
  <c r="AH27" i="17"/>
  <c r="AH29" i="17" s="1"/>
  <c r="AH30" i="17" s="1"/>
  <c r="AH31" i="17"/>
  <c r="AH32" i="17" s="1"/>
  <c r="AH33" i="17" s="1"/>
  <c r="AH37" i="17" s="1"/>
  <c r="AJ80" i="17"/>
  <c r="AJ79" i="17"/>
  <c r="AJ81" i="17" s="1"/>
  <c r="AJ82" i="17" s="1"/>
  <c r="AJ83" i="17"/>
  <c r="AJ84" i="17" s="1"/>
  <c r="AJ85" i="17" s="1"/>
  <c r="AJ89" i="17" s="1"/>
  <c r="AJ68" i="11"/>
  <c r="AJ69" i="11" s="1"/>
  <c r="AJ76" i="11" s="1"/>
  <c r="AH127" i="17"/>
  <c r="AA124" i="17"/>
  <c r="V194" i="17"/>
  <c r="V195" i="17" s="1"/>
  <c r="S194" i="17"/>
  <c r="T194" i="17"/>
  <c r="U194" i="17"/>
  <c r="U195" i="17" s="1"/>
  <c r="Y241" i="17"/>
  <c r="Y290" i="17"/>
  <c r="S139" i="17"/>
  <c r="AA121" i="17" s="1"/>
  <c r="V141" i="17"/>
  <c r="AD123" i="17" s="1"/>
  <c r="AJ32" i="17"/>
  <c r="AJ33" i="17" s="1"/>
  <c r="AJ37" i="17" s="1"/>
  <c r="AE72" i="17"/>
  <c r="Z241" i="17"/>
  <c r="Z290" i="17"/>
  <c r="V143" i="17"/>
  <c r="T139" i="17"/>
  <c r="AB121" i="17" s="1"/>
  <c r="AI27" i="17"/>
  <c r="AI28" i="17"/>
  <c r="AI31" i="17"/>
  <c r="AI32" i="17" s="1"/>
  <c r="AI33" i="17" s="1"/>
  <c r="U141" i="17"/>
  <c r="AC123" i="17" s="1"/>
  <c r="AE122" i="17" l="1"/>
  <c r="U193" i="17"/>
  <c r="AC175" i="17" s="1"/>
  <c r="AG77" i="11"/>
  <c r="AE120" i="17"/>
  <c r="U191" i="17"/>
  <c r="AC173" i="17" s="1"/>
  <c r="V191" i="17"/>
  <c r="AD173" i="17" s="1"/>
  <c r="AI29" i="17"/>
  <c r="AI30" i="17" s="1"/>
  <c r="AJ77" i="11"/>
  <c r="E23" i="11" s="1"/>
  <c r="AJ78" i="11"/>
  <c r="AH78" i="11"/>
  <c r="AH77" i="11"/>
  <c r="C23" i="11" s="1"/>
  <c r="AI179" i="17"/>
  <c r="AB176" i="17"/>
  <c r="AJ132" i="17"/>
  <c r="AJ135" i="17"/>
  <c r="AJ136" i="17" s="1"/>
  <c r="AJ137" i="17" s="1"/>
  <c r="AJ141" i="17" s="1"/>
  <c r="AJ131" i="17"/>
  <c r="AJ133" i="17" s="1"/>
  <c r="AJ134" i="17" s="1"/>
  <c r="Y292" i="17"/>
  <c r="Y340" i="17"/>
  <c r="Y291" i="17"/>
  <c r="AI89" i="17"/>
  <c r="S246" i="17"/>
  <c r="U246" i="17"/>
  <c r="V246" i="17"/>
  <c r="T246" i="17"/>
  <c r="AA291" i="17"/>
  <c r="AA340" i="17"/>
  <c r="AA292" i="17"/>
  <c r="T193" i="17"/>
  <c r="AB175" i="17" s="1"/>
  <c r="AE174" i="17" s="1"/>
  <c r="AJ180" i="17"/>
  <c r="AC177" i="17"/>
  <c r="AH39" i="17"/>
  <c r="AH38" i="17"/>
  <c r="S191" i="17"/>
  <c r="AA173" i="17" s="1"/>
  <c r="S193" i="17"/>
  <c r="AA175" i="17" s="1"/>
  <c r="Z342" i="17"/>
  <c r="Z293" i="17"/>
  <c r="Y293" i="17"/>
  <c r="Y342" i="17"/>
  <c r="AK179" i="17"/>
  <c r="AD176" i="17"/>
  <c r="T195" i="17"/>
  <c r="AI132" i="17"/>
  <c r="AI135" i="17"/>
  <c r="AI136" i="17" s="1"/>
  <c r="AI137" i="17" s="1"/>
  <c r="AI141" i="17" s="1"/>
  <c r="AI131" i="17"/>
  <c r="AI133" i="17" s="1"/>
  <c r="AI134" i="17" s="1"/>
  <c r="Z291" i="17"/>
  <c r="Z340" i="17"/>
  <c r="Z292" i="17"/>
  <c r="T191" i="17"/>
  <c r="AB173" i="17" s="1"/>
  <c r="AH179" i="17"/>
  <c r="AA176" i="17"/>
  <c r="AK180" i="17"/>
  <c r="AD177" i="17"/>
  <c r="AJ179" i="17"/>
  <c r="AC176" i="17"/>
  <c r="V193" i="17"/>
  <c r="AD175" i="17" s="1"/>
  <c r="AK128" i="17"/>
  <c r="AK132" i="17" s="1"/>
  <c r="AD125" i="17"/>
  <c r="AE124" i="17" s="1"/>
  <c r="AI37" i="17"/>
  <c r="B23" i="11"/>
  <c r="G23" i="11" s="1"/>
  <c r="AK76" i="11"/>
  <c r="S195" i="17"/>
  <c r="AH132" i="17"/>
  <c r="AH131" i="17"/>
  <c r="AH133" i="17" s="1"/>
  <c r="AH134" i="17" s="1"/>
  <c r="AH135" i="17"/>
  <c r="AH136" i="17" s="1"/>
  <c r="AH137" i="17" s="1"/>
  <c r="AH141" i="17" s="1"/>
  <c r="AA293" i="17"/>
  <c r="AA342" i="17"/>
  <c r="V244" i="17"/>
  <c r="AD226" i="17" s="1"/>
  <c r="U244" i="17"/>
  <c r="AC226" i="17" s="1"/>
  <c r="T244" i="17"/>
  <c r="AB226" i="17" s="1"/>
  <c r="S244" i="17"/>
  <c r="AA226" i="17" s="1"/>
  <c r="V242" i="17"/>
  <c r="AD224" i="17" s="1"/>
  <c r="U242" i="17"/>
  <c r="AC224" i="17" s="1"/>
  <c r="T242" i="17"/>
  <c r="AB224" i="17" s="1"/>
  <c r="S242" i="17"/>
  <c r="AA224" i="17" s="1"/>
  <c r="U243" i="17"/>
  <c r="AC225" i="17" s="1"/>
  <c r="V245" i="17" l="1"/>
  <c r="AD227" i="17" s="1"/>
  <c r="AE172" i="17"/>
  <c r="I22" i="11"/>
  <c r="AI231" i="17"/>
  <c r="AB228" i="17"/>
  <c r="Z394" i="17"/>
  <c r="Z345" i="17"/>
  <c r="AK231" i="17"/>
  <c r="AD228" i="17"/>
  <c r="U294" i="17"/>
  <c r="AC276" i="17" s="1"/>
  <c r="T294" i="17"/>
  <c r="AB276" i="17" s="1"/>
  <c r="S294" i="17"/>
  <c r="AA276" i="17" s="1"/>
  <c r="V294" i="17"/>
  <c r="AD276" i="17" s="1"/>
  <c r="AI183" i="17"/>
  <c r="AK135" i="17"/>
  <c r="AK136" i="17" s="1"/>
  <c r="AK137" i="17" s="1"/>
  <c r="AJ231" i="17"/>
  <c r="AC228" i="17"/>
  <c r="Y344" i="17"/>
  <c r="Y343" i="17"/>
  <c r="Y392" i="17"/>
  <c r="AI180" i="17"/>
  <c r="AI184" i="17" s="1"/>
  <c r="AB177" i="17"/>
  <c r="AE176" i="17" s="1"/>
  <c r="AK131" i="17"/>
  <c r="AK133" i="17" s="1"/>
  <c r="AK134" i="17" s="1"/>
  <c r="AH231" i="17"/>
  <c r="AA228" i="17"/>
  <c r="S247" i="17"/>
  <c r="T245" i="17"/>
  <c r="AB227" i="17" s="1"/>
  <c r="S243" i="17"/>
  <c r="AA225" i="17" s="1"/>
  <c r="AE224" i="17" s="1"/>
  <c r="S245" i="17"/>
  <c r="AA227" i="17" s="1"/>
  <c r="AK184" i="17"/>
  <c r="AK187" i="17"/>
  <c r="AK188" i="17" s="1"/>
  <c r="AK189" i="17" s="1"/>
  <c r="AK183" i="17"/>
  <c r="AK185" i="17" s="1"/>
  <c r="AK186" i="17" s="1"/>
  <c r="AA344" i="17"/>
  <c r="AA343" i="17"/>
  <c r="AA392" i="17"/>
  <c r="T247" i="17"/>
  <c r="AH180" i="17"/>
  <c r="AH184" i="17" s="1"/>
  <c r="AA177" i="17"/>
  <c r="Z343" i="17"/>
  <c r="Z344" i="17"/>
  <c r="Z392" i="17"/>
  <c r="Y394" i="17"/>
  <c r="Y345" i="17"/>
  <c r="V298" i="17"/>
  <c r="V299" i="17" s="1"/>
  <c r="S298" i="17"/>
  <c r="T298" i="17"/>
  <c r="U298" i="17"/>
  <c r="U299" i="17" s="1"/>
  <c r="V247" i="17"/>
  <c r="AA394" i="17"/>
  <c r="AA345" i="17"/>
  <c r="T243" i="17"/>
  <c r="AB225" i="17" s="1"/>
  <c r="U245" i="17"/>
  <c r="AC227" i="17" s="1"/>
  <c r="V243" i="17"/>
  <c r="AD225" i="17" s="1"/>
  <c r="AJ184" i="17"/>
  <c r="AJ183" i="17"/>
  <c r="AJ185" i="17" s="1"/>
  <c r="AJ186" i="17" s="1"/>
  <c r="AJ187" i="17"/>
  <c r="AJ188" i="17" s="1"/>
  <c r="AJ189" i="17" s="1"/>
  <c r="AJ193" i="17" s="1"/>
  <c r="T296" i="17"/>
  <c r="AB278" i="17" s="1"/>
  <c r="S296" i="17"/>
  <c r="AA278" i="17" s="1"/>
  <c r="V296" i="17"/>
  <c r="AD278" i="17" s="1"/>
  <c r="U296" i="17"/>
  <c r="AC278" i="17" s="1"/>
  <c r="C93" i="17"/>
  <c r="H93" i="17" s="1"/>
  <c r="H109" i="17" s="1"/>
  <c r="AL37" i="17"/>
  <c r="U247" i="17"/>
  <c r="S295" i="17" l="1"/>
  <c r="AA277" i="17" s="1"/>
  <c r="T295" i="17"/>
  <c r="AB277" i="17" s="1"/>
  <c r="AE226" i="17"/>
  <c r="AI187" i="17"/>
  <c r="AI188" i="17" s="1"/>
  <c r="AI189" i="17" s="1"/>
  <c r="AI283" i="17"/>
  <c r="AB280" i="17"/>
  <c r="Z396" i="17"/>
  <c r="Z395" i="17"/>
  <c r="Z444" i="17"/>
  <c r="Y396" i="17"/>
  <c r="Y444" i="17"/>
  <c r="Y395" i="17"/>
  <c r="AI239" i="17"/>
  <c r="AI240" i="17" s="1"/>
  <c r="AI241" i="17" s="1"/>
  <c r="AH283" i="17"/>
  <c r="AA280" i="17"/>
  <c r="U346" i="17"/>
  <c r="AC328" i="17" s="1"/>
  <c r="T346" i="17"/>
  <c r="AB328" i="17" s="1"/>
  <c r="S346" i="17"/>
  <c r="AA328" i="17" s="1"/>
  <c r="V346" i="17"/>
  <c r="AD328" i="17" s="1"/>
  <c r="AI185" i="17"/>
  <c r="AI186" i="17" s="1"/>
  <c r="AI193" i="17" s="1"/>
  <c r="I23" i="11"/>
  <c r="I24" i="11"/>
  <c r="AJ284" i="17"/>
  <c r="AC281" i="17"/>
  <c r="S348" i="17"/>
  <c r="AA330" i="17" s="1"/>
  <c r="T348" i="17"/>
  <c r="AB330" i="17" s="1"/>
  <c r="V348" i="17"/>
  <c r="AD330" i="17" s="1"/>
  <c r="U348" i="17"/>
  <c r="AC330" i="17" s="1"/>
  <c r="AK193" i="17"/>
  <c r="AJ232" i="17"/>
  <c r="AC229" i="17"/>
  <c r="AK284" i="17"/>
  <c r="AD281" i="17"/>
  <c r="S297" i="17"/>
  <c r="AA279" i="17" s="1"/>
  <c r="AK283" i="17"/>
  <c r="AD280" i="17"/>
  <c r="AJ236" i="17"/>
  <c r="AJ235" i="17"/>
  <c r="AJ237" i="17" s="1"/>
  <c r="AJ238" i="17" s="1"/>
  <c r="AJ239" i="17"/>
  <c r="AJ240" i="17" s="1"/>
  <c r="AJ241" i="17" s="1"/>
  <c r="AJ245" i="17" s="1"/>
  <c r="U295" i="17"/>
  <c r="AC277" i="17" s="1"/>
  <c r="AE276" i="17" s="1"/>
  <c r="AK235" i="17"/>
  <c r="D37" i="17"/>
  <c r="D38" i="17"/>
  <c r="D39" i="17"/>
  <c r="F38" i="17"/>
  <c r="F39" i="17"/>
  <c r="F37" i="17"/>
  <c r="AA397" i="17"/>
  <c r="AA446" i="17"/>
  <c r="T299" i="17"/>
  <c r="AH187" i="17"/>
  <c r="AH188" i="17" s="1"/>
  <c r="AH189" i="17" s="1"/>
  <c r="AK141" i="17"/>
  <c r="U297" i="17"/>
  <c r="AC279" i="17" s="1"/>
  <c r="S299" i="17"/>
  <c r="AA395" i="17"/>
  <c r="AA444" i="17"/>
  <c r="AA396" i="17"/>
  <c r="AH183" i="17"/>
  <c r="AH185" i="17" s="1"/>
  <c r="AH186" i="17" s="1"/>
  <c r="V295" i="17"/>
  <c r="AD277" i="17" s="1"/>
  <c r="Z397" i="17"/>
  <c r="Z446" i="17"/>
  <c r="T297" i="17"/>
  <c r="AB279" i="17" s="1"/>
  <c r="AK232" i="17"/>
  <c r="AK239" i="17" s="1"/>
  <c r="AK240" i="17" s="1"/>
  <c r="AK241" i="17" s="1"/>
  <c r="AD229" i="17"/>
  <c r="AE228" i="17" s="1"/>
  <c r="AI232" i="17"/>
  <c r="AI235" i="17" s="1"/>
  <c r="AB229" i="17"/>
  <c r="V297" i="17"/>
  <c r="AD279" i="17" s="1"/>
  <c r="AJ283" i="17"/>
  <c r="AC280" i="17"/>
  <c r="Y446" i="17"/>
  <c r="Y397" i="17"/>
  <c r="U350" i="17"/>
  <c r="V350" i="17"/>
  <c r="V351" i="17" s="1"/>
  <c r="S350" i="17"/>
  <c r="S351" i="17" s="1"/>
  <c r="T350" i="17"/>
  <c r="T351" i="17" s="1"/>
  <c r="AH232" i="17"/>
  <c r="AH235" i="17" s="1"/>
  <c r="AA229" i="17"/>
  <c r="U349" i="17" l="1"/>
  <c r="AC331" i="17" s="1"/>
  <c r="V349" i="17"/>
  <c r="AD331" i="17" s="1"/>
  <c r="AE278" i="17"/>
  <c r="U347" i="17"/>
  <c r="AC329" i="17" s="1"/>
  <c r="T347" i="17"/>
  <c r="AB329" i="17" s="1"/>
  <c r="AI336" i="17"/>
  <c r="AB333" i="17"/>
  <c r="AH284" i="17"/>
  <c r="AA281" i="17"/>
  <c r="Z496" i="17"/>
  <c r="Z447" i="17"/>
  <c r="Z448" i="17"/>
  <c r="Z449" i="17"/>
  <c r="Z498" i="17"/>
  <c r="G7" i="11"/>
  <c r="H7" i="11" s="1"/>
  <c r="G8" i="11"/>
  <c r="H8" i="11" s="1"/>
  <c r="G9" i="11"/>
  <c r="H9" i="11" s="1"/>
  <c r="F12" i="11"/>
  <c r="F13" i="11"/>
  <c r="F11" i="11"/>
  <c r="G13" i="11"/>
  <c r="H13" i="11" s="1"/>
  <c r="G11" i="11"/>
  <c r="H11" i="11" s="1"/>
  <c r="G12" i="11"/>
  <c r="H12" i="11" s="1"/>
  <c r="AI236" i="17"/>
  <c r="AI237" i="17" s="1"/>
  <c r="AI238" i="17" s="1"/>
  <c r="AI245" i="17" s="1"/>
  <c r="S400" i="17"/>
  <c r="AA382" i="17" s="1"/>
  <c r="V400" i="17"/>
  <c r="AD382" i="17" s="1"/>
  <c r="U400" i="17"/>
  <c r="AC382" i="17" s="1"/>
  <c r="T400" i="17"/>
  <c r="AB382" i="17" s="1"/>
  <c r="V347" i="17"/>
  <c r="AD329" i="17" s="1"/>
  <c r="AH239" i="17"/>
  <c r="AH240" i="17" s="1"/>
  <c r="AH241" i="17" s="1"/>
  <c r="AH193" i="17"/>
  <c r="S349" i="17"/>
  <c r="AA331" i="17" s="1"/>
  <c r="AH236" i="17"/>
  <c r="AH237" i="17" s="1"/>
  <c r="AH238" i="17" s="1"/>
  <c r="T398" i="17"/>
  <c r="AB380" i="17" s="1"/>
  <c r="V398" i="17"/>
  <c r="AD380" i="17" s="1"/>
  <c r="U398" i="17"/>
  <c r="AC380" i="17" s="1"/>
  <c r="S398" i="17"/>
  <c r="AA380" i="17" s="1"/>
  <c r="AI287" i="17"/>
  <c r="AH336" i="17"/>
  <c r="AA333" i="17"/>
  <c r="C12" i="11"/>
  <c r="C13" i="11"/>
  <c r="F7" i="11"/>
  <c r="C11" i="11"/>
  <c r="F8" i="11"/>
  <c r="F9" i="11"/>
  <c r="AJ288" i="17"/>
  <c r="AJ291" i="17"/>
  <c r="AJ292" i="17" s="1"/>
  <c r="AJ293" i="17" s="1"/>
  <c r="AJ287" i="17"/>
  <c r="AJ289" i="17" s="1"/>
  <c r="AJ290" i="17" s="1"/>
  <c r="AH335" i="17"/>
  <c r="AA332" i="17"/>
  <c r="AI284" i="17"/>
  <c r="AI288" i="17" s="1"/>
  <c r="AB281" i="17"/>
  <c r="T349" i="17"/>
  <c r="AB331" i="17" s="1"/>
  <c r="Y447" i="17"/>
  <c r="Y448" i="17"/>
  <c r="Y496" i="17"/>
  <c r="Y449" i="17"/>
  <c r="Y498" i="17"/>
  <c r="AK335" i="17"/>
  <c r="AD332" i="17"/>
  <c r="AJ335" i="17"/>
  <c r="AC332" i="17"/>
  <c r="AA447" i="17"/>
  <c r="AA448" i="17"/>
  <c r="AA496" i="17"/>
  <c r="AA449" i="17"/>
  <c r="AA498" i="17"/>
  <c r="AK236" i="17"/>
  <c r="AK288" i="17"/>
  <c r="AK291" i="17"/>
  <c r="AK292" i="17" s="1"/>
  <c r="AK293" i="17" s="1"/>
  <c r="AK287" i="17"/>
  <c r="AK289" i="17" s="1"/>
  <c r="AK290" i="17" s="1"/>
  <c r="AE280" i="17"/>
  <c r="AK237" i="17"/>
  <c r="AK238" i="17" s="1"/>
  <c r="AK245" i="17" s="1"/>
  <c r="AI335" i="17"/>
  <c r="AB332" i="17"/>
  <c r="AK336" i="17"/>
  <c r="AD333" i="17"/>
  <c r="U351" i="17"/>
  <c r="S403" i="17"/>
  <c r="T402" i="17"/>
  <c r="U402" i="17"/>
  <c r="V402" i="17"/>
  <c r="V403" i="17" s="1"/>
  <c r="S402" i="17"/>
  <c r="S347" i="17"/>
  <c r="AA329" i="17" s="1"/>
  <c r="AH288" i="17"/>
  <c r="AH291" i="17"/>
  <c r="AH292" i="17" s="1"/>
  <c r="AH293" i="17" s="1"/>
  <c r="AH287" i="17"/>
  <c r="T401" i="17" l="1"/>
  <c r="AB383" i="17" s="1"/>
  <c r="U401" i="17"/>
  <c r="AC383" i="17" s="1"/>
  <c r="S401" i="17"/>
  <c r="AA383" i="17" s="1"/>
  <c r="AE328" i="17"/>
  <c r="T399" i="17"/>
  <c r="AB381" i="17" s="1"/>
  <c r="U399" i="17"/>
  <c r="AC381" i="17" s="1"/>
  <c r="AE330" i="17"/>
  <c r="AJ387" i="17"/>
  <c r="AC384" i="17"/>
  <c r="AI387" i="17"/>
  <c r="AB384" i="17"/>
  <c r="Y500" i="17"/>
  <c r="Y548" i="17"/>
  <c r="Y499" i="17"/>
  <c r="AH343" i="17"/>
  <c r="AH344" i="17" s="1"/>
  <c r="AH345" i="17" s="1"/>
  <c r="AH340" i="17"/>
  <c r="AH339" i="17"/>
  <c r="S399" i="17"/>
  <c r="AA381" i="17" s="1"/>
  <c r="Z501" i="17"/>
  <c r="Z550" i="17"/>
  <c r="AA548" i="17"/>
  <c r="AA500" i="17"/>
  <c r="AA499" i="17"/>
  <c r="AJ297" i="17"/>
  <c r="AH245" i="17"/>
  <c r="AH388" i="17"/>
  <c r="AA385" i="17"/>
  <c r="V452" i="17"/>
  <c r="AD434" i="17" s="1"/>
  <c r="U452" i="17"/>
  <c r="AC434" i="17" s="1"/>
  <c r="T452" i="17"/>
  <c r="AB434" i="17" s="1"/>
  <c r="V453" i="17"/>
  <c r="AD435" i="17" s="1"/>
  <c r="S452" i="17"/>
  <c r="AA434" i="17" s="1"/>
  <c r="AK297" i="17"/>
  <c r="AI289" i="17"/>
  <c r="AI290" i="17" s="1"/>
  <c r="Z499" i="17"/>
  <c r="Z500" i="17"/>
  <c r="Z548" i="17"/>
  <c r="AH387" i="17"/>
  <c r="AA384" i="17"/>
  <c r="S450" i="17"/>
  <c r="AA432" i="17" s="1"/>
  <c r="U450" i="17"/>
  <c r="AC432" i="17" s="1"/>
  <c r="S451" i="17"/>
  <c r="AA433" i="17" s="1"/>
  <c r="T450" i="17"/>
  <c r="AB432" i="17" s="1"/>
  <c r="V450" i="17"/>
  <c r="AD432" i="17" s="1"/>
  <c r="T403" i="17"/>
  <c r="AK387" i="17"/>
  <c r="AD384" i="17"/>
  <c r="AA501" i="17"/>
  <c r="AA550" i="17"/>
  <c r="AK339" i="17"/>
  <c r="AK340" i="17"/>
  <c r="AK343" i="17"/>
  <c r="AK344" i="17" s="1"/>
  <c r="AK345" i="17" s="1"/>
  <c r="AI291" i="17"/>
  <c r="AI292" i="17" s="1"/>
  <c r="AI293" i="17" s="1"/>
  <c r="AI297" i="17" s="1"/>
  <c r="V399" i="17"/>
  <c r="AD381" i="17" s="1"/>
  <c r="AE380" i="17" s="1"/>
  <c r="V401" i="17"/>
  <c r="AD383" i="17" s="1"/>
  <c r="AE382" i="17" s="1"/>
  <c r="AE332" i="17"/>
  <c r="V454" i="17"/>
  <c r="S454" i="17"/>
  <c r="T454" i="17"/>
  <c r="T455" i="17" s="1"/>
  <c r="U454" i="17"/>
  <c r="U455" i="17" s="1"/>
  <c r="V455" i="17"/>
  <c r="S455" i="17"/>
  <c r="AJ336" i="17"/>
  <c r="AJ339" i="17" s="1"/>
  <c r="AC333" i="17"/>
  <c r="AK388" i="17"/>
  <c r="AD385" i="17"/>
  <c r="AH289" i="17"/>
  <c r="AH290" i="17" s="1"/>
  <c r="AH297" i="17" s="1"/>
  <c r="U403" i="17"/>
  <c r="AI339" i="17"/>
  <c r="AI343" i="17"/>
  <c r="AI344" i="17" s="1"/>
  <c r="AI345" i="17" s="1"/>
  <c r="AI340" i="17"/>
  <c r="Y550" i="17"/>
  <c r="Y501" i="17"/>
  <c r="V451" i="17" l="1"/>
  <c r="AD433" i="17" s="1"/>
  <c r="AH341" i="17"/>
  <c r="AH342" i="17" s="1"/>
  <c r="AJ440" i="17"/>
  <c r="AC437" i="17"/>
  <c r="AI440" i="17"/>
  <c r="AB437" i="17"/>
  <c r="AA553" i="17"/>
  <c r="AA602" i="17"/>
  <c r="Z552" i="17"/>
  <c r="Z600" i="17"/>
  <c r="Z551" i="17"/>
  <c r="AJ343" i="17"/>
  <c r="AJ344" i="17" s="1"/>
  <c r="AJ345" i="17" s="1"/>
  <c r="AA552" i="17"/>
  <c r="AA551" i="17"/>
  <c r="AA600" i="17"/>
  <c r="Y552" i="17"/>
  <c r="Y600" i="17"/>
  <c r="Y551" i="17"/>
  <c r="U451" i="17"/>
  <c r="AC433" i="17" s="1"/>
  <c r="AJ340" i="17"/>
  <c r="AJ341" i="17" s="1"/>
  <c r="AJ342" i="17" s="1"/>
  <c r="Z602" i="17"/>
  <c r="Z553" i="17"/>
  <c r="AI341" i="17"/>
  <c r="AI342" i="17" s="1"/>
  <c r="AI349" i="17" s="1"/>
  <c r="AH440" i="17"/>
  <c r="AA437" i="17"/>
  <c r="T504" i="17"/>
  <c r="AB486" i="17" s="1"/>
  <c r="U504" i="17"/>
  <c r="AC486" i="17" s="1"/>
  <c r="S504" i="17"/>
  <c r="AA486" i="17" s="1"/>
  <c r="V504" i="17"/>
  <c r="AD486" i="17" s="1"/>
  <c r="AK440" i="17"/>
  <c r="AD437" i="17"/>
  <c r="AK391" i="17"/>
  <c r="AK393" i="17" s="1"/>
  <c r="AK394" i="17" s="1"/>
  <c r="AK395" i="17"/>
  <c r="AK396" i="17" s="1"/>
  <c r="AK397" i="17" s="1"/>
  <c r="AK392" i="17"/>
  <c r="AI388" i="17"/>
  <c r="AI395" i="17" s="1"/>
  <c r="AI396" i="17" s="1"/>
  <c r="AI397" i="17" s="1"/>
  <c r="AB385" i="17"/>
  <c r="S453" i="17"/>
  <c r="AA435" i="17" s="1"/>
  <c r="AE434" i="17" s="1"/>
  <c r="AI439" i="17"/>
  <c r="AB436" i="17"/>
  <c r="AJ388" i="17"/>
  <c r="AJ391" i="17" s="1"/>
  <c r="AC385" i="17"/>
  <c r="AH392" i="17"/>
  <c r="AH391" i="17"/>
  <c r="AH395" i="17"/>
  <c r="AH396" i="17" s="1"/>
  <c r="AH397" i="17" s="1"/>
  <c r="T453" i="17"/>
  <c r="AB435" i="17" s="1"/>
  <c r="S506" i="17"/>
  <c r="T506" i="17"/>
  <c r="T507" i="17" s="1"/>
  <c r="U506" i="17"/>
  <c r="U507" i="17"/>
  <c r="V506" i="17"/>
  <c r="V507" i="17" s="1"/>
  <c r="AH349" i="17"/>
  <c r="AJ439" i="17"/>
  <c r="AC436" i="17"/>
  <c r="AH439" i="17"/>
  <c r="AA436" i="17"/>
  <c r="AE436" i="17" s="1"/>
  <c r="Y553" i="17"/>
  <c r="Y602" i="17"/>
  <c r="AK439" i="17"/>
  <c r="AD436" i="17"/>
  <c r="AK341" i="17"/>
  <c r="AK342" i="17" s="1"/>
  <c r="AK349" i="17" s="1"/>
  <c r="T451" i="17"/>
  <c r="AB433" i="17" s="1"/>
  <c r="AE432" i="17" s="1"/>
  <c r="U453" i="17"/>
  <c r="AC435" i="17" s="1"/>
  <c r="V502" i="17"/>
  <c r="AD484" i="17" s="1"/>
  <c r="S502" i="17"/>
  <c r="AA484" i="17" s="1"/>
  <c r="T502" i="17"/>
  <c r="AB484" i="17" s="1"/>
  <c r="U502" i="17"/>
  <c r="AC484" i="17" s="1"/>
  <c r="V505" i="17" l="1"/>
  <c r="AD487" i="17" s="1"/>
  <c r="T505" i="17"/>
  <c r="AB487" i="17" s="1"/>
  <c r="U505" i="17"/>
  <c r="AC487" i="17" s="1"/>
  <c r="AE384" i="17"/>
  <c r="AI391" i="17"/>
  <c r="U503" i="17"/>
  <c r="AC485" i="17" s="1"/>
  <c r="T503" i="17"/>
  <c r="AB485" i="17" s="1"/>
  <c r="AJ444" i="17"/>
  <c r="AJ447" i="17"/>
  <c r="AJ448" i="17" s="1"/>
  <c r="AJ449" i="17" s="1"/>
  <c r="AJ443" i="17"/>
  <c r="AJ445" i="17" s="1"/>
  <c r="AJ446" i="17" s="1"/>
  <c r="AH491" i="17"/>
  <c r="AA488" i="17"/>
  <c r="V559" i="17"/>
  <c r="S558" i="17"/>
  <c r="S559" i="17" s="1"/>
  <c r="T558" i="17"/>
  <c r="V558" i="17"/>
  <c r="U558" i="17"/>
  <c r="U559" i="17" s="1"/>
  <c r="S503" i="17"/>
  <c r="AA485" i="17" s="1"/>
  <c r="S507" i="17"/>
  <c r="AJ395" i="17"/>
  <c r="AJ396" i="17" s="1"/>
  <c r="AJ397" i="17" s="1"/>
  <c r="V503" i="17"/>
  <c r="AD485" i="17" s="1"/>
  <c r="AK444" i="17"/>
  <c r="AK443" i="17"/>
  <c r="AK445" i="17" s="1"/>
  <c r="AK446" i="17" s="1"/>
  <c r="AK447" i="17"/>
  <c r="AK448" i="17" s="1"/>
  <c r="AK449" i="17" s="1"/>
  <c r="AK491" i="17"/>
  <c r="AD488" i="17"/>
  <c r="AJ392" i="17"/>
  <c r="AJ393" i="17" s="1"/>
  <c r="AJ394" i="17" s="1"/>
  <c r="AJ349" i="17"/>
  <c r="AE484" i="17"/>
  <c r="Y654" i="17"/>
  <c r="Y605" i="17"/>
  <c r="AJ492" i="17"/>
  <c r="AC489" i="17"/>
  <c r="AI392" i="17"/>
  <c r="AI492" i="17"/>
  <c r="AB489" i="17"/>
  <c r="AH393" i="17"/>
  <c r="AH394" i="17" s="1"/>
  <c r="AH401" i="17" s="1"/>
  <c r="S554" i="17"/>
  <c r="AA536" i="17" s="1"/>
  <c r="U554" i="17"/>
  <c r="AC536" i="17" s="1"/>
  <c r="V554" i="17"/>
  <c r="AD536" i="17" s="1"/>
  <c r="T554" i="17"/>
  <c r="AB536" i="17" s="1"/>
  <c r="S556" i="17"/>
  <c r="AA538" i="17" s="1"/>
  <c r="U556" i="17"/>
  <c r="AC538" i="17" s="1"/>
  <c r="V556" i="17"/>
  <c r="AD538" i="17" s="1"/>
  <c r="T556" i="17"/>
  <c r="AB538" i="17" s="1"/>
  <c r="T557" i="17"/>
  <c r="AB539" i="17" s="1"/>
  <c r="AK492" i="17"/>
  <c r="AD489" i="17"/>
  <c r="Y604" i="17"/>
  <c r="Y652" i="17"/>
  <c r="Y603" i="17"/>
  <c r="Z604" i="17"/>
  <c r="Z652" i="17"/>
  <c r="Z603" i="17"/>
  <c r="AH444" i="17"/>
  <c r="AH447" i="17"/>
  <c r="AH448" i="17" s="1"/>
  <c r="AH449" i="17" s="1"/>
  <c r="AH443" i="17"/>
  <c r="AH445" i="17" s="1"/>
  <c r="AH446" i="17" s="1"/>
  <c r="AJ491" i="17"/>
  <c r="AC488" i="17"/>
  <c r="AI444" i="17"/>
  <c r="AI447" i="17"/>
  <c r="AI448" i="17" s="1"/>
  <c r="AI449" i="17" s="1"/>
  <c r="AI443" i="17"/>
  <c r="AI445" i="17" s="1"/>
  <c r="AI446" i="17" s="1"/>
  <c r="AI393" i="17"/>
  <c r="AI394" i="17" s="1"/>
  <c r="AI401" i="17" s="1"/>
  <c r="AI491" i="17"/>
  <c r="AB488" i="17"/>
  <c r="AK401" i="17"/>
  <c r="S505" i="17"/>
  <c r="AA487" i="17" s="1"/>
  <c r="AE486" i="17" s="1"/>
  <c r="Z605" i="17"/>
  <c r="Z654" i="17"/>
  <c r="AA603" i="17"/>
  <c r="AA652" i="17"/>
  <c r="AA604" i="17"/>
  <c r="AA605" i="17"/>
  <c r="AA654" i="17"/>
  <c r="U555" i="17" l="1"/>
  <c r="AC537" i="17" s="1"/>
  <c r="U557" i="17"/>
  <c r="AC539" i="17" s="1"/>
  <c r="S557" i="17"/>
  <c r="AA539" i="17" s="1"/>
  <c r="Z655" i="17"/>
  <c r="Z704" i="17"/>
  <c r="Z656" i="17"/>
  <c r="T555" i="17"/>
  <c r="AB537" i="17" s="1"/>
  <c r="Y657" i="17"/>
  <c r="Y706" i="17"/>
  <c r="AI543" i="17"/>
  <c r="AB540" i="17"/>
  <c r="AJ453" i="17"/>
  <c r="AH544" i="17"/>
  <c r="AA541" i="17"/>
  <c r="V607" i="17"/>
  <c r="AD589" i="17" s="1"/>
  <c r="T606" i="17"/>
  <c r="AB588" i="17" s="1"/>
  <c r="S606" i="17"/>
  <c r="AA588" i="17" s="1"/>
  <c r="V606" i="17"/>
  <c r="AD588" i="17" s="1"/>
  <c r="U606" i="17"/>
  <c r="AC588" i="17" s="1"/>
  <c r="AJ401" i="17"/>
  <c r="AH543" i="17"/>
  <c r="AA540" i="17"/>
  <c r="V608" i="17"/>
  <c r="AD590" i="17" s="1"/>
  <c r="U608" i="17"/>
  <c r="AC590" i="17" s="1"/>
  <c r="T608" i="17"/>
  <c r="AB590" i="17" s="1"/>
  <c r="S608" i="17"/>
  <c r="AA590" i="17" s="1"/>
  <c r="V609" i="17"/>
  <c r="AD591" i="17" s="1"/>
  <c r="AJ544" i="17"/>
  <c r="AC541" i="17"/>
  <c r="AA657" i="17"/>
  <c r="AA706" i="17"/>
  <c r="AJ496" i="17"/>
  <c r="AJ495" i="17"/>
  <c r="AJ497" i="17" s="1"/>
  <c r="AJ498" i="17" s="1"/>
  <c r="AJ499" i="17"/>
  <c r="AJ500" i="17" s="1"/>
  <c r="AJ501" i="17" s="1"/>
  <c r="AJ505" i="17" s="1"/>
  <c r="Y655" i="17"/>
  <c r="Y704" i="17"/>
  <c r="Y656" i="17"/>
  <c r="V557" i="17"/>
  <c r="AD539" i="17" s="1"/>
  <c r="AH492" i="17"/>
  <c r="AH495" i="17" s="1"/>
  <c r="AA489" i="17"/>
  <c r="T559" i="17"/>
  <c r="AI453" i="17"/>
  <c r="S555" i="17"/>
  <c r="AA537" i="17" s="1"/>
  <c r="AE536" i="17" s="1"/>
  <c r="AK544" i="17"/>
  <c r="AD541" i="17"/>
  <c r="S610" i="17"/>
  <c r="S611" i="17" s="1"/>
  <c r="T610" i="17"/>
  <c r="T611" i="17" s="1"/>
  <c r="U610" i="17"/>
  <c r="V611" i="17"/>
  <c r="V610" i="17"/>
  <c r="Z657" i="17"/>
  <c r="Z706" i="17"/>
  <c r="AI496" i="17"/>
  <c r="AI499" i="17"/>
  <c r="AI500" i="17" s="1"/>
  <c r="AI501" i="17" s="1"/>
  <c r="AI495" i="17"/>
  <c r="AI497" i="17" s="1"/>
  <c r="AI498" i="17" s="1"/>
  <c r="AH453" i="17"/>
  <c r="AE538" i="17"/>
  <c r="V555" i="17"/>
  <c r="AD537" i="17" s="1"/>
  <c r="AK499" i="17"/>
  <c r="AK500" i="17" s="1"/>
  <c r="AK501" i="17" s="1"/>
  <c r="AK496" i="17"/>
  <c r="AK495" i="17"/>
  <c r="AJ543" i="17"/>
  <c r="AC540" i="17"/>
  <c r="AE488" i="17"/>
  <c r="AA656" i="17"/>
  <c r="AA704" i="17"/>
  <c r="AA655" i="17"/>
  <c r="AK453" i="17"/>
  <c r="AK543" i="17"/>
  <c r="AD540" i="17"/>
  <c r="AH496" i="17"/>
  <c r="U609" i="17" l="1"/>
  <c r="AC591" i="17" s="1"/>
  <c r="AH497" i="17"/>
  <c r="AH498" i="17" s="1"/>
  <c r="AI596" i="17"/>
  <c r="AB593" i="17"/>
  <c r="AH548" i="17"/>
  <c r="AH547" i="17"/>
  <c r="AH549" i="17" s="1"/>
  <c r="AH550" i="17" s="1"/>
  <c r="AH551" i="17"/>
  <c r="AH552" i="17" s="1"/>
  <c r="AH553" i="17" s="1"/>
  <c r="AH557" i="17" s="1"/>
  <c r="S658" i="17"/>
  <c r="AA640" i="17" s="1"/>
  <c r="V658" i="17"/>
  <c r="AD640" i="17" s="1"/>
  <c r="T658" i="17"/>
  <c r="AB640" i="17" s="1"/>
  <c r="U658" i="17"/>
  <c r="AC640" i="17" s="1"/>
  <c r="Y709" i="17"/>
  <c r="Y758" i="17"/>
  <c r="AJ548" i="17"/>
  <c r="AJ551" i="17"/>
  <c r="AJ552" i="17" s="1"/>
  <c r="AJ553" i="17" s="1"/>
  <c r="AJ557" i="17" s="1"/>
  <c r="AJ547" i="17"/>
  <c r="AJ549" i="17" s="1"/>
  <c r="AJ550" i="17" s="1"/>
  <c r="AK497" i="17"/>
  <c r="AK498" i="17" s="1"/>
  <c r="S609" i="17"/>
  <c r="AA591" i="17" s="1"/>
  <c r="AE590" i="17" s="1"/>
  <c r="AK548" i="17"/>
  <c r="AK551" i="17"/>
  <c r="AK552" i="17" s="1"/>
  <c r="AK553" i="17" s="1"/>
  <c r="AK557" i="17" s="1"/>
  <c r="AK547" i="17"/>
  <c r="AK549" i="17" s="1"/>
  <c r="AK550" i="17" s="1"/>
  <c r="Z707" i="17"/>
  <c r="Z708" i="17"/>
  <c r="Z756" i="17"/>
  <c r="AK596" i="17"/>
  <c r="AD593" i="17"/>
  <c r="AI505" i="17"/>
  <c r="Z709" i="17"/>
  <c r="Z758" i="17"/>
  <c r="AK505" i="17"/>
  <c r="AH595" i="17"/>
  <c r="AA592" i="17"/>
  <c r="T609" i="17"/>
  <c r="AB591" i="17" s="1"/>
  <c r="S607" i="17"/>
  <c r="AA589" i="17" s="1"/>
  <c r="V660" i="17"/>
  <c r="AD642" i="17" s="1"/>
  <c r="U660" i="17"/>
  <c r="AC642" i="17" s="1"/>
  <c r="V661" i="17"/>
  <c r="AD643" i="17" s="1"/>
  <c r="U661" i="17"/>
  <c r="AC643" i="17" s="1"/>
  <c r="T660" i="17"/>
  <c r="AB642" i="17" s="1"/>
  <c r="S660" i="17"/>
  <c r="AA642" i="17" s="1"/>
  <c r="AH596" i="17"/>
  <c r="AA593" i="17"/>
  <c r="AI595" i="17"/>
  <c r="AB592" i="17"/>
  <c r="AA758" i="17"/>
  <c r="AA709" i="17"/>
  <c r="AH499" i="17"/>
  <c r="AH500" i="17" s="1"/>
  <c r="AH501" i="17" s="1"/>
  <c r="AH505" i="17" s="1"/>
  <c r="AK595" i="17"/>
  <c r="AD592" i="17"/>
  <c r="T607" i="17"/>
  <c r="AB589" i="17" s="1"/>
  <c r="AE588" i="17" s="1"/>
  <c r="AJ595" i="17"/>
  <c r="AC592" i="17"/>
  <c r="AI544" i="17"/>
  <c r="AI548" i="17" s="1"/>
  <c r="AB541" i="17"/>
  <c r="AE540" i="17" s="1"/>
  <c r="S662" i="17"/>
  <c r="S663" i="17" s="1"/>
  <c r="T662" i="17"/>
  <c r="T663" i="17" s="1"/>
  <c r="V662" i="17"/>
  <c r="V663" i="17" s="1"/>
  <c r="U662" i="17"/>
  <c r="AA707" i="17"/>
  <c r="AA756" i="17"/>
  <c r="AA708" i="17"/>
  <c r="U611" i="17"/>
  <c r="Y708" i="17"/>
  <c r="Y756" i="17"/>
  <c r="Y707" i="17"/>
  <c r="U607" i="17"/>
  <c r="AC589" i="17" s="1"/>
  <c r="S661" i="17" l="1"/>
  <c r="AA643" i="17" s="1"/>
  <c r="AI648" i="17"/>
  <c r="AB645" i="17"/>
  <c r="AJ647" i="17"/>
  <c r="AC644" i="17"/>
  <c r="AE592" i="17"/>
  <c r="Z759" i="17"/>
  <c r="Z760" i="17"/>
  <c r="Z808" i="17"/>
  <c r="Y808" i="17"/>
  <c r="Y759" i="17"/>
  <c r="Y760" i="17"/>
  <c r="AK647" i="17"/>
  <c r="AD644" i="17"/>
  <c r="AA761" i="17"/>
  <c r="AA810" i="17"/>
  <c r="AA813" i="17" s="1"/>
  <c r="AH599" i="17"/>
  <c r="AH600" i="17"/>
  <c r="AH603" i="17"/>
  <c r="AH604" i="17" s="1"/>
  <c r="AH605" i="17" s="1"/>
  <c r="U659" i="17"/>
  <c r="AC641" i="17" s="1"/>
  <c r="V712" i="17"/>
  <c r="AD694" i="17" s="1"/>
  <c r="S712" i="17"/>
  <c r="AA694" i="17" s="1"/>
  <c r="T712" i="17"/>
  <c r="AB694" i="17" s="1"/>
  <c r="U712" i="17"/>
  <c r="AC694" i="17" s="1"/>
  <c r="V710" i="17"/>
  <c r="AD692" i="17" s="1"/>
  <c r="S710" i="17"/>
  <c r="AA692" i="17" s="1"/>
  <c r="T710" i="17"/>
  <c r="AB692" i="17" s="1"/>
  <c r="U710" i="17"/>
  <c r="AC692" i="17" s="1"/>
  <c r="AJ596" i="17"/>
  <c r="AJ599" i="17" s="1"/>
  <c r="AC593" i="17"/>
  <c r="AI603" i="17"/>
  <c r="AI604" i="17" s="1"/>
  <c r="AI605" i="17" s="1"/>
  <c r="AI600" i="17"/>
  <c r="AI599" i="17"/>
  <c r="AI601" i="17" s="1"/>
  <c r="AI602" i="17" s="1"/>
  <c r="T661" i="17"/>
  <c r="AB643" i="17" s="1"/>
  <c r="Z810" i="17"/>
  <c r="Z813" i="17" s="1"/>
  <c r="Z761" i="17"/>
  <c r="S659" i="17"/>
  <c r="AA641" i="17" s="1"/>
  <c r="AJ600" i="17"/>
  <c r="Y810" i="17"/>
  <c r="Y813" i="17" s="1"/>
  <c r="Y761" i="17"/>
  <c r="AK648" i="17"/>
  <c r="AD645" i="17"/>
  <c r="AI647" i="17"/>
  <c r="AB644" i="17"/>
  <c r="AI551" i="17"/>
  <c r="AI552" i="17" s="1"/>
  <c r="AI553" i="17" s="1"/>
  <c r="AH648" i="17"/>
  <c r="AA645" i="17"/>
  <c r="AI547" i="17"/>
  <c r="AI549" i="17" s="1"/>
  <c r="AI550" i="17" s="1"/>
  <c r="AA760" i="17"/>
  <c r="AA759" i="17"/>
  <c r="AA808" i="17"/>
  <c r="AH647" i="17"/>
  <c r="AA644" i="17"/>
  <c r="V659" i="17"/>
  <c r="AD641" i="17" s="1"/>
  <c r="V714" i="17"/>
  <c r="V715" i="17" s="1"/>
  <c r="T714" i="17"/>
  <c r="U714" i="17"/>
  <c r="U715" i="17" s="1"/>
  <c r="S714" i="17"/>
  <c r="S715" i="17" s="1"/>
  <c r="U663" i="17"/>
  <c r="AK600" i="17"/>
  <c r="AK599" i="17"/>
  <c r="AK601" i="17" s="1"/>
  <c r="AK602" i="17" s="1"/>
  <c r="AK603" i="17"/>
  <c r="AK604" i="17" s="1"/>
  <c r="AK605" i="17" s="1"/>
  <c r="AK609" i="17" s="1"/>
  <c r="AE642" i="17"/>
  <c r="T659" i="17"/>
  <c r="AB641" i="17" s="1"/>
  <c r="T711" i="17" l="1"/>
  <c r="AB693" i="17" s="1"/>
  <c r="AE640" i="17"/>
  <c r="V713" i="17"/>
  <c r="AD695" i="17" s="1"/>
  <c r="T713" i="17"/>
  <c r="AB695" i="17" s="1"/>
  <c r="U713" i="17"/>
  <c r="AC695" i="17" s="1"/>
  <c r="AJ601" i="17"/>
  <c r="AJ602" i="17" s="1"/>
  <c r="AJ700" i="17"/>
  <c r="AC697" i="17"/>
  <c r="S766" i="17"/>
  <c r="S767" i="17" s="1"/>
  <c r="T766" i="17"/>
  <c r="U766" i="17"/>
  <c r="U767" i="17" s="1"/>
  <c r="V766" i="17"/>
  <c r="V767" i="17"/>
  <c r="AK652" i="17"/>
  <c r="AK655" i="17"/>
  <c r="AK656" i="17" s="1"/>
  <c r="AK657" i="17" s="1"/>
  <c r="AK651" i="17"/>
  <c r="V711" i="17"/>
  <c r="AD693" i="17" s="1"/>
  <c r="T762" i="17"/>
  <c r="AB744" i="17" s="1"/>
  <c r="S762" i="17"/>
  <c r="AA744" i="17" s="1"/>
  <c r="V762" i="17"/>
  <c r="AD744" i="17" s="1"/>
  <c r="U762" i="17"/>
  <c r="AC744" i="17" s="1"/>
  <c r="AI652" i="17"/>
  <c r="AI655" i="17"/>
  <c r="AI656" i="17" s="1"/>
  <c r="AI657" i="17" s="1"/>
  <c r="AI651" i="17"/>
  <c r="AK700" i="17"/>
  <c r="AD697" i="17"/>
  <c r="AJ648" i="17"/>
  <c r="AJ652" i="17" s="1"/>
  <c r="AC645" i="17"/>
  <c r="AK699" i="17"/>
  <c r="AD696" i="17"/>
  <c r="Y812" i="17"/>
  <c r="Y811" i="17"/>
  <c r="AI699" i="17"/>
  <c r="AB696" i="17"/>
  <c r="AE694" i="17"/>
  <c r="AH601" i="17"/>
  <c r="AH602" i="17" s="1"/>
  <c r="AH609" i="17" s="1"/>
  <c r="Z812" i="17"/>
  <c r="Z811" i="17"/>
  <c r="AH700" i="17"/>
  <c r="AA697" i="17"/>
  <c r="T715" i="17"/>
  <c r="AH699" i="17"/>
  <c r="AA696" i="17"/>
  <c r="AE644" i="17"/>
  <c r="AI557" i="17"/>
  <c r="AJ603" i="17"/>
  <c r="AJ604" i="17" s="1"/>
  <c r="AJ605" i="17" s="1"/>
  <c r="AJ609" i="17" s="1"/>
  <c r="S711" i="17"/>
  <c r="AA693" i="17" s="1"/>
  <c r="S713" i="17"/>
  <c r="AA695" i="17" s="1"/>
  <c r="AA811" i="17"/>
  <c r="AA812" i="17"/>
  <c r="AJ699" i="17"/>
  <c r="AC696" i="17"/>
  <c r="AH652" i="17"/>
  <c r="AH651" i="17"/>
  <c r="AH653" i="17" s="1"/>
  <c r="AH654" i="17" s="1"/>
  <c r="AH655" i="17"/>
  <c r="AH656" i="17" s="1"/>
  <c r="AH657" i="17" s="1"/>
  <c r="AI609" i="17"/>
  <c r="U711" i="17"/>
  <c r="AC693" i="17" s="1"/>
  <c r="T764" i="17"/>
  <c r="AB746" i="17" s="1"/>
  <c r="S764" i="17"/>
  <c r="AA746" i="17" s="1"/>
  <c r="V764" i="17"/>
  <c r="AD746" i="17" s="1"/>
  <c r="U764" i="17"/>
  <c r="AC746" i="17" s="1"/>
  <c r="S763" i="17" l="1"/>
  <c r="AA745" i="17" s="1"/>
  <c r="U763" i="17"/>
  <c r="AC745" i="17" s="1"/>
  <c r="AE692" i="17"/>
  <c r="V763" i="17"/>
  <c r="AD745" i="17" s="1"/>
  <c r="S765" i="17"/>
  <c r="AA747" i="17" s="1"/>
  <c r="U765" i="17"/>
  <c r="AC747" i="17" s="1"/>
  <c r="AH752" i="17"/>
  <c r="AA749" i="17"/>
  <c r="AH661" i="17"/>
  <c r="S814" i="17"/>
  <c r="AA796" i="17" s="1"/>
  <c r="U814" i="17"/>
  <c r="AC796" i="17" s="1"/>
  <c r="T814" i="17"/>
  <c r="AB796" i="17" s="1"/>
  <c r="V814" i="17"/>
  <c r="AD796" i="17" s="1"/>
  <c r="U815" i="17"/>
  <c r="AC797" i="17" s="1"/>
  <c r="AI653" i="17"/>
  <c r="AI654" i="17" s="1"/>
  <c r="AI661" i="17" s="1"/>
  <c r="AK653" i="17"/>
  <c r="AK654" i="17" s="1"/>
  <c r="AK661" i="17" s="1"/>
  <c r="AI751" i="17"/>
  <c r="AB748" i="17"/>
  <c r="AK704" i="17"/>
  <c r="AK707" i="17"/>
  <c r="AK708" i="17" s="1"/>
  <c r="AK709" i="17" s="1"/>
  <c r="AK713" i="17" s="1"/>
  <c r="AK703" i="17"/>
  <c r="AK705" i="17" s="1"/>
  <c r="AK706" i="17" s="1"/>
  <c r="AK752" i="17"/>
  <c r="AD749" i="17"/>
  <c r="AJ704" i="17"/>
  <c r="AJ707" i="17"/>
  <c r="AJ708" i="17" s="1"/>
  <c r="AJ709" i="17" s="1"/>
  <c r="AJ703" i="17"/>
  <c r="AJ705" i="17" s="1"/>
  <c r="AJ706" i="17" s="1"/>
  <c r="AJ752" i="17"/>
  <c r="AC749" i="17"/>
  <c r="AH751" i="17"/>
  <c r="AA748" i="17"/>
  <c r="V765" i="17"/>
  <c r="AD747" i="17" s="1"/>
  <c r="AJ651" i="17"/>
  <c r="AJ653" i="17" s="1"/>
  <c r="AJ654" i="17" s="1"/>
  <c r="AK751" i="17"/>
  <c r="AD748" i="17"/>
  <c r="U816" i="17"/>
  <c r="AC798" i="17" s="1"/>
  <c r="T816" i="17"/>
  <c r="AB798" i="17" s="1"/>
  <c r="V816" i="17"/>
  <c r="AD798" i="17" s="1"/>
  <c r="S816" i="17"/>
  <c r="AA798" i="17" s="1"/>
  <c r="V817" i="17"/>
  <c r="AD799" i="17" s="1"/>
  <c r="AE696" i="17"/>
  <c r="AH707" i="17"/>
  <c r="AH708" i="17" s="1"/>
  <c r="AH709" i="17" s="1"/>
  <c r="AH703" i="17"/>
  <c r="AH704" i="17"/>
  <c r="T765" i="17"/>
  <c r="AB747" i="17" s="1"/>
  <c r="AE746" i="17" s="1"/>
  <c r="S818" i="17"/>
  <c r="S819" i="17" s="1"/>
  <c r="T818" i="17"/>
  <c r="T819" i="17" s="1"/>
  <c r="U818" i="17"/>
  <c r="V818" i="17"/>
  <c r="AI700" i="17"/>
  <c r="AI703" i="17" s="1"/>
  <c r="AB697" i="17"/>
  <c r="T763" i="17"/>
  <c r="AB745" i="17" s="1"/>
  <c r="AE744" i="17" s="1"/>
  <c r="AJ655" i="17"/>
  <c r="AJ656" i="17" s="1"/>
  <c r="AJ657" i="17" s="1"/>
  <c r="AJ661" i="17" s="1"/>
  <c r="AJ751" i="17"/>
  <c r="AC748" i="17"/>
  <c r="AI707" i="17"/>
  <c r="AI708" i="17" s="1"/>
  <c r="AI709" i="17" s="1"/>
  <c r="T767" i="17"/>
  <c r="T815" i="17" l="1"/>
  <c r="AB797" i="17" s="1"/>
  <c r="V815" i="17"/>
  <c r="AD797" i="17" s="1"/>
  <c r="S817" i="17"/>
  <c r="AA799" i="17" s="1"/>
  <c r="AH705" i="17"/>
  <c r="AH706" i="17" s="1"/>
  <c r="AH713" i="17" s="1"/>
  <c r="AH756" i="17"/>
  <c r="AH759" i="17"/>
  <c r="AH760" i="17" s="1"/>
  <c r="AH761" i="17" s="1"/>
  <c r="AH765" i="17" s="1"/>
  <c r="AH755" i="17"/>
  <c r="AH757" i="17" s="1"/>
  <c r="AH758" i="17" s="1"/>
  <c r="AE796" i="17"/>
  <c r="AF16" i="17" s="1"/>
  <c r="D40" i="17" s="1"/>
  <c r="AJ756" i="17"/>
  <c r="AJ759" i="17"/>
  <c r="AJ760" i="17" s="1"/>
  <c r="AJ761" i="17" s="1"/>
  <c r="AJ755" i="17"/>
  <c r="AJ757" i="17" s="1"/>
  <c r="AJ758" i="17" s="1"/>
  <c r="AI804" i="17"/>
  <c r="AB801" i="17"/>
  <c r="AK803" i="17"/>
  <c r="AD800" i="17"/>
  <c r="AI752" i="17"/>
  <c r="AI755" i="17" s="1"/>
  <c r="AB749" i="17"/>
  <c r="AK756" i="17"/>
  <c r="AK759" i="17"/>
  <c r="AK760" i="17" s="1"/>
  <c r="AK761" i="17" s="1"/>
  <c r="AK765" i="17" s="1"/>
  <c r="AK755" i="17"/>
  <c r="AK757" i="17" s="1"/>
  <c r="AK758" i="17" s="1"/>
  <c r="AJ713" i="17"/>
  <c r="AJ803" i="17"/>
  <c r="AC800" i="17"/>
  <c r="S815" i="17"/>
  <c r="AA797" i="17" s="1"/>
  <c r="AH804" i="17"/>
  <c r="AA801" i="17"/>
  <c r="AH803" i="17"/>
  <c r="AA800" i="17"/>
  <c r="V819" i="17"/>
  <c r="AI803" i="17"/>
  <c r="AB800" i="17"/>
  <c r="T817" i="17"/>
  <c r="AB799" i="17" s="1"/>
  <c r="AE798" i="17" s="1"/>
  <c r="AF18" i="17" s="1"/>
  <c r="F40" i="17" s="1"/>
  <c r="AI704" i="17"/>
  <c r="AI705" i="17" s="1"/>
  <c r="AI706" i="17" s="1"/>
  <c r="AI713" i="17" s="1"/>
  <c r="U819" i="17"/>
  <c r="U817" i="17"/>
  <c r="AC799" i="17" s="1"/>
  <c r="AE748" i="17"/>
  <c r="AH808" i="17" l="1"/>
  <c r="AH807" i="17"/>
  <c r="AH809" i="17" s="1"/>
  <c r="AH810" i="17" s="1"/>
  <c r="AH811" i="17"/>
  <c r="AH812" i="17" s="1"/>
  <c r="AH813" i="17" s="1"/>
  <c r="AH817" i="17" s="1"/>
  <c r="AI759" i="17"/>
  <c r="AI760" i="17" s="1"/>
  <c r="AI761" i="17" s="1"/>
  <c r="AI756" i="17"/>
  <c r="AI757" i="17" s="1"/>
  <c r="AI758" i="17" s="1"/>
  <c r="AJ765" i="17"/>
  <c r="AJ804" i="17"/>
  <c r="AJ808" i="17" s="1"/>
  <c r="AC801" i="17"/>
  <c r="AK808" i="17"/>
  <c r="AK811" i="17"/>
  <c r="AK812" i="17" s="1"/>
  <c r="AK813" i="17" s="1"/>
  <c r="AK807" i="17"/>
  <c r="AK809" i="17" s="1"/>
  <c r="AK810" i="17" s="1"/>
  <c r="AI808" i="17"/>
  <c r="AI807" i="17"/>
  <c r="AI809" i="17" s="1"/>
  <c r="AI810" i="17" s="1"/>
  <c r="AI811" i="17"/>
  <c r="AI812" i="17" s="1"/>
  <c r="AI813" i="17" s="1"/>
  <c r="AK804" i="17"/>
  <c r="AD801" i="17"/>
  <c r="AE800" i="17"/>
  <c r="AF20" i="17" s="1"/>
  <c r="B40" i="17" s="1"/>
  <c r="AJ811" i="17" l="1"/>
  <c r="AJ812" i="17" s="1"/>
  <c r="AJ813" i="17" s="1"/>
  <c r="AJ807" i="17"/>
  <c r="AJ809" i="17" s="1"/>
  <c r="AJ810" i="17" s="1"/>
  <c r="AK817" i="17"/>
  <c r="AI817" i="17"/>
  <c r="AI765" i="17"/>
  <c r="AJ81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Thierry Massard</author>
  </authors>
  <commentList>
    <comment ref="A4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Equivalent DD is an exact analytical solution. If the amount of 0 or 90 becomes &gt; 50% of the whole laminate then there is no exact solution in DD. The result is ##### showing the the cosin of the DD is &gt; 1
Approximate solution can be found with a minimization method used in Lamsearch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Thierry Massard</author>
  </authors>
  <commentList>
    <comment ref="A61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Equivalent DD is an exact analytical solution. If the amount of 0 or 90 becomes &gt; 50% of the whole laminate then there is no exact solution in DD. The result is ##### showing the the cosin of the DD is &gt; 1
Approximate solution can be found with a minimization method used in Lamsearch</t>
        </r>
      </text>
    </comment>
  </commentList>
</comments>
</file>

<file path=xl/sharedStrings.xml><?xml version="1.0" encoding="utf-8"?>
<sst xmlns="http://schemas.openxmlformats.org/spreadsheetml/2006/main" count="14812" uniqueCount="2201">
  <si>
    <t xml:space="preserve">  [Mod]1   User defined modification of temperature, moisture, and micromechanical variables for the 1 material.  Since backcalculation was used, modified calues should not differ excessively from baseline values.</t>
  </si>
  <si>
    <t xml:space="preserve"> [Base]2    Reference temperature and moisture content, and micromechanical data, backcalculated from experimentally determined ply data for the 1 material</t>
  </si>
  <si>
    <t xml:space="preserve">  [Mod]2   User defined modification of temperature, moisture, and micromechanical variables for the 1 material.  Since backcalculation was used, modified calues should not differ excessively from baseline values.</t>
  </si>
  <si>
    <t xml:space="preserve"> [Base]3    Reference temperature and moisture content, and micromechanical data, backcalculated from experimentally determined ply data for the 1 material</t>
  </si>
  <si>
    <t xml:space="preserve">  [Mod]3   User defined modification of temperature, moisture, and micromechanical variables for the 1 material.  Since backcalculation was used, modified calues should not differ excessively from baseline values.</t>
  </si>
  <si>
    <t xml:space="preserve"> [Base]4    Reference temperature and moisture content, and micromechanical data, backcalculated from experimentally determined ply data for the 1 material</t>
  </si>
  <si>
    <t xml:space="preserve">  [Mod]4   User defined modification of temperature, moisture, and micromechanical variables for the 1 material.  Since backcalculation was used, modified calues should not differ excessively from baseline values.</t>
  </si>
  <si>
    <t xml:space="preserve"> [Base]5    Reference temperature and moisture content, and micromechanical data, backcalculated from experimentally determined ply data for the 1 material</t>
  </si>
  <si>
    <t xml:space="preserve">  [Mod]5   User defined modification of temperature, moisture, and micromechanical variables for the 1 material.  Since backcalculation was used, modified calues should not differ excessively from baseline values.</t>
  </si>
  <si>
    <t xml:space="preserve"> [Base]6    Reference temperature and moisture content, and micromechanical data, backcalculated from experimentally determined ply data for the 1 material</t>
  </si>
  <si>
    <t xml:space="preserve">  [Mod]6   User defined modification of temperature, moisture, and micromechanical variables for the 1 material.  Since backcalculation was used, modified calues should not differ excessively from baseline values.</t>
  </si>
  <si>
    <t xml:space="preserve"> [Base]7    Reference temperature and moisture content, and micromechanical data, backcalculated from experimentally determined ply data for the 1 material</t>
  </si>
  <si>
    <t xml:space="preserve">  [Mod]7   User defined modification of temperature, moisture, and micromechanical variables for the 1 material.  Since backcalculation was used, modified calues should not differ excessively from baseline values.</t>
  </si>
  <si>
    <t xml:space="preserve"> [Base]8    Reference temperature and moisture content, and micromechanical data, backcalculated from experimentally determined ply data for the 1 material</t>
  </si>
  <si>
    <t xml:space="preserve">  [Mod]8   User defined modification of temperature, moisture, and micromechanical variables for the 1 material.  Since backcalculation was used, modified calues should not differ excessively from baseline values.</t>
  </si>
  <si>
    <t xml:space="preserve"> [Base]9    Reference temperature and moisture content, and micromechanical data, backcalculated from experimentally determined ply data for the 1 material</t>
  </si>
  <si>
    <t xml:space="preserve">  [Mod]9   User defined modification of temperature, moisture, and micromechanical variables for the 1 material.  Since backcalculation was used, modified calues should not differ excessively from baseline values.</t>
  </si>
  <si>
    <t xml:space="preserve"> [Base]10    Reference temperature and moisture content, and micromechanical data, backcalculated from experimentally determined ply data for the 1 material</t>
  </si>
  <si>
    <t xml:space="preserve">  [Mod]10   User defined modification of temperature, moisture, and micromechanical variables for the 1 material.  Since backcalculation was used, modified calues should not differ excessively from baseline values.</t>
  </si>
  <si>
    <t xml:space="preserve"> [Base]11    Reference temperature and moisture content, and micromechanical data, backcalculated from experimentally determined ply data for the 1 material</t>
  </si>
  <si>
    <t xml:space="preserve">  [Mod]11   User defined modification of temperature, moisture, and micromechanical variables for the 1 material.  Since backcalculation was used, modified calues should not differ excessively from baseline values.</t>
  </si>
  <si>
    <t xml:space="preserve"> [Base]12    Reference temperature and moisture content, and micromechanical data, backcalculated from experimentally determined ply data for the 1 material</t>
  </si>
  <si>
    <t xml:space="preserve">  [Mod]12   User defined modification of temperature, moisture, and micromechanical variables for the 1 material.  Since backcalculation was used, modified calues should not differ excessively from baseline values.</t>
  </si>
  <si>
    <t xml:space="preserve"> [Base]13    Reference temperature and moisture content, and micromechanical data, backcalculated from experimentally determined ply data for the 1 material</t>
  </si>
  <si>
    <t xml:space="preserve">  [Mod]13   User defined modification of temperature, moisture, and micromechanical variables for the 1 material.  Since backcalculation was used, modified calues should not differ excessively from baseline values.</t>
  </si>
  <si>
    <t xml:space="preserve"> [Base]14    Reference temperature and moisture content, and micromechanical data, backcalculated from experimentally determined ply data for the 1 material</t>
  </si>
  <si>
    <t xml:space="preserve">  [Mod]14   User defined modification of temperature, moisture, and micromechanical variables for the 1 material.  Since backcalculation was used, modified calues should not differ excessively from baseline values.</t>
  </si>
  <si>
    <t xml:space="preserve"> [Base]15    Reference temperature and moisture content, and micromechanical data, backcalculated from experimentally determined ply data for the 1 material</t>
  </si>
  <si>
    <t xml:space="preserve">  [Mod]15   User defined modification of temperature, moisture, and micromechanical variables for the 1 material.  Since backcalculation was used, modified calues should not differ excessively from baseline values.</t>
  </si>
  <si>
    <t xml:space="preserve"> [Base]16    Reference temperature and moisture content, and micromechanical data, backcalculated from experimentally determined ply data for the 1 material</t>
  </si>
  <si>
    <t xml:space="preserve"> {beta}-     Moisture expansion coefficients for the - laminate in absolute value</t>
  </si>
  <si>
    <t xml:space="preserve"> Baseline+    Reference temperature and moisture content, and micromechanical data, backcalculated from experimentally determined ply data for the + laminate</t>
  </si>
  <si>
    <t xml:space="preserve"> Baseline-    Reference temperature and moisture content, and micromechanical data, backcalculated from experimentally determined ply data for the - laminate</t>
  </si>
  <si>
    <t>Temperature C and moisture</t>
  </si>
  <si>
    <t>TEMP3</t>
  </si>
  <si>
    <t xml:space="preserve">   R1        Strength/stress ratio of the 1 material for intact or degraded matrix depending on the degradation factor used in Cell I22.</t>
  </si>
  <si>
    <t xml:space="preserve">min R1    Lowest strength/stress ratio for the 1 material, which would be the FPF if matrix is intact (degradation factor = 1), and LPF if matrix is degraded (degradation factor &lt;1). </t>
  </si>
  <si>
    <t xml:space="preserve">   R2        Strength/stress ratio of the 1 material for intact or degraded matrix depending on the degradation factor used in Cell I22.</t>
  </si>
  <si>
    <t xml:space="preserve">min R2    Lowest strength/stress ratio for the 1 material, which would be the FPF if matrix is intact (degradation factor = 1), and LPF if matrix is degraded (degradation factor &lt;1). </t>
  </si>
  <si>
    <t xml:space="preserve">   R3        Strength/stress ratio of the 1 material for intact or degraded matrix depending on the degradation factor used in Cell I22.</t>
  </si>
  <si>
    <t xml:space="preserve">min R3    Lowest strength/stress ratio for the 1 material, which would be the FPF if matrix is intact (degradation factor = 1), and LPF if matrix is degraded (degradation factor &lt;1). </t>
  </si>
  <si>
    <t>E</t>
  </si>
  <si>
    <t>?</t>
  </si>
  <si>
    <t>BOTTOM-FACE PLY DATA  MODULE</t>
  </si>
  <si>
    <t>BOTT LAMINATE MODULUS MODULE - elastic and hygrothermal constants</t>
  </si>
  <si>
    <t>[Angle]-</t>
  </si>
  <si>
    <t>[REPT]-</t>
  </si>
  <si>
    <t>{N}-</t>
  </si>
  <si>
    <t>MIC-MAC/Cantilever tube: {[theta/#], . . .}symm</t>
  </si>
  <si>
    <t xml:space="preserve"> READ ME     THIS MIC-MAC CALCULATES THE DISPLACEMENTS, INDUCED STRESSES AND STRAINS, AND STRENGTH OF A THIN-WALL CIRCULAR CANTILEVER BEAM  SUBJECTED TO BENDING AND TORQUE. </t>
  </si>
  <si>
    <t>Theta 1</t>
  </si>
  <si>
    <t>Theta 2</t>
  </si>
  <si>
    <t>Theta 3</t>
  </si>
  <si>
    <t>Theta 4</t>
  </si>
  <si>
    <t>h, E-3      Total thickness in mm or mil</t>
  </si>
  <si>
    <t xml:space="preserve">  [ply#]      Number of plies for each ply angle or ply group</t>
  </si>
  <si>
    <t>[Length]     Length of pressure vessel in m or in.  This length affects only the angle of twist under torque.</t>
  </si>
  <si>
    <t>inertia,I                                                                                                    Moment of inertia of the circular cross sections, in m^4 or in^4.</t>
  </si>
  <si>
    <t xml:space="preserve">  Area               thickness times periphery, m?or in </t>
  </si>
  <si>
    <t xml:space="preserve">   a/b    aspect ratio of elliptic cross section</t>
  </si>
  <si>
    <t xml:space="preserve">     h/a     thickness to depth ratio</t>
  </si>
  <si>
    <t>[Depth, a]    Depth of the elliptic tube in m or in.  The wall of the tubing is small so the membrane stress is based on this dimension, rather than the midpoint of the wall.</t>
  </si>
  <si>
    <t>&lt;sig&gt;FPF        In-plane stress at first-ply-failure, in MPa or ksi</t>
  </si>
  <si>
    <t>&lt;eps&gt;,E-3   In-plane membrance strain resulting from the membrane stress, using Equation 7.61,in E-3</t>
  </si>
  <si>
    <t xml:space="preserve"> {Eo}FPF    Effective in-plane engineering constants as defined in the first line of Equation 7.12, in GPa or msi</t>
  </si>
  <si>
    <t>k1=M/EI</t>
  </si>
  <si>
    <t>sig o/max</t>
  </si>
  <si>
    <t>[Width, b]    Width of the elliptic tube in m or in.  The wall of the tubing is small so the membrane stress is based on this dimension, rather than the midpoint of the wall.</t>
  </si>
  <si>
    <t>Disp, E-3                  Displacement at the end resulting from applied loads using Figure 8.3, in mm or mil.</t>
  </si>
  <si>
    <t>M1</t>
  </si>
  <si>
    <t>Angle of twist,deg   Resulting from shear coupling of an unbalanced tube as in Equation 7.63, or from applied torque as in Equation 7.64.</t>
  </si>
  <si>
    <t>M2=N2=0</t>
  </si>
  <si>
    <t>Footed A,    m^2 or in^2</t>
  </si>
  <si>
    <t>N6</t>
  </si>
  <si>
    <t xml:space="preserve">  [Load]     Concentrated and distributed loads</t>
  </si>
  <si>
    <t xml:space="preserve">[Load]FPF                 </t>
  </si>
  <si>
    <t xml:space="preserve">  [Load]     Torque and axial </t>
  </si>
  <si>
    <t>N1</t>
  </si>
  <si>
    <t>[Torque]        Applied torque in MNm or kip-in.</t>
  </si>
  <si>
    <t>[Axial]        Applied axial load in MNm or kip-in.</t>
  </si>
  <si>
    <t>p,q,r&lt;sig&gt;</t>
  </si>
  <si>
    <t>Ply data linked to Ply Data File:</t>
  </si>
  <si>
    <t>1-4nu+nu^2</t>
  </si>
  <si>
    <t>|sig| quad</t>
  </si>
  <si>
    <t>1+nu^2</t>
  </si>
  <si>
    <t>Netting analysis: ?4</t>
  </si>
  <si>
    <t>[0]</t>
  </si>
  <si>
    <t>[90]</t>
  </si>
  <si>
    <t>[45]</t>
  </si>
  <si>
    <t>[-45]</t>
  </si>
  <si>
    <t># plies</t>
  </si>
  <si>
    <t>Netting analysis: off-axis cross-ply</t>
  </si>
  <si>
    <t>N I/[0]</t>
  </si>
  <si>
    <t>N II/[90]</t>
  </si>
  <si>
    <t>theta/o</t>
  </si>
  <si>
    <t xml:space="preserve">  READ ME     THIS MIC-MAC CALCULATES THE STIFFNESS, INDUCED STRAINS AND STRENGTH OF A SYMMETRIC DUAL-MATERIAL HYBRID LAMINATE SUBJECTED TO IN-PLANE LOADS:  EACH MATERIAL CAN HAVE DIFFERENT PLY ANGLES AND MICROMECHANICAL VARIABLES.              </t>
  </si>
  <si>
    <t>Ply mat+    Ply material for the + laminate</t>
  </si>
  <si>
    <t>Ply mat-    Ply material for the - laminate</t>
  </si>
  <si>
    <t>[Ply angle]+    Ply angles for the + material, in degree</t>
  </si>
  <si>
    <t>[repeat]+   Repeated sublaminate for the + material</t>
  </si>
  <si>
    <t xml:space="preserve">    h+, #     Total ply number for the + material</t>
  </si>
  <si>
    <t xml:space="preserve">   h, E-3       Total thickness of the hybrid in mm or mil</t>
  </si>
  <si>
    <t>[rotate]+     Rigid body rotation of the + material, in degree</t>
  </si>
  <si>
    <t xml:space="preserve">    [ply#]+     Number of plies for each ply angle or ply group for the + material</t>
  </si>
  <si>
    <t>[Ply angle]-    Ply angles for the - lmaterial in degree.</t>
  </si>
  <si>
    <t>[repeat]-   Repeated sublaminate for the - material</t>
  </si>
  <si>
    <t xml:space="preserve">    h-, #     Total ply number for the - material</t>
  </si>
  <si>
    <t>[rotate]total     Rigid body rotation of the entire hybrid, in degree</t>
  </si>
  <si>
    <t>[rotate]-       Rigid body rotation of the - material, in degree</t>
  </si>
  <si>
    <t>eps</t>
  </si>
  <si>
    <t xml:space="preserve">    [ply#]-      Number of plies for each ply angle or ply group for the - material</t>
  </si>
  <si>
    <t xml:space="preserve">       R+        Strength/stress ratio of the + material for intact or degraded matrix depending on the degradation factor used in Cell I22.</t>
  </si>
  <si>
    <t xml:space="preserve"> min R+    Lowest strength/stress ratio for the + material, which would be the FPF if matrix is intact (degradation factor = 1), and LPF if matrix is degraded (degradation factor &lt;1). </t>
  </si>
  <si>
    <t xml:space="preserve">   min R      Lower strength ratio of the two materials</t>
  </si>
  <si>
    <t xml:space="preserve">       R-        Strength/stress ratio of the - material for intact or degraded matrix depending on the degradation factor used in Cell I24.</t>
  </si>
  <si>
    <t xml:space="preserve"> min R-    Lowest strength/stress ratio for the - material, which would be the FPF if matrix is intact (degradation factor = 1), and LPF if matrix is degraded (degradation factor &lt; 1). </t>
  </si>
  <si>
    <t xml:space="preserve">    {N}  MN/m, kip/in     Applied loads or stress resultants to the hybrid laminate</t>
  </si>
  <si>
    <t xml:space="preserve">  &lt;sig&gt;    Effective in-plane stress in the hybrid laminate, in MGa or ksi</t>
  </si>
  <si>
    <t>&lt;sig&gt;FPF              Effective in-plane stress at FPF or LPF failure in the hybrid laminate, equal to &lt;sigma?[min R], in MPa or ksi</t>
  </si>
  <si>
    <t xml:space="preserve"> &lt;eps&gt;E-3     Induced in-plane strain in the hybrid laminate</t>
  </si>
  <si>
    <t>&lt;eps&gt;FPF                Induced in-plane strain at FPF or LPF failure in the hybrid laminate, equal to &lt;epsilon?[min R], in mm or mil</t>
  </si>
  <si>
    <t xml:space="preserve">   {Eo}     Effective in-plane engineering constants of the hybrid, GPa or msi</t>
  </si>
  <si>
    <t xml:space="preserve">   {E}o     Effective in-plane engineering constants of the hybrid, GPa or msi</t>
  </si>
  <si>
    <t>{alpha}E-6    Thermal expansion coefficients of the hybrid laminate, in 10-6/캜 or F</t>
  </si>
  <si>
    <t>betax o</t>
  </si>
  <si>
    <t>betay o</t>
  </si>
  <si>
    <t>epsx^n</t>
  </si>
  <si>
    <t>epsy^n</t>
  </si>
  <si>
    <t>hi*C</t>
  </si>
  <si>
    <t>h* C/d'</t>
  </si>
  <si>
    <t>&lt;eps 3&gt;E-3</t>
  </si>
  <si>
    <t>{alpha/3} E-6</t>
  </si>
  <si>
    <t>{beta/3}</t>
  </si>
  <si>
    <t>Poisson's ratio of total hybrid laminate</t>
  </si>
  <si>
    <t>Cxx</t>
  </si>
  <si>
    <t>Cxy</t>
  </si>
  <si>
    <t>C11</t>
  </si>
  <si>
    <t>hi* /C33</t>
  </si>
  <si>
    <t>Cyy</t>
  </si>
  <si>
    <t>Cxz</t>
  </si>
  <si>
    <t>V</t>
  </si>
  <si>
    <t>C22</t>
  </si>
  <si>
    <t>hi* C13/C33</t>
  </si>
  <si>
    <t>S11</t>
  </si>
  <si>
    <t>S12</t>
  </si>
  <si>
    <t>C12</t>
  </si>
  <si>
    <t>Czz</t>
  </si>
  <si>
    <t>Cyz</t>
  </si>
  <si>
    <t>hi* C23/C33</t>
  </si>
  <si>
    <t>S22</t>
  </si>
  <si>
    <t>S13</t>
  </si>
  <si>
    <t>C13</t>
  </si>
  <si>
    <t>Cqq</t>
  </si>
  <si>
    <t>C44</t>
  </si>
  <si>
    <t>hi* C63/C33</t>
  </si>
  <si>
    <t>(cont. stress)</t>
  </si>
  <si>
    <t>S33</t>
  </si>
  <si>
    <t>&lt;eps&gt;ult                Induced in-plane strain at FPF or LPF failure in the hybrid laminate, equal to &lt;epsilon°&gt;[min R], in mm or mil</t>
  </si>
  <si>
    <t>N+</t>
  </si>
  <si>
    <t>N-</t>
  </si>
  <si>
    <t>Z/core, m</t>
  </si>
  <si>
    <t>epx</t>
  </si>
  <si>
    <t>Qdrx glass 1:1[SI]</t>
  </si>
  <si>
    <t>Qdrx peek 1:1 [SI]</t>
  </si>
  <si>
    <t>Customer3 [SI]</t>
  </si>
  <si>
    <t>Customer1 [Eng]</t>
  </si>
  <si>
    <t>Customre2 [Eng]</t>
  </si>
  <si>
    <t xml:space="preserve">{Eo}Q-iso     Quasi-isotropic engineering constants of the hybrid, which represent the lower bound stiffness of the hybrid     </t>
  </si>
  <si>
    <t>{alpha}E-6    Thermal expansion coefficients of the hybrid laminate, in 10-6/좧 or F</t>
  </si>
  <si>
    <t>h/T</t>
  </si>
  <si>
    <t>h+/h</t>
  </si>
  <si>
    <t>[A+]</t>
  </si>
  <si>
    <t>[A]/T</t>
  </si>
  <si>
    <t>[A*]iso/T</t>
  </si>
  <si>
    <t>c, moist    Moisture concentration in absolute value; i.e., 0.005 means 0.5%.</t>
  </si>
  <si>
    <t xml:space="preserve">    Em*      Matrix degradation factor required for the last-ply-failure prediction as decribed in Section 12.2, Modeling of Degraded Plies.</t>
  </si>
  <si>
    <t>Ply &amp; consti strength MPa or ksi</t>
  </si>
  <si>
    <t xml:space="preserve"> Baseline+    Reference temperature and moisture content, and micromechanical data, backcalculated from experimentally determined ply data for the + material</t>
  </si>
  <si>
    <t>[Modified]+   User defined modification of temperature, moisture, and micromechanical variables for the + material.  Since backcalculation was used, modified calues should not differ excessively from baseline values.</t>
  </si>
  <si>
    <t xml:space="preserve"> Baseline-    Reference temperature and moisture content, and micromechanical data, backcalculated from experimentally determined ply data for the - material</t>
  </si>
  <si>
    <t>[Modified]-   User defined modification of temperature, moisture, and micromechanical variables for the - material.  Since backcalculation was used, modified calues should not differ excessively from baseline values.</t>
  </si>
  <si>
    <t>[a+]</t>
  </si>
  <si>
    <t>[a]T</t>
  </si>
  <si>
    <t>[a*]iso/T</t>
  </si>
  <si>
    <t>[a*]T</t>
  </si>
  <si>
    <t>{E}iso</t>
  </si>
  <si>
    <t>{E}T o</t>
  </si>
  <si>
    <t>[A*]/T</t>
  </si>
  <si>
    <t>Hybrid thermal &amp; moisture expansion coefficients</t>
  </si>
  <si>
    <t>sig^n/T</t>
  </si>
  <si>
    <t>eps^n/T</t>
  </si>
  <si>
    <t>sig^n/c</t>
  </si>
  <si>
    <t>alpha o/T</t>
  </si>
  <si>
    <t>beta o/T</t>
  </si>
  <si>
    <t>IF( )</t>
  </si>
  <si>
    <t>h-</t>
  </si>
  <si>
    <t>[a*],</t>
  </si>
  <si>
    <t xml:space="preserve">   READ ME     THIS MIC-MAC CALCULATES THE STIFFNESS, INDUCED STRAINS AND STRENGTH OF SYMMETRIC LAMINATES SUBJECTED TO IN-PLANE LOADS IN A DUPLEX MODE:  EACH LAMINATE CAN HAVE DIFFERENT MATERIAL, LOADS  AND MICROMECHANICAL VARIABLES.              </t>
  </si>
  <si>
    <t>[Ply angle]+    Ply angles for the + laminate, in degree</t>
  </si>
  <si>
    <t>[repeat]+   Repeated sublaminate for the + laminate</t>
  </si>
  <si>
    <t xml:space="preserve">    h+, #     Total ply number for the + laminate</t>
  </si>
  <si>
    <t xml:space="preserve"> READ ME     THIS MIC-MAC CALCULATES THE STIFFNESS, INDUCED STRAINS AND STRENGTH OF SYMMETRIC LAMINATES SUBJECTED TO IN-PLANE LOADS.  Password is pass.               </t>
  </si>
  <si>
    <t>Theta/1</t>
  </si>
  <si>
    <t>Theta/2</t>
  </si>
  <si>
    <t>Theta/3</t>
  </si>
  <si>
    <t>Theta/4</t>
  </si>
  <si>
    <t>[ply angle]    Ply angle in degree.  The first ply group is the outermost; i.e., the ply angles run from outer surface toward the mid-plane.</t>
  </si>
  <si>
    <t xml:space="preserve"> [safety]                 Factor of safety</t>
  </si>
  <si>
    <t xml:space="preserve"> {N}lim*     Loads and stress resultants at limit* based on the ultimate strength</t>
  </si>
  <si>
    <t>{Eo}lim    Effective in-plane engineering constants as in Equation 7.12, in GPa or msi</t>
  </si>
  <si>
    <t xml:space="preserve">E^ul/E^lm    Ratios of the effective engineering constants at ultimate over limit.   These ratios indicate laminate stiffness degradation due to matrix/interface cracking. </t>
  </si>
  <si>
    <t>&lt;alph&gt;E-6   Effective in-plane thermal expansion coefficients defined in Equation 15.11, in E-6 per C or F.</t>
  </si>
  <si>
    <t xml:space="preserve"> &lt;beta&gt;                       Effective in-plane moisture expansion coefficients defined in Equation 15.12, in absolute quantities.</t>
  </si>
  <si>
    <t>eps  o,E-3</t>
  </si>
  <si>
    <t xml:space="preserve">       1          Component along the 1-axis</t>
  </si>
  <si>
    <t xml:space="preserve">       2          Component along the 2-axis</t>
  </si>
  <si>
    <t xml:space="preserve">       6         Shear component in the 1-2 axes</t>
  </si>
  <si>
    <t xml:space="preserve">  &lt;sig&gt;      In-plane stress, equal to {N}/h, in MPa or ksi</t>
  </si>
  <si>
    <t>&lt;sig&gt;lim*        In-plane stress at ultimate-based limit based on a chosen safety factor, in MPa or ksi</t>
  </si>
  <si>
    <t>&lt;eps&gt;E-3     In-plane strain resulting from the in-plane stress using Equation 7.6, in E-3</t>
  </si>
  <si>
    <t>&lt;eps&gt;lim*        In-plane strain at ultimate-based limit based on a chosen safety factor, E-3</t>
  </si>
  <si>
    <t xml:space="preserve">    Xfx      Fiber longitudinal strength in MPa or ksi. </t>
  </si>
  <si>
    <t xml:space="preserve">   Em*        Matrix degradation factor required for the last-ply-failure prediction as decribed in Section 12.2, Modeling of Degraded Plies.</t>
  </si>
  <si>
    <t xml:space="preserve">  Baseline    Reference temperature and moisture content, and micromechanical data, backcalculated from experimentally determined ply data.</t>
  </si>
  <si>
    <t>Mod/Base     Ratio of the modified and baseline values.  Be sure that these values are unity with each Mic-Mac; e.g., when units are changed make sure that the starting temperature is 22?C or 71.6좫.</t>
  </si>
  <si>
    <t xml:space="preserve">  R/intact    Strength/stress ratio for each ply group using an intact matrix (no matrix/interface cracks).  This is based on traditional laminated plate theory.</t>
  </si>
  <si>
    <t xml:space="preserve"> R/lim**       Strength ratio based on FPF = ult/safety</t>
  </si>
  <si>
    <t>R/degraded   Strength/stress ratio of each ply group using a degraded matrix, shwon in Figures 12.2 to 12.5.</t>
  </si>
  <si>
    <t>R=X/|sig|</t>
  </si>
  <si>
    <t>rel stiff</t>
  </si>
  <si>
    <t xml:space="preserve">spec stiff </t>
  </si>
  <si>
    <t>spec R</t>
  </si>
  <si>
    <t>nu/iso</t>
  </si>
  <si>
    <t>fn(nu)</t>
  </si>
  <si>
    <t xml:space="preserve"> </t>
  </si>
  <si>
    <t>MIC-MAC/BEAM: {[theta/#], . . .}symm</t>
  </si>
  <si>
    <t>TOP PLY DATA MODULE</t>
  </si>
  <si>
    <t>TOP LAMINATE MODULUS MODULE - elastic and hygrothermal constants</t>
  </si>
  <si>
    <t>STRENGTH ANALYSIS MODULE II cantilever-</t>
  </si>
  <si>
    <t>STRENGTH ANALYSIS MODULE II simply supported-</t>
  </si>
  <si>
    <t>STRENGTH ANALYSIS MODULE III fixed-fixed</t>
  </si>
  <si>
    <t xml:space="preserve"> READ ME     THIS MIC-MAC CALCULATES THE DISPLACEMENTS AND STRENGTH OF SYMMETRICALLY LAMINATED BEAMS SUBJECTED TO CONCENTRATED AND UNIFORMILY DISTRIBUTED BENDING LOADS.               </t>
  </si>
  <si>
    <t xml:space="preserve"> h, E-3     Total thickness of beam in mm or mil</t>
  </si>
  <si>
    <t>[Angle]+</t>
  </si>
  <si>
    <t xml:space="preserve">    [ply#]        Number of plies for each ply angle or ply group</t>
  </si>
  <si>
    <t xml:space="preserve">         size, m or in</t>
  </si>
  <si>
    <t>Inertia, I                                                                                               Moment of inertia of beam cross section, in m^4 or in^4.</t>
  </si>
  <si>
    <t>% core, c*        Fraction of core, 2zc/h as in Equation 8.33</t>
  </si>
  <si>
    <t>[Length L]     Length of beam in m or in</t>
  </si>
  <si>
    <t>Dfl, E-3    Deflection using intact or degrade modulus at the free end of a cantilever beam or center of ss or fixed beam having the same cross section, using formulas in Figures 8.3 and 8.5, in mm or mil.</t>
  </si>
  <si>
    <t>Dfl/FPF    Deflection at FPF strength at the free end of a cantilever beam or center of ss or fixed beam having the same cross section, using formulas in Figure 8.3, in mm or mil.</t>
  </si>
  <si>
    <t xml:space="preserve">      R        Strength/stress ratio at FPF of three beams</t>
  </si>
  <si>
    <t>{Ni,Mi} nonmech</t>
  </si>
  <si>
    <t>{esp o, k o} nonmech</t>
  </si>
  <si>
    <t>[beta trans][delta]</t>
  </si>
  <si>
    <t>h, m</t>
  </si>
  <si>
    <t>h^2/2, m2</t>
  </si>
  <si>
    <t>h^3/12, m3</t>
  </si>
  <si>
    <t>[A]*[a]</t>
  </si>
  <si>
    <t>nu/x</t>
  </si>
  <si>
    <t>del T</t>
  </si>
  <si>
    <t>Es</t>
  </si>
  <si>
    <t>ho,E-6</t>
  </si>
  <si>
    <t>Thermal expansion,E-6/degree</t>
  </si>
  <si>
    <t>Micromechanics data</t>
  </si>
  <si>
    <t>alph/x</t>
  </si>
  <si>
    <t>nu/xy</t>
  </si>
  <si>
    <t>Es,GPa</t>
  </si>
  <si>
    <t>Em,GPa</t>
  </si>
  <si>
    <t>X,MPa</t>
  </si>
  <si>
    <t>X',MPa</t>
  </si>
  <si>
    <t>Y,MPa</t>
  </si>
  <si>
    <t>Y',MPa</t>
  </si>
  <si>
    <t>S,MPa</t>
  </si>
  <si>
    <t>rho/m</t>
  </si>
  <si>
    <t>c,moist</t>
  </si>
  <si>
    <t>ho,E-6m</t>
  </si>
  <si>
    <t>Vf</t>
  </si>
  <si>
    <t>rho/ply</t>
  </si>
  <si>
    <t>eta/y</t>
  </si>
  <si>
    <t>^a,Em</t>
  </si>
  <si>
    <t>^b,eta</t>
  </si>
  <si>
    <t>^c,Xm</t>
  </si>
  <si>
    <t>^f,Ef</t>
  </si>
  <si>
    <t>^h,Xf</t>
  </si>
  <si>
    <t>g,T shift</t>
  </si>
  <si>
    <t>Em*</t>
  </si>
  <si>
    <t>Ef*</t>
  </si>
  <si>
    <t>Ex*</t>
  </si>
  <si>
    <t>Ey*</t>
  </si>
  <si>
    <t>^n, X'*</t>
  </si>
  <si>
    <t>DEGRADED PLY DATA  MODULE</t>
  </si>
  <si>
    <t>[ply angle]    Ply angle in degree.  For in-plane behavior of symmetric laminates teh position of the ply groups is unimportant.</t>
  </si>
  <si>
    <t xml:space="preserve"> R/lim**     Strength ratio for damage tolerance = (R/DM)/safety</t>
  </si>
  <si>
    <t>Baseline    Reference temperature and moisture content, and micromechanical data, backcalculated from experimentally determined ply data.</t>
  </si>
  <si>
    <t>eta/s</t>
  </si>
  <si>
    <t>X</t>
  </si>
  <si>
    <t>[Modified]   User defined modification of temperature, moisture, and micromechanical variables.  Since backcalculation was used, modified calues should not differ excessively from baseline values.</t>
  </si>
  <si>
    <t>Ex</t>
  </si>
  <si>
    <t>T glass</t>
  </si>
  <si>
    <t>{N}, MN/m or k/in      Applied in-plane loads or stress resultants</t>
  </si>
  <si>
    <t>v*/s</t>
  </si>
  <si>
    <t>X'</t>
  </si>
  <si>
    <t>Mod/Base     Ratio of the modified and baseline values.  Be sure that these values are unity with each Mic-Mac; e.g., when units are changed make sure that the starting temperature is 22° C or 71.6°F.</t>
  </si>
  <si>
    <t>Gfx</t>
  </si>
  <si>
    <t>Y</t>
  </si>
  <si>
    <t>English</t>
  </si>
  <si>
    <t>Ex,msi</t>
  </si>
  <si>
    <t>Ey,msi</t>
  </si>
  <si>
    <t>Es,msi</t>
  </si>
  <si>
    <t>Em,msi</t>
  </si>
  <si>
    <t>X,ksi</t>
  </si>
  <si>
    <t>X',ksi</t>
  </si>
  <si>
    <t>Y,ksi</t>
  </si>
  <si>
    <t>Y',ksi</t>
  </si>
  <si>
    <t>S,ksi</t>
  </si>
  <si>
    <t>ply 7</t>
  </si>
  <si>
    <t>7th</t>
  </si>
  <si>
    <t>7th ult</t>
  </si>
  <si>
    <t>Material_help56</t>
  </si>
  <si>
    <t>ply 8</t>
  </si>
  <si>
    <t>8th</t>
  </si>
  <si>
    <t>8th ult</t>
  </si>
  <si>
    <t>9th</t>
  </si>
  <si>
    <t>9th ult</t>
  </si>
  <si>
    <t>Boundary Conditions: A combination of stress and strain boundary conditions</t>
  </si>
  <si>
    <t xml:space="preserve">    N        [MPa-m, ksi-in]      stress resultants</t>
  </si>
  <si>
    <t>10th</t>
  </si>
  <si>
    <t>10th ult</t>
  </si>
  <si>
    <t>Vectors   Total number of loading vectors for a complete circle</t>
  </si>
  <si>
    <t>11th</t>
  </si>
  <si>
    <t>11th ult</t>
  </si>
  <si>
    <t>Material_help78</t>
  </si>
  <si>
    <t>Current     Progression numbrt of loading vectors</t>
  </si>
  <si>
    <t>12th</t>
  </si>
  <si>
    <t>12th ult</t>
  </si>
  <si>
    <t>13th</t>
  </si>
  <si>
    <t>13th ult</t>
  </si>
  <si>
    <t>14th</t>
  </si>
  <si>
    <t>14th ult</t>
  </si>
  <si>
    <t>15th</t>
  </si>
  <si>
    <t>15th ult</t>
  </si>
  <si>
    <t>16th</t>
  </si>
  <si>
    <t>16th ult</t>
  </si>
  <si>
    <t>MAT12</t>
  </si>
  <si>
    <t>Ply #1</t>
  </si>
  <si>
    <t>Ply #2</t>
  </si>
  <si>
    <t>Material Selection(1-2)</t>
  </si>
  <si>
    <t>MAT34</t>
  </si>
  <si>
    <t>Ply #3</t>
  </si>
  <si>
    <t>axis</t>
  </si>
  <si>
    <t>Faliure Envelope : Loading</t>
  </si>
  <si>
    <t>X axis</t>
  </si>
  <si>
    <t>sigma-1</t>
  </si>
  <si>
    <t>sigma-2</t>
  </si>
  <si>
    <t>sigma-6</t>
  </si>
  <si>
    <t>Y axis</t>
  </si>
  <si>
    <t>Ply #4</t>
  </si>
  <si>
    <t>Material Selection(3-4)</t>
  </si>
  <si>
    <t>MAT56</t>
  </si>
  <si>
    <t>Ply #5</t>
  </si>
  <si>
    <t>Ply #6</t>
  </si>
  <si>
    <t>Material Selection(5-6)</t>
  </si>
  <si>
    <t>MAT78</t>
  </si>
  <si>
    <t>Ply #7</t>
  </si>
  <si>
    <t>Ply #8</t>
  </si>
  <si>
    <t>Material Selection(7-8)</t>
  </si>
  <si>
    <t>MIC-MAC/HYBRID/super 16: symmetric</t>
  </si>
  <si>
    <t>[angle]    Ply angles for the  material, in degree</t>
  </si>
  <si>
    <t xml:space="preserve"> [ply#]   Number of plies for each ply angle or ply group for the  material</t>
  </si>
  <si>
    <t>h, #     Total ply number for the  material</t>
  </si>
  <si>
    <t>Boundary conditions</t>
  </si>
  <si>
    <t>N</t>
  </si>
  <si>
    <t>&lt;sig&gt;R      &lt;sigma°&gt;[min R], in MPa or ksi</t>
  </si>
  <si>
    <t>&lt;eps&gt;R   &lt;epsilon°&gt;[min R], in mm or mil</t>
  </si>
  <si>
    <t>{alpha}E-6    Thermal expansion coefficients of the hybrid laminate, in 10-6/°C or F</t>
  </si>
  <si>
    <t>total 0n-axis epsilon</t>
  </si>
  <si>
    <t>output</t>
  </si>
  <si>
    <t>eps1</t>
  </si>
  <si>
    <t>eps2</t>
  </si>
  <si>
    <t>eps6</t>
  </si>
  <si>
    <t>Rmin</t>
  </si>
  <si>
    <t>[a]1</t>
  </si>
  <si>
    <t>epso E-3</t>
  </si>
  <si>
    <t xml:space="preserve">   R2        Strength/stress ratio of the 2 material for intact or degraded matrix depending on the degradation factor used in Cell I22.</t>
  </si>
  <si>
    <t xml:space="preserve">   R3        Strength/stress ratio of the 3 material for intact or degraded matrix depending on the degradation factor used in Cell I22.</t>
  </si>
  <si>
    <t xml:space="preserve">   R4        Strength/stress ratio of the 4 material for intact or degraded matrix depending on the degradation factor used in Cell I22.</t>
  </si>
  <si>
    <t xml:space="preserve">   R5        Strength/stress ratio of the 5 material for intact or degraded matrix depending on the degradation factor used in Cell I22.</t>
  </si>
  <si>
    <t xml:space="preserve">   R6        Strength/stress ratio of the 6 material for intact or degraded matrix depending on the degradation factor used in Cell I22.</t>
  </si>
  <si>
    <t xml:space="preserve">   R7        Strength/stress ratio of the 7 material for intact or degraded matrix depending on the degradation factor used in Cell I22.</t>
  </si>
  <si>
    <t xml:space="preserve">   R8        Strength/stress ratio of the 8 material for intact or degraded matrix depending on the degradation factor used in Cell I22.</t>
  </si>
  <si>
    <t>Degradation Factors</t>
  </si>
  <si>
    <t>DFm</t>
  </si>
  <si>
    <t>DFf</t>
  </si>
  <si>
    <t>~A</t>
  </si>
  <si>
    <t>Mat.1</t>
  </si>
  <si>
    <t>Mat.2</t>
  </si>
  <si>
    <t>Mat.3</t>
  </si>
  <si>
    <t>Mat.4</t>
  </si>
  <si>
    <t>|~A|</t>
  </si>
  <si>
    <t>Mat.5</t>
  </si>
  <si>
    <t>~a</t>
  </si>
  <si>
    <t>f</t>
  </si>
  <si>
    <t>x</t>
  </si>
  <si>
    <t>Mat.6</t>
  </si>
  <si>
    <t>Mat.7</t>
  </si>
  <si>
    <t>V*/iA/T</t>
  </si>
  <si>
    <t>Mat.8</t>
  </si>
  <si>
    <t>alpha/T</t>
  </si>
  <si>
    <t>beta/T</t>
  </si>
  <si>
    <t>{eps}o/T&amp;c,E-3</t>
  </si>
  <si>
    <t xml:space="preserve">min R13    Lowest strength/stress ratio for the 1 material, which would be the FPF if matrix is intact (degradation factor = 1), and LPF if matrix is degraded (degradation factor &lt;1). </t>
  </si>
  <si>
    <t>Mat 3 PLY DATA MODULE</t>
  </si>
  <si>
    <t xml:space="preserve">   R14        Strength/stress ratio of the 1 material for intact or degraded matrix depending on the degradation factor used in Cell I22.</t>
  </si>
  <si>
    <t xml:space="preserve">min R14    Lowest strength/stress ratio for the 1 material, which would be the FPF if matrix is intact (degradation factor = 1), and LPF if matrix is degraded (degradation factor &lt;1). </t>
  </si>
  <si>
    <t xml:space="preserve">   R15        Strength/stress ratio of the 1 material for intact or degraded matrix depending on the degradation factor used in Cell I22.</t>
  </si>
  <si>
    <t xml:space="preserve">min R15    Lowest strength/stress ratio for the 1 material, which would be the FPF if matrix is intact (degradation factor = 1), and LPF if matrix is degraded (degradation factor &lt;1). </t>
  </si>
  <si>
    <t xml:space="preserve">   R16        Strength/stress ratio of the 1 material for intact or degraded matrix depending on the degradation factor used in Cell I22.</t>
  </si>
  <si>
    <t xml:space="preserve">min R16    Lowest strength/stress ratio for the 1 material, which would be the FPF if matrix is intact (degradation factor = 1), and LPF if matrix is degraded (degradation factor &lt;1). </t>
  </si>
  <si>
    <t>min R</t>
  </si>
  <si>
    <t>Mat 1 and 2 ply data linked to Dual Ply Data File:</t>
  </si>
  <si>
    <t>Mat 3 and 4 ply data linked to Dual Ply Data File:</t>
  </si>
  <si>
    <t>h^3/12</t>
  </si>
  <si>
    <t>p k</t>
  </si>
  <si>
    <t>eps y-</t>
  </si>
  <si>
    <t>d(z*^2)</t>
  </si>
  <si>
    <t>q k</t>
  </si>
  <si>
    <t>eps s-</t>
  </si>
  <si>
    <t>d(z*^3)</t>
  </si>
  <si>
    <t>r k</t>
  </si>
  <si>
    <t>[D]</t>
  </si>
  <si>
    <t>[B]o</t>
  </si>
  <si>
    <t>Box3</t>
  </si>
  <si>
    <t>Material Selection</t>
  </si>
  <si>
    <t>Top Ply</t>
  </si>
  <si>
    <t>Upper skin</t>
  </si>
  <si>
    <t>AS/H35</t>
  </si>
  <si>
    <t>AS4/Pk</t>
  </si>
  <si>
    <t>AS/PK</t>
  </si>
  <si>
    <t>B4/55</t>
  </si>
  <si>
    <t>IM6/ep</t>
  </si>
  <si>
    <t>Kev/ep</t>
  </si>
  <si>
    <t>E-gl/ep</t>
  </si>
  <si>
    <t>T300/934</t>
  </si>
  <si>
    <t>T300/52</t>
  </si>
  <si>
    <t>Aluminum</t>
  </si>
  <si>
    <t>Steel</t>
  </si>
  <si>
    <t>Ge</t>
  </si>
  <si>
    <t>Custom 2</t>
  </si>
  <si>
    <t>Custom 3</t>
  </si>
  <si>
    <t>Lower skin</t>
  </si>
  <si>
    <t>Custom 4</t>
  </si>
  <si>
    <t>Custom 5</t>
  </si>
  <si>
    <t>Custom 6</t>
  </si>
  <si>
    <t>Custom 7</t>
  </si>
  <si>
    <t>Custom 8</t>
  </si>
  <si>
    <t>Custom 9</t>
  </si>
  <si>
    <t>Custom 10</t>
  </si>
  <si>
    <t>Custom 11</t>
  </si>
  <si>
    <t>Custom 12</t>
  </si>
  <si>
    <t>Custom 13</t>
  </si>
  <si>
    <t>Custom 14</t>
  </si>
  <si>
    <t>OK</t>
  </si>
  <si>
    <t>Button Ply</t>
  </si>
  <si>
    <t>Cancel</t>
  </si>
  <si>
    <t>English System</t>
  </si>
  <si>
    <t>Rib</t>
  </si>
  <si>
    <t>+/- Teta</t>
  </si>
  <si>
    <t>Value MIN=</t>
  </si>
  <si>
    <t>iterative solver</t>
  </si>
  <si>
    <t>***** HELP FOR  MIC-MAC CHART-quick UTILITY*****</t>
  </si>
  <si>
    <t>Value MAX=</t>
  </si>
  <si>
    <t>c.....start iteration here</t>
  </si>
  <si>
    <t>Input Data for CHART-quick</t>
  </si>
  <si>
    <t xml:space="preserve">  NPOINTS=</t>
  </si>
  <si>
    <t>---WHAT IS IT AND HOW TO MAKE IT WORK?</t>
  </si>
  <si>
    <t>Minimum Value:</t>
  </si>
  <si>
    <t>START.FLG=</t>
  </si>
  <si>
    <t xml:space="preserve">   </t>
  </si>
  <si>
    <t xml:space="preserve">   THE CHART-quick IS A GENERAL PURPOSE PLOTTING MACRO</t>
  </si>
  <si>
    <t>Maximum Value:</t>
  </si>
  <si>
    <t>start value</t>
  </si>
  <si>
    <t>ALLOWING THE INTERACTIVE CREATION OF  LINE CHARTS.  THE USER SPECIFIES</t>
  </si>
  <si>
    <t>delta value</t>
  </si>
  <si>
    <t xml:space="preserve">THE SPREAD SHEET NAME, INDEPENDENT AND DEPENDENT VARIABLES,  AND  </t>
  </si>
  <si>
    <t>No. of Points:</t>
  </si>
  <si>
    <t># of iter.</t>
  </si>
  <si>
    <t xml:space="preserve">LEGEND NAMES FOR THE SELECTED CURVES.  THE MACRO IS PRESENTLY </t>
  </si>
  <si>
    <t>TOLER.</t>
  </si>
  <si>
    <t>IMPLEMENTED TO HANDLE THREE DEPENDENT AND INDEPENDENT VARIABLES.</t>
  </si>
  <si>
    <t>No. of Output:</t>
  </si>
  <si>
    <t>THE PROGRAM FLOW IS DESCRIBED BY WAY OF THE FOLLOWING EXAMPLE.</t>
  </si>
  <si>
    <t>Output #1:</t>
  </si>
  <si>
    <t xml:space="preserve">**** BEFORE RUNNING THE CHART-ALL MACRO THERE ARE FOUR </t>
  </si>
  <si>
    <t>Output #2</t>
  </si>
  <si>
    <t>PARAMETERS WHICH MUST BE SET IN CELLS G1 THRU G4 OF THE CHART</t>
  </si>
  <si>
    <t>Output #3:</t>
  </si>
  <si>
    <t>ALL MACRO SHEET.   MIN/MAX/NUMBER OF POINTS/ AND THE RERUN FLAG.</t>
  </si>
  <si>
    <t xml:space="preserve">  THE RERUN FLAG SHOULD BE SET TO "0" FOR NEW CHARTS.  (THE MACRO</t>
  </si>
  <si>
    <t>WILL AUTO SET THE FLAG TO "1" AFTER FIRST EXECUTION.)</t>
  </si>
  <si>
    <t>1) SELECT MACRO IN THE EXCEL MENU BAR, THEN SELECT RUN....</t>
  </si>
  <si>
    <t xml:space="preserve">     ....a dialogue box of available macros will appear</t>
  </si>
  <si>
    <t xml:space="preserve">     .....make sure the rerun flag is set to the correct value</t>
  </si>
  <si>
    <t xml:space="preserve">2) SELECT CHART-quick </t>
  </si>
  <si>
    <t xml:space="preserve">   .....the following  prompts should appear </t>
  </si>
  <si>
    <t>3) ENTER NAME OF MIC-MAC SPREADSHEET:   in-plane</t>
  </si>
  <si>
    <t>4) SELECT INDEPENDENT VARIABLE:  (select cell with mouse)</t>
  </si>
  <si>
    <t>5) ENTER THE NUMBER OF DEPENDENT VARIABLES (CURVES) : 1, 2, or 3</t>
  </si>
  <si>
    <t>6) SELECT VARIABLE FOR THE FIRST CURVE:  (select first cell with mouse)</t>
  </si>
  <si>
    <t xml:space="preserve">     SELECT VARIABLE FOR THE SECOND CURVE: (select second cell with mouse)</t>
  </si>
  <si>
    <t xml:space="preserve">     SELECT VARIABLE FOR THE THIRD CURVE: (select third cell with mouse)</t>
  </si>
  <si>
    <t>.....at this point the macro has locally stored all input and will continue to</t>
  </si>
  <si>
    <t xml:space="preserve">process the selected data for graphic output . </t>
  </si>
  <si>
    <t xml:space="preserve">     </t>
  </si>
  <si>
    <t xml:space="preserve">7) AFTER THE CHART HAS BEEN CREATED THE USER HAS THE OPTION TO </t>
  </si>
  <si>
    <t xml:space="preserve">CHANGE OTHER  CELLS AND RERUN THE MACRO WITH THE SAME SET OF </t>
  </si>
  <si>
    <t>INDEPENDENT AND DEPENDENT VARIABLES PREVIOUSLY SELECTED.</t>
  </si>
  <si>
    <t xml:space="preserve">FOR EXAMPLE, IF WE WISH TO CHANGE THE VOLUME FRACTION IN THE </t>
  </si>
  <si>
    <t xml:space="preserve">ABOVE EXAMPLE JUST  SELECT THE IN-PLANE SPREADSHEET AND MAKE </t>
  </si>
  <si>
    <t>THE CELL CHANGE.  NOW  SELECT RUN UNDER THE MACRO MENU BAR AND</t>
  </si>
  <si>
    <t>THE NEW CHART WILL  BE CREATED.  NOTE: THE PROMPTS WILL NOT BE</t>
  </si>
  <si>
    <t xml:space="preserve">ISSUED ON A  RERUN CONDITION. </t>
  </si>
  <si>
    <t>5) IF THE USER WISHES TO GENERATE  A NEW CHART , THE START FLAG</t>
  </si>
  <si>
    <t>IN CELL G4 OF THE CHART-quick MACRO SHEET MUST BE MODIFIED TO "0".</t>
  </si>
  <si>
    <t>THIS CLEARS THE RERUN CONDITION OF 1 AND WILL ALLOW FOR ALL INPUT</t>
  </si>
  <si>
    <t>TO BE RE-ENTERED.</t>
  </si>
  <si>
    <t>*end of help   8/14/87</t>
  </si>
  <si>
    <t>TEMP2</t>
  </si>
  <si>
    <t>INTACT LAMINATE MODULUS MODULE - elastic and hygrothermal constants</t>
  </si>
  <si>
    <t xml:space="preserve"> STRENGTH ANALYSIS MODULE I - </t>
  </si>
  <si>
    <t>STRENGTH ANALYSIS MODULE II -</t>
  </si>
  <si>
    <t>theta</t>
  </si>
  <si>
    <t>[r]</t>
  </si>
  <si>
    <t>[zc]</t>
  </si>
  <si>
    <t xml:space="preserve">   h, #    Total thickness including core in number of plies</t>
  </si>
  <si>
    <t>[Angle]</t>
  </si>
  <si>
    <t xml:space="preserve">#/group </t>
  </si>
  <si>
    <t>[theta]</t>
  </si>
  <si>
    <t>[REPT]+</t>
  </si>
  <si>
    <t>2Xtheta</t>
  </si>
  <si>
    <t>h,m</t>
  </si>
  <si>
    <t>[#/grp]</t>
  </si>
  <si>
    <t xml:space="preserve"> {N}FPF     Loads and stress resultants at first-ply-failure</t>
  </si>
  <si>
    <t xml:space="preserve"> {N}lim     Loads and stress resultants at limit</t>
  </si>
  <si>
    <t xml:space="preserve">  {N}ult     Loads and stress resultants at ultimate strength</t>
  </si>
  <si>
    <t>{Eo}FPF    Effective in-plane engineering constants as in Equation 4.5, in GPa or msi</t>
  </si>
  <si>
    <t>&lt;sig&gt;+FPF    Effective in-plane stress at failure in the + laminate; equal to [&lt;sig&gt;+][min R+]</t>
  </si>
  <si>
    <t>&lt;eps&gt;+,E-3    Resulting in-plane strain in the + laminate</t>
  </si>
  <si>
    <t>&lt;eps&gt;+FPF    Resulting in-plane strain at failure in the + laminate, equal to [&lt;eps&gt;+][min R+]</t>
  </si>
  <si>
    <t xml:space="preserve"> &lt;epso&gt;,E-3    Resulting in-plane strain of the entire thin wall construction</t>
  </si>
  <si>
    <t>&lt;epso&gt;FPF    Effective in-plane strain of the entire construction at failure</t>
  </si>
  <si>
    <t xml:space="preserve">    {E}+      Effective engineering constants of the + laminate, in GPa or msi</t>
  </si>
  <si>
    <t xml:space="preserve">        {M} MN or kip</t>
  </si>
  <si>
    <t xml:space="preserve"> &lt;sig&gt;-     Effective in-plane stress in the - laminate, in GPa or ksi</t>
  </si>
  <si>
    <t>&lt;sig&gt;-FPF    Effective in-plane stress at failure in the - laminate; equal to [&lt;sig&gt;-][min R-]</t>
  </si>
  <si>
    <t>&lt;eps&gt;-,E-3    Resulting in-plane strain in the - laminate</t>
  </si>
  <si>
    <t>&lt;eps&gt;-FPF    Resulting in-plane strain at failure in the - laminate, equal to [&lt;eps&gt;-][min R-]</t>
  </si>
  <si>
    <t xml:space="preserve"> &lt;epsf&gt;,E-3    Resulting flexural strain of the entire thin wall construction</t>
  </si>
  <si>
    <t>&lt;epsf&gt;FPF    Effective flexural strain of the entire construction at failure</t>
  </si>
  <si>
    <t xml:space="preserve">    {E}-      Effective engineering constants of the - laminate, in GPa or msi</t>
  </si>
  <si>
    <t>CHART-quick : input/output Veriables</t>
  </si>
  <si>
    <t xml:space="preserve">   T opr    Operating temperature in degree C or F.  Do not exceed the glass transition temperature listed in Cell P5 or P44.  </t>
  </si>
  <si>
    <t xml:space="preserve"> c, moist    Moisture concentration in absolute value; i.e., 0.005 means 0.5%.</t>
  </si>
  <si>
    <t xml:space="preserve">   vol/f    Fiber volume fraction in absolute value; i.e., 0.7 means 70%.</t>
  </si>
  <si>
    <t xml:space="preserve">    Efx      Fiber longitudinal Young's modulus in GPa or msi.</t>
  </si>
  <si>
    <t xml:space="preserve">    Xm      Matrix strength in MPa or ksi.</t>
  </si>
  <si>
    <t xml:space="preserve">     Xfx       Fiber longitudinal strength in MPa or ksi. </t>
  </si>
  <si>
    <t xml:space="preserve"> Baseline+    Reference temperature and moisture content, and micromechanical data, backcalculated from experimentally determined ply data for the + or top laminate</t>
  </si>
  <si>
    <t>[Modified]+   User defined modification of temperature, moisture, and micromechanical variables for the + laminate.  Since backcalculation was used, modified calues should not differ excessively from baseline values.</t>
  </si>
  <si>
    <t>&lt;sig&gt;</t>
  </si>
  <si>
    <t>&lt;eps&gt;</t>
  </si>
  <si>
    <t xml:space="preserve"> Baseline-    Reference temperature and moisture content, and micromechanical data, backcalculated from experimentally determined ply data for the - or bottom laminate</t>
  </si>
  <si>
    <t>[Modified]-   User defined modification of temperature, moisture, and micromechanical variables for the - laminate.  Since backcalculation was used, modified calues should not differ excessively from baseline values.</t>
  </si>
  <si>
    <t>Top and bottom ply data:</t>
  </si>
  <si>
    <t>LPF/mech</t>
  </si>
  <si>
    <t>[a*],1/GPa</t>
  </si>
  <si>
    <t>Ei o,GPa</t>
  </si>
  <si>
    <t>alpha/1</t>
  </si>
  <si>
    <t>alpha/2</t>
  </si>
  <si>
    <t>alpha/6</t>
  </si>
  <si>
    <t>beta/1</t>
  </si>
  <si>
    <t>beta/2</t>
  </si>
  <si>
    <t>beta/6</t>
  </si>
  <si>
    <t>LPF/m+r</t>
  </si>
  <si>
    <t>sig1^n/T</t>
  </si>
  <si>
    <t>sig2^n/T</t>
  </si>
  <si>
    <t>sig6^n/T</t>
  </si>
  <si>
    <t>sig1^n/c</t>
  </si>
  <si>
    <t>sig2^n/c</t>
  </si>
  <si>
    <t>sig6^n/C</t>
  </si>
  <si>
    <t xml:space="preserve">MIC-MAC/FLEX: {[theta/#, . . .]r/zc}symm </t>
  </si>
  <si>
    <t>Temperature  and moisture</t>
  </si>
  <si>
    <t>LAMINATE MODULUS MODULE - elastic and hygrothermal constants</t>
  </si>
  <si>
    <t xml:space="preserve"> STRENGTH ANALYSIS (INTACT) MODULE I - </t>
  </si>
  <si>
    <t>STRENGTH ANALYSIS (INTACT) MODULE II -</t>
  </si>
  <si>
    <t xml:space="preserve"> READ ME     THIS MIC-MAC CALCULATES THE STIFFNESS, INDUCED STRAINS AND STRENGTH OF SYMMETRIC LAMINATES SUBJECTED TO IN-PLANE AND BENDING LOADS.               </t>
  </si>
  <si>
    <t>[T] opr</t>
  </si>
  <si>
    <t>Laminate code: {[theta/#, . . .]r/zc}s</t>
  </si>
  <si>
    <t>[Ply angle]    Ply angle in degree.  The first ply group is the outermost; i.e., the ply angles run from outer surface toward the mid-plane.</t>
  </si>
  <si>
    <t>[z/core]  half number of plies of sandwich core</t>
  </si>
  <si>
    <t>[c],wet</t>
  </si>
  <si>
    <t>Angle</t>
  </si>
  <si>
    <t xml:space="preserve">   [ply#]        Number of plies for each ply angle or ply group</t>
  </si>
  <si>
    <t>h</t>
  </si>
  <si>
    <t>core, c*  percentage core</t>
  </si>
  <si>
    <t>top z</t>
  </si>
  <si>
    <t>h^2/6</t>
  </si>
  <si>
    <t>{N}MN/m or kip/in    Applied in-plane stress resultant</t>
  </si>
  <si>
    <t xml:space="preserve">   &lt;sig^o&gt;    Effective in-plane stress, N/h</t>
  </si>
  <si>
    <t>&lt;sig^o&gt;FPF    Effective in-plane stress at FPF, &lt;sigma°&gt;/R</t>
  </si>
  <si>
    <t xml:space="preserve">   &lt;eps^o&gt;    Effective in-plane strain at applied load, &lt;epsilon°&gt;</t>
  </si>
  <si>
    <t>&lt;eps^o&gt;FPF   Effective in-plane strain at FPF, &lt;epsilon°&gt;/R</t>
  </si>
  <si>
    <t xml:space="preserve">   {E^o}     Effective in-plane engineering constants</t>
  </si>
  <si>
    <t>[Rotate]     Rigid body rotation of the laminate, in degree</t>
  </si>
  <si>
    <t>unit,#ply</t>
  </si>
  <si>
    <t>h/2,#ply</t>
  </si>
  <si>
    <t>[A]o</t>
  </si>
  <si>
    <t>On-axis mech strains at ±z (+ or -)</t>
  </si>
  <si>
    <t>Mi</t>
  </si>
  <si>
    <t>eps  o</t>
  </si>
  <si>
    <t>ki</t>
  </si>
  <si>
    <t>In-pl/Flex</t>
  </si>
  <si>
    <t>u</t>
  </si>
  <si>
    <t>h^2/8</t>
  </si>
  <si>
    <t>eps x-</t>
  </si>
  <si>
    <t xml:space="preserve">       {M} MN or kip    Applied moment</t>
  </si>
  <si>
    <t xml:space="preserve">  &lt;sig^f&gt;   Effective flexural stress, 6M/h^2</t>
  </si>
  <si>
    <t>&lt;sig^f&gt;FPF    Effective flexural stress at FPF, &lt;sigma^f&gt;/R</t>
  </si>
  <si>
    <t xml:space="preserve">  &lt;eps^f&gt;    Flexural strain, &lt;curvature&gt;h/2</t>
  </si>
  <si>
    <t>&lt;eps^f&gt;FPF    Flexural strain at FPF, &lt;epsilon/f&gt; /R</t>
  </si>
  <si>
    <t xml:space="preserve">   {E^f}    Effective flexural engineering constants</t>
  </si>
  <si>
    <t>MIC-MAC/HYBRID/symmetric</t>
  </si>
  <si>
    <t>[rept]/total</t>
  </si>
  <si>
    <t>Mat 1 PLY DATA MODULE</t>
  </si>
  <si>
    <t>Mat 1 LAMINATE MODULUS MODULE - elastic and hygrothermal constants</t>
  </si>
  <si>
    <t xml:space="preserve">Mat 1: STRENGTH ANALYSIS MODULE I - </t>
  </si>
  <si>
    <t>Mat 1: STRENGTH ANALYSIS MODULE II -</t>
  </si>
  <si>
    <t>Mat 1 LAMINATE  SHEAR MODULUS MODULE -   G13 &amp; G23</t>
  </si>
  <si>
    <t>PLY STACKING</t>
  </si>
  <si>
    <t>Mat 1:</t>
  </si>
  <si>
    <t>[angle]1    Ply angles for the 1 material, in degree</t>
  </si>
  <si>
    <t>[rept]1   Repeated sublaminate for the 1 material</t>
  </si>
  <si>
    <t>h1, #     Total ply number for the 1 material</t>
  </si>
  <si>
    <t>[rotate]1     Rigid body rotation of the 1 material, in degree</t>
  </si>
  <si>
    <t xml:space="preserve"> [ply#]1   Number of plies for each ply angle or ply group for the 1 material</t>
  </si>
  <si>
    <t>h1,ply No./grp</t>
  </si>
  <si>
    <t>h/Total</t>
  </si>
  <si>
    <t>Mat 2:</t>
  </si>
  <si>
    <t>Angle/rad</t>
  </si>
  <si>
    <t>ho*/ ply thick. fraction</t>
  </si>
  <si>
    <t>Mat 3:</t>
  </si>
  <si>
    <t>del(z*)/Total</t>
  </si>
  <si>
    <t>h1</t>
  </si>
  <si>
    <t>COS(Angle)</t>
  </si>
  <si>
    <t>SIN(Angle)</t>
  </si>
  <si>
    <t>hi*/grp thick. fraction</t>
  </si>
  <si>
    <t>Mat 4:</t>
  </si>
  <si>
    <t>G13 = C55</t>
  </si>
  <si>
    <t>G23 = C44</t>
  </si>
  <si>
    <t>Mat 5:</t>
  </si>
  <si>
    <t>C45</t>
  </si>
  <si>
    <t>mu/zx</t>
  </si>
  <si>
    <t>S44</t>
  </si>
  <si>
    <t>Mat 6:</t>
  </si>
  <si>
    <t>mu/zy</t>
  </si>
  <si>
    <t>S55</t>
  </si>
  <si>
    <t>S45=S54</t>
  </si>
  <si>
    <t>Mat 7:</t>
  </si>
  <si>
    <t>alpha/z, E-6/deg</t>
  </si>
  <si>
    <t>[a*]/T</t>
  </si>
  <si>
    <t>{E}o/T</t>
  </si>
  <si>
    <t>alphax h*</t>
  </si>
  <si>
    <t>[S]</t>
  </si>
  <si>
    <t>Mat 8:</t>
  </si>
  <si>
    <t xml:space="preserve">     A</t>
  </si>
  <si>
    <t>alphay h*</t>
  </si>
  <si>
    <t>beta/z</t>
  </si>
  <si>
    <t>betax h*</t>
  </si>
  <si>
    <t>Mat 9:</t>
  </si>
  <si>
    <t>betay h*</t>
  </si>
  <si>
    <t>eps/z, E-3</t>
  </si>
  <si>
    <t>nu/zy</t>
  </si>
  <si>
    <t>epsx o+^n h*</t>
  </si>
  <si>
    <t>ho*</t>
  </si>
  <si>
    <t>Mat 10:</t>
  </si>
  <si>
    <t>epsy o+^n h*</t>
  </si>
  <si>
    <t>T31 h*</t>
  </si>
  <si>
    <t>T31/o</t>
  </si>
  <si>
    <t>Mat 11:</t>
  </si>
  <si>
    <t>T32 h*</t>
  </si>
  <si>
    <t>G13</t>
  </si>
  <si>
    <t>T32/o</t>
  </si>
  <si>
    <t>G23</t>
  </si>
  <si>
    <t>[C_on]</t>
  </si>
  <si>
    <t>Mat 12:</t>
  </si>
  <si>
    <t>V1</t>
  </si>
  <si>
    <t>V3</t>
  </si>
  <si>
    <t>Mat 13:</t>
  </si>
  <si>
    <t>sig^n/Ti</t>
  </si>
  <si>
    <t>sig^n/T/Total</t>
  </si>
  <si>
    <t>sig^n /ci</t>
  </si>
  <si>
    <t>sig^n/c/Total</t>
  </si>
  <si>
    <t>sig^n/T+c</t>
  </si>
  <si>
    <t>sig^n/Total</t>
  </si>
  <si>
    <t>alpha, E-6</t>
  </si>
  <si>
    <t>beta</t>
  </si>
  <si>
    <t>{eps}o/T&amp;c,E-6</t>
  </si>
  <si>
    <t>Mat 14:</t>
  </si>
  <si>
    <t>Mat 15:</t>
  </si>
  <si>
    <t>T</t>
  </si>
  <si>
    <t>c</t>
  </si>
  <si>
    <t>p</t>
  </si>
  <si>
    <t>q</t>
  </si>
  <si>
    <t>Mat 16:</t>
  </si>
  <si>
    <t>r</t>
  </si>
  <si>
    <t>alphax o</t>
  </si>
  <si>
    <t>C33</t>
  </si>
  <si>
    <t>alphay o</t>
  </si>
  <si>
    <t>{N}  MN/m, kip/in     Applied loads or stress resultants to the hybrid laminate</t>
  </si>
  <si>
    <t xml:space="preserve">   &lt;sig&gt;    Effective in-plane stress in the hybrid laminate, in MGa or ksi</t>
  </si>
  <si>
    <t>&lt;sig&gt;ult               Effective in-plane stress at FPF or LPF failure in the hybrid laminate, equal to &lt;sigma?[min R], in MPa or ksi</t>
  </si>
  <si>
    <t>&lt;eps&gt;E-3     Induced in-plane strain in the hybrid laminate</t>
  </si>
  <si>
    <t>&lt;eps&gt;ult                Induced in-plane strain at FPF or LPF failure in the hybrid laminate, equal to &lt;epsilon?[min R], in mm or mil</t>
  </si>
  <si>
    <t>&lt;eps&gt;nonmech                Induced in-plane nonmechanical strain due to uniformily distributed  temperature change and moisture in the hybrid laminate, in E-3.</t>
  </si>
  <si>
    <t>R()FPF              FPF for an elliptic tubing.</t>
  </si>
  <si>
    <t>[Depth a]   Tubing depth or vertical diameter in m or in</t>
  </si>
  <si>
    <t>k=M/E[I]:c</t>
  </si>
  <si>
    <t>eps o/[canti]</t>
  </si>
  <si>
    <t>eps o/[fixd]</t>
  </si>
  <si>
    <t>[Width b]   Tubing width or horizontal diameter in m or in</t>
  </si>
  <si>
    <t>(ellip)</t>
  </si>
  <si>
    <t xml:space="preserve">   Applied loads</t>
  </si>
  <si>
    <t>M/fixed</t>
  </si>
  <si>
    <t>k=M/E[I]:f</t>
  </si>
  <si>
    <t xml:space="preserve"> [conc P]    Concentrated load at end for cantilever beam, or at center for the other beams, in MN or kip.</t>
  </si>
  <si>
    <t>&lt;sig&gt;FPF                                                  Effective in-plane stress at limit for the rectagular and elliptical cross sections.  These stresses are the same for all six beams.</t>
  </si>
  <si>
    <t xml:space="preserve">  &lt;Eo&gt;     Effective in-plane Young's modulus for intact matrix</t>
  </si>
  <si>
    <t xml:space="preserve">eps x </t>
  </si>
  <si>
    <t>[distrb q]    Uniformily distributed load in MN/m or kip/in.</t>
  </si>
  <si>
    <t>sig o/canti</t>
  </si>
  <si>
    <t xml:space="preserve">eps y </t>
  </si>
  <si>
    <t xml:space="preserve">   R/top   Strength/stress ratio of of each ply group of the top half of symmetric laminate of intact matrix for cantilever case</t>
  </si>
  <si>
    <t>On-axis epsilons,E-3</t>
  </si>
  <si>
    <t>sig max</t>
  </si>
  <si>
    <t xml:space="preserve">eps s </t>
  </si>
  <si>
    <t>R/bottom   Strength/stress ratio of of each ply group of the bottom half of symmetric laminate of intact matrix for cantilever case</t>
  </si>
  <si>
    <t>epsx/cant</t>
  </si>
  <si>
    <t>epsy/cant</t>
  </si>
  <si>
    <t>epss/cant</t>
  </si>
  <si>
    <t>k=M/E(I):c</t>
  </si>
  <si>
    <t>eps o/(canti)</t>
  </si>
  <si>
    <t xml:space="preserve">   Em*              Matrix degradation factor required for the last-ply-failure prediction as decribed in Section 12.2, Modeling of Degraded Plies.</t>
  </si>
  <si>
    <t>Ply &amp; consti strengths,MPa or ksi</t>
  </si>
  <si>
    <t>eps x/fxd</t>
  </si>
  <si>
    <t>eps y/fxd</t>
  </si>
  <si>
    <t>eps s/fxd</t>
  </si>
  <si>
    <t>Mod/Base     Ratio of the modified and baseline values.  Be sure that these values are unity with each Mic-Mac; e.g., when units are changed make sure that the starting temperature is 22?C or 71.6캟.</t>
  </si>
  <si>
    <t>sig o/(canti)</t>
  </si>
  <si>
    <t>Plane stress stiffness,GPa or msi</t>
  </si>
  <si>
    <t>sig lim</t>
  </si>
  <si>
    <t>R/mech</t>
  </si>
  <si>
    <t>Linear combinations,GPa or msi</t>
  </si>
  <si>
    <t>Strength parameters,E-6</t>
  </si>
  <si>
    <t xml:space="preserve">   R/top   Strength/stress ratio of of each ply group of the top half of symmetric laminate of intact matrix for simply supported case</t>
  </si>
  <si>
    <t xml:space="preserve">   R/top   Strength/stress ratio of of each ply group of the top half of symmetric laminate of intact matrix for fixed/fixed case</t>
  </si>
  <si>
    <t>R/bottom   Strength/stress ratio of of each ply group of the bottom half of symmetric laminate of intact matrix for simply supported case</t>
  </si>
  <si>
    <t>R/bottom   Strength/stress ratio of of each ply group of the bottom half of symmetric laminate of intact matrix for fixed/fixed case</t>
  </si>
  <si>
    <t>S23</t>
  </si>
  <si>
    <t>C23</t>
  </si>
  <si>
    <t>Crr</t>
  </si>
  <si>
    <t>C55</t>
  </si>
  <si>
    <t>hi* C31^2/C33</t>
  </si>
  <si>
    <t>S45</t>
  </si>
  <si>
    <t>Css</t>
  </si>
  <si>
    <t>C66</t>
  </si>
  <si>
    <t>hi* C32^2/C33</t>
  </si>
  <si>
    <t>S16</t>
  </si>
  <si>
    <t>C16</t>
  </si>
  <si>
    <t>hi* C23C31/C33</t>
  </si>
  <si>
    <t>S66</t>
  </si>
  <si>
    <t>S26</t>
  </si>
  <si>
    <t>C26</t>
  </si>
  <si>
    <t>hi* C63C31/C33</t>
  </si>
  <si>
    <t>S36</t>
  </si>
  <si>
    <t>C36</t>
  </si>
  <si>
    <t>hi* C63C32/C33</t>
  </si>
  <si>
    <t>E1</t>
  </si>
  <si>
    <t>v12</t>
  </si>
  <si>
    <t>v16</t>
  </si>
  <si>
    <t>INVAR/1</t>
  </si>
  <si>
    <t>hi*C63^2/C33</t>
  </si>
  <si>
    <t>E2</t>
  </si>
  <si>
    <t>v21</t>
  </si>
  <si>
    <t>v61</t>
  </si>
  <si>
    <t>INVAR/2</t>
  </si>
  <si>
    <t>E3</t>
  </si>
  <si>
    <t>v13</t>
  </si>
  <si>
    <t>v26</t>
  </si>
  <si>
    <t>INVAR/3</t>
  </si>
  <si>
    <t>E4</t>
  </si>
  <si>
    <t>v31</t>
  </si>
  <si>
    <t>v62</t>
  </si>
  <si>
    <t>INVAR/4</t>
  </si>
  <si>
    <t>E5</t>
  </si>
  <si>
    <t>v23</t>
  </si>
  <si>
    <t>v36</t>
  </si>
  <si>
    <t>INVAR/5</t>
  </si>
  <si>
    <t>Mat 2 PLY DATA MODULE</t>
  </si>
  <si>
    <t>E6</t>
  </si>
  <si>
    <t>v32</t>
  </si>
  <si>
    <t>v63</t>
  </si>
  <si>
    <t>v45</t>
  </si>
  <si>
    <t>v54</t>
  </si>
  <si>
    <t>MICRO</t>
  </si>
  <si>
    <t xml:space="preserve">    Em*    Matrix degradation factor required for the last-ply-failure prediction as decribed in Section 12.2, Modeling of Degraded Plies.</t>
  </si>
  <si>
    <t xml:space="preserve"> [Base]1    Reference temperature and moisture content, and micromechanical data, backcalculated from experimentally determined ply data for the 1 material</t>
  </si>
  <si>
    <t xml:space="preserve"> h+, E-3                Total thickness of the + laminate in mm or mil</t>
  </si>
  <si>
    <t>[rotate]+     Rigid body rotation of the + laminate, in degree</t>
  </si>
  <si>
    <t xml:space="preserve">   [ply#]+    Number of plies for each ply angle or ply group for the + laminate</t>
  </si>
  <si>
    <t>[Ply angle]-    Ply angles for the - laminate in degree.</t>
  </si>
  <si>
    <t>[repeat]-   Repeated sublaminate for the - laminate</t>
  </si>
  <si>
    <t xml:space="preserve">    h-, #     Total ply number for the - laminate</t>
  </si>
  <si>
    <t xml:space="preserve"> h-, E-3                Total thickness of the - laminate in mm or mil</t>
  </si>
  <si>
    <t>[rotate]-       Rigid body rotation of the - laminate, in degree</t>
  </si>
  <si>
    <t xml:space="preserve">   [ply#]-      Number of plies for each ply angle or ply group for the - laminate</t>
  </si>
  <si>
    <t xml:space="preserve">       R+        Strength/stress ratio of the + laminate for intact or degraded matrix depending on the degradation factor used in Cell I22.</t>
  </si>
  <si>
    <t xml:space="preserve"> min R+    Lowest strength/stress ratio for the + laminate, which would be the FPF if matrix is intact (degradation factor = 1), and LPF if matrix is degraded (degradation factor &lt;1). </t>
  </si>
  <si>
    <t xml:space="preserve">       R-        Strength/stress ratio of the - laminate for intact or degraded matrix depending on the degradation factor used in Cell I24.</t>
  </si>
  <si>
    <t xml:space="preserve"> min R-    Lowest strength/stress ratio for the - laminate, which would be the FPF if matrix is intact (degradation factor = 1), and LPF if matrix is degraded (degradation factor &lt; 1). </t>
  </si>
  <si>
    <t>{N}+ MN/m or kip/in      In-plane load applied to the + laminate</t>
  </si>
  <si>
    <t xml:space="preserve">  &lt;sig&gt;+    Effective in-plane stress in the + laminate, in MGa or ksi</t>
  </si>
  <si>
    <t>&lt;sig&gt;+FPF            Effective in-plane stress at FPF or LPF failure in the + laminate, in MPa or ksi</t>
  </si>
  <si>
    <t>&lt;eps&gt;+E-3     Induced in-plane strain in the + laminate</t>
  </si>
  <si>
    <t>&lt;eps&gt;+FPF             Induced in-plane strain at FPF or LPF failure in the + laminate</t>
  </si>
  <si>
    <t>{alpha}+,E-6    Laminate thermal expansion coefficients for the + laminate, in 10^-6/좧 or F</t>
  </si>
  <si>
    <t xml:space="preserve"> {beta}+     Moisture expansion coefficients for the + laminate in absolute value</t>
  </si>
  <si>
    <t>{N}- MN/m or kip/in       In-plane load applied to the - laminate</t>
  </si>
  <si>
    <t xml:space="preserve">  &lt;sig&gt;-    Effective in-plane stress in the - laminate, in MPa or ksi</t>
  </si>
  <si>
    <t>&lt;sig&gt;-FPF               Effective in-plane stress at FPF or LPF failure in the - laminate, in MPa or ksi</t>
  </si>
  <si>
    <t>&lt;eps&gt;-E-3     Induced in-plane strain in the - laminate</t>
  </si>
  <si>
    <t>&lt;eps&gt;-FPF           Induced in-plane strain at FPF or LPF failure in the - laminate</t>
  </si>
  <si>
    <t>{alpha}-,E-6    Laminate thermal expansion coefficients for the - laminate, in 10^-6/좧 or F</t>
  </si>
  <si>
    <t>Mat 5 and 6 ply data linked to Dual Ply Data File:</t>
  </si>
  <si>
    <t>Mat 7 and 8 ply data linked to Dual Ply Data File:</t>
  </si>
  <si>
    <t>Mat 4 PLY DATA MODULE</t>
  </si>
  <si>
    <t>Mat 9 and10 ply data linked to Dual Ply Data File:</t>
  </si>
  <si>
    <t>Mat 11 and12 ply data linked to Dual Ply Data File:</t>
  </si>
  <si>
    <t>Mat 13 and14 ply data linked to Dual Ply Data File:</t>
  </si>
  <si>
    <t>Mat 15 and16 ply data linked to Dual Ply Data File:</t>
  </si>
  <si>
    <t>Mat 5 PLY DATA MODULE</t>
  </si>
  <si>
    <t>Mat 6 PLY DATA MODULE</t>
  </si>
  <si>
    <t>Mat 7 PLY DATA MODULE</t>
  </si>
  <si>
    <t>Mat 8 PLY DATA MODULE</t>
  </si>
  <si>
    <t>Mat 9 PLY DATA MODULE</t>
  </si>
  <si>
    <t>Mat 10 PLY DATA MODULE</t>
  </si>
  <si>
    <t>Mat 11 PLY DATA MODULE</t>
  </si>
  <si>
    <t>Mat 12 PLY DATA MODULE</t>
  </si>
  <si>
    <t>Mat 13 PLY DATA MODULE</t>
  </si>
  <si>
    <t>Mat 14 PLY DATA MODULE</t>
  </si>
  <si>
    <t>Mat 15 PLY DATA MODULE</t>
  </si>
  <si>
    <t>Mat 16 PLY DATA MODULE</t>
  </si>
  <si>
    <t>By  energy method</t>
  </si>
  <si>
    <t>Box4</t>
  </si>
  <si>
    <t>MateName</t>
  </si>
  <si>
    <t>C54</t>
  </si>
  <si>
    <t>1   --AS/H35</t>
  </si>
  <si>
    <t>2   --AS/PK</t>
  </si>
  <si>
    <t>Ply grp 1</t>
  </si>
  <si>
    <t>3   --B4/55</t>
  </si>
  <si>
    <t xml:space="preserve">Ply grp 2  </t>
  </si>
  <si>
    <t>4   --IM6/ep</t>
  </si>
  <si>
    <t>Ply grp 3</t>
  </si>
  <si>
    <t>5   --Kev/ep</t>
  </si>
  <si>
    <t>Ply grp 4</t>
  </si>
  <si>
    <t>6   --E-gl/ep</t>
  </si>
  <si>
    <t>Ply grp 5</t>
  </si>
  <si>
    <t>7   --T300/934</t>
  </si>
  <si>
    <t>Ply grp 6</t>
  </si>
  <si>
    <t>8   --T300/52</t>
  </si>
  <si>
    <t>Ply grp 7</t>
  </si>
  <si>
    <t>9   --Aluminum</t>
  </si>
  <si>
    <t>Ply grp 8</t>
  </si>
  <si>
    <t>10 --Steel</t>
  </si>
  <si>
    <t>Ply grp 9</t>
  </si>
  <si>
    <t>11 --new</t>
  </si>
  <si>
    <t>Ply grp 10</t>
  </si>
  <si>
    <t>12 --Custom 2</t>
  </si>
  <si>
    <t>Ply grp 11</t>
  </si>
  <si>
    <t>13 --Custom 3</t>
  </si>
  <si>
    <t>Ply grp 12</t>
  </si>
  <si>
    <t>14 --Custom 4</t>
  </si>
  <si>
    <t>Ply grp 13</t>
  </si>
  <si>
    <t>15 --Custom 5</t>
  </si>
  <si>
    <t>Ply grp 14</t>
  </si>
  <si>
    <t>16 --Custom 6</t>
  </si>
  <si>
    <t>Ply grp 15</t>
  </si>
  <si>
    <t>17 --Custom 7</t>
  </si>
  <si>
    <t>Ply grp 16</t>
  </si>
  <si>
    <t>18 --Custom 8</t>
  </si>
  <si>
    <t>19 --Custom 9</t>
  </si>
  <si>
    <t>20 --Custom 10</t>
  </si>
  <si>
    <t>22 --Custom 12</t>
  </si>
  <si>
    <t>23 --Custom 13</t>
  </si>
  <si>
    <t>24 --Custom 14</t>
  </si>
  <si>
    <t>R3C20:R26C20</t>
  </si>
  <si>
    <t>&lt;eps&gt;  E-3 Effective in-plane strain at applied load, &lt;epsilon?R/lim</t>
  </si>
  <si>
    <t>&lt;eps&gt;FPF   Effective in-plane strain at limit, &lt;epsilon?R/lim</t>
  </si>
  <si>
    <t>b^m</t>
  </si>
  <si>
    <t>b/2a/</t>
  </si>
  <si>
    <t>[B]</t>
  </si>
  <si>
    <t xml:space="preserve">  &lt;sigf&gt;   Effective flexural stress, 6M/h^2   MPa or ksi</t>
  </si>
  <si>
    <t>&lt;sigf&gt;FPF    Effective flexural stress at limit, &lt;sigma^f&gt;R/lim</t>
  </si>
  <si>
    <t>&lt;epsf&gt;  E-3  Flexural strain, &lt;curvature&gt;h/2</t>
  </si>
  <si>
    <t xml:space="preserve">&lt;epsf&gt;FPF    Flexural strain at limit, &lt;epsilon/f&gt; R/lim   </t>
  </si>
  <si>
    <t xml:space="preserve"> &lt;epsf&gt;lim*   Flexural strain at ultimate, &lt;epsilon/f&gt; R/ult</t>
  </si>
  <si>
    <t>[B*]</t>
  </si>
  <si>
    <t>[alpha*]</t>
  </si>
  <si>
    <t>[delta*]</t>
  </si>
  <si>
    <t>Transposed[beta*]</t>
  </si>
  <si>
    <t>b^mix</t>
  </si>
  <si>
    <t>R^m+r</t>
  </si>
  <si>
    <t>R/top    Strength/stress ratio of of each ply group of the upper skin</t>
  </si>
  <si>
    <t>IF()/FPF</t>
  </si>
  <si>
    <t>R/bot    Strength/stress ratio of of each ply group of the lowerer skin</t>
  </si>
  <si>
    <t>V*/1D</t>
  </si>
  <si>
    <t>V*/3D</t>
  </si>
  <si>
    <t>M^n/T</t>
  </si>
  <si>
    <t>M^n/c</t>
  </si>
  <si>
    <t>N^n o   GN/m or mip/in</t>
  </si>
  <si>
    <t>M^n o   GN or mip</t>
  </si>
  <si>
    <t>INTACT PLY DATA MODULE/BOTTOM LAMINATE</t>
  </si>
  <si>
    <t>LAMINATE MODULUS MODULE/BOTTOM LAMINATE - elastic and hygrothermal constants</t>
  </si>
  <si>
    <t xml:space="preserve"> STRENGTH ANALYSIS (BOTTOM) MODULE I - </t>
  </si>
  <si>
    <t>STRENGTH ANALYSIS (LOWER SKIN) MODULE II -</t>
  </si>
  <si>
    <t>Top laminate/Ply data linked to Ply Data File:</t>
  </si>
  <si>
    <t>Bottom laminate/Ply data linked to Ply Data File:</t>
  </si>
  <si>
    <t>N^n o</t>
  </si>
  <si>
    <t>M^n o</t>
  </si>
  <si>
    <t>TOTAL STIFFNESS</t>
  </si>
  <si>
    <t>A11</t>
  </si>
  <si>
    <t>B11</t>
  </si>
  <si>
    <t>D11</t>
  </si>
  <si>
    <t>A22</t>
  </si>
  <si>
    <t>B22</t>
  </si>
  <si>
    <t>D22</t>
  </si>
  <si>
    <t>A12=A21</t>
  </si>
  <si>
    <t>B12=B21</t>
  </si>
  <si>
    <t>D12=D21</t>
  </si>
  <si>
    <t>A66</t>
  </si>
  <si>
    <t>B66</t>
  </si>
  <si>
    <t>D66</t>
  </si>
  <si>
    <t>A16=A61</t>
  </si>
  <si>
    <t>B16=B61</t>
  </si>
  <si>
    <t>D16=D61</t>
  </si>
  <si>
    <t>A26=A62</t>
  </si>
  <si>
    <t>B26=B62</t>
  </si>
  <si>
    <t>D26=D62</t>
  </si>
  <si>
    <t>[A] [B]</t>
  </si>
  <si>
    <t>[B] [D]</t>
  </si>
  <si>
    <t>{Ni,Mi} mech</t>
  </si>
  <si>
    <t>{esp o, k o} mech  E-3</t>
  </si>
  <si>
    <t>[alpha][beta]</t>
  </si>
  <si>
    <t xml:space="preserve"> READ ME     THIS PROGRAM CALCULATES THE STIFFNESS, INDUCED STRAINS AND STRENGTH OF SYMMETRIC OR UNSYMMETRIC LAMINATES SUBJECTED TO IN-PLANE AND BENDING LOADS.               </t>
  </si>
  <si>
    <t>INTACT PLY DATA MODULE/TOP LAMINATE</t>
  </si>
  <si>
    <t>LAMINATE MODULUS MODULE/TOP LAMINATE - elastic and hygrothermal constants</t>
  </si>
  <si>
    <t xml:space="preserve"> STRENGTH ANALYSIS (TOP LAMINATE) MODULE I - </t>
  </si>
  <si>
    <t>STRENGTH ANALYSIS (UPPER SKIN) MODULE II -</t>
  </si>
  <si>
    <t>Laminate code: {[theta/#, . . .]r/zc}</t>
  </si>
  <si>
    <t>TOP/BOTTOM LAMINATE: [theta/#, . . .]r</t>
  </si>
  <si>
    <t>top laminate</t>
  </si>
  <si>
    <t>theta/8</t>
  </si>
  <si>
    <t>theta/7</t>
  </si>
  <si>
    <t>theta/6</t>
  </si>
  <si>
    <t>theta/5</t>
  </si>
  <si>
    <t xml:space="preserve">  h+, E-3   thickness of top laminate in mm or mil</t>
  </si>
  <si>
    <t>On-axis mech strains at outer sublaminate</t>
  </si>
  <si>
    <t>bottom laminate</t>
  </si>
  <si>
    <t>eps  o   E-3</t>
  </si>
  <si>
    <t>eps x</t>
  </si>
  <si>
    <t>p^n o</t>
  </si>
  <si>
    <t xml:space="preserve">  h-, E-3    thickness of bottom laminate in mm or mil</t>
  </si>
  <si>
    <t>eps y</t>
  </si>
  <si>
    <t>q^n o</t>
  </si>
  <si>
    <t>eps s</t>
  </si>
  <si>
    <t>r^n o</t>
  </si>
  <si>
    <t>[core]  the total thickness of the core     E-3  m or in</t>
  </si>
  <si>
    <t>h,total  E-3</t>
  </si>
  <si>
    <t>[Rotate]</t>
  </si>
  <si>
    <t>p^n k</t>
  </si>
  <si>
    <t>a^m</t>
  </si>
  <si>
    <t>q^n k</t>
  </si>
  <si>
    <t>Material_help12</t>
  </si>
  <si>
    <t>Lamination</t>
  </si>
  <si>
    <t>Mode</t>
  </si>
  <si>
    <t>ep1</t>
  </si>
  <si>
    <t>sig1</t>
  </si>
  <si>
    <t>ep2</t>
  </si>
  <si>
    <t>sig2</t>
  </si>
  <si>
    <t>ep6</t>
  </si>
  <si>
    <t>sig6</t>
  </si>
  <si>
    <t>R</t>
  </si>
  <si>
    <t>LPF1</t>
  </si>
  <si>
    <t>LPF2</t>
  </si>
  <si>
    <t>FPF1</t>
  </si>
  <si>
    <t>FPF2</t>
  </si>
  <si>
    <t>sequence</t>
  </si>
  <si>
    <t>Eng</t>
  </si>
  <si>
    <t>Tex</t>
  </si>
  <si>
    <t>REF</t>
  </si>
  <si>
    <t>Ply Angle</t>
  </si>
  <si>
    <t>Ply #</t>
  </si>
  <si>
    <t>Material</t>
  </si>
  <si>
    <t>First ply</t>
  </si>
  <si>
    <t>Final ply</t>
  </si>
  <si>
    <t>Ply 1</t>
  </si>
  <si>
    <t>1st</t>
  </si>
  <si>
    <t>1st ult</t>
  </si>
  <si>
    <t>sigma-1 (Mpa,ksi)</t>
  </si>
  <si>
    <t>Ply 2</t>
  </si>
  <si>
    <t>2nd</t>
  </si>
  <si>
    <t>2nd ult</t>
  </si>
  <si>
    <t>sigma-2 (Mpa,ksi)</t>
  </si>
  <si>
    <t>Ply 3</t>
  </si>
  <si>
    <t>3rd</t>
  </si>
  <si>
    <t>3rd ult</t>
  </si>
  <si>
    <t>sigma-6 (Mpa,ksi)</t>
  </si>
  <si>
    <t>Material_help34</t>
  </si>
  <si>
    <t>Ply 4</t>
  </si>
  <si>
    <t>4th</t>
  </si>
  <si>
    <t>4th ult</t>
  </si>
  <si>
    <t>ply 5</t>
  </si>
  <si>
    <t>5th</t>
  </si>
  <si>
    <t>5th ult</t>
  </si>
  <si>
    <t>ply 6</t>
  </si>
  <si>
    <t>6th</t>
  </si>
  <si>
    <t>6th ult</t>
  </si>
  <si>
    <t xml:space="preserve">   R4        Strength/stress ratio of the 1 material for intact or degraded matrix depending on the degradation factor used in Cell I22.</t>
  </si>
  <si>
    <t xml:space="preserve">min R4    Lowest strength/stress ratio for the 1 material, which would be the FPF if matrix is intact (degradation factor = 1), and LPF if matrix is degraded (degradation factor &lt;1). </t>
  </si>
  <si>
    <t xml:space="preserve">   R5        Strength/stress ratio of the 1 material for intact or degraded matrix depending on the degradation factor used in Cell I22.</t>
  </si>
  <si>
    <t xml:space="preserve">min R5    Lowest strength/stress ratio for the 1 material, which would be the FPF if matrix is intact (degradation factor = 1), and LPF if matrix is degraded (degradation factor &lt;1). </t>
  </si>
  <si>
    <t xml:space="preserve">   R6        Strength/stress ratio of the 1 material for intact or degraded matrix depending on the degradation factor used in Cell I22.</t>
  </si>
  <si>
    <t xml:space="preserve">min R6    Lowest strength/stress ratio for the 1 material, which would be the FPF if matrix is intact (degradation factor = 1), and LPF if matrix is degraded (degradation factor &lt;1). </t>
  </si>
  <si>
    <t xml:space="preserve">   R7        Strength/stress ratio of the 1 material for intact or degraded matrix depending on the degradation factor used in Cell I22.</t>
  </si>
  <si>
    <t xml:space="preserve">min R7    Lowest strength/stress ratio for the 1 material, which would be the FPF if matrix is intact (degradation factor = 1), and LPF if matrix is degraded (degradation factor &lt;1). </t>
  </si>
  <si>
    <t xml:space="preserve">   R8        Strength/stress ratio of the 1 material for intact or degraded matrix depending on the degradation factor used in Cell I22.</t>
  </si>
  <si>
    <t xml:space="preserve">min R8    Lowest strength/stress ratio for the 1 material, which would be the FPF if matrix is intact (degradation factor = 1), and LPF if matrix is degraded (degradation factor &lt;1). </t>
  </si>
  <si>
    <t xml:space="preserve">   R9        Strength/stress ratio of the 1 material for intact or degraded matrix depending on the degradation factor used in Cell I22.</t>
  </si>
  <si>
    <t xml:space="preserve">min R9    Lowest strength/stress ratio for the 1 material, which would be the FPF if matrix is intact (degradation factor = 1), and LPF if matrix is degraded (degradation factor &lt;1). </t>
  </si>
  <si>
    <t>hi*C63^2</t>
  </si>
  <si>
    <t xml:space="preserve">   R10        Strength/stress ratio of the 1 material for intact or degraded matrix depending on the degradation factor used in Cell I22.</t>
  </si>
  <si>
    <t xml:space="preserve">min R10    Lowest strength/stress ratio for the 1 material, which would be the FPF if matrix is intact (degradation factor = 1), and LPF if matrix is degraded (degradation factor &lt;1). </t>
  </si>
  <si>
    <t xml:space="preserve">   R11       Strength/stress ratio of the 1 material for intact or degraded matrix depending on the degradation factor used in Cell I22.</t>
  </si>
  <si>
    <t xml:space="preserve">min R11    Lowest strength/stress ratio for the 1 material, which would be the FPF if matrix is intact (degradation factor = 1), and LPF if matrix is degraded (degradation factor &lt;1). </t>
  </si>
  <si>
    <t xml:space="preserve">   R12        Strength/stress ratio of the 1 material for intact or degraded matrix depending on the degradation factor used in Cell I22.</t>
  </si>
  <si>
    <t xml:space="preserve">min R12    Lowest strength/stress ratio for the 1 material, which would be the FPF if matrix is intact (degradation factor = 1), and LPF if matrix is degraded (degradation factor &lt;1). </t>
  </si>
  <si>
    <t xml:space="preserve">   R13        Strength/stress ratio of the 1 material for intact or degraded matrix depending on the degradation factor used in Cell I22.</t>
  </si>
  <si>
    <t xml:space="preserve"> Top Laminate</t>
  </si>
  <si>
    <t>Material_help1</t>
  </si>
  <si>
    <t>Weight</t>
  </si>
  <si>
    <t>seq</t>
  </si>
  <si>
    <t>Load</t>
  </si>
  <si>
    <t>Maxx</t>
  </si>
  <si>
    <t>density</t>
  </si>
  <si>
    <t>1st***</t>
  </si>
  <si>
    <t>2nd***</t>
  </si>
  <si>
    <t>3rd***</t>
  </si>
  <si>
    <t>4th***</t>
  </si>
  <si>
    <t>Material_help2</t>
  </si>
  <si>
    <t>5th***</t>
  </si>
  <si>
    <t>6th***</t>
  </si>
  <si>
    <t>7th***</t>
  </si>
  <si>
    <t>8th***</t>
  </si>
  <si>
    <t>&lt;sig&gt;o_1 (MPa,ksi)</t>
  </si>
  <si>
    <t>Material_help3</t>
  </si>
  <si>
    <t xml:space="preserve"> Bot Laminate</t>
  </si>
  <si>
    <t>9th***</t>
  </si>
  <si>
    <t>&lt;sig&gt;o_2 (MPa,ksi)</t>
  </si>
  <si>
    <t>10th***</t>
  </si>
  <si>
    <t>&lt;sig&gt;o_6 (MPa,ksi)</t>
  </si>
  <si>
    <t>11th***</t>
  </si>
  <si>
    <t>&lt;sig&gt;f_1 (MPa,ksi)</t>
  </si>
  <si>
    <t>12th***</t>
  </si>
  <si>
    <t>&lt;sig&gt;f_2 (MPa,ksi)</t>
  </si>
  <si>
    <t>13th***</t>
  </si>
  <si>
    <t>&lt;sig&gt;f_6 (MPa,ksi)</t>
  </si>
  <si>
    <t>Material_help4</t>
  </si>
  <si>
    <t>14th***</t>
  </si>
  <si>
    <t>REF12</t>
  </si>
  <si>
    <t>15th***</t>
  </si>
  <si>
    <t>16th***</t>
  </si>
  <si>
    <t>Material_help5</t>
  </si>
  <si>
    <t>MAT12(top)</t>
  </si>
  <si>
    <t>MAT12(bot)</t>
  </si>
  <si>
    <t>{N},MN/m or kip/in</t>
  </si>
  <si>
    <t>{M}, MN  or kip</t>
  </si>
  <si>
    <t>Z/core, m        one half of the core thickness</t>
  </si>
  <si>
    <t>seq1</t>
  </si>
  <si>
    <t xml:space="preserve">    Ply Group #1    </t>
  </si>
  <si>
    <t>Material_help6</t>
  </si>
  <si>
    <t>AS/35</t>
  </si>
  <si>
    <t>failure      envelope(loading vectors)</t>
  </si>
  <si>
    <t>Current</t>
  </si>
  <si>
    <t>Material_help7</t>
  </si>
  <si>
    <t>[N+], top</t>
  </si>
  <si>
    <t>stress        resultants</t>
  </si>
  <si>
    <t>strains</t>
  </si>
  <si>
    <t>Material_help8</t>
  </si>
  <si>
    <t>[N-], bottom</t>
  </si>
  <si>
    <t>strainEn</t>
  </si>
  <si>
    <t xml:space="preserve">   R</t>
  </si>
  <si>
    <t>ep^o_sg^o</t>
  </si>
  <si>
    <t>1_1</t>
  </si>
  <si>
    <t>2_2</t>
  </si>
  <si>
    <t>6_6</t>
  </si>
  <si>
    <t>ep^f_sg^f</t>
  </si>
  <si>
    <t xml:space="preserve">    Ply Group #2    </t>
  </si>
  <si>
    <t>MATERIAL SELECTION (1-2)</t>
  </si>
  <si>
    <t>MAT34(top)</t>
  </si>
  <si>
    <t>MAT34(bot)</t>
  </si>
  <si>
    <t xml:space="preserve">    Ply Group #3    </t>
  </si>
  <si>
    <t>Axises</t>
  </si>
  <si>
    <t>X-axis</t>
  </si>
  <si>
    <t>&lt;sig&gt;o_1</t>
  </si>
  <si>
    <t>&lt;sig&gt;o_2</t>
  </si>
  <si>
    <t>&lt;sig&gt;o_6</t>
  </si>
  <si>
    <t>&lt;sig&gt;f_1</t>
  </si>
  <si>
    <t>&lt;sig&gt;f_2</t>
  </si>
  <si>
    <t>&lt;sig&gt;f_6</t>
  </si>
  <si>
    <t>Y-axis</t>
  </si>
  <si>
    <t xml:space="preserve">    Ply Group #4    </t>
  </si>
  <si>
    <t xml:space="preserve">    Ply Group #4   </t>
  </si>
  <si>
    <t>MATERIAL SELECTION (3-4)</t>
  </si>
  <si>
    <t>MAT56(top)</t>
  </si>
  <si>
    <t>MAT56(bot)</t>
  </si>
  <si>
    <t xml:space="preserve">    Ply Group #5    </t>
  </si>
  <si>
    <t xml:space="preserve">    Ply Group #5   </t>
  </si>
  <si>
    <t xml:space="preserve">    Ply Group #6   </t>
  </si>
  <si>
    <t xml:space="preserve">    Ply Group #6    </t>
  </si>
  <si>
    <t>MATERIAL SELECTION (5-6)</t>
  </si>
  <si>
    <t>MAT78(top)</t>
  </si>
  <si>
    <t>MAT78(bot)</t>
  </si>
  <si>
    <t xml:space="preserve">    Ply Group #7    </t>
  </si>
  <si>
    <t xml:space="preserve">    Ply Group #8    </t>
  </si>
  <si>
    <t>MATERIAL SELECTION (7-8)</t>
  </si>
  <si>
    <t>eps E-3</t>
  </si>
  <si>
    <t>Water Weight</t>
  </si>
  <si>
    <t>&lt;sig&gt;ult               Effective in-plane stress at FPF or LPF failure in the hybrid laminate, equal to &lt;sigma°&gt;[min R], in MPa or ksi</t>
  </si>
  <si>
    <t xml:space="preserve">   Em*         Matrix degradation factor required for the last-ply-failure prediction as decribed in Section 12.2, Modeling of Degraded Plies.</t>
  </si>
  <si>
    <t>Ply &amp; consti strengths MPa or ksi</t>
  </si>
  <si>
    <t>kx</t>
  </si>
  <si>
    <t xml:space="preserve"> Baseline    Reference temperature and moisture content, and micromechanical data, backcalculated from experimentally determined ply data.</t>
  </si>
  <si>
    <t>ky</t>
  </si>
  <si>
    <t>a-^m</t>
  </si>
  <si>
    <t>ks</t>
  </si>
  <si>
    <t>b-^m</t>
  </si>
  <si>
    <t>b/2a/-</t>
  </si>
  <si>
    <t>FPF+/mech</t>
  </si>
  <si>
    <t>hot/wet</t>
  </si>
  <si>
    <t xml:space="preserve">                                                                                                </t>
  </si>
  <si>
    <t>&lt;sig&gt;/top</t>
  </si>
  <si>
    <t>&lt;sig&gt;/bott</t>
  </si>
  <si>
    <t>&lt;eps&gt;/top</t>
  </si>
  <si>
    <t>&lt;eps&gt;/bott</t>
  </si>
  <si>
    <t>Plane stress stiffness GPa or Msi</t>
  </si>
  <si>
    <t>|A|,|D|</t>
  </si>
  <si>
    <t>R-/mech</t>
  </si>
  <si>
    <t>R^t/intact   Strength/stress ratio of of each ply group of the top half of symmetric laminate of intact matrix</t>
  </si>
  <si>
    <t xml:space="preserve"> R/FPF  Strength ratio at limit = MIN(FPF,lim*)</t>
  </si>
  <si>
    <t>[Fxy*]</t>
  </si>
  <si>
    <t>[a]</t>
  </si>
  <si>
    <t>[d]</t>
  </si>
  <si>
    <t>[d*]</t>
  </si>
  <si>
    <t>Ei f</t>
  </si>
  <si>
    <t>[D]o</t>
  </si>
  <si>
    <t>R^b/intact   Strength/stress ratio of of each ply group of the bottom half of symmetric laminate of intact matrix</t>
  </si>
  <si>
    <t>[Xf]</t>
  </si>
  <si>
    <t>[Xm]</t>
  </si>
  <si>
    <t>|sig|,|eps|</t>
  </si>
  <si>
    <t>max |sig|</t>
  </si>
  <si>
    <t>max |eps|</t>
  </si>
  <si>
    <t>Linear combinations,</t>
  </si>
  <si>
    <t>Q-iso</t>
  </si>
  <si>
    <t>Al 2024</t>
  </si>
  <si>
    <t>SS 304</t>
  </si>
  <si>
    <t>E,GPa</t>
  </si>
  <si>
    <t>Nonmechanical stress and strain</t>
  </si>
  <si>
    <t>[D*]</t>
  </si>
  <si>
    <t>rho</t>
  </si>
  <si>
    <t>R/iso</t>
  </si>
  <si>
    <t>rel rho</t>
  </si>
  <si>
    <t>eps/iso</t>
  </si>
  <si>
    <t>b'^mix/-</t>
  </si>
  <si>
    <t>b'^Sum</t>
  </si>
  <si>
    <t>Density</t>
  </si>
  <si>
    <t>(b/2a)'^Sum</t>
  </si>
  <si>
    <t>rho/f</t>
  </si>
  <si>
    <t>R-^m+r</t>
  </si>
  <si>
    <t>min</t>
  </si>
  <si>
    <t>IF(+)/FPF</t>
  </si>
  <si>
    <t>FPF^m+r</t>
  </si>
  <si>
    <t>IF(-)/FPF</t>
  </si>
  <si>
    <t>Selection</t>
  </si>
  <si>
    <t>NewMat11</t>
  </si>
  <si>
    <t>NewMat21</t>
  </si>
  <si>
    <t>NtoT</t>
  </si>
  <si>
    <t>1   --</t>
  </si>
  <si>
    <t>Mic-Mac</t>
  </si>
  <si>
    <t xml:space="preserve">DATA FOR CUSTOMIZED MATERIAL [SI] </t>
  </si>
  <si>
    <t xml:space="preserve">DATA FOR CUSTOMIZED MATERIAL [Eng] </t>
  </si>
  <si>
    <t>2   --</t>
  </si>
  <si>
    <t>Name:</t>
  </si>
  <si>
    <t>NEXT</t>
  </si>
  <si>
    <t>3   --</t>
  </si>
  <si>
    <t>4   --</t>
  </si>
  <si>
    <t>5   --</t>
  </si>
  <si>
    <t>In-Plane Strain: Basic Mic-Mac for in-plane straining</t>
  </si>
  <si>
    <t>6   --</t>
  </si>
  <si>
    <t>Flex:  General Mic-Mac for in-plane loads and bending moments</t>
  </si>
  <si>
    <t>7   --</t>
  </si>
  <si>
    <t>8   --</t>
  </si>
  <si>
    <t>9   --</t>
  </si>
  <si>
    <t>10 --</t>
  </si>
  <si>
    <t>Thin-wall:  Sandwich construction with two different faces</t>
  </si>
  <si>
    <t>11 --</t>
  </si>
  <si>
    <t>12 --</t>
  </si>
  <si>
    <t>13 --</t>
  </si>
  <si>
    <t>Duplx: Mic-Mac for side-by-side comparison of two in-plane loads</t>
  </si>
  <si>
    <t>14 --</t>
  </si>
  <si>
    <t>15 --</t>
  </si>
  <si>
    <t>16 --</t>
  </si>
  <si>
    <t>17 --</t>
  </si>
  <si>
    <t>18 --</t>
  </si>
  <si>
    <t>19 --</t>
  </si>
  <si>
    <t>Ex[GPa]:</t>
  </si>
  <si>
    <t>Ex[msi]:</t>
  </si>
  <si>
    <t>20 --</t>
  </si>
  <si>
    <t>Help</t>
  </si>
  <si>
    <t>Ey[Gpa]:</t>
  </si>
  <si>
    <t>Ey[msi]:</t>
  </si>
  <si>
    <t>21 --</t>
  </si>
  <si>
    <t>NewMatCheck</t>
  </si>
  <si>
    <t>Nu/xy:</t>
  </si>
  <si>
    <t>22 --</t>
  </si>
  <si>
    <t>Es[GPa]:</t>
  </si>
  <si>
    <t>Es[msi]:</t>
  </si>
  <si>
    <t>23 --</t>
  </si>
  <si>
    <t>MATERIAL CHECK LIST</t>
  </si>
  <si>
    <t>Em[GPa]:</t>
  </si>
  <si>
    <t>Em[msi]:</t>
  </si>
  <si>
    <t>24 --</t>
  </si>
  <si>
    <t>* Check every material to be modified or Added</t>
  </si>
  <si>
    <t>T/cure:</t>
  </si>
  <si>
    <t>T/glass:</t>
  </si>
  <si>
    <t>X[Mpa]:</t>
  </si>
  <si>
    <t>X[ksi]:</t>
  </si>
  <si>
    <t>X'[Mpa]:</t>
  </si>
  <si>
    <t>X'[ksi]:</t>
  </si>
  <si>
    <t>Y[Mpa]:</t>
  </si>
  <si>
    <t>Y[ksi]:</t>
  </si>
  <si>
    <t>Y'[Mpa]:</t>
  </si>
  <si>
    <t>Y'[ksi]:</t>
  </si>
  <si>
    <t>S[Mpa]:</t>
  </si>
  <si>
    <t>S[ksi]:</t>
  </si>
  <si>
    <t>gamma/m:</t>
  </si>
  <si>
    <t>T/opr:</t>
  </si>
  <si>
    <t>c/moist:</t>
  </si>
  <si>
    <t>NewMat12</t>
  </si>
  <si>
    <t>NewMat22</t>
  </si>
  <si>
    <t>DATA FOR CUSTOMIZED MATERIAL [SI] cont.</t>
  </si>
  <si>
    <t>DATA FOR CUSTOMIZED MATERIAL [Eng] cont.</t>
  </si>
  <si>
    <t>ho[e-6m]:</t>
  </si>
  <si>
    <t>ho[e-6mil]:</t>
  </si>
  <si>
    <t>Vf:</t>
  </si>
  <si>
    <t>gamma/ply:</t>
  </si>
  <si>
    <t>eta/y:</t>
  </si>
  <si>
    <t>^a/Em:</t>
  </si>
  <si>
    <t>^b/eta:</t>
  </si>
  <si>
    <t>^c/Xm:</t>
  </si>
  <si>
    <t>alpha/x[e-6]:</t>
  </si>
  <si>
    <t>alpha/y[e-6]:</t>
  </si>
  <si>
    <t>beta/x:</t>
  </si>
  <si>
    <t>beta/y:</t>
  </si>
  <si>
    <t>eta/s:</t>
  </si>
  <si>
    <t>^f/Ef:</t>
  </si>
  <si>
    <t>^h/Xf:</t>
  </si>
  <si>
    <t>g/T shift:</t>
  </si>
  <si>
    <t>Em*:</t>
  </si>
  <si>
    <t>Ef*:</t>
  </si>
  <si>
    <t>Ex*:</t>
  </si>
  <si>
    <t>Ey*:</t>
  </si>
  <si>
    <t>^n/X'*:</t>
  </si>
  <si>
    <t>ENG</t>
  </si>
  <si>
    <t xml:space="preserve">E^u/E^l    Ratios of the effective engineering constants at ultimate over FPF.   These ratios indicate laminate stiffness degradation due to matrix/interface cracking. </t>
  </si>
  <si>
    <t>&lt;alph&gt;,E-6   Effective in-plane thermal expansion coefficients defined in Equation 4.32 , in E-6 per C or F.</t>
  </si>
  <si>
    <t>&lt;beta&gt;                       Effective in-plane moisture expansion coefficients defined in Equation 4.32, in absolute quantities.</t>
  </si>
  <si>
    <t>2X,rad</t>
  </si>
  <si>
    <t>h+/r+,#</t>
  </si>
  <si>
    <t>Top laminate loads &amp; strains</t>
  </si>
  <si>
    <t xml:space="preserve">On-axis mech strains </t>
  </si>
  <si>
    <t xml:space="preserve">(p,q,r)^n </t>
  </si>
  <si>
    <t>4X,rad</t>
  </si>
  <si>
    <t>Ni</t>
  </si>
  <si>
    <t>eps o, E-3</t>
  </si>
  <si>
    <t>(p,q,r)eps</t>
  </si>
  <si>
    <t>In-pl</t>
  </si>
  <si>
    <t>eps x+</t>
  </si>
  <si>
    <t>p o</t>
  </si>
  <si>
    <t>eps y+</t>
  </si>
  <si>
    <t>Top z*</t>
  </si>
  <si>
    <t>q o</t>
  </si>
  <si>
    <t>eps s+</t>
  </si>
  <si>
    <t>Bott z*</t>
  </si>
  <si>
    <t>r o</t>
  </si>
  <si>
    <t xml:space="preserve">   &lt;sig&gt;      In-plane stress, equal to {N}/h, in MPa or ksi</t>
  </si>
  <si>
    <t>&lt;sig&gt;FPF       In-plane stress at first-ply-failure, in MPa or ksi</t>
  </si>
  <si>
    <t>&lt;sig&gt;lim        In-plane stress at limit based on a chosen safety factor, in MPa or ksi</t>
  </si>
  <si>
    <t>&lt;sig&gt;ult       In-plane stress at ultimtate, in MPa or ksi</t>
  </si>
  <si>
    <t>&lt;eps&gt;E-3     In-plane strain resulting from the in-plane stress using Equation 4.3, in E-3</t>
  </si>
  <si>
    <t>&lt;eps&gt;FPF        In-plane strain at first-ply-failure, E-3</t>
  </si>
  <si>
    <t>&lt;eps&gt;lim        In-plane strain at limit based on a chosen safety factor, E-3</t>
  </si>
  <si>
    <t>&lt;eps&gt;ult       In-plane strain at ultimtate, E-3</t>
  </si>
  <si>
    <t>del(z*)</t>
  </si>
  <si>
    <t>h+</t>
  </si>
  <si>
    <t>On-axis epsilons and curvatures</t>
  </si>
  <si>
    <t>epsx o</t>
  </si>
  <si>
    <t>Stiff</t>
  </si>
  <si>
    <t>[Q]/1</t>
  </si>
  <si>
    <t>[Q]/2</t>
  </si>
  <si>
    <t>[Q]/3</t>
  </si>
  <si>
    <t>[Q]/4</t>
  </si>
  <si>
    <t>[A]</t>
  </si>
  <si>
    <t>[A*]</t>
  </si>
  <si>
    <t>epsy o</t>
  </si>
  <si>
    <t>a+^m</t>
  </si>
  <si>
    <t>epss o</t>
  </si>
  <si>
    <t>b+^m</t>
  </si>
  <si>
    <t xml:space="preserve">  T opr    Operating temperature in degree C or F.  Do not exceed the glass transition temperature listed in Cell P5.  </t>
  </si>
  <si>
    <t>c,moist    Moisture concentration in absolute value; i.e., 0.005 means 0.5%.</t>
  </si>
  <si>
    <t xml:space="preserve">  vol/f    Fiber volume fraction in absolute value; i.e., 0.7 means 70%.</t>
  </si>
  <si>
    <t xml:space="preserve">    Em      Matrix Young's modulus in GPa or msi.</t>
  </si>
  <si>
    <t xml:space="preserve">    Efx     Fiber longitudinal Young's modulus in GPa or msi.</t>
  </si>
  <si>
    <t xml:space="preserve">    Xm     Matrix strength in MPa or ksi.</t>
  </si>
  <si>
    <t xml:space="preserve">    Xfx     Fiber longitudinal strength in MPa or ksi. </t>
  </si>
  <si>
    <t xml:space="preserve">   Em*    Matrix degradation factor required for the last-ply-failure prediction as decribed in Section 7.7, Modeling of Degraded Plies.</t>
  </si>
  <si>
    <t>b/2a/+</t>
  </si>
  <si>
    <t>21=12</t>
  </si>
  <si>
    <t>epsy</t>
  </si>
  <si>
    <t>61=16</t>
  </si>
  <si>
    <t>FPF/mech</t>
  </si>
  <si>
    <t>62=26</t>
  </si>
  <si>
    <t>epsx</t>
  </si>
  <si>
    <t>R+/mech</t>
  </si>
  <si>
    <t>Plane stress stiffness, GPa/msi</t>
  </si>
  <si>
    <t>|A|</t>
  </si>
  <si>
    <t>Qxx</t>
  </si>
  <si>
    <t xml:space="preserve">Compl </t>
  </si>
  <si>
    <t>[a],m/GN</t>
  </si>
  <si>
    <t>[a*]</t>
  </si>
  <si>
    <t>Ei o</t>
  </si>
  <si>
    <t>epss</t>
  </si>
  <si>
    <t>On-axis residual strains</t>
  </si>
  <si>
    <t>Qyy</t>
  </si>
  <si>
    <t>E1o</t>
  </si>
  <si>
    <t>|eps|</t>
  </si>
  <si>
    <t>eps x^r</t>
  </si>
  <si>
    <t>Qxy</t>
  </si>
  <si>
    <t>E2o</t>
  </si>
  <si>
    <t>eps y^r</t>
  </si>
  <si>
    <t>Degrade?</t>
  </si>
  <si>
    <t xml:space="preserve"> R/lim     Strength ratio at limit = MIN(FPF,lim*)</t>
  </si>
  <si>
    <t>Qss</t>
  </si>
  <si>
    <t>nu/21</t>
  </si>
  <si>
    <t>eps s^r</t>
  </si>
  <si>
    <t>Sign change?</t>
  </si>
  <si>
    <t>Linear combinations, GPa/msi</t>
  </si>
  <si>
    <t>Strength parameters, E-6</t>
  </si>
  <si>
    <t>Eso</t>
  </si>
  <si>
    <t>yes</t>
  </si>
  <si>
    <t>no</t>
  </si>
  <si>
    <t>NA</t>
  </si>
  <si>
    <t>U1</t>
  </si>
  <si>
    <t>Fxx</t>
  </si>
  <si>
    <t>nu/61</t>
  </si>
  <si>
    <t>a^r</t>
  </si>
  <si>
    <t>U2</t>
  </si>
  <si>
    <t>Fyy</t>
  </si>
  <si>
    <t>nu/62</t>
  </si>
  <si>
    <t>b^r</t>
  </si>
  <si>
    <t>U3</t>
  </si>
  <si>
    <t>Fxy</t>
  </si>
  <si>
    <t>a^r+b^r</t>
  </si>
  <si>
    <t>U4</t>
  </si>
  <si>
    <t>Fss</t>
  </si>
  <si>
    <t>Nonmechanical stress(Pa) and strain</t>
  </si>
  <si>
    <t>V*/iA</t>
  </si>
  <si>
    <t>c^r</t>
  </si>
  <si>
    <t>U5=G^iso</t>
  </si>
  <si>
    <t>Fx,E-3</t>
  </si>
  <si>
    <t xml:space="preserve">V*/1A </t>
  </si>
  <si>
    <t>b^mix/+</t>
  </si>
  <si>
    <t>Quasi-isotropic constants</t>
  </si>
  <si>
    <t>Fy,E-3</t>
  </si>
  <si>
    <t>V*/3A</t>
  </si>
  <si>
    <t>b^Sum</t>
  </si>
  <si>
    <t>E^iso</t>
  </si>
  <si>
    <t>Gxx</t>
  </si>
  <si>
    <t>p^n /T</t>
  </si>
  <si>
    <t>p^n /c</t>
  </si>
  <si>
    <t>sig^n /T</t>
  </si>
  <si>
    <t>sig^n /c</t>
  </si>
  <si>
    <t>alpha o</t>
  </si>
  <si>
    <t>beta o</t>
  </si>
  <si>
    <t>(b/2a)^Sum</t>
  </si>
  <si>
    <t>NAME</t>
  </si>
  <si>
    <t>nu^iso</t>
  </si>
  <si>
    <t>Gyy</t>
  </si>
  <si>
    <t>Gxy</t>
  </si>
  <si>
    <t>Spec grav</t>
  </si>
  <si>
    <t>Gss</t>
  </si>
  <si>
    <t>sig^n o</t>
  </si>
  <si>
    <t>eps^n o</t>
  </si>
  <si>
    <t>FPF/m+r</t>
  </si>
  <si>
    <t>Gx</t>
  </si>
  <si>
    <t>e/x</t>
  </si>
  <si>
    <t>R+^m+r</t>
  </si>
  <si>
    <t>gamma/f</t>
  </si>
  <si>
    <t>Gy</t>
  </si>
  <si>
    <t>e/y</t>
  </si>
  <si>
    <t>_x0000_</t>
  </si>
  <si>
    <t>e/s</t>
  </si>
  <si>
    <t>DEGRADED LAMINATE MODULUS MODULE - elastic and hygrothermal constants</t>
  </si>
  <si>
    <t>IM7/977-3 24C NWU</t>
  </si>
  <si>
    <t>[REPT]</t>
  </si>
  <si>
    <t>h-/r-,#</t>
  </si>
  <si>
    <t>Laminate loads &amp; strains</t>
  </si>
  <si>
    <t>Ply data definitions:</t>
  </si>
  <si>
    <t>Ex, GPa</t>
  </si>
  <si>
    <t>Ey, GPa</t>
  </si>
  <si>
    <t>Es, GPa</t>
  </si>
  <si>
    <t>J1</t>
  </si>
  <si>
    <t>X, MPa</t>
  </si>
  <si>
    <t>X', MPa</t>
  </si>
  <si>
    <t>Y, MPa</t>
  </si>
  <si>
    <t>Y', MPa</t>
  </si>
  <si>
    <t>S, MPa</t>
  </si>
  <si>
    <t>e_vM</t>
  </si>
  <si>
    <t>ho, mm</t>
  </si>
  <si>
    <t>T, C</t>
  </si>
  <si>
    <t>M, %</t>
  </si>
  <si>
    <t>ef_vM+</t>
  </si>
  <si>
    <t>ax, e-6/C</t>
  </si>
  <si>
    <t>ay, e-6/C</t>
  </si>
  <si>
    <t>T_stress_free, C</t>
  </si>
  <si>
    <t>bx, e-6/C</t>
  </si>
  <si>
    <t>by, e-3/C</t>
  </si>
  <si>
    <t>ef_vM-</t>
  </si>
  <si>
    <t xml:space="preserve">epsy(intact) </t>
  </si>
  <si>
    <t xml:space="preserve">epsy(degr) </t>
  </si>
  <si>
    <t>[A],GN/m</t>
  </si>
  <si>
    <t>[A*],GPa</t>
  </si>
  <si>
    <t>TR30S/Epoxy</t>
  </si>
  <si>
    <t>P/max          Concentrated load at FPF for three beams, MN or kip</t>
  </si>
  <si>
    <t>q/max           Distributed loads at FPF for three beams, MN/m or kip/in</t>
  </si>
  <si>
    <t>h/r,#</t>
  </si>
  <si>
    <t>[A?</t>
  </si>
  <si>
    <t xml:space="preserve"> [Width b]    Width of beam in m or in</t>
  </si>
  <si>
    <t xml:space="preserve"> &lt;sig&gt;fl    Max flex stress applied to cantilever beam = 6M/h^2, where M can be found in Figure 8.3.  The moments for simply supported and fixed beams are also listed in the same figure.</t>
  </si>
  <si>
    <t xml:space="preserve">Cantilvr         Cantilever beam case    </t>
  </si>
  <si>
    <t>M/canti</t>
  </si>
  <si>
    <t>M/fxd</t>
  </si>
  <si>
    <t>ki,canti</t>
  </si>
  <si>
    <t>ki,fxd</t>
  </si>
  <si>
    <t>(p,q,r)k</t>
  </si>
  <si>
    <t>canti/fxd</t>
  </si>
  <si>
    <t xml:space="preserve">        applied loads</t>
  </si>
  <si>
    <t>Ss/Ss       Simply supported beam case</t>
  </si>
  <si>
    <t>p/canti</t>
  </si>
  <si>
    <t xml:space="preserve">  [conc P]    Concentrated load at end for cantilever beam, or at center for the other beams, in MN or kip.</t>
  </si>
  <si>
    <t>&lt;E&gt;f/FPF        Effective flexural modulus along the axis of the beam at FPF (intact), GPa or msi</t>
  </si>
  <si>
    <t>Fxd/Fxd         Fixed/fixed beam case</t>
  </si>
  <si>
    <t>h^2/8,m^2</t>
  </si>
  <si>
    <t>q/canti</t>
  </si>
  <si>
    <t>[distrib q]    Uniformily distributed load in MN/m or kip/in.</t>
  </si>
  <si>
    <t>r/canti</t>
  </si>
  <si>
    <t xml:space="preserve">   R/top   Strength/stress ratio of of each ply group of the top half of symmetric laminate of intact matrix</t>
  </si>
  <si>
    <t xml:space="preserve">  R/FPF      Lowest strength ratio for intact matrix is first-ply-failure.  The value is for the cantilever case.</t>
  </si>
  <si>
    <t>h,m or in</t>
  </si>
  <si>
    <t>h^3/12,m^3</t>
  </si>
  <si>
    <t>p/fxd</t>
  </si>
  <si>
    <t>R/bottom   Strength/stress ratio of of each ply group of the bottom half of symmetric laminate of intact matrix</t>
  </si>
  <si>
    <t>del(z*^2)</t>
  </si>
  <si>
    <t>On-axis k for canti and fxd</t>
  </si>
  <si>
    <t>q/fxd</t>
  </si>
  <si>
    <t>del(z*^3)</t>
  </si>
  <si>
    <t>k x/cant</t>
  </si>
  <si>
    <t>r/fxd</t>
  </si>
  <si>
    <t xml:space="preserve">    Em*       Matrix degradation factor required for the last-ply-failure prediction as decribed in Section 12.2, Modeling of Degraded Plies.</t>
  </si>
  <si>
    <t>[B?,N</t>
  </si>
  <si>
    <t>k y/cant</t>
  </si>
  <si>
    <t>k s/cant</t>
  </si>
  <si>
    <t xml:space="preserve"> [Modified]   User defined modification of temperature, moisture, and micromechanical variables.  Since backcalculation was used, modified calues should not differ excessively from baseline values.</t>
  </si>
  <si>
    <t>k x/fxd</t>
  </si>
  <si>
    <t xml:space="preserve"> Mod/Base     Ratio of the modified and baseline values.  Be sure that these values are unity with each Mic-Mac; e.g., when units are changed make sure that the starting temperature is 22?C or 71.6좫.</t>
  </si>
  <si>
    <t>k y/fxd</t>
  </si>
  <si>
    <t xml:space="preserve"> Mod-Base    Difference between the modified and baseline values of temperature and moisture content.</t>
  </si>
  <si>
    <t>Hot/Wet</t>
  </si>
  <si>
    <t>k s/fxd</t>
  </si>
  <si>
    <t>Plane stress stiffness GPa or msi</t>
  </si>
  <si>
    <t>[d],1/GNm^3</t>
  </si>
  <si>
    <t>[D?</t>
  </si>
  <si>
    <t>Linear combinations</t>
  </si>
  <si>
    <t>Lower R</t>
  </si>
  <si>
    <t>Limit</t>
  </si>
  <si>
    <t>MIC-MAC/RECT[] &amp; ELLIP() TUBING: {[theta/#], . . .}symm</t>
  </si>
  <si>
    <t>STRENGTH ANALYSIS MODULE II Cantilever-</t>
  </si>
  <si>
    <t>STRENGTH ANALYSIS MODULE II fixd/fixd-</t>
  </si>
  <si>
    <t xml:space="preserve">READ ME     THIS MIC-MAC CALCULATES THE DISPLACEMENTS AND STRENGTH OF SYMMETRICALLY LAMINATED RECTANGULAR AND ELLIPTICAL TUBING SUBJECTED TO BENDING LOADS.               </t>
  </si>
  <si>
    <t>[Rotate]              Rigid body rotation of the entire laminate, in degree</t>
  </si>
  <si>
    <t xml:space="preserve"> [ply#]     Number of plies for each ply angle or ply group</t>
  </si>
  <si>
    <t xml:space="preserve">     Size, m or in</t>
  </si>
  <si>
    <t>inertia,I                                                                                                    Moment of inertia of the rectangular and elliptic cross sections, in m^4 or in^4.</t>
  </si>
  <si>
    <t>[Length L]   Tubing length in m or in</t>
  </si>
  <si>
    <t>[rect]</t>
  </si>
  <si>
    <t>Dfl[],E-3     Maximum deflection at the free end of a cantilever tubing or center of ss or fixed tubing having the same rectangular cross section, using formulas in Figures 8.3 and 8.5, in mm or mil.</t>
  </si>
  <si>
    <t>Dfl[]FPF       Maximum beam deflections of three rectangular beams at FPF loads</t>
  </si>
  <si>
    <t xml:space="preserve">R[]FPF      FPF for rectangular tubing. </t>
  </si>
  <si>
    <t>Dfl(),E-3    Maximum deflection at the free end of a cantilever tubing or center of ss or fixed tubing with the same elliptic cross section, using formulas in Figures 8.3 and 8.5, in mm or mil.</t>
  </si>
  <si>
    <t>Dfl()FPF       Maximum beam deflections of three elliptical beams at FPF loads</t>
  </si>
  <si>
    <t xml:space="preserve">  R/FPF      Lowest strength ratio for intact matrix is first-ply-failure</t>
  </si>
  <si>
    <t xml:space="preserve">  R/ult      Strength ratio at ultimate = MAX(FPF,LPF)</t>
  </si>
  <si>
    <t>Xfx</t>
  </si>
  <si>
    <t>Thermal expansion, E-6/degree</t>
  </si>
  <si>
    <t>vol/f</t>
  </si>
  <si>
    <t>alph/y</t>
  </si>
  <si>
    <t>Efx</t>
  </si>
  <si>
    <t>Moisture expansion,/c</t>
  </si>
  <si>
    <t>Em</t>
  </si>
  <si>
    <t>beta/x</t>
  </si>
  <si>
    <t xml:space="preserve">eta/y </t>
  </si>
  <si>
    <t>beta/y</t>
  </si>
  <si>
    <t>Mod-Base    Difference between the modified and baseline values of temperature and moisture content.</t>
  </si>
  <si>
    <t>Hot/Wet    Values of micromechanical variables when temperature and/or  moisture is changed.</t>
  </si>
  <si>
    <t>Y'</t>
  </si>
  <si>
    <t>S</t>
  </si>
  <si>
    <t>CHART-quick: input/output Variables</t>
  </si>
  <si>
    <t>Input</t>
  </si>
  <si>
    <t>Output</t>
  </si>
  <si>
    <t>v*/y</t>
  </si>
  <si>
    <t>Efy</t>
  </si>
  <si>
    <t>Ply &amp; consti strengths, MPa/ksi</t>
  </si>
  <si>
    <t>INTACT PLY DATA MODULE</t>
  </si>
  <si>
    <t>Temperature and moisture</t>
  </si>
  <si>
    <t xml:space="preserve"> [ply#]        Number of plies for each ply angle or ply group</t>
  </si>
  <si>
    <t>Stiffness</t>
  </si>
  <si>
    <t>Baseline</t>
  </si>
  <si>
    <t>Modified</t>
  </si>
  <si>
    <t>Mod/B</t>
  </si>
  <si>
    <t>T cure</t>
  </si>
  <si>
    <t xml:space="preserve">  R/LPF      Lowest strength ratio for degraded matrix is last-ply-failure</t>
  </si>
  <si>
    <t xml:space="preserve"> R/lim*       Strength ratio based on ultimate = ult/safety</t>
  </si>
  <si>
    <t>Xm</t>
  </si>
  <si>
    <t xml:space="preserve">Read me     THIS MIC-MAC CALCULATES THE STIFFNESS, INDUCED STRAINS AND STRENGTH OF SYMMETRIC LAMINATES SUBJECTED TO IN-PLANE LOADS.  PROGRESSIVE PLY FAILURES ARE INCLUDED.               </t>
  </si>
  <si>
    <t>theta/1</t>
  </si>
  <si>
    <t>theta/2</t>
  </si>
  <si>
    <t>theta/3</t>
  </si>
  <si>
    <t>theta/4</t>
  </si>
  <si>
    <t>Ply mat:    Ply material, in SI or English units</t>
  </si>
  <si>
    <t>T opr</t>
  </si>
  <si>
    <t>Fxy*</t>
  </si>
  <si>
    <t>R/intact    Strength/stress ratio for each ply group using an intact matrix (no matrix/interface cracks).  This is based on traditional laminated plate theory.</t>
  </si>
  <si>
    <t>[repeat]  Repeated sublaminates</t>
  </si>
  <si>
    <t xml:space="preserve">  h, E-3      Total thickness in mm or mil</t>
  </si>
  <si>
    <t>[Rotate]     Rigid body rotation of the entire laminate, in degree</t>
  </si>
  <si>
    <t>c,wet</t>
  </si>
  <si>
    <t>Ply data:</t>
  </si>
  <si>
    <t>[safety]                 Factor of safety</t>
  </si>
  <si>
    <t>R/degraded   Strength/stress ratio of each ply group using a degraded matrix, shown in Figures 7.9 to 7.10.</t>
  </si>
  <si>
    <t>Ex,GPa</t>
  </si>
  <si>
    <t>Ey,GPa</t>
  </si>
  <si>
    <t>Ey</t>
  </si>
  <si>
    <t>T*</t>
  </si>
  <si>
    <t>nu/yz</t>
  </si>
  <si>
    <t>T3/N52[SI]</t>
  </si>
  <si>
    <t>NAME[SI]</t>
  </si>
  <si>
    <t>T/cure</t>
  </si>
  <si>
    <t>T/glass</t>
  </si>
  <si>
    <t>NAME[Eng]</t>
  </si>
  <si>
    <t>gamma/m</t>
  </si>
  <si>
    <t>T/opr</t>
  </si>
  <si>
    <t>gamma/ply</t>
  </si>
  <si>
    <t>ho,E-6mil</t>
  </si>
  <si>
    <t>alph/x,E-6</t>
  </si>
  <si>
    <t>alph/y,E-6</t>
  </si>
  <si>
    <t>MAT[SI]</t>
  </si>
  <si>
    <t>Mat[Eng]</t>
  </si>
  <si>
    <t>AS/H35[SI]</t>
  </si>
  <si>
    <t>AS/H35[Eng]</t>
  </si>
  <si>
    <t>AS4/PK[SI]</t>
  </si>
  <si>
    <t>AS4/PK[Eng]</t>
  </si>
  <si>
    <t>B4/N55[SI]</t>
  </si>
  <si>
    <t>B4/N55[Eng]</t>
  </si>
  <si>
    <t>IM6/ep[SI]</t>
  </si>
  <si>
    <t>IM6/ep[Eng]</t>
  </si>
  <si>
    <t>Kev/ep[SI]</t>
  </si>
  <si>
    <t>Kev/ep[Eng]</t>
  </si>
  <si>
    <t>Scotch[SI]</t>
  </si>
  <si>
    <t>Scotch[Eng]</t>
  </si>
  <si>
    <t>T3/F93[SI]</t>
  </si>
  <si>
    <t>T3/F93[Eng]</t>
  </si>
  <si>
    <t>T3/N52[Eng]</t>
  </si>
  <si>
    <t>Steel[SI]</t>
  </si>
  <si>
    <t>Ishikawa</t>
  </si>
  <si>
    <t>AS4/3501-6</t>
  </si>
  <si>
    <t>Box</t>
  </si>
  <si>
    <t>Box2</t>
  </si>
  <si>
    <t>MIC-MAC/CYLIN VESSEL: {[theta/#], . . .}total</t>
  </si>
  <si>
    <t>Temperature deg and moisture</t>
  </si>
  <si>
    <t xml:space="preserve">   READ ME     THIS MIC-MAC CALCULATES THE DISPLACEMENTS, INDUCED STRAINS AND STRENGTH OF A THIN-WALL CIRCULAR CYLINDRINCAL SHELL  SUBJECTED TO AXIAL LOAD, PRESSURE AND TORQUE. </t>
  </si>
  <si>
    <t xml:space="preserve"> [Ply angle]    Ply angle in degree.  The first ply group is the outermost; i.e., the ply angles run from outer surface toward the center of the vessel.</t>
  </si>
  <si>
    <t xml:space="preserve">           size, m or in    Length and diameter of vessel</t>
  </si>
  <si>
    <t>dL,dD,E-3                  Changes in length or diameter resulting from applied loads using Equation 7.62, or temperature and moisture levels using Equation 15.13, in mm or mil.</t>
  </si>
  <si>
    <t xml:space="preserve">  &lt;sig&gt;   In-plane membrane stress, based on strength of materials, using Equation 7.60, in MPa or ksi</t>
  </si>
  <si>
    <t>&lt;sig&gt;lim        In-plane stress at design limit based on a chosen safety margin, in MPa or ksi</t>
  </si>
  <si>
    <t>&lt;sig&gt;lim*        In-plane stress at ultimate-based limit based on a chosen safety margin, in MPa or ksi</t>
  </si>
  <si>
    <t xml:space="preserve"> {Eo}lim    Effective in-plane engineering constants as defined in the first line of Equation 7.12, in GPa or msi</t>
  </si>
  <si>
    <t xml:space="preserve">   [Length]     Length of pressure vessel in m or in.  This length affects only the angle of twist under torque.</t>
  </si>
  <si>
    <t>Ni,MN/m or kip/in</t>
  </si>
  <si>
    <t xml:space="preserve"> [Diameter]    Diameter of the vessel in m or in.  The wall of the vessel is small so the membrane stress is based on this dimension, rather than the midpoint of the wall.</t>
  </si>
  <si>
    <t xml:space="preserve">  Angle of twist,deg   Resulting from shear coupling of an unbalanced tube as in Equation 7.63, or from applied torque as in Equation 7.64.</t>
  </si>
  <si>
    <t>Thermal expansion, E-6/deg</t>
  </si>
  <si>
    <t xml:space="preserve">  [Load]     Sum of axial, pressure and torque loads</t>
  </si>
  <si>
    <t>[Load]lim                   Load at design limit is equal to the product of strength ratio at limit and applied load.</t>
  </si>
  <si>
    <t xml:space="preserve"> &lt;eps&gt;,E-3   In-plane membrance strain resulting from the membrane stress, using Equation 7.61,in E-3</t>
  </si>
  <si>
    <t xml:space="preserve"> &lt;eps&gt;lim        In-plane strain at design limit based on a chosen safety margin, E-3</t>
  </si>
  <si>
    <t>&lt;eps&gt;lim*        In-plane strain at ultimate-based limit based on a chosen safety margin, E-3</t>
  </si>
  <si>
    <t xml:space="preserve"> &lt;eps&gt;ult       In-plane strain at ultimtate, E-3</t>
  </si>
  <si>
    <t xml:space="preserve">  E^u/E^l    Ratios of the effective engineering constants at design ultimate over limit.   These ratios indicate laminate stiffness degradation due to matrix/interface cracking. </t>
  </si>
  <si>
    <t>Axial load F      Applied load in MN or kip</t>
  </si>
  <si>
    <t xml:space="preserve"> Pressure P       Internal or extermal pressure in MPa or ksi</t>
  </si>
  <si>
    <t>On-axis epsilons</t>
  </si>
  <si>
    <t xml:space="preserve">   Torque        Applied torque in MNm or kip-in.</t>
  </si>
  <si>
    <t xml:space="preserve">Input </t>
  </si>
  <si>
    <t xml:space="preserve">   Em*       Matrix degradation factor required for the last-ply-failure prediction as decribed in Section 12.2, Modeling of Degraded Plies.</t>
  </si>
  <si>
    <t>Efy,GPa</t>
  </si>
  <si>
    <t>Ply &amp; consti strengths, MPa</t>
  </si>
  <si>
    <t xml:space="preserve"> Mod/Base     Ratio of the modified and baseline values.  Be sure that these values are unity with each Mic-Mac; e.g., when units are changed make sure that the starting temperature is 22?C or 71.6캟.</t>
  </si>
  <si>
    <t>Gfx,GPa</t>
  </si>
  <si>
    <t xml:space="preserve">epsx </t>
  </si>
  <si>
    <t>Plane stress stiffness, GPa</t>
  </si>
  <si>
    <t xml:space="preserve">epsy </t>
  </si>
  <si>
    <t xml:space="preserve">epss </t>
  </si>
  <si>
    <t>Linear combinations, GPa</t>
  </si>
  <si>
    <t>Strength parameters, Pa^-18</t>
  </si>
  <si>
    <t>U5=G/iso</t>
  </si>
  <si>
    <t>Fx,E-9</t>
  </si>
  <si>
    <t>Fy,E-9</t>
  </si>
  <si>
    <t>nu</t>
  </si>
  <si>
    <t>Ni, MN/m or kip/in</t>
  </si>
  <si>
    <t>Degraded?</t>
  </si>
  <si>
    <t>MIC-MAC/THIN WALL: {[theta/#. . .]+s, [theta/#. . .]-s}total</t>
  </si>
  <si>
    <t>TOP-FACE PLY DATA MODULE</t>
  </si>
  <si>
    <t>Ply mat+    Ply material for the + laminate, the top facing of the construction</t>
  </si>
  <si>
    <t>Ply mat-    Ply material for the - laminate, the bottom facing of the construction</t>
  </si>
  <si>
    <t>[Ply angle]+    Ply angles for the + or top laminate, in degree</t>
  </si>
  <si>
    <t>[repeat]+   Repeated sublaminate for the + or top laminate</t>
  </si>
  <si>
    <t xml:space="preserve">    h+,#     Total ply number for the + or top laminate</t>
  </si>
  <si>
    <t xml:space="preserve"> [Total h]      Total thickness of the entire thin wall construction</t>
  </si>
  <si>
    <t>[rotate]+     Rigid body rotation of the + or top laminate, in degree</t>
  </si>
  <si>
    <t xml:space="preserve">   [ply#]+       Number of plies for each ply angle or ply group for the + or top  laminate</t>
  </si>
  <si>
    <t>[Ply angle]-    Ply angles for the - or bottom laminate in degree.</t>
  </si>
  <si>
    <t>[repeat]-   Repeated sublaminate for the - or bottom laminate</t>
  </si>
  <si>
    <t xml:space="preserve">    h-,#     Total ply number for the - or bottom laminate</t>
  </si>
  <si>
    <t>% core, c*                   Percentage of sandwich core or entire construction</t>
  </si>
  <si>
    <t>[rotate]-     Rigid body rotation of the - or bottom laminate, in degree</t>
  </si>
  <si>
    <t xml:space="preserve">   [ply#]-     Number of plies for each ply angle or ply group for the - or bottom laminate</t>
  </si>
  <si>
    <t xml:space="preserve">       R+        Strength/stress ratio of the + or top laminate for intact or degraded matrix depending on the degradation factor used in Cell I22.</t>
  </si>
  <si>
    <t xml:space="preserve"> min R+    Lowest strength/stress ratio for the + or top laminate, which would be the FPF if matrix is intact, and LPF if matrix is degraded. </t>
  </si>
  <si>
    <t>{N}+</t>
  </si>
  <si>
    <t xml:space="preserve">       R-        Strength/stress ratio of the - or bottom laminate for intact or degraded matrix depending on the degradation factor used in Cell I24.</t>
  </si>
  <si>
    <t xml:space="preserve"> min R-    Lowest strength/stress ratio for the - or bottom laminate, which would be the FPF if matrix is intact, and LPF if matrix is degraded. </t>
  </si>
  <si>
    <t xml:space="preserve">  {N} MN/m or kip/in</t>
  </si>
  <si>
    <t xml:space="preserve"> &lt;sig&gt;+     Effective in-plane stress in the + laminate, in GPa or ksi</t>
  </si>
  <si>
    <t xml:space="preserve">  [Mod]16   User defined modification of temperature, moisture, and micromechanical variables for the 1 material.  Since backcalculation was used, modified calues should not differ excessively from baseline values.</t>
  </si>
  <si>
    <t>STRENGTH RATIOS</t>
  </si>
  <si>
    <t>[D*], GPa,msi</t>
  </si>
  <si>
    <t>[A*], GPa, msi</t>
  </si>
  <si>
    <t>PD: Progressive damage and failure envelopes</t>
  </si>
  <si>
    <t>PDFlex: Progressive damage for thin construction and failure envelopes</t>
  </si>
  <si>
    <t>Modify Materials?</t>
  </si>
  <si>
    <t>Carbon/Epoxy</t>
  </si>
  <si>
    <t>E-Glass/Epoxy</t>
  </si>
  <si>
    <t>Graphite/Epoxy</t>
  </si>
  <si>
    <t>Nylon</t>
  </si>
  <si>
    <t>Check</t>
  </si>
  <si>
    <t>Shaft: Cantilever shaft with torque, distributred and point loads</t>
  </si>
  <si>
    <t>MIC-MAC/GenLam:  {[theta/#], . . .}</t>
  </si>
  <si>
    <t>f: frequency [Hz] of a drive shaft (based on Timoshenko's formula for a beam with simply supported ends)</t>
  </si>
  <si>
    <t>Hybrid: Mic-Mac for in-plane loads with two materials</t>
  </si>
  <si>
    <t>MIC-MAC/HYBRID: {[theta/#...]+, [theta/#...]-}symm</t>
  </si>
  <si>
    <t xml:space="preserve">  READ ME     THIS MIC-MAC CALCULATES THE STIFFNESS, INDUCED STRAINS AND STRENGTH OF A UNSYMMETRIC THIN WALL CONSTRUCTION (TOP AND BOTTOM PLATES ARE SYMMETRIC ABOUT THEIR OWN MID-PLANE) SUBJECTED TO IN-PLANE AND BENDING LOADS</t>
  </si>
  <si>
    <t>Titanium [SI]</t>
  </si>
  <si>
    <t>ho,E-6inch</t>
  </si>
  <si>
    <t>Lam 3D</t>
  </si>
  <si>
    <t>AS4/H3501[SI]</t>
  </si>
  <si>
    <t>AS4/H3501[Eng]</t>
  </si>
  <si>
    <t>MaterialSelector_f</t>
  </si>
  <si>
    <t>21   --Custom Material</t>
  </si>
  <si>
    <t>AS4/PEEK[SI]</t>
  </si>
  <si>
    <t>AS4/PEEK[Eng]</t>
  </si>
  <si>
    <t>IM6/epoxy[Eng]</t>
  </si>
  <si>
    <t>Kevlar/epoxy[Eng]</t>
  </si>
  <si>
    <t>Aluminum[Eng]</t>
  </si>
  <si>
    <t>C-Ply 55[SI]</t>
  </si>
  <si>
    <t>C-Ply 55</t>
  </si>
  <si>
    <t>Aij°</t>
  </si>
  <si>
    <t>U1*</t>
  </si>
  <si>
    <t>U4*</t>
  </si>
  <si>
    <t>U5*</t>
  </si>
  <si>
    <t>Trace</t>
  </si>
  <si>
    <t>A11*</t>
  </si>
  <si>
    <t>A22*</t>
  </si>
  <si>
    <t>A66*</t>
  </si>
  <si>
    <t>[1/a*]</t>
  </si>
  <si>
    <t>AS4/35</t>
  </si>
  <si>
    <t>AS4/937</t>
  </si>
  <si>
    <t>AS4/PK</t>
  </si>
  <si>
    <t>Boron/55</t>
  </si>
  <si>
    <t>Glass/ep</t>
  </si>
  <si>
    <t>Median</t>
  </si>
  <si>
    <t>Coeff var</t>
  </si>
  <si>
    <t>* not included in the median and cv calculation</t>
  </si>
  <si>
    <t>Trace, GPa</t>
  </si>
  <si>
    <t>Trace*</t>
  </si>
  <si>
    <t>Carbon composites</t>
  </si>
  <si>
    <t>Qxy*</t>
  </si>
  <si>
    <t>Qyy*</t>
  </si>
  <si>
    <t>Qss*</t>
  </si>
  <si>
    <t>Qxx*</t>
  </si>
  <si>
    <t>Qxx*+Qyy*</t>
  </si>
  <si>
    <t>Qxx/Qyy</t>
  </si>
  <si>
    <t>Qxx/Qss</t>
  </si>
  <si>
    <t>Qxx/Qxy</t>
  </si>
  <si>
    <t>Qyy/Qss</t>
  </si>
  <si>
    <t>Qyy/Qxy</t>
  </si>
  <si>
    <t>Qss/Qxy</t>
  </si>
  <si>
    <t>Poisson</t>
  </si>
  <si>
    <t>Tr, GPa</t>
  </si>
  <si>
    <t>cv</t>
  </si>
  <si>
    <t>Master ply [SI]</t>
  </si>
  <si>
    <t>Tr [G]</t>
  </si>
  <si>
    <t>[A°]/Tr</t>
  </si>
  <si>
    <t>[A°]/Tr Master ply</t>
  </si>
  <si>
    <t>Real/Master ply</t>
  </si>
  <si>
    <t>T800/Cytec</t>
  </si>
  <si>
    <t>T800/Cytec SI</t>
  </si>
  <si>
    <t>IM7/977-3</t>
  </si>
  <si>
    <t>Master ply</t>
  </si>
  <si>
    <t>[0/±45]; 2:1</t>
  </si>
  <si>
    <t>E1*</t>
  </si>
  <si>
    <t>E2*</t>
  </si>
  <si>
    <t>nu/21*</t>
  </si>
  <si>
    <t>R/LPF no microcrcking</t>
  </si>
  <si>
    <t>Tr {G}</t>
  </si>
  <si>
    <t>C-Ply 64[SI]</t>
  </si>
  <si>
    <t>Kevlar/ep[SI]</t>
  </si>
  <si>
    <t>Alum[SI]</t>
  </si>
  <si>
    <t>T800/Cyt[SI]</t>
  </si>
  <si>
    <t>IM7/977[SI]</t>
  </si>
  <si>
    <t>Master ply[SI]</t>
  </si>
  <si>
    <t>C-Ply 64</t>
  </si>
  <si>
    <t>E2*/E1*</t>
  </si>
  <si>
    <t>T300/5208</t>
  </si>
  <si>
    <t>IM6/epoxy</t>
  </si>
  <si>
    <t>IM7/8552[SI]</t>
  </si>
  <si>
    <t>IM7/MTM45</t>
  </si>
  <si>
    <t>Std dev</t>
  </si>
  <si>
    <t>CV</t>
  </si>
  <si>
    <t>sfdgewrwr</t>
  </si>
  <si>
    <t>Trace [F]</t>
  </si>
  <si>
    <t>Omni</t>
  </si>
  <si>
    <t>IM7/8552</t>
  </si>
  <si>
    <t>Inv strain</t>
  </si>
  <si>
    <t>[π/4]</t>
  </si>
  <si>
    <t>F11</t>
  </si>
  <si>
    <t>F66</t>
  </si>
  <si>
    <t>Tr [F]</t>
  </si>
  <si>
    <t>F11/Tr</t>
  </si>
  <si>
    <t>F66/Tr</t>
  </si>
  <si>
    <t>AS4/3501</t>
  </si>
  <si>
    <t>G66</t>
  </si>
  <si>
    <t>Material [0]</t>
  </si>
  <si>
    <t>Qss*,Es</t>
  </si>
  <si>
    <t>T7 C-Ply 55</t>
  </si>
  <si>
    <t>T7 C-Ply 64</t>
  </si>
  <si>
    <t>AS4/F937</t>
  </si>
  <si>
    <t>T300/N5208</t>
  </si>
  <si>
    <t>IM&amp;/MTM45</t>
  </si>
  <si>
    <t>Tr/Tr</t>
  </si>
  <si>
    <t>S/(XX')^.5</t>
  </si>
  <si>
    <t>Gxx*</t>
  </si>
  <si>
    <t>Gxx*+Gyy*</t>
  </si>
  <si>
    <t>Gss*</t>
  </si>
  <si>
    <t>eps s 0.218Tr</t>
  </si>
  <si>
    <t>T3/973</t>
  </si>
  <si>
    <t>T3/5208</t>
  </si>
  <si>
    <t>IM7/977</t>
  </si>
  <si>
    <t>T8/Cytec</t>
  </si>
  <si>
    <t>Percent Error</t>
  </si>
  <si>
    <t xml:space="preserve">[0] </t>
  </si>
  <si>
    <t>X = Y</t>
  </si>
  <si>
    <t>X' = Y'</t>
  </si>
  <si>
    <t>F11 = F22</t>
  </si>
  <si>
    <t>G66*</t>
  </si>
  <si>
    <t>F66*</t>
  </si>
  <si>
    <t>F11*</t>
  </si>
  <si>
    <t>G11</t>
  </si>
  <si>
    <t>G11*</t>
  </si>
  <si>
    <t xml:space="preserve">                          </t>
  </si>
  <si>
    <t>F66*/G66*</t>
  </si>
  <si>
    <t>F11*/G11*</t>
  </si>
  <si>
    <t>S*</t>
  </si>
  <si>
    <t>Tr [F]#</t>
  </si>
  <si>
    <t>Tr [F]m</t>
  </si>
  <si>
    <t>Error [F]</t>
  </si>
  <si>
    <t>Tr [G]#</t>
  </si>
  <si>
    <t>F11m</t>
  </si>
  <si>
    <t>G11*m</t>
  </si>
  <si>
    <t>G11*#</t>
  </si>
  <si>
    <t>G66*m</t>
  </si>
  <si>
    <t>G66*#</t>
  </si>
  <si>
    <t>F11*#</t>
  </si>
  <si>
    <t>F66*#</t>
  </si>
  <si>
    <t>F11#</t>
  </si>
  <si>
    <t>F66#</t>
  </si>
  <si>
    <t>G11m</t>
  </si>
  <si>
    <t>G66m</t>
  </si>
  <si>
    <t>F66m</t>
  </si>
  <si>
    <t xml:space="preserve"> eps1 F11</t>
  </si>
  <si>
    <t>eps6 F66</t>
  </si>
  <si>
    <t>eps1 G11</t>
  </si>
  <si>
    <t>eps6 G66</t>
  </si>
  <si>
    <t>F11%</t>
  </si>
  <si>
    <t>F66%</t>
  </si>
  <si>
    <t>kf</t>
  </si>
  <si>
    <t>Tr [G]m</t>
  </si>
  <si>
    <t>x'</t>
  </si>
  <si>
    <t>Std deviation</t>
  </si>
  <si>
    <t>Master GPa</t>
  </si>
  <si>
    <t>s</t>
  </si>
  <si>
    <t>Tr [G]/11</t>
  </si>
  <si>
    <t>Tr [G]/66</t>
  </si>
  <si>
    <t>Error/11</t>
  </si>
  <si>
    <t>Error/66</t>
  </si>
  <si>
    <t>Tr F,G</t>
  </si>
  <si>
    <t>T700 C-Ply 55</t>
  </si>
  <si>
    <t>T700 C-Ply 64</t>
  </si>
  <si>
    <t>Theta</t>
  </si>
  <si>
    <t>MEDIAN</t>
  </si>
  <si>
    <t>Std dev*</t>
  </si>
  <si>
    <t>Laminate</t>
  </si>
  <si>
    <t>Percent [0]</t>
  </si>
  <si>
    <t>Percent [±45]</t>
  </si>
  <si>
    <t>Percent [90]</t>
  </si>
  <si>
    <t>[0/90]</t>
  </si>
  <si>
    <t>T700/2510</t>
  </si>
  <si>
    <t>T4708/MR60H</t>
  </si>
  <si>
    <t>T650/epoxy</t>
  </si>
  <si>
    <t>IM7/8552 N</t>
  </si>
  <si>
    <t>Cytec/MTM45</t>
  </si>
  <si>
    <t>OHT</t>
  </si>
  <si>
    <t>OHC</t>
  </si>
  <si>
    <t>OHC/X'</t>
  </si>
  <si>
    <t>OHC, MPa</t>
  </si>
  <si>
    <t>MicMac/In-Plane</t>
  </si>
  <si>
    <t>T800S/3900</t>
  </si>
  <si>
    <t>T650/ep fabric [SI]</t>
  </si>
  <si>
    <t>AS4/MTM45</t>
  </si>
  <si>
    <t>Ex +</t>
  </si>
  <si>
    <t>Ey +</t>
  </si>
  <si>
    <t>Ey -</t>
  </si>
  <si>
    <t>Ex -</t>
  </si>
  <si>
    <t>Ef</t>
  </si>
  <si>
    <t>2D</t>
  </si>
  <si>
    <t xml:space="preserve">[D] </t>
  </si>
  <si>
    <t>Nm</t>
  </si>
  <si>
    <t>N/m</t>
  </si>
  <si>
    <t>MN/m</t>
  </si>
  <si>
    <t>kN</t>
  </si>
  <si>
    <t xml:space="preserve">[D*] </t>
  </si>
  <si>
    <t>GPa</t>
  </si>
  <si>
    <t>Coeff variation</t>
  </si>
  <si>
    <t>X/Ex</t>
  </si>
  <si>
    <t>X'/Ex</t>
  </si>
  <si>
    <t>50/43/7</t>
  </si>
  <si>
    <t>8/38/8</t>
  </si>
  <si>
    <t>50/40/10</t>
  </si>
  <si>
    <t>π/4</t>
  </si>
  <si>
    <t>[0]+</t>
  </si>
  <si>
    <t>[0]-</t>
  </si>
  <si>
    <t>[π/4]+</t>
  </si>
  <si>
    <t>50/40/10+</t>
  </si>
  <si>
    <t>50/40/10-</t>
  </si>
  <si>
    <t>8/84/8+</t>
  </si>
  <si>
    <t>8/84/8-</t>
  </si>
  <si>
    <t>Soft1</t>
  </si>
  <si>
    <t>Hard1</t>
  </si>
  <si>
    <t>stdev</t>
  </si>
  <si>
    <t>U1/D</t>
  </si>
  <si>
    <t>U1/A</t>
  </si>
  <si>
    <t>l;</t>
  </si>
  <si>
    <t>Tr-normalized</t>
  </si>
  <si>
    <t>U2*</t>
  </si>
  <si>
    <t>U3*</t>
  </si>
  <si>
    <t>U*</t>
  </si>
  <si>
    <t>C 64</t>
  </si>
  <si>
    <t>7/977</t>
  </si>
  <si>
    <t>T8/cy</t>
  </si>
  <si>
    <t>Radius</t>
  </si>
  <si>
    <t>eps I</t>
  </si>
  <si>
    <t>eps II</t>
  </si>
  <si>
    <t>k/I</t>
  </si>
  <si>
    <t>k/II</t>
  </si>
  <si>
    <t>e/x,e'/x</t>
  </si>
  <si>
    <t>R unit circle LPF</t>
  </si>
  <si>
    <t>T800S/3900[Eng]</t>
  </si>
  <si>
    <t>sld;'fk</t>
  </si>
  <si>
    <t>Steel[Eng]</t>
  </si>
  <si>
    <t>C-Ply 55[Eng]</t>
  </si>
  <si>
    <t>IM7/977[Eng]</t>
  </si>
  <si>
    <t>T800/Cyt[Eng]</t>
  </si>
  <si>
    <t>IM7/8552[Eng]</t>
  </si>
  <si>
    <t>IM7/MTM[SI]</t>
  </si>
  <si>
    <t>IM7/MTM[Eng]</t>
  </si>
  <si>
    <t>T7/2510[SI]</t>
  </si>
  <si>
    <t>T7/2510[Eng]</t>
  </si>
  <si>
    <t>T650/ep[SI]</t>
  </si>
  <si>
    <t>T650/ep[Eng]</t>
  </si>
  <si>
    <t>IM7/8552'[SI]</t>
  </si>
  <si>
    <t>IM7/8552N[Eng]</t>
  </si>
  <si>
    <t>T4708/MR[SI]</t>
  </si>
  <si>
    <t>T4708/MR[Eng]</t>
  </si>
  <si>
    <t>IM7/MTM'[SI]</t>
  </si>
  <si>
    <t>IM7/MT N[Eng]</t>
  </si>
  <si>
    <t>T8S/3900[SI]</t>
  </si>
  <si>
    <t>T8S/3900[Eng]</t>
  </si>
  <si>
    <t>T650/ep fabric[Eng]</t>
  </si>
  <si>
    <t>Chomarat gl[Eng]</t>
  </si>
  <si>
    <t>R unit circle FPF</t>
  </si>
  <si>
    <t>UC FPF</t>
  </si>
  <si>
    <t>UC LPF</t>
  </si>
  <si>
    <t>DD</t>
  </si>
  <si>
    <t>Quad</t>
  </si>
  <si>
    <t>[ply#]        Number of plies for each ply angle or ply group</t>
  </si>
  <si>
    <t xml:space="preserve">  h+, E-3</t>
  </si>
  <si>
    <t xml:space="preserve">  h-, E-3 </t>
  </si>
  <si>
    <t>repeat  Repeated sublaminates</t>
  </si>
  <si>
    <t>Total</t>
  </si>
  <si>
    <t xml:space="preserve">   h+, #    Total thickness including core in number of plies</t>
  </si>
  <si>
    <t xml:space="preserve">   h-, #    Total thickness including core in number of plies</t>
  </si>
  <si>
    <t>QI</t>
  </si>
  <si>
    <t>B</t>
  </si>
  <si>
    <t>D16</t>
  </si>
  <si>
    <t>theta1</t>
  </si>
  <si>
    <t>theta2</t>
  </si>
  <si>
    <t>theta3</t>
  </si>
  <si>
    <t>theta4</t>
  </si>
  <si>
    <t>theta5</t>
  </si>
  <si>
    <t>theta6</t>
  </si>
  <si>
    <t>theta7</t>
  </si>
  <si>
    <t>theta8</t>
  </si>
  <si>
    <t>dksjf</t>
  </si>
  <si>
    <t>Average</t>
  </si>
  <si>
    <t>StdevP</t>
  </si>
  <si>
    <t>Average Y</t>
  </si>
  <si>
    <t>MIC-MAC/STRAIN: {[theta/#], . . .}symm</t>
  </si>
  <si>
    <t>Total ply#</t>
  </si>
  <si>
    <t>Moiture</t>
  </si>
  <si>
    <t>T720S/ep</t>
  </si>
  <si>
    <t>cos</t>
  </si>
  <si>
    <t>sin</t>
  </si>
  <si>
    <t>cos +180</t>
  </si>
  <si>
    <t>sin +180</t>
  </si>
  <si>
    <t>+psi</t>
  </si>
  <si>
    <t>-psi</t>
  </si>
  <si>
    <t>+phi</t>
  </si>
  <si>
    <t>-phi</t>
  </si>
  <si>
    <t>No plies</t>
  </si>
  <si>
    <t>Tsai</t>
  </si>
  <si>
    <t>Tsai's</t>
  </si>
  <si>
    <t>[±0/±25]</t>
  </si>
  <si>
    <t>[±0/±45]</t>
  </si>
  <si>
    <t>›</t>
  </si>
  <si>
    <t>D12</t>
  </si>
  <si>
    <t>D26</t>
  </si>
  <si>
    <t>D11*</t>
  </si>
  <si>
    <t>D22*</t>
  </si>
  <si>
    <t>D66*</t>
  </si>
  <si>
    <t>D12*</t>
  </si>
  <si>
    <t>±D16*</t>
  </si>
  <si>
    <t>±D26*</t>
  </si>
  <si>
    <t>Hard 30°</t>
  </si>
  <si>
    <t>Hard 0°</t>
  </si>
  <si>
    <t>T8S/3900</t>
  </si>
  <si>
    <t>T800/Cyt</t>
  </si>
  <si>
    <r>
      <rPr>
        <b/>
        <sz val="11"/>
        <rFont val="Calibri"/>
        <family val="2"/>
      </rPr>
      <t>MN/m</t>
    </r>
  </si>
  <si>
    <r>
      <t>[A*]/</t>
    </r>
    <r>
      <rPr>
        <sz val="12"/>
        <color indexed="10"/>
        <rFont val="Calibri"/>
        <family val="2"/>
      </rPr>
      <t>Tr</t>
    </r>
  </si>
  <si>
    <r>
      <t>[D*]/</t>
    </r>
    <r>
      <rPr>
        <sz val="12"/>
        <color indexed="10"/>
        <rFont val="Calibri"/>
        <family val="2"/>
      </rPr>
      <t>Tr</t>
    </r>
  </si>
  <si>
    <r>
      <t>[B*]/</t>
    </r>
    <r>
      <rPr>
        <sz val="12"/>
        <color indexed="10"/>
        <rFont val="Calibri"/>
        <family val="2"/>
      </rPr>
      <t>Tr</t>
    </r>
  </si>
  <si>
    <r>
      <t>[A]/</t>
    </r>
    <r>
      <rPr>
        <sz val="12"/>
        <color indexed="53"/>
        <rFont val="Calibri"/>
        <family val="2"/>
      </rPr>
      <t>Tr</t>
    </r>
  </si>
  <si>
    <r>
      <t>[D]/</t>
    </r>
    <r>
      <rPr>
        <sz val="12"/>
        <color indexed="49"/>
        <rFont val="Calibri"/>
        <family val="2"/>
      </rPr>
      <t>Tr</t>
    </r>
  </si>
  <si>
    <r>
      <t>[B]/</t>
    </r>
    <r>
      <rPr>
        <sz val="12"/>
        <color indexed="17"/>
        <rFont val="Calibri"/>
        <family val="2"/>
      </rPr>
      <t>Tr?</t>
    </r>
  </si>
  <si>
    <t>E1°</t>
  </si>
  <si>
    <t>E2°</t>
  </si>
  <si>
    <t>E6°</t>
  </si>
  <si>
    <t>nu/16</t>
  </si>
  <si>
    <t>nu/26</t>
  </si>
  <si>
    <t>[±45]</t>
  </si>
  <si>
    <t>C: [A]</t>
  </si>
  <si>
    <t>G: [A]</t>
  </si>
  <si>
    <t>Ei*</t>
  </si>
  <si>
    <t>C: Eng'g</t>
  </si>
  <si>
    <t>G: Eng'g</t>
  </si>
  <si>
    <t>E1/E6</t>
  </si>
  <si>
    <t>A11/A66</t>
  </si>
  <si>
    <t>Teta 3</t>
  </si>
  <si>
    <t>Code</t>
  </si>
  <si>
    <t>2143</t>
  </si>
  <si>
    <t>2413</t>
  </si>
  <si>
    <t>2134</t>
  </si>
  <si>
    <t>2341</t>
  </si>
  <si>
    <t>2314</t>
  </si>
  <si>
    <t>4213</t>
  </si>
  <si>
    <t>1243</t>
  </si>
  <si>
    <t>1234</t>
  </si>
  <si>
    <t>4231</t>
  </si>
  <si>
    <t>1423</t>
  </si>
  <si>
    <t>4123</t>
  </si>
  <si>
    <t>D16*</t>
  </si>
  <si>
    <t>A16*</t>
  </si>
  <si>
    <t>1122</t>
  </si>
  <si>
    <t>1212</t>
  </si>
  <si>
    <t>2121</t>
  </si>
  <si>
    <t>2211</t>
  </si>
  <si>
    <t>11221122 … 1122</t>
  </si>
  <si>
    <t>12121212 … 1212</t>
  </si>
  <si>
    <t>Actual</t>
  </si>
  <si>
    <t xml:space="preserve">    22112211 … 2211</t>
  </si>
  <si>
    <t xml:space="preserve">  21212121 … 2121</t>
  </si>
  <si>
    <t>DD2</t>
  </si>
  <si>
    <t>[±30]</t>
  </si>
  <si>
    <t>A11=A22</t>
  </si>
  <si>
    <t>[±f]</t>
  </si>
  <si>
    <t>[±y]</t>
  </si>
  <si>
    <t>[±0.0]</t>
  </si>
  <si>
    <t>[±7.5]</t>
  </si>
  <si>
    <t>[±15.0]</t>
  </si>
  <si>
    <t>[±22.5]</t>
  </si>
  <si>
    <t>[±30.0]</t>
  </si>
  <si>
    <t>[±37.5]</t>
  </si>
  <si>
    <t>[±45.0]</t>
  </si>
  <si>
    <t>[QI}</t>
  </si>
  <si>
    <t>#</t>
  </si>
  <si>
    <t>D16/D11</t>
  </si>
  <si>
    <t>Descending</t>
  </si>
  <si>
    <t>Staggered</t>
  </si>
  <si>
    <t>|B|</t>
  </si>
  <si>
    <t>|D|</t>
  </si>
  <si>
    <t>Min repeats [B*] ≤ 1%</t>
  </si>
  <si>
    <t>Min repeats [B*] ≤ 2%</t>
  </si>
  <si>
    <t xml:space="preserve">       Same core</t>
  </si>
  <si>
    <r>
      <t>11</t>
    </r>
    <r>
      <rPr>
        <sz val="12"/>
        <color indexed="10"/>
        <rFont val="Calibri"/>
        <family val="2"/>
      </rPr>
      <t>221122 … 1122</t>
    </r>
  </si>
  <si>
    <r>
      <t xml:space="preserve">    </t>
    </r>
    <r>
      <rPr>
        <sz val="12"/>
        <color indexed="10"/>
        <rFont val="Calibri"/>
        <family val="2"/>
      </rPr>
      <t>22112211 … 22</t>
    </r>
    <r>
      <rPr>
        <sz val="12"/>
        <rFont val="Calibri"/>
        <family val="2"/>
      </rPr>
      <t>11</t>
    </r>
  </si>
  <si>
    <r>
      <t>1</t>
    </r>
    <r>
      <rPr>
        <sz val="12"/>
        <color indexed="10"/>
        <rFont val="Calibri"/>
        <family val="2"/>
      </rPr>
      <t>2121212 … 1212</t>
    </r>
  </si>
  <si>
    <r>
      <t xml:space="preserve"> </t>
    </r>
    <r>
      <rPr>
        <sz val="12"/>
        <color indexed="10"/>
        <rFont val="Calibri"/>
        <family val="2"/>
      </rPr>
      <t xml:space="preserve"> 21212121 … 212</t>
    </r>
    <r>
      <rPr>
        <sz val="12"/>
        <rFont val="Calibri"/>
        <family val="2"/>
      </rPr>
      <t>1</t>
    </r>
  </si>
  <si>
    <t>Min r [B*] ≤ 1%</t>
  </si>
  <si>
    <t>Min r [B*] ≤ 2%</t>
  </si>
  <si>
    <t># repeeat staggered [B*] ≤ 1%</t>
  </si>
  <si>
    <t># repeat grouped [B*] ≤ 1%</t>
  </si>
  <si>
    <t>Matching DD</t>
  </si>
  <si>
    <t>±F</t>
  </si>
  <si>
    <t>±Y</t>
  </si>
  <si>
    <t>\</t>
  </si>
  <si>
    <t>[A]+</t>
  </si>
  <si>
    <t>[A]-</t>
  </si>
  <si>
    <t>Paired</t>
  </si>
  <si>
    <t>)</t>
  </si>
  <si>
    <t>!%</t>
  </si>
  <si>
    <t>[A/-B/-A/B]/rT</t>
  </si>
  <si>
    <t>[A/B/-A/-B]/rT</t>
  </si>
  <si>
    <t>[A/-B/B/-A]/rT</t>
  </si>
  <si>
    <t>[A/-A/B/-B]/rT</t>
  </si>
  <si>
    <t>&lt;sig&gt;FPF</t>
  </si>
  <si>
    <t>{M} MN or kip    Applied moment</t>
  </si>
  <si>
    <t>theta/16</t>
  </si>
  <si>
    <t>theta/15</t>
  </si>
  <si>
    <t>theta/14</t>
  </si>
  <si>
    <t>theta/13</t>
  </si>
  <si>
    <t>theta/12</t>
  </si>
  <si>
    <t>theta/11</t>
  </si>
  <si>
    <t>theta/10</t>
  </si>
  <si>
    <t>theta/9</t>
  </si>
  <si>
    <t>[Q]/5</t>
  </si>
  <si>
    <t>[Q]/6</t>
  </si>
  <si>
    <t>[Q]/7</t>
  </si>
  <si>
    <t>[Q]/8</t>
  </si>
  <si>
    <t>theta/20</t>
  </si>
  <si>
    <t>theta/19</t>
  </si>
  <si>
    <t>theta/18</t>
  </si>
  <si>
    <t>theta/17</t>
  </si>
  <si>
    <t>dimensionless</t>
  </si>
  <si>
    <t>[A*] in-plane stiffness</t>
  </si>
  <si>
    <t>theta/21</t>
  </si>
  <si>
    <t>theta/22</t>
  </si>
  <si>
    <t>theta/23</t>
  </si>
  <si>
    <t>theta/24</t>
  </si>
  <si>
    <t>[Q]/24</t>
  </si>
  <si>
    <t>[Q]/23</t>
  </si>
  <si>
    <t>[Q]/22</t>
  </si>
  <si>
    <t>[Q]/21</t>
  </si>
  <si>
    <t>[Q]/20</t>
  </si>
  <si>
    <t>[Q]/19</t>
  </si>
  <si>
    <t>[Q]/18</t>
  </si>
  <si>
    <t>[Q]/17</t>
  </si>
  <si>
    <t>[Q]/16</t>
  </si>
  <si>
    <t>[Q]/15</t>
  </si>
  <si>
    <t>[Q]/13</t>
  </si>
  <si>
    <t>[Q]/14</t>
  </si>
  <si>
    <t>[Q]/9</t>
  </si>
  <si>
    <t>[Q]/10</t>
  </si>
  <si>
    <t>[Q]/11</t>
  </si>
  <si>
    <t>[Q]/12</t>
  </si>
  <si>
    <t>B*</t>
  </si>
  <si>
    <t>A*</t>
  </si>
  <si>
    <t>Thickness normalized</t>
  </si>
  <si>
    <t>Min repeat</t>
  </si>
  <si>
    <t>Stag2</t>
  </si>
  <si>
    <t>Stag1</t>
  </si>
  <si>
    <t>Stag3</t>
  </si>
  <si>
    <t>2% of maste-ply |D61|, |D62|, and [|B|]</t>
  </si>
  <si>
    <t>Unsymm</t>
  </si>
  <si>
    <t>Symmtric</t>
  </si>
  <si>
    <t>Repeat</t>
  </si>
  <si>
    <t>k/I FPF</t>
  </si>
  <si>
    <t>k/II FPF</t>
  </si>
  <si>
    <t>R UC FPF</t>
  </si>
  <si>
    <t>k/I ult</t>
  </si>
  <si>
    <t>k/II ult</t>
  </si>
  <si>
    <t>R UC ult</t>
  </si>
  <si>
    <t>e/x FPF</t>
  </si>
  <si>
    <t>e'/x FPF</t>
  </si>
  <si>
    <t>e/x ult</t>
  </si>
  <si>
    <t>e'/x ult</t>
  </si>
  <si>
    <t>UC ult</t>
  </si>
  <si>
    <t xml:space="preserve"> &lt;eps&gt;ult   Effective in-plane strain at ultimate, &lt;epsilon?R/ult</t>
  </si>
  <si>
    <t>&lt;sig&gt;ult   Effective in-plane stress at ultimate, &lt;sigma?R/ult</t>
  </si>
  <si>
    <t>&lt;sigf&gt;ult    Effective flexural stress at ultimate, &lt;sigma^f&gt;R/ult</t>
  </si>
  <si>
    <t>TW/FPF      Lowest strength ratio for intact matrix is first-ply-failure</t>
  </si>
  <si>
    <t>TW/ult</t>
  </si>
  <si>
    <t>Unit circle</t>
  </si>
  <si>
    <t>Tsai-Wu</t>
  </si>
  <si>
    <t>Enter A* matrix</t>
  </si>
  <si>
    <t>Enter D* matrix</t>
  </si>
  <si>
    <t>U5</t>
  </si>
  <si>
    <t>V1*</t>
  </si>
  <si>
    <t>V2*</t>
  </si>
  <si>
    <t>V3*</t>
  </si>
  <si>
    <t>V4*</t>
  </si>
  <si>
    <t>Cos 2 PSI</t>
  </si>
  <si>
    <t>Cos 2 PHI</t>
  </si>
  <si>
    <t>PHI</t>
  </si>
  <si>
    <t>PSI</t>
  </si>
  <si>
    <t>U's Normalized to TRACE</t>
  </si>
  <si>
    <t>COS2PHI</t>
  </si>
  <si>
    <t>COS 2PSI</t>
  </si>
  <si>
    <t>In-Plane: Basic Mic-Mac for in-plane loads - Equivalent DD calculation</t>
  </si>
  <si>
    <t>W1*</t>
  </si>
  <si>
    <t>W2*</t>
  </si>
  <si>
    <t>W3*</t>
  </si>
  <si>
    <t>W4*</t>
  </si>
  <si>
    <t>COS2PSI</t>
  </si>
  <si>
    <t>D*</t>
  </si>
  <si>
    <t>16 = 61</t>
  </si>
  <si>
    <t>26 = 62</t>
  </si>
  <si>
    <t>DOUBLE  FOR</t>
  </si>
  <si>
    <t>Equivalent DD calculation</t>
  </si>
  <si>
    <t>PSI (+/-)</t>
  </si>
  <si>
    <t>PHI (+/-)</t>
  </si>
  <si>
    <t>GenLam: 24 orientations Equivalent DD calculation</t>
  </si>
  <si>
    <t>[Rotate</t>
  </si>
  <si>
    <t xml:space="preserve">MicMac/In-Plane  For the DD (validation) </t>
  </si>
  <si>
    <t>A*= D*</t>
  </si>
  <si>
    <t>Tsai-Wu(MPa)</t>
  </si>
  <si>
    <t>MPa</t>
  </si>
  <si>
    <t>V2</t>
  </si>
  <si>
    <r>
      <t xml:space="preserve"> DD equivalent laminate in the general form of [± PHI/±PSI]n</t>
    </r>
    <r>
      <rPr>
        <b/>
        <vertAlign val="subscript"/>
        <sz val="11"/>
        <color rgb="FFFF0000"/>
        <rFont val="Geneva"/>
      </rPr>
      <t>T</t>
    </r>
  </si>
  <si>
    <t>PSI =</t>
  </si>
  <si>
    <t xml:space="preserve">PHI = </t>
  </si>
  <si>
    <t>n repeat</t>
  </si>
  <si>
    <r>
      <t xml:space="preserve"> DD equivalent laminate in the general form of [± PHI/±PSI]n</t>
    </r>
    <r>
      <rPr>
        <b/>
        <vertAlign val="subscript"/>
        <sz val="10"/>
        <color rgb="FFFF0000"/>
        <rFont val="Geneva"/>
      </rPr>
      <t>T</t>
    </r>
  </si>
  <si>
    <t>(match A)</t>
  </si>
  <si>
    <t>(match 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</si>
</sst>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E+00"/>
    <numFmt numFmtId="165" formatCode="0.0"/>
    <numFmt numFmtId="166" formatCode="0.000"/>
    <numFmt numFmtId="167" formatCode="0.0E+00"/>
    <numFmt numFmtId="168" formatCode="0.000E+00"/>
    <numFmt numFmtId="169" formatCode="0.0000"/>
    <numFmt numFmtId="170" formatCode="0."/>
    <numFmt numFmtId="171" formatCode="0.0."/>
    <numFmt numFmtId="172" formatCode="0.00."/>
    <numFmt numFmtId="173" formatCode="0.000000"/>
    <numFmt numFmtId="174" formatCode="0.00000"/>
    <numFmt numFmtId="175" formatCode="000E+00"/>
    <numFmt numFmtId="176" formatCode="00.00"/>
    <numFmt numFmtId="177" formatCode="0.0%"/>
    <numFmt numFmtId="178" formatCode="0.000000000000000"/>
    <numFmt numFmtId="179" formatCode="0.0000000000"/>
  </numFmts>
  <fonts count="128">
    <font>
      <sz val="12"/>
      <name val="Chemistry"/>
      <family val="2"/>
    </font>
    <font>
      <sz val="10"/>
      <name val="Geneva"/>
      <family val="2"/>
      <charset val="1"/>
    </font>
    <font>
      <sz val="12"/>
      <name val="Geneva"/>
      <family val="2"/>
      <charset val="1"/>
    </font>
    <font>
      <b/>
      <sz val="12"/>
      <name val="Geneva"/>
      <family val="2"/>
      <charset val="1"/>
    </font>
    <font>
      <sz val="12"/>
      <name val="Chemistry"/>
      <family val="2"/>
    </font>
    <font>
      <sz val="8"/>
      <name val="돋움"/>
      <family val="3"/>
    </font>
    <font>
      <sz val="10"/>
      <name val="Helv"/>
      <family val="2"/>
    </font>
    <font>
      <sz val="10"/>
      <color indexed="10"/>
      <name val="Helv"/>
      <family val="2"/>
    </font>
    <font>
      <sz val="10"/>
      <color indexed="8"/>
      <name val="Helv"/>
      <family val="2"/>
    </font>
    <font>
      <b/>
      <sz val="10"/>
      <name val="Helv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Geneva"/>
      <family val="2"/>
      <charset val="1"/>
    </font>
    <font>
      <sz val="10"/>
      <name val="MS Sans Serif"/>
      <family val="2"/>
    </font>
    <font>
      <sz val="10"/>
      <color indexed="16"/>
      <name val="Arial"/>
      <family val="2"/>
    </font>
    <font>
      <sz val="10"/>
      <color indexed="10"/>
      <name val="Arial"/>
      <family val="2"/>
    </font>
    <font>
      <b/>
      <sz val="10"/>
      <name val="Geneva"/>
      <family val="2"/>
      <charset val="1"/>
    </font>
    <font>
      <b/>
      <sz val="10"/>
      <color indexed="8"/>
      <name val="Arial"/>
      <family val="2"/>
    </font>
    <font>
      <b/>
      <sz val="10"/>
      <color indexed="16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b/>
      <sz val="10"/>
      <color indexed="17"/>
      <name val="Arial"/>
      <family val="2"/>
    </font>
    <font>
      <sz val="10"/>
      <color indexed="13"/>
      <name val="Arial"/>
      <family val="2"/>
    </font>
    <font>
      <b/>
      <sz val="12"/>
      <color indexed="10"/>
      <name val="Arial"/>
      <family val="2"/>
    </font>
    <font>
      <b/>
      <sz val="12"/>
      <color indexed="12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sz val="10"/>
      <name val="Times"/>
      <family val="1"/>
    </font>
    <font>
      <sz val="10"/>
      <color indexed="16"/>
      <name val="Helv"/>
      <family val="2"/>
    </font>
    <font>
      <b/>
      <sz val="10"/>
      <color indexed="8"/>
      <name val="Helv"/>
      <family val="2"/>
    </font>
    <font>
      <b/>
      <sz val="10"/>
      <color indexed="10"/>
      <name val="Helv"/>
      <family val="2"/>
    </font>
    <font>
      <b/>
      <sz val="10"/>
      <color indexed="16"/>
      <name val="Helv"/>
      <family val="2"/>
    </font>
    <font>
      <b/>
      <sz val="10"/>
      <color indexed="17"/>
      <name val="Helv"/>
      <family val="2"/>
    </font>
    <font>
      <sz val="10"/>
      <color indexed="17"/>
      <name val="Helv"/>
      <family val="2"/>
    </font>
    <font>
      <sz val="10"/>
      <color indexed="12"/>
      <name val="Helv"/>
      <family val="2"/>
    </font>
    <font>
      <b/>
      <sz val="36"/>
      <color indexed="10"/>
      <name val="Arial"/>
      <family val="2"/>
    </font>
    <font>
      <b/>
      <sz val="24"/>
      <color indexed="8"/>
      <name val="Arial"/>
      <family val="2"/>
    </font>
    <font>
      <b/>
      <sz val="18"/>
      <color indexed="17"/>
      <name val="Arial"/>
      <family val="2"/>
    </font>
    <font>
      <b/>
      <sz val="12"/>
      <name val="Geneva"/>
      <family val="2"/>
      <charset val="1"/>
    </font>
    <font>
      <b/>
      <sz val="12"/>
      <color indexed="58"/>
      <name val="Arial"/>
      <family val="2"/>
    </font>
    <font>
      <sz val="9"/>
      <name val="Chemistry"/>
    </font>
    <font>
      <b/>
      <sz val="14"/>
      <name val="Geneva"/>
      <family val="2"/>
      <charset val="1"/>
    </font>
    <font>
      <sz val="8"/>
      <name val="Chemistry"/>
      <family val="2"/>
    </font>
    <font>
      <b/>
      <sz val="14"/>
      <name val="Calibri"/>
      <family val="2"/>
    </font>
    <font>
      <sz val="9"/>
      <name val="Chemistry"/>
      <family val="2"/>
    </font>
    <font>
      <sz val="9"/>
      <name val="Helv"/>
      <family val="2"/>
    </font>
    <font>
      <b/>
      <sz val="11"/>
      <name val="Calibri"/>
      <family val="2"/>
    </font>
    <font>
      <sz val="12"/>
      <color indexed="10"/>
      <name val="Calibri"/>
      <family val="2"/>
    </font>
    <font>
      <sz val="12"/>
      <color indexed="53"/>
      <name val="Calibri"/>
      <family val="2"/>
    </font>
    <font>
      <sz val="12"/>
      <color indexed="49"/>
      <name val="Calibri"/>
      <family val="2"/>
    </font>
    <font>
      <sz val="12"/>
      <color indexed="17"/>
      <name val="Calibri"/>
      <family val="2"/>
    </font>
    <font>
      <sz val="12"/>
      <name val="Symbol"/>
      <family val="1"/>
      <charset val="2"/>
    </font>
    <font>
      <sz val="12"/>
      <name val="Calibri"/>
      <family val="2"/>
    </font>
    <font>
      <sz val="11"/>
      <color rgb="FFFF0000"/>
      <name val="Calibri"/>
      <family val="2"/>
      <scheme val="minor"/>
    </font>
    <font>
      <b/>
      <sz val="12"/>
      <color rgb="FF00B050"/>
      <name val="Geneva"/>
      <family val="2"/>
      <charset val="1"/>
    </font>
    <font>
      <b/>
      <sz val="12"/>
      <color rgb="FF0000FF"/>
      <name val="Geneva"/>
      <family val="2"/>
      <charset val="1"/>
    </font>
    <font>
      <sz val="12"/>
      <color theme="1"/>
      <name val="Geneva"/>
      <family val="2"/>
      <charset val="1"/>
    </font>
    <font>
      <b/>
      <sz val="12"/>
      <color rgb="FF0033CC"/>
      <name val="Geneva"/>
      <family val="2"/>
      <charset val="1"/>
    </font>
    <font>
      <b/>
      <sz val="10"/>
      <color rgb="FF0000FF"/>
      <name val="Arial"/>
      <family val="2"/>
    </font>
    <font>
      <sz val="10"/>
      <color theme="2" tint="-0.89999084444715716"/>
      <name val="Arial"/>
      <family val="2"/>
    </font>
    <font>
      <b/>
      <sz val="10"/>
      <color rgb="FF0000FF"/>
      <name val="Helv"/>
      <family val="2"/>
    </font>
    <font>
      <sz val="12"/>
      <color rgb="FF008000"/>
      <name val="Geneva"/>
      <family val="2"/>
      <charset val="1"/>
    </font>
    <font>
      <sz val="12"/>
      <color rgb="FFFF0000"/>
      <name val="Geneva"/>
      <family val="2"/>
      <charset val="1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rgb="FF000000"/>
      <name val="Helv"/>
      <family val="2"/>
    </font>
    <font>
      <sz val="12"/>
      <color rgb="FFFF0000"/>
      <name val="Chemistry"/>
    </font>
    <font>
      <b/>
      <sz val="14"/>
      <name val="Calibri"/>
      <family val="2"/>
      <scheme val="minor"/>
    </font>
    <font>
      <sz val="9"/>
      <color rgb="FFFF0000"/>
      <name val="Geneva"/>
      <family val="2"/>
      <charset val="1"/>
    </font>
    <font>
      <b/>
      <sz val="12"/>
      <color rgb="FF0070C0"/>
      <name val="Geneva"/>
      <family val="2"/>
      <charset val="1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rgb="FF008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sz val="12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Helv"/>
      <family val="2"/>
    </font>
    <font>
      <sz val="10"/>
      <color theme="1"/>
      <name val="Helv"/>
      <family val="2"/>
    </font>
    <font>
      <sz val="12"/>
      <color theme="3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rgb="FF7030A0"/>
      <name val="Calibri"/>
      <family val="2"/>
    </font>
    <font>
      <b/>
      <sz val="12"/>
      <color theme="6" tint="-0.249977111117893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color rgb="FF00800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70C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7030A0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Geneva"/>
    </font>
    <font>
      <b/>
      <vertAlign val="subscript"/>
      <sz val="11"/>
      <color rgb="FFFF0000"/>
      <name val="Geneva"/>
    </font>
    <font>
      <b/>
      <sz val="12"/>
      <color rgb="FFFF0000"/>
      <name val="Geneva"/>
    </font>
    <font>
      <sz val="12"/>
      <name val="Geneva"/>
      <family val="2"/>
    </font>
    <font>
      <b/>
      <sz val="9"/>
      <color indexed="81"/>
      <name val="Tahoma"/>
      <family val="2"/>
    </font>
    <font>
      <b/>
      <sz val="10"/>
      <color rgb="FFFF0000"/>
      <name val="Geneva"/>
    </font>
    <font>
      <b/>
      <vertAlign val="subscript"/>
      <sz val="10"/>
      <color rgb="FFFF0000"/>
      <name val="Geneva"/>
    </font>
    <font>
      <sz val="10"/>
      <name val="Geneva"/>
    </font>
    <font>
      <sz val="12"/>
      <color rgb="FFFF0000"/>
      <name val="Geneva"/>
      <family val="2"/>
    </font>
    <font>
      <b/>
      <sz val="12"/>
      <color rgb="FFDD0806"/>
      <name val="Geneva"/>
    </font>
    <font>
      <b/>
      <sz val="12"/>
      <color rgb="FF0000D4"/>
      <name val="Geneva"/>
    </font>
    <font>
      <b/>
      <sz val="12"/>
      <color rgb="FF339966"/>
      <name val="Arial"/>
      <family val="2"/>
    </font>
    <font>
      <b/>
      <sz val="12"/>
      <color rgb="FF003300"/>
      <name val="Arial"/>
      <family val="2"/>
    </font>
    <font>
      <b/>
      <sz val="12"/>
      <color indexed="12"/>
      <name val="Helv"/>
    </font>
    <font>
      <b/>
      <sz val="10"/>
      <color indexed="12"/>
      <name val="Helv"/>
    </font>
  </fonts>
  <fills count="33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9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/>
      <right/>
      <top/>
      <bottom style="medium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12" fillId="0" borderId="0"/>
    <xf numFmtId="0" fontId="12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28" fillId="0" borderId="0"/>
    <xf numFmtId="0" fontId="4" fillId="0" borderId="1"/>
    <xf numFmtId="0" fontId="1" fillId="0" borderId="0"/>
  </cellStyleXfs>
  <cellXfs count="1470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2" fontId="2" fillId="0" borderId="0" xfId="0" applyNumberFormat="1" applyFont="1"/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" fontId="2" fillId="0" borderId="0" xfId="0" applyNumberFormat="1" applyFont="1"/>
    <xf numFmtId="2" fontId="2" fillId="0" borderId="0" xfId="0" applyNumberFormat="1" applyFont="1" applyAlignment="1">
      <alignment horizontal="right"/>
    </xf>
    <xf numFmtId="165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left"/>
    </xf>
    <xf numFmtId="166" fontId="2" fillId="0" borderId="0" xfId="0" applyNumberFormat="1" applyFont="1"/>
    <xf numFmtId="165" fontId="2" fillId="0" borderId="0" xfId="0" applyNumberFormat="1" applyFont="1"/>
    <xf numFmtId="2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right"/>
    </xf>
    <xf numFmtId="1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left"/>
    </xf>
    <xf numFmtId="166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167" fontId="2" fillId="0" borderId="0" xfId="0" applyNumberFormat="1" applyFont="1"/>
    <xf numFmtId="167" fontId="2" fillId="0" borderId="0" xfId="0" applyNumberFormat="1" applyFont="1" applyAlignment="1">
      <alignment horizontal="left"/>
    </xf>
    <xf numFmtId="2" fontId="2" fillId="0" borderId="2" xfId="0" applyNumberFormat="1" applyFont="1" applyBorder="1"/>
    <xf numFmtId="1" fontId="2" fillId="0" borderId="0" xfId="0" applyNumberFormat="1" applyFont="1" applyAlignment="1">
      <alignment horizontal="right"/>
    </xf>
    <xf numFmtId="168" fontId="2" fillId="0" borderId="0" xfId="0" applyNumberFormat="1" applyFont="1"/>
    <xf numFmtId="1" fontId="2" fillId="0" borderId="0" xfId="0" applyNumberFormat="1" applyFont="1" applyAlignment="1">
      <alignment horizontal="left"/>
    </xf>
    <xf numFmtId="1" fontId="3" fillId="0" borderId="0" xfId="0" applyNumberFormat="1" applyFont="1"/>
    <xf numFmtId="165" fontId="2" fillId="0" borderId="2" xfId="0" applyNumberFormat="1" applyFont="1" applyBorder="1"/>
    <xf numFmtId="0" fontId="6" fillId="0" borderId="0" xfId="7" applyFont="1"/>
    <xf numFmtId="165" fontId="7" fillId="0" borderId="0" xfId="7" applyNumberFormat="1" applyFont="1"/>
    <xf numFmtId="0" fontId="6" fillId="0" borderId="0" xfId="7" applyFont="1" applyAlignment="1">
      <alignment horizontal="left"/>
    </xf>
    <xf numFmtId="2" fontId="6" fillId="0" borderId="0" xfId="7" applyNumberFormat="1" applyFont="1"/>
    <xf numFmtId="1" fontId="6" fillId="0" borderId="0" xfId="7" applyNumberFormat="1" applyFont="1"/>
    <xf numFmtId="165" fontId="6" fillId="0" borderId="0" xfId="7" applyNumberFormat="1" applyFont="1"/>
    <xf numFmtId="165" fontId="8" fillId="0" borderId="0" xfId="7" applyNumberFormat="1" applyFont="1"/>
    <xf numFmtId="0" fontId="8" fillId="0" borderId="0" xfId="7" applyFont="1"/>
    <xf numFmtId="0" fontId="9" fillId="0" borderId="0" xfId="4" applyFont="1"/>
    <xf numFmtId="0" fontId="6" fillId="0" borderId="0" xfId="4" applyFont="1"/>
    <xf numFmtId="0" fontId="6" fillId="0" borderId="3" xfId="4" applyFont="1" applyBorder="1"/>
    <xf numFmtId="0" fontId="6" fillId="0" borderId="4" xfId="4" applyFont="1" applyBorder="1"/>
    <xf numFmtId="0" fontId="6" fillId="0" borderId="5" xfId="4" applyFont="1" applyBorder="1"/>
    <xf numFmtId="0" fontId="6" fillId="0" borderId="6" xfId="4" applyFont="1" applyBorder="1"/>
    <xf numFmtId="0" fontId="6" fillId="0" borderId="7" xfId="4" applyFont="1" applyBorder="1"/>
    <xf numFmtId="0" fontId="9" fillId="0" borderId="7" xfId="4" applyFont="1" applyBorder="1"/>
    <xf numFmtId="0" fontId="6" fillId="0" borderId="8" xfId="4" applyFont="1" applyBorder="1"/>
    <xf numFmtId="0" fontId="6" fillId="0" borderId="9" xfId="4" applyFont="1" applyBorder="1"/>
    <xf numFmtId="0" fontId="6" fillId="0" borderId="10" xfId="4" applyFont="1" applyBorder="1"/>
    <xf numFmtId="0" fontId="9" fillId="0" borderId="10" xfId="4" applyFont="1" applyBorder="1"/>
    <xf numFmtId="0" fontId="6" fillId="0" borderId="0" xfId="2" applyFont="1"/>
    <xf numFmtId="0" fontId="9" fillId="0" borderId="0" xfId="2" applyFont="1"/>
    <xf numFmtId="2" fontId="6" fillId="0" borderId="0" xfId="2" applyNumberFormat="1" applyFont="1" applyProtection="1">
      <protection locked="0"/>
    </xf>
    <xf numFmtId="0" fontId="6" fillId="0" borderId="0" xfId="2" applyFont="1" applyProtection="1">
      <protection locked="0"/>
    </xf>
    <xf numFmtId="0" fontId="9" fillId="0" borderId="0" xfId="2" applyFont="1" applyAlignment="1" applyProtection="1">
      <alignment horizontal="right"/>
      <protection locked="0"/>
    </xf>
    <xf numFmtId="0" fontId="6" fillId="0" borderId="11" xfId="2" applyFont="1" applyBorder="1"/>
    <xf numFmtId="0" fontId="9" fillId="0" borderId="12" xfId="2" applyFont="1" applyBorder="1" applyAlignment="1" applyProtection="1">
      <alignment horizontal="right"/>
      <protection locked="0"/>
    </xf>
    <xf numFmtId="0" fontId="6" fillId="0" borderId="3" xfId="2" applyFont="1" applyBorder="1"/>
    <xf numFmtId="0" fontId="6" fillId="0" borderId="4" xfId="2" applyFont="1" applyBorder="1"/>
    <xf numFmtId="0" fontId="6" fillId="0" borderId="5" xfId="2" applyFont="1" applyBorder="1"/>
    <xf numFmtId="0" fontId="6" fillId="0" borderId="6" xfId="2" applyFont="1" applyBorder="1"/>
    <xf numFmtId="0" fontId="6" fillId="0" borderId="7" xfId="2" applyFont="1" applyBorder="1"/>
    <xf numFmtId="0" fontId="6" fillId="0" borderId="13" xfId="2" applyFont="1" applyBorder="1"/>
    <xf numFmtId="0" fontId="9" fillId="0" borderId="14" xfId="2" applyFont="1" applyBorder="1" applyAlignment="1" applyProtection="1">
      <alignment horizontal="right"/>
      <protection locked="0"/>
    </xf>
    <xf numFmtId="0" fontId="6" fillId="0" borderId="0" xfId="2" applyFont="1" applyAlignment="1">
      <alignment horizontal="right"/>
    </xf>
    <xf numFmtId="0" fontId="9" fillId="0" borderId="0" xfId="2" applyFont="1" applyAlignment="1">
      <alignment horizontal="right"/>
    </xf>
    <xf numFmtId="0" fontId="9" fillId="0" borderId="7" xfId="2" applyFont="1" applyBorder="1"/>
    <xf numFmtId="0" fontId="6" fillId="0" borderId="8" xfId="2" applyFont="1" applyBorder="1"/>
    <xf numFmtId="0" fontId="6" fillId="0" borderId="9" xfId="2" applyFont="1" applyBorder="1"/>
    <xf numFmtId="0" fontId="6" fillId="0" borderId="10" xfId="2" applyFont="1" applyBorder="1"/>
    <xf numFmtId="0" fontId="10" fillId="0" borderId="15" xfId="2" applyFont="1" applyBorder="1"/>
    <xf numFmtId="0" fontId="11" fillId="0" borderId="0" xfId="2" applyFont="1"/>
    <xf numFmtId="165" fontId="3" fillId="0" borderId="0" xfId="0" applyNumberFormat="1" applyFont="1" applyAlignment="1">
      <alignment horizontal="right"/>
    </xf>
    <xf numFmtId="165" fontId="3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right"/>
    </xf>
    <xf numFmtId="2" fontId="3" fillId="0" borderId="0" xfId="0" applyNumberFormat="1" applyFont="1"/>
    <xf numFmtId="0" fontId="2" fillId="0" borderId="11" xfId="0" applyFont="1" applyBorder="1" applyAlignment="1">
      <alignment horizontal="center"/>
    </xf>
    <xf numFmtId="0" fontId="2" fillId="0" borderId="2" xfId="0" applyFont="1" applyBorder="1"/>
    <xf numFmtId="166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right"/>
    </xf>
    <xf numFmtId="165" fontId="3" fillId="0" borderId="0" xfId="0" applyNumberFormat="1" applyFont="1"/>
    <xf numFmtId="165" fontId="2" fillId="0" borderId="0" xfId="0" applyNumberFormat="1" applyFont="1" applyAlignment="1">
      <alignment horizontal="left"/>
    </xf>
    <xf numFmtId="11" fontId="2" fillId="0" borderId="0" xfId="0" applyNumberFormat="1" applyFont="1"/>
    <xf numFmtId="0" fontId="9" fillId="0" borderId="0" xfId="5" applyFont="1"/>
    <xf numFmtId="0" fontId="6" fillId="0" borderId="0" xfId="5" applyFont="1"/>
    <xf numFmtId="0" fontId="6" fillId="0" borderId="3" xfId="5" applyFont="1" applyBorder="1"/>
    <xf numFmtId="0" fontId="6" fillId="0" borderId="4" xfId="5" applyFont="1" applyBorder="1"/>
    <xf numFmtId="0" fontId="6" fillId="0" borderId="5" xfId="5" applyFont="1" applyBorder="1"/>
    <xf numFmtId="0" fontId="6" fillId="0" borderId="16" xfId="5" applyFont="1" applyBorder="1"/>
    <xf numFmtId="0" fontId="6" fillId="0" borderId="6" xfId="5" applyFont="1" applyBorder="1"/>
    <xf numFmtId="0" fontId="6" fillId="0" borderId="7" xfId="5" applyFont="1" applyBorder="1"/>
    <xf numFmtId="0" fontId="6" fillId="0" borderId="17" xfId="5" applyFont="1" applyBorder="1"/>
    <xf numFmtId="0" fontId="6" fillId="0" borderId="8" xfId="5" applyFont="1" applyBorder="1"/>
    <xf numFmtId="0" fontId="6" fillId="0" borderId="9" xfId="5" applyFont="1" applyBorder="1"/>
    <xf numFmtId="0" fontId="6" fillId="0" borderId="10" xfId="5" applyFont="1" applyBorder="1"/>
    <xf numFmtId="0" fontId="6" fillId="0" borderId="18" xfId="5" applyFont="1" applyBorder="1"/>
    <xf numFmtId="0" fontId="2" fillId="0" borderId="19" xfId="0" applyFont="1" applyBorder="1"/>
    <xf numFmtId="164" fontId="2" fillId="0" borderId="20" xfId="0" applyNumberFormat="1" applyFont="1" applyBorder="1" applyAlignment="1">
      <alignment horizontal="left"/>
    </xf>
    <xf numFmtId="0" fontId="2" fillId="0" borderId="20" xfId="0" applyFont="1" applyBorder="1"/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164" fontId="2" fillId="0" borderId="19" xfId="0" applyNumberFormat="1" applyFont="1" applyBorder="1" applyAlignment="1">
      <alignment horizontal="left"/>
    </xf>
    <xf numFmtId="165" fontId="2" fillId="0" borderId="20" xfId="0" applyNumberFormat="1" applyFont="1" applyBorder="1" applyAlignment="1">
      <alignment horizontal="right"/>
    </xf>
    <xf numFmtId="165" fontId="2" fillId="0" borderId="20" xfId="0" applyNumberFormat="1" applyFont="1" applyBorder="1"/>
    <xf numFmtId="2" fontId="2" fillId="0" borderId="20" xfId="0" applyNumberFormat="1" applyFont="1" applyBorder="1"/>
    <xf numFmtId="2" fontId="2" fillId="0" borderId="21" xfId="0" applyNumberFormat="1" applyFont="1" applyBorder="1"/>
    <xf numFmtId="170" fontId="0" fillId="0" borderId="0" xfId="0" applyNumberFormat="1"/>
    <xf numFmtId="0" fontId="2" fillId="0" borderId="22" xfId="0" applyFont="1" applyBorder="1" applyAlignment="1">
      <alignment horizontal="left"/>
    </xf>
    <xf numFmtId="2" fontId="2" fillId="0" borderId="23" xfId="0" applyNumberFormat="1" applyFont="1" applyBorder="1"/>
    <xf numFmtId="166" fontId="3" fillId="0" borderId="0" xfId="0" applyNumberFormat="1" applyFont="1"/>
    <xf numFmtId="0" fontId="2" fillId="0" borderId="24" xfId="0" applyFont="1" applyBorder="1" applyAlignment="1">
      <alignment horizontal="left"/>
    </xf>
    <xf numFmtId="165" fontId="2" fillId="0" borderId="25" xfId="0" applyNumberFormat="1" applyFont="1" applyBorder="1" applyAlignment="1">
      <alignment horizontal="right"/>
    </xf>
    <xf numFmtId="2" fontId="2" fillId="0" borderId="25" xfId="0" applyNumberFormat="1" applyFont="1" applyBorder="1"/>
    <xf numFmtId="2" fontId="2" fillId="0" borderId="14" xfId="0" applyNumberFormat="1" applyFont="1" applyBorder="1"/>
    <xf numFmtId="2" fontId="0" fillId="0" borderId="0" xfId="0" applyNumberFormat="1"/>
    <xf numFmtId="169" fontId="2" fillId="0" borderId="0" xfId="0" applyNumberFormat="1" applyFont="1"/>
    <xf numFmtId="165" fontId="2" fillId="0" borderId="2" xfId="0" applyNumberFormat="1" applyFont="1" applyBorder="1" applyAlignment="1">
      <alignment horizontal="left"/>
    </xf>
    <xf numFmtId="0" fontId="2" fillId="0" borderId="2" xfId="0" applyFont="1" applyBorder="1" applyAlignment="1">
      <alignment horizontal="right"/>
    </xf>
    <xf numFmtId="2" fontId="2" fillId="0" borderId="2" xfId="0" applyNumberFormat="1" applyFont="1" applyBorder="1" applyAlignment="1">
      <alignment horizontal="right"/>
    </xf>
    <xf numFmtId="2" fontId="2" fillId="0" borderId="12" xfId="0" applyNumberFormat="1" applyFont="1" applyBorder="1"/>
    <xf numFmtId="175" fontId="2" fillId="0" borderId="0" xfId="0" applyNumberFormat="1" applyFont="1"/>
    <xf numFmtId="169" fontId="2" fillId="0" borderId="0" xfId="0" applyNumberFormat="1" applyFont="1" applyAlignment="1">
      <alignment horizontal="center"/>
    </xf>
    <xf numFmtId="169" fontId="2" fillId="0" borderId="0" xfId="0" applyNumberFormat="1" applyFont="1" applyAlignment="1">
      <alignment horizontal="left"/>
    </xf>
    <xf numFmtId="0" fontId="2" fillId="0" borderId="26" xfId="0" applyFont="1" applyBorder="1"/>
    <xf numFmtId="164" fontId="2" fillId="0" borderId="26" xfId="0" applyNumberFormat="1" applyFont="1" applyBorder="1" applyAlignment="1">
      <alignment horizontal="left"/>
    </xf>
    <xf numFmtId="176" fontId="2" fillId="0" borderId="0" xfId="0" applyNumberFormat="1" applyFont="1"/>
    <xf numFmtId="165" fontId="2" fillId="0" borderId="26" xfId="0" applyNumberFormat="1" applyFont="1" applyBorder="1"/>
    <xf numFmtId="165" fontId="2" fillId="0" borderId="27" xfId="0" applyNumberFormat="1" applyFont="1" applyBorder="1"/>
    <xf numFmtId="165" fontId="2" fillId="0" borderId="13" xfId="0" applyNumberFormat="1" applyFont="1" applyBorder="1"/>
    <xf numFmtId="165" fontId="2" fillId="0" borderId="25" xfId="0" applyNumberFormat="1" applyFont="1" applyBorder="1"/>
    <xf numFmtId="169" fontId="2" fillId="0" borderId="0" xfId="0" applyNumberFormat="1" applyFont="1" applyAlignment="1">
      <alignment horizontal="right"/>
    </xf>
    <xf numFmtId="166" fontId="0" fillId="0" borderId="0" xfId="0" applyNumberFormat="1"/>
    <xf numFmtId="165" fontId="2" fillId="0" borderId="11" xfId="0" applyNumberFormat="1" applyFont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169" fontId="0" fillId="0" borderId="0" xfId="0" applyNumberFormat="1"/>
    <xf numFmtId="0" fontId="3" fillId="0" borderId="0" xfId="0" applyFont="1" applyAlignment="1">
      <alignment horizontal="right"/>
    </xf>
    <xf numFmtId="0" fontId="3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/>
    <xf numFmtId="164" fontId="6" fillId="0" borderId="0" xfId="0" applyNumberFormat="1" applyFont="1"/>
    <xf numFmtId="0" fontId="9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/>
    <xf numFmtId="2" fontId="6" fillId="0" borderId="0" xfId="0" applyNumberFormat="1" applyFont="1" applyAlignment="1">
      <alignment horizontal="right"/>
    </xf>
    <xf numFmtId="165" fontId="6" fillId="0" borderId="0" xfId="0" applyNumberFormat="1" applyFont="1" applyAlignment="1">
      <alignment horizontal="center"/>
    </xf>
    <xf numFmtId="166" fontId="6" fillId="0" borderId="0" xfId="0" applyNumberFormat="1" applyFont="1"/>
    <xf numFmtId="165" fontId="9" fillId="0" borderId="0" xfId="0" applyNumberFormat="1" applyFont="1" applyAlignment="1">
      <alignment horizontal="right"/>
    </xf>
    <xf numFmtId="1" fontId="9" fillId="0" borderId="0" xfId="0" applyNumberFormat="1" applyFont="1" applyAlignment="1">
      <alignment horizontal="right"/>
    </xf>
    <xf numFmtId="170" fontId="9" fillId="0" borderId="0" xfId="0" applyNumberFormat="1" applyFont="1" applyAlignment="1">
      <alignment horizontal="center"/>
    </xf>
    <xf numFmtId="170" fontId="6" fillId="0" borderId="0" xfId="0" applyNumberFormat="1" applyFont="1"/>
    <xf numFmtId="2" fontId="9" fillId="0" borderId="0" xfId="0" applyNumberFormat="1" applyFont="1"/>
    <xf numFmtId="2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left"/>
    </xf>
    <xf numFmtId="1" fontId="6" fillId="0" borderId="0" xfId="0" applyNumberFormat="1" applyFont="1" applyAlignment="1">
      <alignment horizontal="center"/>
    </xf>
    <xf numFmtId="11" fontId="6" fillId="0" borderId="0" xfId="0" applyNumberFormat="1" applyFont="1"/>
    <xf numFmtId="166" fontId="6" fillId="0" borderId="0" xfId="0" applyNumberFormat="1" applyFont="1" applyAlignment="1">
      <alignment horizontal="right"/>
    </xf>
    <xf numFmtId="167" fontId="6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left"/>
    </xf>
    <xf numFmtId="168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7" fontId="6" fillId="0" borderId="0" xfId="0" applyNumberFormat="1" applyFont="1"/>
    <xf numFmtId="169" fontId="6" fillId="0" borderId="0" xfId="0" applyNumberFormat="1" applyFont="1"/>
    <xf numFmtId="1" fontId="6" fillId="0" borderId="0" xfId="0" applyNumberFormat="1" applyFont="1" applyAlignment="1">
      <alignment horizontal="right"/>
    </xf>
    <xf numFmtId="168" fontId="6" fillId="0" borderId="0" xfId="0" applyNumberFormat="1" applyFont="1"/>
    <xf numFmtId="166" fontId="6" fillId="0" borderId="0" xfId="0" applyNumberFormat="1" applyFont="1" applyAlignment="1">
      <alignment horizontal="center"/>
    </xf>
    <xf numFmtId="170" fontId="6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left"/>
    </xf>
    <xf numFmtId="170" fontId="6" fillId="0" borderId="0" xfId="0" applyNumberFormat="1" applyFont="1" applyAlignment="1">
      <alignment horizontal="center"/>
    </xf>
    <xf numFmtId="0" fontId="6" fillId="0" borderId="26" xfId="0" applyFont="1" applyBorder="1" applyAlignment="1">
      <alignment horizontal="center"/>
    </xf>
    <xf numFmtId="166" fontId="6" fillId="0" borderId="2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center"/>
    </xf>
    <xf numFmtId="169" fontId="6" fillId="0" borderId="21" xfId="0" applyNumberFormat="1" applyFont="1" applyBorder="1" applyAlignment="1">
      <alignment horizontal="left"/>
    </xf>
    <xf numFmtId="168" fontId="6" fillId="0" borderId="20" xfId="0" applyNumberFormat="1" applyFont="1" applyBorder="1" applyAlignment="1">
      <alignment horizontal="center"/>
    </xf>
    <xf numFmtId="2" fontId="6" fillId="0" borderId="20" xfId="0" applyNumberFormat="1" applyFont="1" applyBorder="1" applyAlignment="1">
      <alignment horizontal="right"/>
    </xf>
    <xf numFmtId="170" fontId="6" fillId="0" borderId="20" xfId="0" applyNumberFormat="1" applyFont="1" applyBorder="1" applyAlignment="1">
      <alignment horizontal="center"/>
    </xf>
    <xf numFmtId="2" fontId="6" fillId="0" borderId="20" xfId="0" applyNumberFormat="1" applyFont="1" applyBorder="1"/>
    <xf numFmtId="0" fontId="6" fillId="0" borderId="27" xfId="0" applyFont="1" applyBorder="1" applyAlignment="1">
      <alignment horizontal="center"/>
    </xf>
    <xf numFmtId="166" fontId="6" fillId="0" borderId="23" xfId="0" applyNumberFormat="1" applyFont="1" applyBorder="1" applyAlignment="1">
      <alignment horizontal="left"/>
    </xf>
    <xf numFmtId="168" fontId="6" fillId="0" borderId="28" xfId="0" applyNumberFormat="1" applyFont="1" applyBorder="1" applyAlignment="1">
      <alignment horizontal="center"/>
    </xf>
    <xf numFmtId="2" fontId="6" fillId="0" borderId="28" xfId="0" applyNumberFormat="1" applyFont="1" applyBorder="1" applyAlignment="1">
      <alignment horizontal="right"/>
    </xf>
    <xf numFmtId="170" fontId="6" fillId="0" borderId="28" xfId="0" applyNumberFormat="1" applyFont="1" applyBorder="1" applyAlignment="1">
      <alignment horizontal="center"/>
    </xf>
    <xf numFmtId="2" fontId="6" fillId="0" borderId="28" xfId="0" applyNumberFormat="1" applyFont="1" applyBorder="1"/>
    <xf numFmtId="0" fontId="6" fillId="0" borderId="29" xfId="0" applyFont="1" applyBorder="1"/>
    <xf numFmtId="0" fontId="6" fillId="0" borderId="29" xfId="0" applyFont="1" applyBorder="1" applyAlignment="1">
      <alignment horizontal="center"/>
    </xf>
    <xf numFmtId="164" fontId="6" fillId="0" borderId="29" xfId="0" applyNumberFormat="1" applyFont="1" applyBorder="1"/>
    <xf numFmtId="169" fontId="6" fillId="0" borderId="29" xfId="0" applyNumberFormat="1" applyFont="1" applyBorder="1"/>
    <xf numFmtId="11" fontId="6" fillId="0" borderId="29" xfId="0" applyNumberFormat="1" applyFont="1" applyBorder="1"/>
    <xf numFmtId="166" fontId="6" fillId="0" borderId="29" xfId="0" applyNumberFormat="1" applyFont="1" applyBorder="1"/>
    <xf numFmtId="0" fontId="6" fillId="0" borderId="13" xfId="0" applyFont="1" applyBorder="1" applyAlignment="1">
      <alignment horizontal="center"/>
    </xf>
    <xf numFmtId="166" fontId="6" fillId="0" borderId="25" xfId="0" applyNumberFormat="1" applyFont="1" applyBorder="1" applyAlignment="1">
      <alignment horizontal="left"/>
    </xf>
    <xf numFmtId="1" fontId="6" fillId="0" borderId="25" xfId="0" applyNumberFormat="1" applyFont="1" applyBorder="1" applyAlignment="1">
      <alignment horizontal="center"/>
    </xf>
    <xf numFmtId="166" fontId="6" fillId="0" borderId="14" xfId="0" applyNumberFormat="1" applyFont="1" applyBorder="1" applyAlignment="1">
      <alignment horizontal="left"/>
    </xf>
    <xf numFmtId="168" fontId="6" fillId="0" borderId="25" xfId="0" applyNumberFormat="1" applyFont="1" applyBorder="1" applyAlignment="1">
      <alignment horizontal="center"/>
    </xf>
    <xf numFmtId="2" fontId="6" fillId="0" borderId="25" xfId="0" applyNumberFormat="1" applyFont="1" applyBorder="1" applyAlignment="1">
      <alignment horizontal="right"/>
    </xf>
    <xf numFmtId="170" fontId="6" fillId="0" borderId="25" xfId="0" applyNumberFormat="1" applyFont="1" applyBorder="1" applyAlignment="1">
      <alignment horizontal="center"/>
    </xf>
    <xf numFmtId="2" fontId="6" fillId="0" borderId="25" xfId="0" applyNumberFormat="1" applyFont="1" applyBorder="1"/>
    <xf numFmtId="2" fontId="6" fillId="0" borderId="0" xfId="0" applyNumberFormat="1" applyFont="1" applyAlignment="1">
      <alignment horizontal="left"/>
    </xf>
    <xf numFmtId="166" fontId="9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/>
    </xf>
    <xf numFmtId="170" fontId="9" fillId="0" borderId="0" xfId="0" applyNumberFormat="1" applyFont="1" applyAlignment="1">
      <alignment horizontal="right"/>
    </xf>
    <xf numFmtId="0" fontId="6" fillId="0" borderId="0" xfId="0" applyFont="1" applyProtection="1">
      <protection locked="0"/>
    </xf>
    <xf numFmtId="0" fontId="6" fillId="0" borderId="27" xfId="0" applyFont="1" applyBorder="1" applyAlignment="1">
      <alignment horizontal="left"/>
    </xf>
    <xf numFmtId="0" fontId="6" fillId="0" borderId="23" xfId="0" applyFont="1" applyBorder="1"/>
    <xf numFmtId="0" fontId="6" fillId="0" borderId="27" xfId="0" applyFont="1" applyBorder="1"/>
    <xf numFmtId="165" fontId="6" fillId="0" borderId="0" xfId="0" applyNumberFormat="1" applyFont="1"/>
    <xf numFmtId="0" fontId="6" fillId="0" borderId="13" xfId="0" applyFont="1" applyBorder="1"/>
    <xf numFmtId="0" fontId="6" fillId="0" borderId="25" xfId="0" applyFont="1" applyBorder="1"/>
    <xf numFmtId="0" fontId="6" fillId="0" borderId="14" xfId="0" applyFont="1" applyBorder="1"/>
    <xf numFmtId="0" fontId="6" fillId="0" borderId="26" xfId="0" applyFont="1" applyBorder="1" applyAlignment="1">
      <alignment horizontal="left"/>
    </xf>
    <xf numFmtId="0" fontId="6" fillId="0" borderId="20" xfId="0" applyFont="1" applyBorder="1"/>
    <xf numFmtId="0" fontId="6" fillId="0" borderId="21" xfId="0" applyFont="1" applyBorder="1"/>
    <xf numFmtId="2" fontId="6" fillId="0" borderId="26" xfId="0" applyNumberFormat="1" applyFont="1" applyBorder="1"/>
    <xf numFmtId="2" fontId="6" fillId="0" borderId="27" xfId="0" applyNumberFormat="1" applyFont="1" applyBorder="1"/>
    <xf numFmtId="0" fontId="6" fillId="0" borderId="0" xfId="10" applyFont="1" applyAlignment="1">
      <alignment horizontal="center"/>
    </xf>
    <xf numFmtId="0" fontId="6" fillId="0" borderId="0" xfId="10" applyFont="1"/>
    <xf numFmtId="0" fontId="9" fillId="0" borderId="0" xfId="10" applyFont="1"/>
    <xf numFmtId="0" fontId="9" fillId="0" borderId="0" xfId="10" applyFont="1" applyAlignment="1">
      <alignment horizontal="center"/>
    </xf>
    <xf numFmtId="0" fontId="6" fillId="0" borderId="3" xfId="10" applyFont="1" applyBorder="1"/>
    <xf numFmtId="0" fontId="6" fillId="0" borderId="4" xfId="10" applyFont="1" applyBorder="1"/>
    <xf numFmtId="0" fontId="6" fillId="0" borderId="5" xfId="10" applyFont="1" applyBorder="1"/>
    <xf numFmtId="0" fontId="6" fillId="0" borderId="6" xfId="10" applyFont="1" applyBorder="1"/>
    <xf numFmtId="0" fontId="6" fillId="0" borderId="7" xfId="10" applyFont="1" applyBorder="1"/>
    <xf numFmtId="0" fontId="9" fillId="0" borderId="7" xfId="10" applyFont="1" applyBorder="1"/>
    <xf numFmtId="2" fontId="6" fillId="0" borderId="0" xfId="10" applyNumberFormat="1" applyFont="1"/>
    <xf numFmtId="0" fontId="6" fillId="0" borderId="8" xfId="10" applyFont="1" applyBorder="1"/>
    <xf numFmtId="0" fontId="6" fillId="0" borderId="9" xfId="10" applyFont="1" applyBorder="1"/>
    <xf numFmtId="0" fontId="6" fillId="0" borderId="10" xfId="10" applyFont="1" applyBorder="1"/>
    <xf numFmtId="0" fontId="11" fillId="0" borderId="0" xfId="6" applyFont="1"/>
    <xf numFmtId="0" fontId="10" fillId="0" borderId="0" xfId="6" applyFont="1"/>
    <xf numFmtId="0" fontId="14" fillId="0" borderId="3" xfId="6" applyFont="1" applyBorder="1"/>
    <xf numFmtId="0" fontId="15" fillId="0" borderId="4" xfId="6" applyFont="1" applyBorder="1"/>
    <xf numFmtId="0" fontId="14" fillId="0" borderId="30" xfId="6" applyFont="1" applyBorder="1"/>
    <xf numFmtId="0" fontId="14" fillId="0" borderId="5" xfId="6" applyFont="1" applyBorder="1"/>
    <xf numFmtId="0" fontId="10" fillId="0" borderId="1" xfId="6" applyFont="1" applyBorder="1"/>
    <xf numFmtId="0" fontId="10" fillId="0" borderId="1" xfId="6" applyFont="1" applyBorder="1" applyAlignment="1">
      <alignment horizontal="center"/>
    </xf>
    <xf numFmtId="0" fontId="16" fillId="0" borderId="1" xfId="6" applyFont="1" applyBorder="1"/>
    <xf numFmtId="0" fontId="10" fillId="0" borderId="26" xfId="6" applyFont="1" applyBorder="1"/>
    <xf numFmtId="0" fontId="1" fillId="0" borderId="20" xfId="6" applyBorder="1"/>
    <xf numFmtId="0" fontId="10" fillId="0" borderId="21" xfId="6" applyFont="1" applyBorder="1"/>
    <xf numFmtId="0" fontId="17" fillId="0" borderId="15" xfId="6" applyFont="1" applyBorder="1"/>
    <xf numFmtId="0" fontId="16" fillId="0" borderId="0" xfId="6" applyFont="1"/>
    <xf numFmtId="0" fontId="1" fillId="0" borderId="0" xfId="6"/>
    <xf numFmtId="0" fontId="14" fillId="0" borderId="31" xfId="6" applyFont="1" applyBorder="1"/>
    <xf numFmtId="0" fontId="14" fillId="0" borderId="15" xfId="6" applyFont="1" applyBorder="1"/>
    <xf numFmtId="0" fontId="14" fillId="0" borderId="32" xfId="6" applyFont="1" applyBorder="1"/>
    <xf numFmtId="0" fontId="18" fillId="0" borderId="0" xfId="6" applyFont="1"/>
    <xf numFmtId="0" fontId="11" fillId="0" borderId="1" xfId="6" applyFont="1" applyBorder="1"/>
    <xf numFmtId="0" fontId="11" fillId="0" borderId="33" xfId="6" applyFont="1" applyBorder="1"/>
    <xf numFmtId="0" fontId="11" fillId="0" borderId="34" xfId="6" applyFont="1" applyBorder="1" applyAlignment="1">
      <alignment horizontal="left"/>
    </xf>
    <xf numFmtId="0" fontId="11" fillId="0" borderId="35" xfId="6" applyFont="1" applyBorder="1" applyAlignment="1">
      <alignment horizontal="left"/>
    </xf>
    <xf numFmtId="0" fontId="19" fillId="0" borderId="27" xfId="6" applyFont="1" applyBorder="1"/>
    <xf numFmtId="0" fontId="19" fillId="0" borderId="23" xfId="6" applyFont="1" applyBorder="1"/>
    <xf numFmtId="0" fontId="17" fillId="0" borderId="19" xfId="6" applyFont="1" applyBorder="1"/>
    <xf numFmtId="0" fontId="1" fillId="0" borderId="26" xfId="6" applyBorder="1"/>
    <xf numFmtId="0" fontId="1" fillId="0" borderId="21" xfId="6" applyBorder="1"/>
    <xf numFmtId="0" fontId="17" fillId="0" borderId="19" xfId="6" applyFont="1" applyBorder="1" applyAlignment="1">
      <alignment horizontal="center"/>
    </xf>
    <xf numFmtId="0" fontId="19" fillId="0" borderId="36" xfId="6" applyFont="1" applyBorder="1"/>
    <xf numFmtId="0" fontId="19" fillId="0" borderId="37" xfId="6" applyFont="1" applyBorder="1"/>
    <xf numFmtId="0" fontId="19" fillId="0" borderId="0" xfId="6" applyFont="1"/>
    <xf numFmtId="2" fontId="11" fillId="0" borderId="1" xfId="6" applyNumberFormat="1" applyFont="1" applyBorder="1"/>
    <xf numFmtId="2" fontId="11" fillId="0" borderId="0" xfId="6" applyNumberFormat="1" applyFont="1"/>
    <xf numFmtId="0" fontId="11" fillId="0" borderId="38" xfId="6" applyFont="1" applyBorder="1"/>
    <xf numFmtId="0" fontId="11" fillId="0" borderId="1" xfId="6" applyFont="1" applyBorder="1" applyAlignment="1">
      <alignment horizontal="left"/>
    </xf>
    <xf numFmtId="0" fontId="11" fillId="0" borderId="39" xfId="6" applyFont="1" applyBorder="1" applyAlignment="1">
      <alignment horizontal="left"/>
    </xf>
    <xf numFmtId="0" fontId="17" fillId="0" borderId="22" xfId="6" applyFont="1" applyBorder="1"/>
    <xf numFmtId="0" fontId="1" fillId="0" borderId="13" xfId="6" applyBorder="1"/>
    <xf numFmtId="0" fontId="19" fillId="0" borderId="14" xfId="6" applyFont="1" applyBorder="1"/>
    <xf numFmtId="0" fontId="17" fillId="0" borderId="22" xfId="6" applyFont="1" applyBorder="1" applyAlignment="1">
      <alignment horizontal="center"/>
    </xf>
    <xf numFmtId="0" fontId="17" fillId="0" borderId="24" xfId="6" applyFont="1" applyBorder="1"/>
    <xf numFmtId="0" fontId="17" fillId="0" borderId="0" xfId="6" applyFont="1"/>
    <xf numFmtId="0" fontId="11" fillId="0" borderId="40" xfId="6" applyFont="1" applyBorder="1"/>
    <xf numFmtId="0" fontId="11" fillId="0" borderId="41" xfId="6" applyFont="1" applyBorder="1" applyAlignment="1">
      <alignment horizontal="left"/>
    </xf>
    <xf numFmtId="0" fontId="11" fillId="0" borderId="42" xfId="6" applyFont="1" applyBorder="1" applyAlignment="1">
      <alignment horizontal="left"/>
    </xf>
    <xf numFmtId="0" fontId="20" fillId="0" borderId="12" xfId="6" applyFont="1" applyBorder="1"/>
    <xf numFmtId="0" fontId="11" fillId="0" borderId="2" xfId="6" applyFont="1" applyBorder="1"/>
    <xf numFmtId="0" fontId="11" fillId="0" borderId="43" xfId="6" applyFont="1" applyBorder="1"/>
    <xf numFmtId="0" fontId="10" fillId="0" borderId="15" xfId="6" applyFont="1" applyBorder="1"/>
    <xf numFmtId="0" fontId="21" fillId="0" borderId="15" xfId="6" applyFont="1" applyBorder="1"/>
    <xf numFmtId="2" fontId="22" fillId="0" borderId="0" xfId="6" applyNumberFormat="1" applyFont="1"/>
    <xf numFmtId="0" fontId="21" fillId="0" borderId="11" xfId="6" applyFont="1" applyBorder="1"/>
    <xf numFmtId="2" fontId="15" fillId="0" borderId="32" xfId="6" applyNumberFormat="1" applyFont="1" applyBorder="1"/>
    <xf numFmtId="0" fontId="10" fillId="0" borderId="44" xfId="6" applyFont="1" applyBorder="1"/>
    <xf numFmtId="0" fontId="22" fillId="0" borderId="44" xfId="6" applyFont="1" applyBorder="1"/>
    <xf numFmtId="2" fontId="22" fillId="0" borderId="45" xfId="6" applyNumberFormat="1" applyFont="1" applyBorder="1"/>
    <xf numFmtId="0" fontId="23" fillId="0" borderId="0" xfId="6" applyFont="1"/>
    <xf numFmtId="0" fontId="19" fillId="0" borderId="13" xfId="6" applyFont="1" applyBorder="1"/>
    <xf numFmtId="0" fontId="11" fillId="0" borderId="46" xfId="6" applyFont="1" applyBorder="1"/>
    <xf numFmtId="0" fontId="11" fillId="0" borderId="47" xfId="6" applyFont="1" applyBorder="1"/>
    <xf numFmtId="0" fontId="11" fillId="0" borderId="48" xfId="6" applyFont="1" applyBorder="1"/>
    <xf numFmtId="0" fontId="11" fillId="0" borderId="49" xfId="6" applyFont="1" applyBorder="1"/>
    <xf numFmtId="0" fontId="11" fillId="0" borderId="50" xfId="6" applyFont="1" applyBorder="1"/>
    <xf numFmtId="0" fontId="11" fillId="0" borderId="51" xfId="6" applyFont="1" applyBorder="1"/>
    <xf numFmtId="0" fontId="11" fillId="0" borderId="52" xfId="6" applyFont="1" applyBorder="1"/>
    <xf numFmtId="0" fontId="11" fillId="0" borderId="53" xfId="6" applyFont="1" applyBorder="1"/>
    <xf numFmtId="0" fontId="11" fillId="0" borderId="3" xfId="6" applyFont="1" applyBorder="1"/>
    <xf numFmtId="0" fontId="11" fillId="0" borderId="4" xfId="6" applyFont="1" applyBorder="1"/>
    <xf numFmtId="0" fontId="11" fillId="0" borderId="5" xfId="6" applyFont="1" applyBorder="1"/>
    <xf numFmtId="0" fontId="11" fillId="0" borderId="6" xfId="6" applyFont="1" applyBorder="1"/>
    <xf numFmtId="0" fontId="11" fillId="0" borderId="7" xfId="6" applyFont="1" applyBorder="1"/>
    <xf numFmtId="0" fontId="1" fillId="0" borderId="6" xfId="6" applyBorder="1"/>
    <xf numFmtId="0" fontId="1" fillId="0" borderId="7" xfId="6" applyBorder="1"/>
    <xf numFmtId="0" fontId="1" fillId="0" borderId="8" xfId="6" applyBorder="1"/>
    <xf numFmtId="0" fontId="1" fillId="0" borderId="9" xfId="6" applyBorder="1"/>
    <xf numFmtId="0" fontId="1" fillId="0" borderId="10" xfId="6" applyBorder="1"/>
    <xf numFmtId="0" fontId="26" fillId="0" borderId="0" xfId="0" applyFont="1" applyAlignment="1">
      <alignment horizontal="left"/>
    </xf>
    <xf numFmtId="0" fontId="26" fillId="0" borderId="0" xfId="0" applyFont="1"/>
    <xf numFmtId="0" fontId="26" fillId="0" borderId="0" xfId="0" applyFont="1" applyAlignment="1">
      <alignment horizontal="center"/>
    </xf>
    <xf numFmtId="2" fontId="26" fillId="0" borderId="0" xfId="0" applyNumberFormat="1" applyFont="1"/>
    <xf numFmtId="164" fontId="26" fillId="0" borderId="0" xfId="0" applyNumberFormat="1" applyFont="1"/>
    <xf numFmtId="1" fontId="26" fillId="0" borderId="0" xfId="0" applyNumberFormat="1" applyFont="1"/>
    <xf numFmtId="2" fontId="26" fillId="0" borderId="0" xfId="0" applyNumberFormat="1" applyFont="1" applyAlignment="1">
      <alignment horizontal="right"/>
    </xf>
    <xf numFmtId="164" fontId="26" fillId="0" borderId="0" xfId="0" applyNumberFormat="1" applyFont="1" applyAlignment="1">
      <alignment horizontal="center"/>
    </xf>
    <xf numFmtId="165" fontId="26" fillId="0" borderId="0" xfId="0" applyNumberFormat="1" applyFont="1" applyAlignment="1">
      <alignment horizontal="center"/>
    </xf>
    <xf numFmtId="165" fontId="27" fillId="0" borderId="0" xfId="0" applyNumberFormat="1" applyFont="1" applyAlignment="1">
      <alignment horizontal="right"/>
    </xf>
    <xf numFmtId="170" fontId="26" fillId="0" borderId="0" xfId="0" applyNumberFormat="1" applyFont="1"/>
    <xf numFmtId="165" fontId="27" fillId="0" borderId="0" xfId="0" applyNumberFormat="1" applyFont="1" applyAlignment="1">
      <alignment horizontal="center"/>
    </xf>
    <xf numFmtId="166" fontId="26" fillId="0" borderId="0" xfId="0" applyNumberFormat="1" applyFont="1"/>
    <xf numFmtId="2" fontId="26" fillId="0" borderId="0" xfId="0" applyNumberFormat="1" applyFont="1" applyAlignment="1">
      <alignment horizontal="center"/>
    </xf>
    <xf numFmtId="165" fontId="26" fillId="0" borderId="0" xfId="0" applyNumberFormat="1" applyFont="1" applyAlignment="1">
      <alignment horizontal="right"/>
    </xf>
    <xf numFmtId="167" fontId="26" fillId="0" borderId="0" xfId="0" applyNumberFormat="1" applyFont="1"/>
    <xf numFmtId="1" fontId="26" fillId="0" borderId="0" xfId="0" applyNumberFormat="1" applyFont="1" applyAlignment="1">
      <alignment horizontal="center"/>
    </xf>
    <xf numFmtId="2" fontId="27" fillId="0" borderId="0" xfId="0" applyNumberFormat="1" applyFont="1"/>
    <xf numFmtId="166" fontId="26" fillId="0" borderId="0" xfId="0" applyNumberFormat="1" applyFont="1" applyAlignment="1">
      <alignment horizontal="right"/>
    </xf>
    <xf numFmtId="167" fontId="26" fillId="0" borderId="0" xfId="0" applyNumberFormat="1" applyFont="1" applyAlignment="1">
      <alignment horizontal="center"/>
    </xf>
    <xf numFmtId="168" fontId="26" fillId="0" borderId="0" xfId="0" applyNumberFormat="1" applyFont="1" applyAlignment="1">
      <alignment horizontal="center"/>
    </xf>
    <xf numFmtId="11" fontId="26" fillId="0" borderId="0" xfId="0" applyNumberFormat="1" applyFont="1"/>
    <xf numFmtId="164" fontId="26" fillId="0" borderId="0" xfId="0" applyNumberFormat="1" applyFont="1" applyAlignment="1">
      <alignment horizontal="right"/>
    </xf>
    <xf numFmtId="167" fontId="26" fillId="0" borderId="0" xfId="0" applyNumberFormat="1" applyFont="1" applyAlignment="1">
      <alignment horizontal="left"/>
    </xf>
    <xf numFmtId="164" fontId="26" fillId="0" borderId="0" xfId="0" applyNumberFormat="1" applyFont="1" applyAlignment="1">
      <alignment horizontal="left"/>
    </xf>
    <xf numFmtId="170" fontId="26" fillId="0" borderId="0" xfId="0" applyNumberFormat="1" applyFont="1" applyAlignment="1">
      <alignment horizontal="right"/>
    </xf>
    <xf numFmtId="0" fontId="26" fillId="0" borderId="0" xfId="0" applyFont="1" applyAlignment="1">
      <alignment horizontal="right"/>
    </xf>
    <xf numFmtId="0" fontId="26" fillId="0" borderId="26" xfId="0" applyFont="1" applyBorder="1"/>
    <xf numFmtId="0" fontId="26" fillId="0" borderId="20" xfId="0" applyFont="1" applyBorder="1" applyAlignment="1">
      <alignment horizontal="left"/>
    </xf>
    <xf numFmtId="0" fontId="26" fillId="0" borderId="21" xfId="0" applyFont="1" applyBorder="1" applyAlignment="1">
      <alignment horizontal="left"/>
    </xf>
    <xf numFmtId="169" fontId="26" fillId="0" borderId="0" xfId="0" applyNumberFormat="1" applyFont="1"/>
    <xf numFmtId="2" fontId="26" fillId="0" borderId="13" xfId="0" applyNumberFormat="1" applyFont="1" applyBorder="1"/>
    <xf numFmtId="2" fontId="26" fillId="0" borderId="25" xfId="0" applyNumberFormat="1" applyFont="1" applyBorder="1" applyAlignment="1">
      <alignment horizontal="right"/>
    </xf>
    <xf numFmtId="2" fontId="26" fillId="0" borderId="25" xfId="0" applyNumberFormat="1" applyFont="1" applyBorder="1"/>
    <xf numFmtId="2" fontId="26" fillId="0" borderId="14" xfId="0" applyNumberFormat="1" applyFont="1" applyBorder="1"/>
    <xf numFmtId="173" fontId="26" fillId="0" borderId="0" xfId="0" applyNumberFormat="1" applyFont="1"/>
    <xf numFmtId="0" fontId="27" fillId="0" borderId="20" xfId="0" applyFont="1" applyBorder="1" applyAlignment="1">
      <alignment horizontal="center"/>
    </xf>
    <xf numFmtId="0" fontId="27" fillId="0" borderId="21" xfId="0" applyFont="1" applyBorder="1" applyAlignment="1">
      <alignment horizontal="center"/>
    </xf>
    <xf numFmtId="1" fontId="26" fillId="0" borderId="0" xfId="0" applyNumberFormat="1" applyFont="1" applyAlignment="1">
      <alignment horizontal="right"/>
    </xf>
    <xf numFmtId="0" fontId="26" fillId="0" borderId="27" xfId="0" applyFont="1" applyBorder="1"/>
    <xf numFmtId="2" fontId="27" fillId="0" borderId="0" xfId="0" applyNumberFormat="1" applyFont="1" applyAlignment="1">
      <alignment horizontal="center"/>
    </xf>
    <xf numFmtId="0" fontId="26" fillId="0" borderId="23" xfId="0" applyFont="1" applyBorder="1" applyAlignment="1">
      <alignment horizontal="center"/>
    </xf>
    <xf numFmtId="168" fontId="26" fillId="0" borderId="0" xfId="0" applyNumberFormat="1" applyFont="1"/>
    <xf numFmtId="0" fontId="26" fillId="0" borderId="13" xfId="0" applyFont="1" applyBorder="1"/>
    <xf numFmtId="2" fontId="27" fillId="0" borderId="25" xfId="0" applyNumberFormat="1" applyFont="1" applyBorder="1" applyAlignment="1">
      <alignment horizontal="center"/>
    </xf>
    <xf numFmtId="0" fontId="26" fillId="0" borderId="25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2" fontId="26" fillId="0" borderId="0" xfId="0" applyNumberFormat="1" applyFont="1" applyAlignment="1">
      <alignment horizontal="left"/>
    </xf>
    <xf numFmtId="166" fontId="27" fillId="0" borderId="0" xfId="0" applyNumberFormat="1" applyFont="1" applyAlignment="1">
      <alignment horizontal="right"/>
    </xf>
    <xf numFmtId="2" fontId="27" fillId="0" borderId="0" xfId="0" applyNumberFormat="1" applyFont="1" applyAlignment="1">
      <alignment horizontal="right"/>
    </xf>
    <xf numFmtId="170" fontId="27" fillId="0" borderId="0" xfId="0" applyNumberFormat="1" applyFont="1" applyAlignment="1">
      <alignment horizontal="right"/>
    </xf>
    <xf numFmtId="0" fontId="26" fillId="0" borderId="0" xfId="0" applyFont="1" applyProtection="1">
      <protection locked="0"/>
    </xf>
    <xf numFmtId="0" fontId="6" fillId="0" borderId="0" xfId="8" applyFont="1"/>
    <xf numFmtId="0" fontId="29" fillId="0" borderId="3" xfId="8" applyFont="1" applyBorder="1" applyAlignment="1">
      <alignment horizontal="left"/>
    </xf>
    <xf numFmtId="0" fontId="7" fillId="0" borderId="4" xfId="8" applyFont="1" applyBorder="1"/>
    <xf numFmtId="0" fontId="29" fillId="0" borderId="30" xfId="8" applyFont="1" applyBorder="1"/>
    <xf numFmtId="0" fontId="29" fillId="0" borderId="5" xfId="8" applyFont="1" applyBorder="1"/>
    <xf numFmtId="0" fontId="9" fillId="0" borderId="0" xfId="8" applyFont="1"/>
    <xf numFmtId="0" fontId="29" fillId="0" borderId="31" xfId="8" applyFont="1" applyBorder="1"/>
    <xf numFmtId="0" fontId="29" fillId="0" borderId="15" xfId="8" applyFont="1" applyBorder="1"/>
    <xf numFmtId="0" fontId="29" fillId="0" borderId="32" xfId="8" applyFont="1" applyBorder="1"/>
    <xf numFmtId="0" fontId="9" fillId="0" borderId="1" xfId="8" applyFont="1" applyBorder="1"/>
    <xf numFmtId="0" fontId="9" fillId="0" borderId="1" xfId="8" applyFont="1" applyBorder="1" applyAlignment="1">
      <alignment horizontal="center"/>
    </xf>
    <xf numFmtId="0" fontId="9" fillId="0" borderId="26" xfId="8" applyFont="1" applyBorder="1"/>
    <xf numFmtId="0" fontId="6" fillId="0" borderId="20" xfId="8" applyFont="1" applyBorder="1"/>
    <xf numFmtId="0" fontId="9" fillId="0" borderId="20" xfId="8" applyFont="1" applyBorder="1"/>
    <xf numFmtId="0" fontId="9" fillId="0" borderId="21" xfId="8" applyFont="1" applyBorder="1"/>
    <xf numFmtId="0" fontId="9" fillId="0" borderId="19" xfId="8" applyFont="1" applyBorder="1"/>
    <xf numFmtId="0" fontId="30" fillId="0" borderId="19" xfId="8" applyFont="1" applyBorder="1" applyAlignment="1">
      <alignment horizontal="center"/>
    </xf>
    <xf numFmtId="0" fontId="31" fillId="0" borderId="36" xfId="8" applyFont="1" applyBorder="1"/>
    <xf numFmtId="0" fontId="31" fillId="0" borderId="37" xfId="8" applyFont="1" applyBorder="1"/>
    <xf numFmtId="0" fontId="32" fillId="0" borderId="0" xfId="8" applyFont="1"/>
    <xf numFmtId="0" fontId="6" fillId="0" borderId="1" xfId="8" applyFont="1" applyBorder="1"/>
    <xf numFmtId="0" fontId="6" fillId="0" borderId="27" xfId="8" applyFont="1" applyBorder="1"/>
    <xf numFmtId="0" fontId="31" fillId="0" borderId="0" xfId="8" applyFont="1"/>
    <xf numFmtId="0" fontId="31" fillId="0" borderId="23" xfId="8" applyFont="1" applyBorder="1"/>
    <xf numFmtId="0" fontId="6" fillId="0" borderId="22" xfId="8" applyFont="1" applyBorder="1"/>
    <xf numFmtId="0" fontId="31" fillId="0" borderId="15" xfId="8" applyFont="1" applyBorder="1"/>
    <xf numFmtId="0" fontId="6" fillId="0" borderId="19" xfId="8" applyFont="1" applyBorder="1"/>
    <xf numFmtId="0" fontId="30" fillId="0" borderId="22" xfId="8" applyFont="1" applyBorder="1" applyAlignment="1">
      <alignment horizontal="center"/>
    </xf>
    <xf numFmtId="2" fontId="6" fillId="0" borderId="1" xfId="8" applyNumberFormat="1" applyFont="1" applyBorder="1"/>
    <xf numFmtId="11" fontId="6" fillId="0" borderId="54" xfId="8" applyNumberFormat="1" applyFont="1" applyBorder="1"/>
    <xf numFmtId="0" fontId="6" fillId="0" borderId="15" xfId="8" applyFont="1" applyBorder="1"/>
    <xf numFmtId="0" fontId="30" fillId="0" borderId="22" xfId="8" applyFont="1" applyBorder="1"/>
    <xf numFmtId="0" fontId="31" fillId="0" borderId="19" xfId="8" applyFont="1" applyBorder="1"/>
    <xf numFmtId="0" fontId="30" fillId="0" borderId="19" xfId="8" applyFont="1" applyBorder="1"/>
    <xf numFmtId="0" fontId="30" fillId="0" borderId="0" xfId="8" applyFont="1"/>
    <xf numFmtId="0" fontId="30" fillId="0" borderId="55" xfId="8" applyFont="1" applyBorder="1"/>
    <xf numFmtId="0" fontId="31" fillId="0" borderId="56" xfId="8" applyFont="1" applyBorder="1"/>
    <xf numFmtId="0" fontId="31" fillId="0" borderId="57" xfId="8" applyFont="1" applyBorder="1"/>
    <xf numFmtId="2" fontId="33" fillId="0" borderId="0" xfId="8" applyNumberFormat="1" applyFont="1"/>
    <xf numFmtId="0" fontId="6" fillId="0" borderId="34" xfId="8" applyFont="1" applyBorder="1"/>
    <xf numFmtId="0" fontId="6" fillId="0" borderId="35" xfId="8" applyFont="1" applyBorder="1"/>
    <xf numFmtId="0" fontId="6" fillId="0" borderId="13" xfId="8" applyFont="1" applyBorder="1"/>
    <xf numFmtId="0" fontId="6" fillId="0" borderId="41" xfId="8" applyFont="1" applyBorder="1"/>
    <xf numFmtId="0" fontId="6" fillId="0" borderId="42" xfId="8" applyFont="1" applyBorder="1"/>
    <xf numFmtId="0" fontId="6" fillId="0" borderId="25" xfId="8" applyFont="1" applyBorder="1"/>
    <xf numFmtId="0" fontId="31" fillId="0" borderId="25" xfId="8" applyFont="1" applyBorder="1"/>
    <xf numFmtId="0" fontId="31" fillId="0" borderId="14" xfId="8" applyFont="1" applyBorder="1"/>
    <xf numFmtId="0" fontId="7" fillId="0" borderId="58" xfId="8" applyFont="1" applyBorder="1"/>
    <xf numFmtId="0" fontId="7" fillId="0" borderId="59" xfId="8" applyFont="1" applyBorder="1"/>
    <xf numFmtId="0" fontId="7" fillId="0" borderId="60" xfId="8" applyFont="1" applyBorder="1"/>
    <xf numFmtId="0" fontId="6" fillId="0" borderId="46" xfId="8" applyFont="1" applyBorder="1"/>
    <xf numFmtId="0" fontId="6" fillId="0" borderId="47" xfId="8" applyFont="1" applyBorder="1"/>
    <xf numFmtId="0" fontId="6" fillId="0" borderId="48" xfId="8" applyFont="1" applyBorder="1"/>
    <xf numFmtId="0" fontId="9" fillId="0" borderId="61" xfId="8" applyFont="1" applyBorder="1"/>
    <xf numFmtId="2" fontId="6" fillId="0" borderId="0" xfId="8" applyNumberFormat="1" applyFont="1"/>
    <xf numFmtId="0" fontId="6" fillId="0" borderId="49" xfId="8" applyFont="1" applyBorder="1"/>
    <xf numFmtId="0" fontId="6" fillId="0" borderId="50" xfId="8" applyFont="1" applyBorder="1"/>
    <xf numFmtId="0" fontId="9" fillId="0" borderId="8" xfId="8" applyFont="1" applyBorder="1"/>
    <xf numFmtId="0" fontId="34" fillId="0" borderId="15" xfId="8" applyFont="1" applyBorder="1"/>
    <xf numFmtId="0" fontId="34" fillId="0" borderId="11" xfId="8" applyFont="1" applyBorder="1"/>
    <xf numFmtId="2" fontId="7" fillId="0" borderId="32" xfId="8" applyNumberFormat="1" applyFont="1" applyBorder="1"/>
    <xf numFmtId="0" fontId="28" fillId="0" borderId="0" xfId="8"/>
    <xf numFmtId="0" fontId="35" fillId="0" borderId="31" xfId="8" applyFont="1" applyBorder="1"/>
    <xf numFmtId="0" fontId="35" fillId="0" borderId="15" xfId="8" applyFont="1" applyBorder="1"/>
    <xf numFmtId="0" fontId="35" fillId="0" borderId="12" xfId="8" applyFont="1" applyBorder="1"/>
    <xf numFmtId="0" fontId="35" fillId="0" borderId="62" xfId="8" applyFont="1" applyBorder="1"/>
    <xf numFmtId="0" fontId="9" fillId="0" borderId="15" xfId="8" applyFont="1" applyBorder="1"/>
    <xf numFmtId="0" fontId="35" fillId="0" borderId="63" xfId="8" applyFont="1" applyBorder="1"/>
    <xf numFmtId="0" fontId="6" fillId="0" borderId="9" xfId="8" applyFont="1" applyBorder="1"/>
    <xf numFmtId="0" fontId="9" fillId="0" borderId="44" xfId="8" applyFont="1" applyBorder="1"/>
    <xf numFmtId="0" fontId="6" fillId="0" borderId="44" xfId="8" applyFont="1" applyBorder="1"/>
    <xf numFmtId="11" fontId="6" fillId="0" borderId="0" xfId="8" applyNumberFormat="1" applyFont="1"/>
    <xf numFmtId="0" fontId="6" fillId="0" borderId="15" xfId="8" applyFont="1" applyBorder="1" applyAlignment="1">
      <alignment horizontal="center"/>
    </xf>
    <xf numFmtId="0" fontId="6" fillId="0" borderId="2" xfId="8" applyFont="1" applyBorder="1" applyAlignment="1">
      <alignment horizontal="center"/>
    </xf>
    <xf numFmtId="0" fontId="6" fillId="0" borderId="12" xfId="8" applyFont="1" applyBorder="1" applyAlignment="1">
      <alignment horizontal="center"/>
    </xf>
    <xf numFmtId="0" fontId="6" fillId="0" borderId="64" xfId="8" applyFont="1" applyBorder="1"/>
    <xf numFmtId="0" fontId="6" fillId="0" borderId="65" xfId="8" applyFont="1" applyBorder="1"/>
    <xf numFmtId="0" fontId="6" fillId="0" borderId="66" xfId="8" applyFont="1" applyBorder="1"/>
    <xf numFmtId="0" fontId="6" fillId="0" borderId="24" xfId="8" applyFont="1" applyBorder="1"/>
    <xf numFmtId="0" fontId="6" fillId="0" borderId="51" xfId="8" applyFont="1" applyBorder="1"/>
    <xf numFmtId="0" fontId="6" fillId="0" borderId="52" xfId="8" applyFont="1" applyBorder="1"/>
    <xf numFmtId="0" fontId="6" fillId="0" borderId="53" xfId="8" applyFont="1" applyBorder="1"/>
    <xf numFmtId="0" fontId="9" fillId="0" borderId="50" xfId="8" applyFont="1" applyBorder="1"/>
    <xf numFmtId="0" fontId="6" fillId="0" borderId="1" xfId="9" applyFont="1" applyAlignment="1">
      <alignment horizontal="left"/>
    </xf>
    <xf numFmtId="0" fontId="6" fillId="0" borderId="1" xfId="9" applyFont="1"/>
    <xf numFmtId="0" fontId="6" fillId="0" borderId="1" xfId="9" applyFont="1" applyAlignment="1">
      <alignment horizontal="center"/>
    </xf>
    <xf numFmtId="2" fontId="6" fillId="0" borderId="1" xfId="9" applyNumberFormat="1" applyFont="1"/>
    <xf numFmtId="164" fontId="6" fillId="0" borderId="1" xfId="9" applyNumberFormat="1" applyFont="1"/>
    <xf numFmtId="0" fontId="6" fillId="0" borderId="0" xfId="9" applyFont="1" applyBorder="1" applyAlignment="1">
      <alignment horizontal="left"/>
    </xf>
    <xf numFmtId="1" fontId="6" fillId="0" borderId="1" xfId="9" applyNumberFormat="1" applyFont="1"/>
    <xf numFmtId="2" fontId="6" fillId="0" borderId="1" xfId="9" applyNumberFormat="1" applyFont="1" applyAlignment="1">
      <alignment horizontal="right"/>
    </xf>
    <xf numFmtId="164" fontId="6" fillId="0" borderId="1" xfId="9" applyNumberFormat="1" applyFont="1" applyAlignment="1">
      <alignment horizontal="center"/>
    </xf>
    <xf numFmtId="165" fontId="6" fillId="0" borderId="1" xfId="9" applyNumberFormat="1" applyFont="1" applyAlignment="1">
      <alignment horizontal="center"/>
    </xf>
    <xf numFmtId="165" fontId="9" fillId="0" borderId="0" xfId="9" applyNumberFormat="1" applyFont="1" applyBorder="1" applyAlignment="1">
      <alignment horizontal="right"/>
    </xf>
    <xf numFmtId="170" fontId="6" fillId="0" borderId="0" xfId="9" applyNumberFormat="1" applyFont="1" applyBorder="1"/>
    <xf numFmtId="165" fontId="9" fillId="0" borderId="0" xfId="9" applyNumberFormat="1" applyFont="1" applyBorder="1" applyAlignment="1">
      <alignment horizontal="center"/>
    </xf>
    <xf numFmtId="166" fontId="6" fillId="0" borderId="1" xfId="9" applyNumberFormat="1" applyFont="1"/>
    <xf numFmtId="2" fontId="6" fillId="0" borderId="1" xfId="9" applyNumberFormat="1" applyFont="1" applyAlignment="1">
      <alignment horizontal="center"/>
    </xf>
    <xf numFmtId="165" fontId="6" fillId="0" borderId="1" xfId="9" applyNumberFormat="1" applyFont="1" applyAlignment="1">
      <alignment horizontal="right"/>
    </xf>
    <xf numFmtId="167" fontId="6" fillId="0" borderId="1" xfId="9" applyNumberFormat="1" applyFont="1"/>
    <xf numFmtId="1" fontId="6" fillId="0" borderId="1" xfId="9" applyNumberFormat="1" applyFont="1" applyAlignment="1">
      <alignment horizontal="center"/>
    </xf>
    <xf numFmtId="2" fontId="9" fillId="0" borderId="0" xfId="9" applyNumberFormat="1" applyFont="1" applyBorder="1"/>
    <xf numFmtId="166" fontId="6" fillId="0" borderId="1" xfId="9" applyNumberFormat="1" applyFont="1" applyAlignment="1">
      <alignment horizontal="right"/>
    </xf>
    <xf numFmtId="167" fontId="6" fillId="0" borderId="1" xfId="9" applyNumberFormat="1" applyFont="1" applyAlignment="1">
      <alignment horizontal="center"/>
    </xf>
    <xf numFmtId="168" fontId="6" fillId="0" borderId="1" xfId="9" applyNumberFormat="1" applyFont="1" applyAlignment="1">
      <alignment horizontal="center"/>
    </xf>
    <xf numFmtId="11" fontId="6" fillId="0" borderId="1" xfId="9" applyNumberFormat="1" applyFont="1"/>
    <xf numFmtId="164" fontId="6" fillId="0" borderId="1" xfId="9" applyNumberFormat="1" applyFont="1" applyAlignment="1">
      <alignment horizontal="right"/>
    </xf>
    <xf numFmtId="165" fontId="9" fillId="0" borderId="1" xfId="9" applyNumberFormat="1" applyFont="1" applyAlignment="1">
      <alignment horizontal="right"/>
    </xf>
    <xf numFmtId="167" fontId="6" fillId="0" borderId="1" xfId="9" applyNumberFormat="1" applyFont="1" applyAlignment="1">
      <alignment horizontal="left"/>
    </xf>
    <xf numFmtId="164" fontId="6" fillId="0" borderId="1" xfId="9" applyNumberFormat="1" applyFont="1" applyAlignment="1">
      <alignment horizontal="left"/>
    </xf>
    <xf numFmtId="170" fontId="6" fillId="0" borderId="1" xfId="9" applyNumberFormat="1" applyFont="1" applyAlignment="1">
      <alignment horizontal="right"/>
    </xf>
    <xf numFmtId="11" fontId="6" fillId="0" borderId="1" xfId="9" applyNumberFormat="1" applyFont="1" applyAlignment="1">
      <alignment horizontal="right"/>
    </xf>
    <xf numFmtId="169" fontId="6" fillId="0" borderId="1" xfId="9" applyNumberFormat="1" applyFont="1"/>
    <xf numFmtId="0" fontId="9" fillId="0" borderId="61" xfId="9" applyFont="1" applyBorder="1"/>
    <xf numFmtId="0" fontId="9" fillId="0" borderId="67" xfId="9" applyFont="1" applyBorder="1"/>
    <xf numFmtId="0" fontId="9" fillId="0" borderId="18" xfId="9" applyFont="1" applyBorder="1"/>
    <xf numFmtId="1" fontId="6" fillId="0" borderId="1" xfId="9" applyNumberFormat="1" applyFont="1" applyAlignment="1">
      <alignment horizontal="right"/>
    </xf>
    <xf numFmtId="0" fontId="9" fillId="0" borderId="8" xfId="9" applyFont="1" applyBorder="1"/>
    <xf numFmtId="0" fontId="9" fillId="0" borderId="68" xfId="9" applyFont="1" applyBorder="1"/>
    <xf numFmtId="2" fontId="6" fillId="0" borderId="1" xfId="9" applyNumberFormat="1" applyFont="1" applyAlignment="1">
      <alignment horizontal="left"/>
    </xf>
    <xf numFmtId="168" fontId="6" fillId="0" borderId="1" xfId="9" applyNumberFormat="1" applyFont="1"/>
    <xf numFmtId="174" fontId="6" fillId="0" borderId="1" xfId="9" applyNumberFormat="1" applyFont="1" applyAlignment="1">
      <alignment horizontal="right"/>
    </xf>
    <xf numFmtId="166" fontId="9" fillId="0" borderId="1" xfId="9" applyNumberFormat="1" applyFont="1" applyAlignment="1">
      <alignment horizontal="right"/>
    </xf>
    <xf numFmtId="2" fontId="9" fillId="0" borderId="1" xfId="9" applyNumberFormat="1" applyFont="1" applyAlignment="1">
      <alignment horizontal="right"/>
    </xf>
    <xf numFmtId="170" fontId="9" fillId="0" borderId="1" xfId="9" applyNumberFormat="1" applyFont="1" applyAlignment="1">
      <alignment horizontal="right"/>
    </xf>
    <xf numFmtId="0" fontId="6" fillId="0" borderId="1" xfId="9" applyFont="1" applyAlignment="1">
      <alignment horizontal="right"/>
    </xf>
    <xf numFmtId="0" fontId="6" fillId="0" borderId="1" xfId="9" applyFont="1" applyProtection="1">
      <protection locked="0"/>
    </xf>
    <xf numFmtId="0" fontId="9" fillId="0" borderId="1" xfId="9" applyFont="1" applyAlignment="1">
      <alignment horizontal="center"/>
    </xf>
    <xf numFmtId="0" fontId="6" fillId="0" borderId="0" xfId="9" applyFont="1" applyBorder="1"/>
    <xf numFmtId="0" fontId="6" fillId="0" borderId="19" xfId="9" applyFont="1" applyBorder="1"/>
    <xf numFmtId="0" fontId="6" fillId="0" borderId="22" xfId="9" applyFont="1" applyBorder="1"/>
    <xf numFmtId="165" fontId="6" fillId="0" borderId="0" xfId="9" applyNumberFormat="1" applyFont="1" applyBorder="1"/>
    <xf numFmtId="0" fontId="6" fillId="0" borderId="24" xfId="9" applyFont="1" applyBorder="1"/>
    <xf numFmtId="2" fontId="6" fillId="0" borderId="19" xfId="9" applyNumberFormat="1" applyFont="1" applyBorder="1"/>
    <xf numFmtId="2" fontId="6" fillId="0" borderId="22" xfId="9" applyNumberFormat="1" applyFont="1" applyBorder="1"/>
    <xf numFmtId="2" fontId="6" fillId="0" borderId="24" xfId="9" applyNumberFormat="1" applyFont="1" applyBorder="1"/>
    <xf numFmtId="165" fontId="7" fillId="2" borderId="33" xfId="9" applyNumberFormat="1" applyFont="1" applyFill="1" applyBorder="1"/>
    <xf numFmtId="165" fontId="7" fillId="2" borderId="34" xfId="9" applyNumberFormat="1" applyFont="1" applyFill="1" applyBorder="1"/>
    <xf numFmtId="165" fontId="7" fillId="2" borderId="35" xfId="9" applyNumberFormat="1" applyFont="1" applyFill="1" applyBorder="1"/>
    <xf numFmtId="165" fontId="7" fillId="2" borderId="38" xfId="9" applyNumberFormat="1" applyFont="1" applyFill="1" applyBorder="1"/>
    <xf numFmtId="165" fontId="7" fillId="2" borderId="1" xfId="9" applyNumberFormat="1" applyFont="1" applyFill="1"/>
    <xf numFmtId="165" fontId="7" fillId="2" borderId="39" xfId="9" applyNumberFormat="1" applyFont="1" applyFill="1" applyBorder="1"/>
    <xf numFmtId="165" fontId="7" fillId="2" borderId="40" xfId="9" applyNumberFormat="1" applyFont="1" applyFill="1" applyBorder="1"/>
    <xf numFmtId="165" fontId="7" fillId="2" borderId="41" xfId="9" applyNumberFormat="1" applyFont="1" applyFill="1" applyBorder="1"/>
    <xf numFmtId="0" fontId="6" fillId="0" borderId="25" xfId="9" applyFont="1" applyBorder="1"/>
    <xf numFmtId="165" fontId="7" fillId="2" borderId="42" xfId="9" applyNumberFormat="1" applyFont="1" applyFill="1" applyBorder="1"/>
    <xf numFmtId="0" fontId="6" fillId="0" borderId="26" xfId="9" applyFont="1" applyBorder="1" applyAlignment="1">
      <alignment horizontal="left"/>
    </xf>
    <xf numFmtId="0" fontId="6" fillId="0" borderId="20" xfId="9" applyFont="1" applyBorder="1"/>
    <xf numFmtId="0" fontId="6" fillId="0" borderId="21" xfId="9" applyFont="1" applyBorder="1"/>
    <xf numFmtId="0" fontId="6" fillId="0" borderId="27" xfId="9" applyFont="1" applyBorder="1"/>
    <xf numFmtId="0" fontId="6" fillId="0" borderId="23" xfId="9" applyFont="1" applyBorder="1"/>
    <xf numFmtId="0" fontId="6" fillId="0" borderId="27" xfId="9" applyFont="1" applyBorder="1" applyAlignment="1">
      <alignment horizontal="left"/>
    </xf>
    <xf numFmtId="165" fontId="30" fillId="2" borderId="69" xfId="9" applyNumberFormat="1" applyFont="1" applyFill="1" applyBorder="1"/>
    <xf numFmtId="0" fontId="9" fillId="0" borderId="1" xfId="9" applyFont="1"/>
    <xf numFmtId="165" fontId="9" fillId="2" borderId="70" xfId="9" applyNumberFormat="1" applyFont="1" applyFill="1" applyBorder="1"/>
    <xf numFmtId="166" fontId="9" fillId="2" borderId="70" xfId="9" applyNumberFormat="1" applyFont="1" applyFill="1" applyBorder="1"/>
    <xf numFmtId="2" fontId="30" fillId="2" borderId="69" xfId="9" applyNumberFormat="1" applyFont="1" applyFill="1" applyBorder="1"/>
    <xf numFmtId="166" fontId="30" fillId="2" borderId="69" xfId="9" applyNumberFormat="1" applyFont="1" applyFill="1" applyBorder="1"/>
    <xf numFmtId="165" fontId="30" fillId="2" borderId="70" xfId="9" applyNumberFormat="1" applyFont="1" applyFill="1" applyBorder="1"/>
    <xf numFmtId="165" fontId="30" fillId="2" borderId="71" xfId="9" applyNumberFormat="1" applyFont="1" applyFill="1" applyBorder="1"/>
    <xf numFmtId="2" fontId="30" fillId="2" borderId="71" xfId="9" applyNumberFormat="1" applyFont="1" applyFill="1" applyBorder="1"/>
    <xf numFmtId="2" fontId="9" fillId="0" borderId="41" xfId="9" applyNumberFormat="1" applyFont="1" applyBorder="1"/>
    <xf numFmtId="0" fontId="30" fillId="0" borderId="71" xfId="9" applyFont="1" applyBorder="1"/>
    <xf numFmtId="165" fontId="30" fillId="2" borderId="42" xfId="9" applyNumberFormat="1" applyFont="1" applyFill="1" applyBorder="1"/>
    <xf numFmtId="2" fontId="6" fillId="0" borderId="26" xfId="9" applyNumberFormat="1" applyFont="1" applyBorder="1"/>
    <xf numFmtId="2" fontId="6" fillId="0" borderId="20" xfId="9" applyNumberFormat="1" applyFont="1" applyBorder="1"/>
    <xf numFmtId="2" fontId="6" fillId="0" borderId="27" xfId="9" applyNumberFormat="1" applyFont="1" applyBorder="1"/>
    <xf numFmtId="2" fontId="6" fillId="0" borderId="0" xfId="9" applyNumberFormat="1" applyFont="1" applyBorder="1"/>
    <xf numFmtId="1" fontId="6" fillId="0" borderId="0" xfId="9" applyNumberFormat="1" applyFont="1" applyBorder="1"/>
    <xf numFmtId="0" fontId="30" fillId="0" borderId="69" xfId="9" applyFont="1" applyBorder="1"/>
    <xf numFmtId="0" fontId="9" fillId="0" borderId="15" xfId="0" applyFont="1" applyBorder="1"/>
    <xf numFmtId="0" fontId="9" fillId="0" borderId="44" xfId="0" applyFont="1" applyBorder="1"/>
    <xf numFmtId="0" fontId="39" fillId="0" borderId="0" xfId="0" applyFont="1" applyAlignment="1">
      <alignment horizontal="left"/>
    </xf>
    <xf numFmtId="0" fontId="39" fillId="0" borderId="0" xfId="0" applyFont="1"/>
    <xf numFmtId="165" fontId="55" fillId="0" borderId="0" xfId="0" applyNumberFormat="1" applyFont="1" applyAlignment="1">
      <alignment horizontal="right"/>
    </xf>
    <xf numFmtId="166" fontId="55" fillId="0" borderId="0" xfId="0" applyNumberFormat="1" applyFont="1" applyAlignment="1">
      <alignment horizontal="right"/>
    </xf>
    <xf numFmtId="2" fontId="55" fillId="0" borderId="0" xfId="0" applyNumberFormat="1" applyFont="1" applyAlignment="1">
      <alignment horizontal="right"/>
    </xf>
    <xf numFmtId="1" fontId="55" fillId="0" borderId="0" xfId="0" applyNumberFormat="1" applyFont="1" applyAlignment="1">
      <alignment horizontal="right"/>
    </xf>
    <xf numFmtId="1" fontId="55" fillId="0" borderId="0" xfId="0" applyNumberFormat="1" applyFont="1"/>
    <xf numFmtId="165" fontId="56" fillId="0" borderId="0" xfId="0" applyNumberFormat="1" applyFont="1" applyAlignment="1">
      <alignment horizontal="right"/>
    </xf>
    <xf numFmtId="1" fontId="56" fillId="0" borderId="0" xfId="0" applyNumberFormat="1" applyFont="1" applyAlignment="1">
      <alignment horizontal="right"/>
    </xf>
    <xf numFmtId="2" fontId="56" fillId="0" borderId="0" xfId="0" applyNumberFormat="1" applyFont="1"/>
    <xf numFmtId="2" fontId="56" fillId="0" borderId="0" xfId="0" applyNumberFormat="1" applyFont="1" applyAlignment="1">
      <alignment horizontal="right"/>
    </xf>
    <xf numFmtId="165" fontId="56" fillId="0" borderId="2" xfId="0" applyNumberFormat="1" applyFont="1" applyBorder="1"/>
    <xf numFmtId="2" fontId="55" fillId="0" borderId="0" xfId="0" applyNumberFormat="1" applyFont="1"/>
    <xf numFmtId="1" fontId="56" fillId="0" borderId="0" xfId="0" applyNumberFormat="1" applyFont="1" applyAlignment="1">
      <alignment horizontal="center"/>
    </xf>
    <xf numFmtId="169" fontId="56" fillId="0" borderId="0" xfId="0" applyNumberFormat="1" applyFont="1"/>
    <xf numFmtId="169" fontId="57" fillId="0" borderId="0" xfId="0" applyNumberFormat="1" applyFont="1"/>
    <xf numFmtId="0" fontId="2" fillId="0" borderId="11" xfId="0" applyFont="1" applyBorder="1"/>
    <xf numFmtId="165" fontId="56" fillId="0" borderId="12" xfId="0" applyNumberFormat="1" applyFont="1" applyBorder="1"/>
    <xf numFmtId="167" fontId="2" fillId="0" borderId="0" xfId="0" applyNumberFormat="1" applyFont="1" applyAlignment="1">
      <alignment horizontal="right"/>
    </xf>
    <xf numFmtId="170" fontId="2" fillId="0" borderId="0" xfId="0" applyNumberFormat="1" applyFont="1"/>
    <xf numFmtId="2" fontId="56" fillId="0" borderId="2" xfId="0" applyNumberFormat="1" applyFont="1" applyBorder="1" applyAlignment="1">
      <alignment horizontal="right"/>
    </xf>
    <xf numFmtId="2" fontId="56" fillId="0" borderId="12" xfId="0" applyNumberFormat="1" applyFont="1" applyBorder="1" applyAlignment="1">
      <alignment horizontal="right"/>
    </xf>
    <xf numFmtId="165" fontId="39" fillId="0" borderId="0" xfId="0" applyNumberFormat="1" applyFont="1" applyAlignment="1">
      <alignment horizontal="left"/>
    </xf>
    <xf numFmtId="2" fontId="39" fillId="0" borderId="11" xfId="0" applyNumberFormat="1" applyFont="1" applyBorder="1" applyAlignment="1">
      <alignment horizontal="center"/>
    </xf>
    <xf numFmtId="165" fontId="58" fillId="0" borderId="0" xfId="0" applyNumberFormat="1" applyFont="1" applyAlignment="1">
      <alignment horizontal="right"/>
    </xf>
    <xf numFmtId="1" fontId="58" fillId="0" borderId="0" xfId="0" applyNumberFormat="1" applyFont="1" applyAlignment="1">
      <alignment horizontal="right"/>
    </xf>
    <xf numFmtId="165" fontId="58" fillId="0" borderId="0" xfId="0" applyNumberFormat="1" applyFont="1" applyAlignment="1">
      <alignment horizontal="center"/>
    </xf>
    <xf numFmtId="2" fontId="58" fillId="0" borderId="0" xfId="0" applyNumberFormat="1" applyFont="1"/>
    <xf numFmtId="2" fontId="58" fillId="0" borderId="0" xfId="0" applyNumberFormat="1" applyFont="1" applyAlignment="1">
      <alignment horizontal="right"/>
    </xf>
    <xf numFmtId="0" fontId="2" fillId="0" borderId="2" xfId="0" applyFont="1" applyBorder="1" applyAlignment="1">
      <alignment horizontal="center"/>
    </xf>
    <xf numFmtId="0" fontId="2" fillId="0" borderId="0" xfId="0" applyFont="1" applyProtection="1">
      <protection locked="0"/>
    </xf>
    <xf numFmtId="0" fontId="59" fillId="0" borderId="72" xfId="6" applyFont="1" applyBorder="1"/>
    <xf numFmtId="0" fontId="59" fillId="0" borderId="36" xfId="6" applyFont="1" applyBorder="1" applyAlignment="1">
      <alignment horizontal="center"/>
    </xf>
    <xf numFmtId="0" fontId="59" fillId="0" borderId="36" xfId="6" applyFont="1" applyBorder="1"/>
    <xf numFmtId="0" fontId="59" fillId="0" borderId="73" xfId="6" applyFont="1" applyBorder="1"/>
    <xf numFmtId="0" fontId="59" fillId="0" borderId="15" xfId="6" applyFont="1" applyBorder="1"/>
    <xf numFmtId="0" fontId="59" fillId="0" borderId="44" xfId="6" applyFont="1" applyBorder="1"/>
    <xf numFmtId="0" fontId="60" fillId="0" borderId="31" xfId="6" applyFont="1" applyBorder="1"/>
    <xf numFmtId="0" fontId="60" fillId="0" borderId="15" xfId="6" applyFont="1" applyBorder="1"/>
    <xf numFmtId="0" fontId="60" fillId="0" borderId="62" xfId="6" applyFont="1" applyBorder="1"/>
    <xf numFmtId="0" fontId="60" fillId="0" borderId="63" xfId="6" applyFont="1" applyBorder="1"/>
    <xf numFmtId="0" fontId="59" fillId="0" borderId="43" xfId="6" applyFont="1" applyBorder="1"/>
    <xf numFmtId="0" fontId="61" fillId="0" borderId="72" xfId="8" applyFont="1" applyBorder="1"/>
    <xf numFmtId="0" fontId="61" fillId="0" borderId="36" xfId="8" applyFont="1" applyBorder="1" applyAlignment="1">
      <alignment horizontal="center"/>
    </xf>
    <xf numFmtId="0" fontId="61" fillId="0" borderId="36" xfId="8" applyFont="1" applyBorder="1"/>
    <xf numFmtId="0" fontId="61" fillId="0" borderId="74" xfId="8" applyFont="1" applyBorder="1"/>
    <xf numFmtId="0" fontId="61" fillId="0" borderId="75" xfId="8" applyFont="1" applyBorder="1"/>
    <xf numFmtId="0" fontId="61" fillId="0" borderId="43" xfId="8" applyFont="1" applyBorder="1"/>
    <xf numFmtId="0" fontId="61" fillId="0" borderId="67" xfId="8" applyFont="1" applyBorder="1"/>
    <xf numFmtId="0" fontId="61" fillId="0" borderId="68" xfId="8" applyFont="1" applyBorder="1"/>
    <xf numFmtId="0" fontId="61" fillId="0" borderId="18" xfId="8" applyFont="1" applyBorder="1"/>
    <xf numFmtId="166" fontId="2" fillId="0" borderId="2" xfId="0" applyNumberFormat="1" applyFont="1" applyBorder="1"/>
    <xf numFmtId="166" fontId="2" fillId="0" borderId="12" xfId="0" applyNumberFormat="1" applyFont="1" applyBorder="1"/>
    <xf numFmtId="177" fontId="2" fillId="0" borderId="0" xfId="0" applyNumberFormat="1" applyFont="1"/>
    <xf numFmtId="0" fontId="62" fillId="0" borderId="0" xfId="0" applyFont="1"/>
    <xf numFmtId="166" fontId="62" fillId="0" borderId="0" xfId="0" applyNumberFormat="1" applyFont="1"/>
    <xf numFmtId="178" fontId="2" fillId="0" borderId="0" xfId="0" applyNumberFormat="1" applyFont="1"/>
    <xf numFmtId="177" fontId="2" fillId="0" borderId="0" xfId="1" applyNumberFormat="1" applyFont="1" applyFill="1"/>
    <xf numFmtId="9" fontId="2" fillId="0" borderId="0" xfId="1" applyFont="1" applyFill="1"/>
    <xf numFmtId="0" fontId="63" fillId="0" borderId="0" xfId="0" applyFont="1"/>
    <xf numFmtId="166" fontId="63" fillId="0" borderId="0" xfId="0" applyNumberFormat="1" applyFont="1"/>
    <xf numFmtId="1" fontId="63" fillId="0" borderId="0" xfId="0" applyNumberFormat="1" applyFont="1"/>
    <xf numFmtId="165" fontId="63" fillId="0" borderId="0" xfId="0" applyNumberFormat="1" applyFont="1"/>
    <xf numFmtId="0" fontId="64" fillId="0" borderId="0" xfId="0" applyFont="1"/>
    <xf numFmtId="1" fontId="64" fillId="0" borderId="0" xfId="0" applyNumberFormat="1" applyFont="1"/>
    <xf numFmtId="0" fontId="65" fillId="0" borderId="0" xfId="0" applyFont="1"/>
    <xf numFmtId="1" fontId="65" fillId="0" borderId="0" xfId="0" applyNumberFormat="1" applyFont="1"/>
    <xf numFmtId="166" fontId="65" fillId="0" borderId="0" xfId="0" applyNumberFormat="1" applyFont="1"/>
    <xf numFmtId="165" fontId="65" fillId="0" borderId="0" xfId="0" applyNumberFormat="1" applyFont="1"/>
    <xf numFmtId="10" fontId="64" fillId="0" borderId="0" xfId="1" applyNumberFormat="1" applyFont="1" applyFill="1"/>
    <xf numFmtId="9" fontId="64" fillId="0" borderId="0" xfId="1" applyFont="1" applyFill="1"/>
    <xf numFmtId="177" fontId="64" fillId="0" borderId="0" xfId="1" applyNumberFormat="1" applyFont="1" applyFill="1"/>
    <xf numFmtId="169" fontId="65" fillId="0" borderId="0" xfId="0" applyNumberFormat="1" applyFont="1"/>
    <xf numFmtId="2" fontId="63" fillId="0" borderId="0" xfId="0" applyNumberFormat="1" applyFont="1"/>
    <xf numFmtId="0" fontId="12" fillId="0" borderId="0" xfId="0" applyFont="1"/>
    <xf numFmtId="2" fontId="12" fillId="0" borderId="0" xfId="0" applyNumberFormat="1" applyFont="1"/>
    <xf numFmtId="2" fontId="12" fillId="0" borderId="0" xfId="0" applyNumberFormat="1" applyFont="1" applyAlignment="1">
      <alignment horizontal="left"/>
    </xf>
    <xf numFmtId="1" fontId="12" fillId="0" borderId="0" xfId="0" applyNumberFormat="1" applyFont="1"/>
    <xf numFmtId="165" fontId="66" fillId="0" borderId="0" xfId="0" applyNumberFormat="1" applyFont="1"/>
    <xf numFmtId="2" fontId="64" fillId="0" borderId="0" xfId="0" applyNumberFormat="1" applyFont="1"/>
    <xf numFmtId="2" fontId="65" fillId="0" borderId="0" xfId="0" applyNumberFormat="1" applyFont="1"/>
    <xf numFmtId="169" fontId="64" fillId="0" borderId="0" xfId="1" applyNumberFormat="1" applyFont="1" applyFill="1"/>
    <xf numFmtId="0" fontId="0" fillId="0" borderId="0" xfId="0" applyAlignment="1">
      <alignment horizontal="center"/>
    </xf>
    <xf numFmtId="0" fontId="41" fillId="0" borderId="0" xfId="0" applyFont="1"/>
    <xf numFmtId="0" fontId="4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3" borderId="0" xfId="0" applyNumberFormat="1" applyFont="1" applyFill="1"/>
    <xf numFmtId="2" fontId="2" fillId="4" borderId="0" xfId="0" applyNumberFormat="1" applyFont="1" applyFill="1"/>
    <xf numFmtId="1" fontId="2" fillId="4" borderId="0" xfId="0" applyNumberFormat="1" applyFont="1" applyFill="1"/>
    <xf numFmtId="165" fontId="2" fillId="4" borderId="0" xfId="0" applyNumberFormat="1" applyFont="1" applyFill="1"/>
    <xf numFmtId="165" fontId="2" fillId="3" borderId="0" xfId="0" applyNumberFormat="1" applyFont="1" applyFill="1"/>
    <xf numFmtId="165" fontId="2" fillId="0" borderId="0" xfId="1" applyNumberFormat="1" applyFont="1" applyFill="1"/>
    <xf numFmtId="165" fontId="0" fillId="0" borderId="0" xfId="0" applyNumberFormat="1"/>
    <xf numFmtId="165" fontId="2" fillId="5" borderId="0" xfId="0" applyNumberFormat="1" applyFont="1" applyFill="1"/>
    <xf numFmtId="9" fontId="0" fillId="0" borderId="0" xfId="1" applyFont="1"/>
    <xf numFmtId="177" fontId="0" fillId="0" borderId="0" xfId="1" applyNumberFormat="1" applyFont="1"/>
    <xf numFmtId="0" fontId="67" fillId="0" borderId="0" xfId="0" applyFont="1"/>
    <xf numFmtId="166" fontId="0" fillId="0" borderId="0" xfId="1" applyNumberFormat="1" applyFont="1"/>
    <xf numFmtId="1" fontId="67" fillId="0" borderId="0" xfId="0" applyNumberFormat="1" applyFont="1"/>
    <xf numFmtId="1" fontId="0" fillId="0" borderId="0" xfId="0" applyNumberFormat="1"/>
    <xf numFmtId="0" fontId="0" fillId="5" borderId="0" xfId="0" applyFill="1"/>
    <xf numFmtId="0" fontId="0" fillId="5" borderId="0" xfId="0" applyFill="1" applyAlignment="1">
      <alignment horizontal="center"/>
    </xf>
    <xf numFmtId="2" fontId="6" fillId="0" borderId="0" xfId="0" applyNumberFormat="1" applyFont="1" applyProtection="1">
      <protection locked="0"/>
    </xf>
    <xf numFmtId="166" fontId="12" fillId="0" borderId="0" xfId="0" applyNumberFormat="1" applyFont="1"/>
    <xf numFmtId="0" fontId="68" fillId="0" borderId="0" xfId="0" applyFont="1" applyAlignment="1">
      <alignment horizontal="center"/>
    </xf>
    <xf numFmtId="165" fontId="12" fillId="0" borderId="0" xfId="0" applyNumberFormat="1" applyFont="1"/>
    <xf numFmtId="165" fontId="69" fillId="0" borderId="0" xfId="0" applyNumberFormat="1" applyFont="1"/>
    <xf numFmtId="1" fontId="69" fillId="0" borderId="0" xfId="0" applyNumberFormat="1" applyFont="1"/>
    <xf numFmtId="2" fontId="69" fillId="0" borderId="0" xfId="0" applyNumberFormat="1" applyFont="1" applyAlignment="1">
      <alignment horizontal="left"/>
    </xf>
    <xf numFmtId="2" fontId="69" fillId="0" borderId="0" xfId="0" applyNumberFormat="1" applyFont="1"/>
    <xf numFmtId="165" fontId="58" fillId="0" borderId="0" xfId="0" applyNumberFormat="1" applyFont="1"/>
    <xf numFmtId="1" fontId="8" fillId="0" borderId="0" xfId="7" applyNumberFormat="1" applyFont="1"/>
    <xf numFmtId="165" fontId="70" fillId="0" borderId="0" xfId="0" applyNumberFormat="1" applyFont="1" applyAlignment="1">
      <alignment horizontal="right"/>
    </xf>
    <xf numFmtId="1" fontId="70" fillId="0" borderId="0" xfId="0" applyNumberFormat="1" applyFont="1" applyAlignment="1">
      <alignment horizontal="right"/>
    </xf>
    <xf numFmtId="165" fontId="70" fillId="0" borderId="0" xfId="0" applyNumberFormat="1" applyFont="1" applyAlignment="1">
      <alignment horizontal="center"/>
    </xf>
    <xf numFmtId="2" fontId="70" fillId="0" borderId="0" xfId="0" applyNumberFormat="1" applyFont="1" applyAlignment="1">
      <alignment horizontal="right"/>
    </xf>
    <xf numFmtId="2" fontId="70" fillId="0" borderId="0" xfId="0" applyNumberFormat="1" applyFont="1"/>
    <xf numFmtId="165" fontId="70" fillId="0" borderId="0" xfId="0" applyNumberFormat="1" applyFont="1"/>
    <xf numFmtId="0" fontId="71" fillId="0" borderId="0" xfId="0" applyFont="1" applyAlignment="1">
      <alignment horizontal="left"/>
    </xf>
    <xf numFmtId="0" fontId="72" fillId="0" borderId="0" xfId="0" applyFont="1"/>
    <xf numFmtId="166" fontId="72" fillId="0" borderId="0" xfId="0" applyNumberFormat="1" applyFont="1"/>
    <xf numFmtId="0" fontId="72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2" fontId="72" fillId="0" borderId="0" xfId="0" applyNumberFormat="1" applyFont="1"/>
    <xf numFmtId="164" fontId="72" fillId="0" borderId="0" xfId="0" applyNumberFormat="1" applyFont="1"/>
    <xf numFmtId="164" fontId="72" fillId="0" borderId="0" xfId="0" applyNumberFormat="1" applyFont="1" applyAlignment="1">
      <alignment horizontal="center"/>
    </xf>
    <xf numFmtId="166" fontId="72" fillId="0" borderId="0" xfId="0" applyNumberFormat="1" applyFont="1" applyAlignment="1">
      <alignment horizontal="center"/>
    </xf>
    <xf numFmtId="166" fontId="72" fillId="0" borderId="0" xfId="0" applyNumberFormat="1" applyFont="1" applyAlignment="1">
      <alignment horizontal="left"/>
    </xf>
    <xf numFmtId="1" fontId="72" fillId="0" borderId="0" xfId="0" applyNumberFormat="1" applyFont="1"/>
    <xf numFmtId="2" fontId="72" fillId="0" borderId="0" xfId="0" applyNumberFormat="1" applyFont="1" applyAlignment="1">
      <alignment horizontal="right"/>
    </xf>
    <xf numFmtId="165" fontId="72" fillId="0" borderId="0" xfId="0" applyNumberFormat="1" applyFont="1" applyAlignment="1">
      <alignment horizontal="center"/>
    </xf>
    <xf numFmtId="165" fontId="73" fillId="0" borderId="0" xfId="0" applyNumberFormat="1" applyFont="1"/>
    <xf numFmtId="2" fontId="72" fillId="0" borderId="0" xfId="0" applyNumberFormat="1" applyFont="1" applyAlignment="1">
      <alignment horizontal="left"/>
    </xf>
    <xf numFmtId="165" fontId="72" fillId="0" borderId="0" xfId="0" applyNumberFormat="1" applyFont="1"/>
    <xf numFmtId="2" fontId="72" fillId="0" borderId="0" xfId="0" applyNumberFormat="1" applyFont="1" applyAlignment="1">
      <alignment horizontal="center"/>
    </xf>
    <xf numFmtId="165" fontId="72" fillId="0" borderId="0" xfId="0" applyNumberFormat="1" applyFont="1" applyAlignment="1">
      <alignment horizontal="right"/>
    </xf>
    <xf numFmtId="2" fontId="73" fillId="0" borderId="0" xfId="0" applyNumberFormat="1" applyFont="1"/>
    <xf numFmtId="1" fontId="72" fillId="0" borderId="0" xfId="0" applyNumberFormat="1" applyFont="1" applyAlignment="1">
      <alignment horizontal="center"/>
    </xf>
    <xf numFmtId="167" fontId="72" fillId="0" borderId="0" xfId="0" applyNumberFormat="1" applyFont="1" applyAlignment="1">
      <alignment horizontal="center"/>
    </xf>
    <xf numFmtId="164" fontId="72" fillId="0" borderId="0" xfId="0" applyNumberFormat="1" applyFont="1" applyAlignment="1">
      <alignment horizontal="left"/>
    </xf>
    <xf numFmtId="166" fontId="72" fillId="0" borderId="0" xfId="0" applyNumberFormat="1" applyFont="1" applyAlignment="1">
      <alignment horizontal="right"/>
    </xf>
    <xf numFmtId="168" fontId="72" fillId="0" borderId="0" xfId="0" applyNumberFormat="1" applyFont="1" applyAlignment="1">
      <alignment horizontal="center"/>
    </xf>
    <xf numFmtId="164" fontId="72" fillId="0" borderId="0" xfId="0" applyNumberFormat="1" applyFont="1" applyAlignment="1">
      <alignment horizontal="right"/>
    </xf>
    <xf numFmtId="0" fontId="72" fillId="0" borderId="0" xfId="0" applyFont="1" applyAlignment="1">
      <alignment horizontal="right"/>
    </xf>
    <xf numFmtId="2" fontId="71" fillId="0" borderId="0" xfId="0" applyNumberFormat="1" applyFont="1" applyAlignment="1">
      <alignment horizontal="right"/>
    </xf>
    <xf numFmtId="167" fontId="72" fillId="0" borderId="0" xfId="0" applyNumberFormat="1" applyFont="1"/>
    <xf numFmtId="167" fontId="72" fillId="0" borderId="0" xfId="0" applyNumberFormat="1" applyFont="1" applyAlignment="1">
      <alignment horizontal="left"/>
    </xf>
    <xf numFmtId="0" fontId="74" fillId="5" borderId="0" xfId="0" applyFont="1" applyFill="1" applyAlignment="1">
      <alignment horizontal="center"/>
    </xf>
    <xf numFmtId="2" fontId="74" fillId="5" borderId="0" xfId="0" applyNumberFormat="1" applyFont="1" applyFill="1"/>
    <xf numFmtId="171" fontId="72" fillId="0" borderId="0" xfId="0" applyNumberFormat="1" applyFont="1" applyAlignment="1">
      <alignment horizontal="right"/>
    </xf>
    <xf numFmtId="170" fontId="72" fillId="0" borderId="0" xfId="0" applyNumberFormat="1" applyFont="1" applyAlignment="1">
      <alignment horizontal="right"/>
    </xf>
    <xf numFmtId="1" fontId="72" fillId="0" borderId="0" xfId="0" applyNumberFormat="1" applyFont="1" applyAlignment="1">
      <alignment horizontal="right"/>
    </xf>
    <xf numFmtId="169" fontId="72" fillId="0" borderId="0" xfId="0" applyNumberFormat="1" applyFont="1"/>
    <xf numFmtId="172" fontId="72" fillId="0" borderId="0" xfId="0" applyNumberFormat="1" applyFont="1" applyAlignment="1">
      <alignment horizontal="right"/>
    </xf>
    <xf numFmtId="0" fontId="71" fillId="0" borderId="0" xfId="0" applyFont="1"/>
    <xf numFmtId="0" fontId="71" fillId="0" borderId="11" xfId="0" applyFont="1" applyBorder="1" applyAlignment="1">
      <alignment horizontal="center"/>
    </xf>
    <xf numFmtId="165" fontId="73" fillId="0" borderId="2" xfId="0" applyNumberFormat="1" applyFont="1" applyBorder="1"/>
    <xf numFmtId="0" fontId="71" fillId="0" borderId="2" xfId="0" applyFont="1" applyBorder="1"/>
    <xf numFmtId="167" fontId="74" fillId="5" borderId="0" xfId="0" applyNumberFormat="1" applyFont="1" applyFill="1" applyAlignment="1">
      <alignment horizontal="center"/>
    </xf>
    <xf numFmtId="165" fontId="72" fillId="0" borderId="0" xfId="0" quotePrefix="1" applyNumberFormat="1" applyFont="1" applyAlignment="1">
      <alignment horizontal="right"/>
    </xf>
    <xf numFmtId="167" fontId="74" fillId="5" borderId="0" xfId="0" applyNumberFormat="1" applyFont="1" applyFill="1" applyAlignment="1">
      <alignment horizontal="left"/>
    </xf>
    <xf numFmtId="165" fontId="75" fillId="0" borderId="0" xfId="0" applyNumberFormat="1" applyFont="1" applyAlignment="1">
      <alignment horizontal="right"/>
    </xf>
    <xf numFmtId="2" fontId="75" fillId="0" borderId="0" xfId="0" applyNumberFormat="1" applyFont="1" applyAlignment="1">
      <alignment horizontal="right"/>
    </xf>
    <xf numFmtId="1" fontId="75" fillId="0" borderId="0" xfId="0" applyNumberFormat="1" applyFont="1" applyAlignment="1">
      <alignment horizontal="right"/>
    </xf>
    <xf numFmtId="1" fontId="75" fillId="0" borderId="0" xfId="0" applyNumberFormat="1" applyFont="1"/>
    <xf numFmtId="169" fontId="76" fillId="0" borderId="0" xfId="0" applyNumberFormat="1" applyFont="1"/>
    <xf numFmtId="2" fontId="76" fillId="0" borderId="0" xfId="0" applyNumberFormat="1" applyFont="1"/>
    <xf numFmtId="2" fontId="74" fillId="0" borderId="0" xfId="0" applyNumberFormat="1" applyFont="1"/>
    <xf numFmtId="0" fontId="77" fillId="0" borderId="0" xfId="0" applyFont="1" applyAlignment="1">
      <alignment horizontal="center"/>
    </xf>
    <xf numFmtId="2" fontId="72" fillId="0" borderId="0" xfId="7" applyNumberFormat="1" applyFont="1"/>
    <xf numFmtId="0" fontId="72" fillId="0" borderId="0" xfId="7" applyFont="1"/>
    <xf numFmtId="1" fontId="72" fillId="0" borderId="0" xfId="7" applyNumberFormat="1" applyFont="1"/>
    <xf numFmtId="168" fontId="72" fillId="0" borderId="0" xfId="0" applyNumberFormat="1" applyFont="1"/>
    <xf numFmtId="0" fontId="74" fillId="5" borderId="0" xfId="0" applyFont="1" applyFill="1"/>
    <xf numFmtId="1" fontId="74" fillId="5" borderId="0" xfId="0" applyNumberFormat="1" applyFont="1" applyFill="1"/>
    <xf numFmtId="0" fontId="72" fillId="5" borderId="0" xfId="0" applyFont="1" applyFill="1"/>
    <xf numFmtId="165" fontId="74" fillId="5" borderId="0" xfId="0" applyNumberFormat="1" applyFont="1" applyFill="1"/>
    <xf numFmtId="166" fontId="77" fillId="0" borderId="0" xfId="0" applyNumberFormat="1" applyFont="1"/>
    <xf numFmtId="169" fontId="77" fillId="0" borderId="0" xfId="0" applyNumberFormat="1" applyFont="1"/>
    <xf numFmtId="166" fontId="74" fillId="5" borderId="0" xfId="0" applyNumberFormat="1" applyFont="1" applyFill="1"/>
    <xf numFmtId="0" fontId="74" fillId="0" borderId="0" xfId="0" applyFont="1"/>
    <xf numFmtId="166" fontId="74" fillId="0" borderId="0" xfId="0" applyNumberFormat="1" applyFont="1"/>
    <xf numFmtId="169" fontId="74" fillId="0" borderId="0" xfId="0" applyNumberFormat="1" applyFont="1"/>
    <xf numFmtId="1" fontId="74" fillId="0" borderId="0" xfId="0" applyNumberFormat="1" applyFont="1"/>
    <xf numFmtId="165" fontId="74" fillId="0" borderId="0" xfId="0" applyNumberFormat="1" applyFont="1"/>
    <xf numFmtId="10" fontId="72" fillId="0" borderId="0" xfId="1" applyNumberFormat="1" applyFont="1" applyFill="1"/>
    <xf numFmtId="9" fontId="72" fillId="0" borderId="0" xfId="1" applyFont="1" applyFill="1"/>
    <xf numFmtId="177" fontId="72" fillId="0" borderId="0" xfId="1" applyNumberFormat="1" applyFont="1" applyFill="1"/>
    <xf numFmtId="0" fontId="78" fillId="0" borderId="0" xfId="0" applyFont="1"/>
    <xf numFmtId="2" fontId="78" fillId="0" borderId="0" xfId="0" applyNumberFormat="1" applyFont="1"/>
    <xf numFmtId="0" fontId="68" fillId="0" borderId="0" xfId="0" applyFont="1" applyAlignment="1">
      <alignment horizontal="center" vertical="center"/>
    </xf>
    <xf numFmtId="164" fontId="68" fillId="0" borderId="0" xfId="0" applyNumberFormat="1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horizontal="center"/>
    </xf>
    <xf numFmtId="164" fontId="64" fillId="0" borderId="0" xfId="0" applyNumberFormat="1" applyFont="1" applyAlignment="1">
      <alignment horizontal="center"/>
    </xf>
    <xf numFmtId="1" fontId="72" fillId="6" borderId="0" xfId="0" applyNumberFormat="1" applyFont="1" applyFill="1"/>
    <xf numFmtId="166" fontId="72" fillId="0" borderId="0" xfId="1" applyNumberFormat="1" applyFont="1" applyFill="1"/>
    <xf numFmtId="1" fontId="64" fillId="0" borderId="0" xfId="1" applyNumberFormat="1" applyFont="1" applyFill="1"/>
    <xf numFmtId="0" fontId="79" fillId="5" borderId="0" xfId="0" applyFont="1" applyFill="1"/>
    <xf numFmtId="0" fontId="76" fillId="0" borderId="0" xfId="0" applyFont="1"/>
    <xf numFmtId="177" fontId="76" fillId="0" borderId="0" xfId="1" applyNumberFormat="1" applyFont="1" applyFill="1"/>
    <xf numFmtId="2" fontId="72" fillId="3" borderId="0" xfId="0" applyNumberFormat="1" applyFont="1" applyFill="1"/>
    <xf numFmtId="1" fontId="72" fillId="3" borderId="0" xfId="0" applyNumberFormat="1" applyFont="1" applyFill="1"/>
    <xf numFmtId="0" fontId="71" fillId="0" borderId="0" xfId="0" applyFont="1" applyAlignment="1">
      <alignment horizontal="center"/>
    </xf>
    <xf numFmtId="164" fontId="71" fillId="0" borderId="0" xfId="0" applyNumberFormat="1" applyFont="1" applyAlignment="1">
      <alignment horizontal="center"/>
    </xf>
    <xf numFmtId="166" fontId="78" fillId="0" borderId="0" xfId="0" applyNumberFormat="1" applyFont="1"/>
    <xf numFmtId="166" fontId="80" fillId="0" borderId="0" xfId="0" applyNumberFormat="1" applyFont="1"/>
    <xf numFmtId="1" fontId="78" fillId="0" borderId="0" xfId="0" applyNumberFormat="1" applyFont="1"/>
    <xf numFmtId="0" fontId="77" fillId="0" borderId="0" xfId="0" applyFont="1"/>
    <xf numFmtId="166" fontId="79" fillId="0" borderId="0" xfId="0" applyNumberFormat="1" applyFont="1"/>
    <xf numFmtId="0" fontId="81" fillId="0" borderId="0" xfId="0" applyFont="1"/>
    <xf numFmtId="0" fontId="82" fillId="0" borderId="0" xfId="0" applyFont="1"/>
    <xf numFmtId="166" fontId="82" fillId="0" borderId="0" xfId="0" applyNumberFormat="1" applyFont="1"/>
    <xf numFmtId="166" fontId="83" fillId="0" borderId="0" xfId="0" applyNumberFormat="1" applyFont="1"/>
    <xf numFmtId="1" fontId="82" fillId="0" borderId="0" xfId="0" applyNumberFormat="1" applyFont="1"/>
    <xf numFmtId="2" fontId="82" fillId="0" borderId="0" xfId="0" applyNumberFormat="1" applyFont="1"/>
    <xf numFmtId="1" fontId="77" fillId="0" borderId="0" xfId="0" applyNumberFormat="1" applyFont="1"/>
    <xf numFmtId="10" fontId="77" fillId="0" borderId="0" xfId="1" applyNumberFormat="1" applyFont="1" applyFill="1"/>
    <xf numFmtId="1" fontId="77" fillId="0" borderId="0" xfId="1" applyNumberFormat="1" applyFont="1" applyFill="1"/>
    <xf numFmtId="177" fontId="77" fillId="0" borderId="0" xfId="1" applyNumberFormat="1" applyFont="1" applyFill="1"/>
    <xf numFmtId="165" fontId="76" fillId="0" borderId="0" xfId="0" applyNumberFormat="1" applyFont="1"/>
    <xf numFmtId="1" fontId="76" fillId="0" borderId="0" xfId="0" applyNumberFormat="1" applyFont="1"/>
    <xf numFmtId="165" fontId="78" fillId="0" borderId="0" xfId="0" applyNumberFormat="1" applyFont="1"/>
    <xf numFmtId="0" fontId="84" fillId="0" borderId="0" xfId="0" applyFont="1"/>
    <xf numFmtId="165" fontId="82" fillId="0" borderId="0" xfId="0" applyNumberFormat="1" applyFont="1"/>
    <xf numFmtId="2" fontId="72" fillId="4" borderId="0" xfId="0" applyNumberFormat="1" applyFont="1" applyFill="1"/>
    <xf numFmtId="1" fontId="72" fillId="4" borderId="0" xfId="0" applyNumberFormat="1" applyFont="1" applyFill="1"/>
    <xf numFmtId="165" fontId="84" fillId="0" borderId="0" xfId="0" applyNumberFormat="1" applyFont="1"/>
    <xf numFmtId="0" fontId="74" fillId="0" borderId="0" xfId="0" applyFont="1" applyAlignment="1">
      <alignment horizontal="right"/>
    </xf>
    <xf numFmtId="165" fontId="77" fillId="0" borderId="0" xfId="0" applyNumberFormat="1" applyFont="1"/>
    <xf numFmtId="2" fontId="72" fillId="0" borderId="0" xfId="1" applyNumberFormat="1" applyFont="1" applyFill="1"/>
    <xf numFmtId="166" fontId="79" fillId="3" borderId="0" xfId="0" applyNumberFormat="1" applyFont="1" applyFill="1"/>
    <xf numFmtId="164" fontId="77" fillId="0" borderId="0" xfId="0" applyNumberFormat="1" applyFont="1"/>
    <xf numFmtId="2" fontId="77" fillId="0" borderId="0" xfId="0" applyNumberFormat="1" applyFont="1"/>
    <xf numFmtId="9" fontId="77" fillId="0" borderId="0" xfId="1" applyFont="1" applyFill="1"/>
    <xf numFmtId="165" fontId="72" fillId="5" borderId="0" xfId="0" applyNumberFormat="1" applyFont="1" applyFill="1"/>
    <xf numFmtId="165" fontId="72" fillId="3" borderId="0" xfId="0" applyNumberFormat="1" applyFont="1" applyFill="1"/>
    <xf numFmtId="2" fontId="77" fillId="7" borderId="0" xfId="0" applyNumberFormat="1" applyFont="1" applyFill="1"/>
    <xf numFmtId="1" fontId="77" fillId="5" borderId="1" xfId="0" applyNumberFormat="1" applyFont="1" applyFill="1" applyBorder="1" applyAlignment="1">
      <alignment horizontal="right"/>
    </xf>
    <xf numFmtId="0" fontId="74" fillId="0" borderId="0" xfId="0" applyFont="1" applyAlignment="1">
      <alignment horizontal="center"/>
    </xf>
    <xf numFmtId="164" fontId="64" fillId="0" borderId="0" xfId="0" applyNumberFormat="1" applyFont="1"/>
    <xf numFmtId="0" fontId="68" fillId="0" borderId="0" xfId="0" applyFont="1" applyAlignment="1">
      <alignment horizontal="right"/>
    </xf>
    <xf numFmtId="0" fontId="64" fillId="6" borderId="0" xfId="0" applyFont="1" applyFill="1" applyAlignment="1">
      <alignment horizontal="left"/>
    </xf>
    <xf numFmtId="0" fontId="64" fillId="0" borderId="0" xfId="0" applyFont="1" applyAlignment="1">
      <alignment horizontal="left"/>
    </xf>
    <xf numFmtId="2" fontId="64" fillId="5" borderId="0" xfId="0" applyNumberFormat="1" applyFont="1" applyFill="1"/>
    <xf numFmtId="2" fontId="68" fillId="0" borderId="0" xfId="0" applyNumberFormat="1" applyFont="1" applyAlignment="1">
      <alignment horizontal="right"/>
    </xf>
    <xf numFmtId="2" fontId="68" fillId="0" borderId="0" xfId="0" applyNumberFormat="1" applyFont="1" applyAlignment="1">
      <alignment horizontal="center"/>
    </xf>
    <xf numFmtId="0" fontId="68" fillId="0" borderId="0" xfId="0" applyFont="1" applyAlignment="1">
      <alignment horizontal="left"/>
    </xf>
    <xf numFmtId="0" fontId="64" fillId="0" borderId="0" xfId="0" applyFont="1" applyAlignment="1">
      <alignment horizontal="right"/>
    </xf>
    <xf numFmtId="165" fontId="64" fillId="0" borderId="0" xfId="0" applyNumberFormat="1" applyFont="1"/>
    <xf numFmtId="0" fontId="72" fillId="5" borderId="1" xfId="0" applyFont="1" applyFill="1" applyBorder="1" applyAlignment="1">
      <alignment horizontal="right"/>
    </xf>
    <xf numFmtId="165" fontId="74" fillId="0" borderId="0" xfId="0" quotePrefix="1" applyNumberFormat="1" applyFont="1"/>
    <xf numFmtId="9" fontId="74" fillId="0" borderId="0" xfId="1" applyFont="1" applyFill="1"/>
    <xf numFmtId="1" fontId="71" fillId="0" borderId="0" xfId="0" applyNumberFormat="1" applyFont="1" applyAlignment="1">
      <alignment horizontal="right"/>
    </xf>
    <xf numFmtId="165" fontId="71" fillId="0" borderId="0" xfId="0" applyNumberFormat="1" applyFont="1" applyAlignment="1">
      <alignment horizontal="center"/>
    </xf>
    <xf numFmtId="166" fontId="72" fillId="5" borderId="0" xfId="0" applyNumberFormat="1" applyFont="1" applyFill="1"/>
    <xf numFmtId="1" fontId="72" fillId="5" borderId="0" xfId="0" applyNumberFormat="1" applyFont="1" applyFill="1"/>
    <xf numFmtId="166" fontId="71" fillId="0" borderId="0" xfId="0" applyNumberFormat="1" applyFont="1" applyAlignment="1">
      <alignment horizontal="center"/>
    </xf>
    <xf numFmtId="177" fontId="85" fillId="0" borderId="0" xfId="1" applyNumberFormat="1" applyFont="1" applyFill="1" applyBorder="1"/>
    <xf numFmtId="177" fontId="72" fillId="0" borderId="0" xfId="1" applyNumberFormat="1" applyFont="1" applyFill="1" applyBorder="1"/>
    <xf numFmtId="177" fontId="74" fillId="0" borderId="0" xfId="0" applyNumberFormat="1" applyFont="1"/>
    <xf numFmtId="2" fontId="79" fillId="5" borderId="0" xfId="0" applyNumberFormat="1" applyFont="1" applyFill="1"/>
    <xf numFmtId="166" fontId="75" fillId="0" borderId="0" xfId="0" applyNumberFormat="1" applyFont="1" applyAlignment="1">
      <alignment horizontal="right"/>
    </xf>
    <xf numFmtId="9" fontId="6" fillId="0" borderId="0" xfId="1" applyFont="1" applyFill="1" applyBorder="1"/>
    <xf numFmtId="0" fontId="6" fillId="0" borderId="0" xfId="7" applyFont="1" applyAlignment="1">
      <alignment horizontal="right"/>
    </xf>
    <xf numFmtId="0" fontId="71" fillId="0" borderId="0" xfId="3" applyFont="1" applyAlignment="1">
      <alignment horizontal="left"/>
    </xf>
    <xf numFmtId="0" fontId="72" fillId="0" borderId="0" xfId="3" applyFont="1"/>
    <xf numFmtId="0" fontId="72" fillId="0" borderId="0" xfId="3" applyFont="1" applyAlignment="1">
      <alignment horizontal="center"/>
    </xf>
    <xf numFmtId="0" fontId="72" fillId="0" borderId="0" xfId="3" applyFont="1" applyAlignment="1">
      <alignment horizontal="left"/>
    </xf>
    <xf numFmtId="2" fontId="72" fillId="0" borderId="0" xfId="3" applyNumberFormat="1" applyFont="1"/>
    <xf numFmtId="164" fontId="72" fillId="0" borderId="0" xfId="3" applyNumberFormat="1" applyFont="1"/>
    <xf numFmtId="0" fontId="72" fillId="0" borderId="0" xfId="3" applyFont="1" applyAlignment="1">
      <alignment horizontal="right"/>
    </xf>
    <xf numFmtId="1" fontId="72" fillId="0" borderId="0" xfId="3" applyNumberFormat="1" applyFont="1"/>
    <xf numFmtId="2" fontId="72" fillId="0" borderId="0" xfId="3" applyNumberFormat="1" applyFont="1" applyAlignment="1">
      <alignment horizontal="right"/>
    </xf>
    <xf numFmtId="164" fontId="72" fillId="0" borderId="0" xfId="3" applyNumberFormat="1" applyFont="1" applyAlignment="1">
      <alignment horizontal="center"/>
    </xf>
    <xf numFmtId="165" fontId="72" fillId="0" borderId="0" xfId="3" applyNumberFormat="1" applyFont="1" applyAlignment="1">
      <alignment horizontal="center"/>
    </xf>
    <xf numFmtId="1" fontId="73" fillId="0" borderId="0" xfId="3" applyNumberFormat="1" applyFont="1"/>
    <xf numFmtId="2" fontId="72" fillId="0" borderId="0" xfId="3" applyNumberFormat="1" applyFont="1" applyAlignment="1">
      <alignment horizontal="left"/>
    </xf>
    <xf numFmtId="166" fontId="72" fillId="0" borderId="0" xfId="3" applyNumberFormat="1" applyFont="1"/>
    <xf numFmtId="2" fontId="73" fillId="0" borderId="0" xfId="3" applyNumberFormat="1" applyFont="1" applyAlignment="1">
      <alignment horizontal="right"/>
    </xf>
    <xf numFmtId="165" fontId="72" fillId="0" borderId="0" xfId="3" applyNumberFormat="1" applyFont="1"/>
    <xf numFmtId="11" fontId="72" fillId="0" borderId="0" xfId="3" applyNumberFormat="1" applyFont="1"/>
    <xf numFmtId="2" fontId="72" fillId="0" borderId="0" xfId="3" applyNumberFormat="1" applyFont="1" applyAlignment="1">
      <alignment horizontal="center"/>
    </xf>
    <xf numFmtId="165" fontId="72" fillId="0" borderId="0" xfId="3" applyNumberFormat="1" applyFont="1" applyAlignment="1">
      <alignment horizontal="right"/>
    </xf>
    <xf numFmtId="1" fontId="72" fillId="0" borderId="0" xfId="3" applyNumberFormat="1" applyFont="1" applyAlignment="1">
      <alignment horizontal="center"/>
    </xf>
    <xf numFmtId="164" fontId="72" fillId="0" borderId="0" xfId="3" applyNumberFormat="1" applyFont="1" applyAlignment="1">
      <alignment horizontal="right"/>
    </xf>
    <xf numFmtId="167" fontId="72" fillId="0" borderId="0" xfId="3" applyNumberFormat="1" applyFont="1" applyAlignment="1">
      <alignment horizontal="center"/>
    </xf>
    <xf numFmtId="0" fontId="86" fillId="0" borderId="0" xfId="3" applyFont="1" applyAlignment="1">
      <alignment horizontal="left"/>
    </xf>
    <xf numFmtId="164" fontId="86" fillId="0" borderId="0" xfId="3" applyNumberFormat="1" applyFont="1" applyAlignment="1">
      <alignment horizontal="left"/>
    </xf>
    <xf numFmtId="164" fontId="72" fillId="0" borderId="0" xfId="3" applyNumberFormat="1" applyFont="1" applyAlignment="1">
      <alignment horizontal="left"/>
    </xf>
    <xf numFmtId="168" fontId="72" fillId="0" borderId="0" xfId="3" applyNumberFormat="1" applyFont="1" applyAlignment="1">
      <alignment horizontal="center"/>
    </xf>
    <xf numFmtId="167" fontId="72" fillId="0" borderId="0" xfId="3" applyNumberFormat="1" applyFont="1"/>
    <xf numFmtId="2" fontId="86" fillId="0" borderId="0" xfId="3" applyNumberFormat="1" applyFont="1" applyAlignment="1" applyProtection="1">
      <alignment horizontal="right"/>
      <protection locked="0"/>
    </xf>
    <xf numFmtId="165" fontId="86" fillId="0" borderId="0" xfId="3" applyNumberFormat="1" applyFont="1"/>
    <xf numFmtId="166" fontId="72" fillId="0" borderId="0" xfId="3" applyNumberFormat="1" applyFont="1" applyAlignment="1">
      <alignment horizontal="right"/>
    </xf>
    <xf numFmtId="166" fontId="86" fillId="0" borderId="0" xfId="3" applyNumberFormat="1" applyFont="1"/>
    <xf numFmtId="2" fontId="86" fillId="0" borderId="0" xfId="3" applyNumberFormat="1" applyFont="1" applyAlignment="1">
      <alignment horizontal="right"/>
    </xf>
    <xf numFmtId="1" fontId="73" fillId="0" borderId="0" xfId="3" applyNumberFormat="1" applyFont="1" applyAlignment="1">
      <alignment horizontal="right"/>
    </xf>
    <xf numFmtId="2" fontId="86" fillId="0" borderId="0" xfId="3" applyNumberFormat="1" applyFont="1"/>
    <xf numFmtId="0" fontId="87" fillId="0" borderId="0" xfId="3" applyFont="1"/>
    <xf numFmtId="0" fontId="71" fillId="0" borderId="0" xfId="3" applyFont="1"/>
    <xf numFmtId="0" fontId="72" fillId="0" borderId="11" xfId="3" applyFont="1" applyBorder="1" applyAlignment="1">
      <alignment horizontal="center"/>
    </xf>
    <xf numFmtId="2" fontId="73" fillId="0" borderId="15" xfId="0" applyNumberFormat="1" applyFont="1" applyBorder="1"/>
    <xf numFmtId="0" fontId="72" fillId="0" borderId="2" xfId="3" applyFont="1" applyBorder="1" applyAlignment="1">
      <alignment horizontal="left"/>
    </xf>
    <xf numFmtId="0" fontId="72" fillId="0" borderId="0" xfId="3" quotePrefix="1" applyFont="1" applyAlignment="1">
      <alignment horizontal="left"/>
    </xf>
    <xf numFmtId="1" fontId="72" fillId="0" borderId="0" xfId="3" applyNumberFormat="1" applyFont="1" applyAlignment="1">
      <alignment horizontal="right"/>
    </xf>
    <xf numFmtId="165" fontId="75" fillId="0" borderId="0" xfId="3" applyNumberFormat="1" applyFont="1" applyAlignment="1" applyProtection="1">
      <alignment horizontal="right"/>
      <protection locked="0"/>
    </xf>
    <xf numFmtId="166" fontId="75" fillId="0" borderId="0" xfId="3" applyNumberFormat="1" applyFont="1" applyAlignment="1" applyProtection="1">
      <alignment horizontal="right"/>
      <protection locked="0"/>
    </xf>
    <xf numFmtId="2" fontId="75" fillId="0" borderId="0" xfId="3" applyNumberFormat="1" applyFont="1" applyAlignment="1" applyProtection="1">
      <alignment horizontal="right"/>
      <protection locked="0"/>
    </xf>
    <xf numFmtId="1" fontId="75" fillId="0" borderId="0" xfId="3" applyNumberFormat="1" applyFont="1" applyAlignment="1" applyProtection="1">
      <alignment horizontal="right"/>
      <protection locked="0"/>
    </xf>
    <xf numFmtId="1" fontId="75" fillId="0" borderId="0" xfId="3" applyNumberFormat="1" applyFont="1" applyProtection="1">
      <protection locked="0"/>
    </xf>
    <xf numFmtId="168" fontId="72" fillId="0" borderId="0" xfId="3" applyNumberFormat="1" applyFont="1"/>
    <xf numFmtId="0" fontId="86" fillId="0" borderId="0" xfId="3" applyFont="1"/>
    <xf numFmtId="166" fontId="86" fillId="0" borderId="0" xfId="3" applyNumberFormat="1" applyFont="1" applyAlignment="1">
      <alignment horizontal="right"/>
    </xf>
    <xf numFmtId="165" fontId="72" fillId="3" borderId="12" xfId="0" applyNumberFormat="1" applyFont="1" applyFill="1" applyBorder="1" applyAlignment="1">
      <alignment horizontal="right" vertical="center"/>
    </xf>
    <xf numFmtId="165" fontId="72" fillId="3" borderId="15" xfId="0" applyNumberFormat="1" applyFont="1" applyFill="1" applyBorder="1" applyAlignment="1">
      <alignment horizontal="right" vertical="center"/>
    </xf>
    <xf numFmtId="165" fontId="80" fillId="0" borderId="0" xfId="0" applyNumberFormat="1" applyFont="1" applyAlignment="1">
      <alignment horizontal="right"/>
    </xf>
    <xf numFmtId="1" fontId="80" fillId="0" borderId="0" xfId="0" applyNumberFormat="1" applyFont="1" applyAlignment="1">
      <alignment horizontal="right"/>
    </xf>
    <xf numFmtId="165" fontId="80" fillId="0" borderId="0" xfId="0" applyNumberFormat="1" applyFont="1" applyAlignment="1">
      <alignment horizontal="center"/>
    </xf>
    <xf numFmtId="165" fontId="80" fillId="0" borderId="0" xfId="0" applyNumberFormat="1" applyFont="1"/>
    <xf numFmtId="165" fontId="72" fillId="0" borderId="0" xfId="0" applyNumberFormat="1" applyFont="1" applyAlignment="1">
      <alignment horizontal="left"/>
    </xf>
    <xf numFmtId="2" fontId="80" fillId="0" borderId="0" xfId="0" applyNumberFormat="1" applyFont="1"/>
    <xf numFmtId="170" fontId="72" fillId="0" borderId="0" xfId="0" applyNumberFormat="1" applyFont="1"/>
    <xf numFmtId="170" fontId="72" fillId="0" borderId="0" xfId="0" applyNumberFormat="1" applyFont="1" applyAlignment="1">
      <alignment horizontal="left"/>
    </xf>
    <xf numFmtId="11" fontId="72" fillId="0" borderId="0" xfId="0" applyNumberFormat="1" applyFont="1"/>
    <xf numFmtId="165" fontId="6" fillId="0" borderId="0" xfId="7" applyNumberFormat="1" applyFont="1" applyAlignment="1">
      <alignment horizontal="center"/>
    </xf>
    <xf numFmtId="0" fontId="88" fillId="0" borderId="15" xfId="7" applyFont="1" applyBorder="1"/>
    <xf numFmtId="165" fontId="88" fillId="0" borderId="15" xfId="7" applyNumberFormat="1" applyFont="1" applyBorder="1"/>
    <xf numFmtId="1" fontId="88" fillId="0" borderId="15" xfId="7" applyNumberFormat="1" applyFont="1" applyBorder="1"/>
    <xf numFmtId="0" fontId="89" fillId="0" borderId="15" xfId="7" applyFont="1" applyBorder="1"/>
    <xf numFmtId="165" fontId="89" fillId="0" borderId="15" xfId="7" applyNumberFormat="1" applyFont="1" applyBorder="1"/>
    <xf numFmtId="1" fontId="89" fillId="0" borderId="15" xfId="7" applyNumberFormat="1" applyFont="1" applyBorder="1"/>
    <xf numFmtId="49" fontId="72" fillId="0" borderId="0" xfId="0" applyNumberFormat="1" applyFont="1" applyAlignment="1">
      <alignment horizontal="center"/>
    </xf>
    <xf numFmtId="2" fontId="72" fillId="0" borderId="15" xfId="0" applyNumberFormat="1" applyFont="1" applyBorder="1"/>
    <xf numFmtId="0" fontId="72" fillId="0" borderId="15" xfId="0" applyFont="1" applyBorder="1"/>
    <xf numFmtId="166" fontId="72" fillId="0" borderId="15" xfId="0" applyNumberFormat="1" applyFont="1" applyBorder="1"/>
    <xf numFmtId="166" fontId="74" fillId="3" borderId="0" xfId="0" applyNumberFormat="1" applyFont="1" applyFill="1"/>
    <xf numFmtId="166" fontId="74" fillId="4" borderId="0" xfId="0" applyNumberFormat="1" applyFont="1" applyFill="1"/>
    <xf numFmtId="177" fontId="90" fillId="0" borderId="0" xfId="1" applyNumberFormat="1" applyFont="1" applyFill="1"/>
    <xf numFmtId="0" fontId="90" fillId="0" borderId="0" xfId="0" applyFont="1"/>
    <xf numFmtId="0" fontId="72" fillId="0" borderId="15" xfId="0" applyFont="1" applyBorder="1" applyAlignment="1">
      <alignment horizontal="center" vertical="center"/>
    </xf>
    <xf numFmtId="1" fontId="72" fillId="0" borderId="15" xfId="0" applyNumberFormat="1" applyFont="1" applyBorder="1" applyAlignment="1">
      <alignment horizontal="center"/>
    </xf>
    <xf numFmtId="0" fontId="72" fillId="0" borderId="15" xfId="0" applyFont="1" applyBorder="1" applyAlignment="1">
      <alignment horizontal="center"/>
    </xf>
    <xf numFmtId="1" fontId="77" fillId="3" borderId="15" xfId="0" applyNumberFormat="1" applyFont="1" applyFill="1" applyBorder="1" applyAlignment="1">
      <alignment horizontal="right"/>
    </xf>
    <xf numFmtId="166" fontId="79" fillId="0" borderId="15" xfId="0" applyNumberFormat="1" applyFont="1" applyBorder="1"/>
    <xf numFmtId="0" fontId="68" fillId="0" borderId="76" xfId="0" applyFont="1" applyBorder="1" applyAlignment="1">
      <alignment horizontal="center" vertical="center"/>
    </xf>
    <xf numFmtId="0" fontId="72" fillId="0" borderId="76" xfId="0" applyFont="1" applyBorder="1" applyAlignment="1">
      <alignment horizontal="center" vertical="center"/>
    </xf>
    <xf numFmtId="0" fontId="72" fillId="0" borderId="76" xfId="0" applyFont="1" applyBorder="1"/>
    <xf numFmtId="2" fontId="72" fillId="0" borderId="76" xfId="0" applyNumberFormat="1" applyFont="1" applyBorder="1"/>
    <xf numFmtId="0" fontId="72" fillId="0" borderId="76" xfId="0" applyFont="1" applyBorder="1" applyAlignment="1">
      <alignment horizontal="center"/>
    </xf>
    <xf numFmtId="166" fontId="74" fillId="0" borderId="76" xfId="0" applyNumberFormat="1" applyFont="1" applyBorder="1"/>
    <xf numFmtId="0" fontId="68" fillId="0" borderId="77" xfId="0" applyFont="1" applyBorder="1" applyAlignment="1">
      <alignment horizontal="center" vertical="center"/>
    </xf>
    <xf numFmtId="0" fontId="72" fillId="0" borderId="62" xfId="0" applyFont="1" applyBorder="1" applyAlignment="1">
      <alignment horizontal="center" vertical="center"/>
    </xf>
    <xf numFmtId="0" fontId="72" fillId="0" borderId="32" xfId="0" applyFont="1" applyBorder="1" applyAlignment="1">
      <alignment horizontal="center" vertical="center"/>
    </xf>
    <xf numFmtId="1" fontId="72" fillId="0" borderId="32" xfId="0" applyNumberFormat="1" applyFont="1" applyBorder="1" applyAlignment="1">
      <alignment horizontal="center"/>
    </xf>
    <xf numFmtId="0" fontId="79" fillId="8" borderId="62" xfId="0" applyFont="1" applyFill="1" applyBorder="1" applyAlignment="1">
      <alignment horizontal="left" vertical="center"/>
    </xf>
    <xf numFmtId="0" fontId="85" fillId="0" borderId="62" xfId="0" applyFont="1" applyBorder="1" applyAlignment="1">
      <alignment horizontal="left" vertical="center"/>
    </xf>
    <xf numFmtId="166" fontId="79" fillId="0" borderId="32" xfId="0" applyNumberFormat="1" applyFont="1" applyBorder="1"/>
    <xf numFmtId="0" fontId="77" fillId="9" borderId="62" xfId="0" applyFont="1" applyFill="1" applyBorder="1" applyAlignment="1">
      <alignment horizontal="left" vertical="center"/>
    </xf>
    <xf numFmtId="0" fontId="72" fillId="9" borderId="62" xfId="0" applyFont="1" applyFill="1" applyBorder="1"/>
    <xf numFmtId="0" fontId="77" fillId="5" borderId="62" xfId="0" applyFont="1" applyFill="1" applyBorder="1" applyAlignment="1">
      <alignment horizontal="left" vertical="center"/>
    </xf>
    <xf numFmtId="0" fontId="72" fillId="5" borderId="62" xfId="0" applyFont="1" applyFill="1" applyBorder="1"/>
    <xf numFmtId="0" fontId="72" fillId="0" borderId="63" xfId="0" applyFont="1" applyBorder="1"/>
    <xf numFmtId="0" fontId="72" fillId="0" borderId="44" xfId="0" applyFont="1" applyBorder="1" applyAlignment="1">
      <alignment horizontal="right"/>
    </xf>
    <xf numFmtId="2" fontId="74" fillId="0" borderId="44" xfId="0" applyNumberFormat="1" applyFont="1" applyBorder="1"/>
    <xf numFmtId="0" fontId="72" fillId="0" borderId="44" xfId="0" applyFont="1" applyBorder="1"/>
    <xf numFmtId="2" fontId="78" fillId="0" borderId="44" xfId="0" applyNumberFormat="1" applyFont="1" applyBorder="1"/>
    <xf numFmtId="0" fontId="74" fillId="0" borderId="45" xfId="0" applyFont="1" applyBorder="1"/>
    <xf numFmtId="1" fontId="77" fillId="5" borderId="78" xfId="0" applyNumberFormat="1" applyFont="1" applyFill="1" applyBorder="1" applyAlignment="1">
      <alignment horizontal="right"/>
    </xf>
    <xf numFmtId="0" fontId="72" fillId="0" borderId="79" xfId="0" applyFont="1" applyBorder="1" applyAlignment="1">
      <alignment horizontal="center" vertical="center"/>
    </xf>
    <xf numFmtId="0" fontId="72" fillId="0" borderId="59" xfId="0" applyFont="1" applyBorder="1" applyAlignment="1">
      <alignment horizontal="center" vertical="center"/>
    </xf>
    <xf numFmtId="1" fontId="72" fillId="7" borderId="0" xfId="0" applyNumberFormat="1" applyFont="1" applyFill="1"/>
    <xf numFmtId="166" fontId="79" fillId="0" borderId="15" xfId="0" applyNumberFormat="1" applyFont="1" applyBorder="1" applyAlignment="1">
      <alignment horizontal="right"/>
    </xf>
    <xf numFmtId="166" fontId="74" fillId="3" borderId="0" xfId="0" applyNumberFormat="1" applyFont="1" applyFill="1" applyAlignment="1">
      <alignment horizontal="right"/>
    </xf>
    <xf numFmtId="1" fontId="91" fillId="10" borderId="0" xfId="0" applyNumberFormat="1" applyFont="1" applyFill="1"/>
    <xf numFmtId="0" fontId="91" fillId="10" borderId="0" xfId="0" applyFont="1" applyFill="1"/>
    <xf numFmtId="1" fontId="77" fillId="5" borderId="80" xfId="0" applyNumberFormat="1" applyFont="1" applyFill="1" applyBorder="1" applyAlignment="1">
      <alignment horizontal="right"/>
    </xf>
    <xf numFmtId="1" fontId="77" fillId="9" borderId="15" xfId="0" applyNumberFormat="1" applyFont="1" applyFill="1" applyBorder="1"/>
    <xf numFmtId="1" fontId="77" fillId="9" borderId="32" xfId="0" applyNumberFormat="1" applyFont="1" applyFill="1" applyBorder="1"/>
    <xf numFmtId="1" fontId="77" fillId="5" borderId="15" xfId="0" applyNumberFormat="1" applyFont="1" applyFill="1" applyBorder="1"/>
    <xf numFmtId="1" fontId="77" fillId="5" borderId="32" xfId="0" applyNumberFormat="1" applyFont="1" applyFill="1" applyBorder="1"/>
    <xf numFmtId="1" fontId="77" fillId="11" borderId="15" xfId="0" applyNumberFormat="1" applyFont="1" applyFill="1" applyBorder="1"/>
    <xf numFmtId="1" fontId="72" fillId="5" borderId="15" xfId="0" applyNumberFormat="1" applyFont="1" applyFill="1" applyBorder="1"/>
    <xf numFmtId="1" fontId="72" fillId="11" borderId="15" xfId="0" applyNumberFormat="1" applyFont="1" applyFill="1" applyBorder="1"/>
    <xf numFmtId="1" fontId="72" fillId="11" borderId="32" xfId="0" applyNumberFormat="1" applyFont="1" applyFill="1" applyBorder="1"/>
    <xf numFmtId="1" fontId="72" fillId="5" borderId="32" xfId="0" applyNumberFormat="1" applyFont="1" applyFill="1" applyBorder="1"/>
    <xf numFmtId="2" fontId="79" fillId="8" borderId="15" xfId="0" applyNumberFormat="1" applyFont="1" applyFill="1" applyBorder="1"/>
    <xf numFmtId="2" fontId="79" fillId="8" borderId="32" xfId="0" applyNumberFormat="1" applyFont="1" applyFill="1" applyBorder="1"/>
    <xf numFmtId="166" fontId="92" fillId="0" borderId="15" xfId="0" applyNumberFormat="1" applyFont="1" applyBorder="1"/>
    <xf numFmtId="1" fontId="77" fillId="12" borderId="15" xfId="0" applyNumberFormat="1" applyFont="1" applyFill="1" applyBorder="1" applyAlignment="1">
      <alignment horizontal="right"/>
    </xf>
    <xf numFmtId="2" fontId="74" fillId="13" borderId="15" xfId="0" applyNumberFormat="1" applyFont="1" applyFill="1" applyBorder="1"/>
    <xf numFmtId="0" fontId="72" fillId="13" borderId="62" xfId="0" applyFont="1" applyFill="1" applyBorder="1"/>
    <xf numFmtId="1" fontId="77" fillId="13" borderId="15" xfId="0" applyNumberFormat="1" applyFont="1" applyFill="1" applyBorder="1" applyAlignment="1">
      <alignment horizontal="right" vertical="center"/>
    </xf>
    <xf numFmtId="165" fontId="72" fillId="13" borderId="15" xfId="0" applyNumberFormat="1" applyFont="1" applyFill="1" applyBorder="1"/>
    <xf numFmtId="165" fontId="72" fillId="13" borderId="32" xfId="0" applyNumberFormat="1" applyFont="1" applyFill="1" applyBorder="1"/>
    <xf numFmtId="2" fontId="74" fillId="12" borderId="15" xfId="0" applyNumberFormat="1" applyFont="1" applyFill="1" applyBorder="1"/>
    <xf numFmtId="2" fontId="77" fillId="12" borderId="15" xfId="0" applyNumberFormat="1" applyFont="1" applyFill="1" applyBorder="1"/>
    <xf numFmtId="2" fontId="77" fillId="12" borderId="32" xfId="0" applyNumberFormat="1" applyFont="1" applyFill="1" applyBorder="1"/>
    <xf numFmtId="2" fontId="72" fillId="13" borderId="15" xfId="0" applyNumberFormat="1" applyFont="1" applyFill="1" applyBorder="1"/>
    <xf numFmtId="2" fontId="78" fillId="12" borderId="15" xfId="0" applyNumberFormat="1" applyFont="1" applyFill="1" applyBorder="1"/>
    <xf numFmtId="2" fontId="72" fillId="13" borderId="32" xfId="0" applyNumberFormat="1" applyFont="1" applyFill="1" applyBorder="1"/>
    <xf numFmtId="2" fontId="78" fillId="12" borderId="32" xfId="0" applyNumberFormat="1" applyFont="1" applyFill="1" applyBorder="1"/>
    <xf numFmtId="1" fontId="77" fillId="0" borderId="15" xfId="0" applyNumberFormat="1" applyFont="1" applyBorder="1" applyAlignment="1">
      <alignment horizontal="center"/>
    </xf>
    <xf numFmtId="2" fontId="74" fillId="13" borderId="32" xfId="0" applyNumberFormat="1" applyFont="1" applyFill="1" applyBorder="1"/>
    <xf numFmtId="0" fontId="72" fillId="0" borderId="45" xfId="0" applyFont="1" applyBorder="1"/>
    <xf numFmtId="1" fontId="91" fillId="10" borderId="15" xfId="0" applyNumberFormat="1" applyFont="1" applyFill="1" applyBorder="1"/>
    <xf numFmtId="1" fontId="91" fillId="14" borderId="15" xfId="0" applyNumberFormat="1" applyFont="1" applyFill="1" applyBorder="1"/>
    <xf numFmtId="1" fontId="77" fillId="15" borderId="15" xfId="0" applyNumberFormat="1" applyFont="1" applyFill="1" applyBorder="1"/>
    <xf numFmtId="1" fontId="77" fillId="5" borderId="15" xfId="0" applyNumberFormat="1" applyFont="1" applyFill="1" applyBorder="1" applyAlignment="1">
      <alignment horizontal="right"/>
    </xf>
    <xf numFmtId="0" fontId="85" fillId="8" borderId="62" xfId="0" applyFont="1" applyFill="1" applyBorder="1" applyAlignment="1">
      <alignment horizontal="left" vertical="center"/>
    </xf>
    <xf numFmtId="166" fontId="79" fillId="8" borderId="32" xfId="0" applyNumberFormat="1" applyFont="1" applyFill="1" applyBorder="1"/>
    <xf numFmtId="1" fontId="77" fillId="15" borderId="32" xfId="0" applyNumberFormat="1" applyFont="1" applyFill="1" applyBorder="1"/>
    <xf numFmtId="0" fontId="72" fillId="3" borderId="76" xfId="0" applyFont="1" applyFill="1" applyBorder="1" applyAlignment="1">
      <alignment horizontal="center" vertical="center"/>
    </xf>
    <xf numFmtId="0" fontId="68" fillId="0" borderId="79" xfId="0" applyFont="1" applyBorder="1" applyAlignment="1">
      <alignment horizontal="center" vertical="center"/>
    </xf>
    <xf numFmtId="0" fontId="68" fillId="0" borderId="21" xfId="0" applyFont="1" applyBorder="1" applyAlignment="1">
      <alignment horizontal="center" vertical="center"/>
    </xf>
    <xf numFmtId="0" fontId="72" fillId="3" borderId="81" xfId="0" applyFont="1" applyFill="1" applyBorder="1" applyAlignment="1">
      <alignment horizontal="center" vertical="center"/>
    </xf>
    <xf numFmtId="0" fontId="72" fillId="0" borderId="23" xfId="0" applyFont="1" applyBorder="1" applyAlignment="1">
      <alignment horizontal="center" vertical="center"/>
    </xf>
    <xf numFmtId="0" fontId="72" fillId="6" borderId="12" xfId="0" applyFont="1" applyFill="1" applyBorder="1" applyAlignment="1">
      <alignment horizontal="center"/>
    </xf>
    <xf numFmtId="0" fontId="74" fillId="6" borderId="12" xfId="0" applyFont="1" applyFill="1" applyBorder="1"/>
    <xf numFmtId="1" fontId="74" fillId="6" borderId="12" xfId="0" applyNumberFormat="1" applyFont="1" applyFill="1" applyBorder="1"/>
    <xf numFmtId="1" fontId="79" fillId="0" borderId="23" xfId="0" applyNumberFormat="1" applyFont="1" applyBorder="1"/>
    <xf numFmtId="10" fontId="79" fillId="0" borderId="14" xfId="1" applyNumberFormat="1" applyFont="1" applyFill="1" applyBorder="1"/>
    <xf numFmtId="0" fontId="72" fillId="3" borderId="82" xfId="0" applyFont="1" applyFill="1" applyBorder="1" applyAlignment="1">
      <alignment horizontal="center" vertical="center"/>
    </xf>
    <xf numFmtId="0" fontId="77" fillId="16" borderId="0" xfId="0" applyFont="1" applyFill="1" applyAlignment="1">
      <alignment horizontal="center" vertical="center"/>
    </xf>
    <xf numFmtId="1" fontId="77" fillId="16" borderId="0" xfId="0" applyNumberFormat="1" applyFont="1" applyFill="1" applyAlignment="1">
      <alignment horizontal="center"/>
    </xf>
    <xf numFmtId="0" fontId="72" fillId="16" borderId="83" xfId="0" applyFont="1" applyFill="1" applyBorder="1" applyAlignment="1">
      <alignment horizontal="center" vertical="center"/>
    </xf>
    <xf numFmtId="0" fontId="72" fillId="16" borderId="84" xfId="0" applyFont="1" applyFill="1" applyBorder="1" applyAlignment="1">
      <alignment horizontal="center" vertical="center"/>
    </xf>
    <xf numFmtId="0" fontId="72" fillId="16" borderId="85" xfId="0" applyFont="1" applyFill="1" applyBorder="1" applyAlignment="1">
      <alignment horizontal="center" vertical="center"/>
    </xf>
    <xf numFmtId="0" fontId="72" fillId="16" borderId="86" xfId="0" applyFont="1" applyFill="1" applyBorder="1"/>
    <xf numFmtId="0" fontId="79" fillId="16" borderId="26" xfId="0" applyFont="1" applyFill="1" applyBorder="1" applyAlignment="1">
      <alignment horizontal="right"/>
    </xf>
    <xf numFmtId="0" fontId="72" fillId="16" borderId="8" xfId="0" applyFont="1" applyFill="1" applyBorder="1"/>
    <xf numFmtId="0" fontId="79" fillId="16" borderId="87" xfId="0" applyFont="1" applyFill="1" applyBorder="1" applyAlignment="1">
      <alignment horizontal="right"/>
    </xf>
    <xf numFmtId="2" fontId="79" fillId="5" borderId="15" xfId="0" applyNumberFormat="1" applyFont="1" applyFill="1" applyBorder="1"/>
    <xf numFmtId="0" fontId="72" fillId="0" borderId="6" xfId="0" applyFont="1" applyBorder="1" applyAlignment="1">
      <alignment horizontal="right"/>
    </xf>
    <xf numFmtId="0" fontId="77" fillId="16" borderId="27" xfId="0" applyFont="1" applyFill="1" applyBorder="1" applyAlignment="1">
      <alignment horizontal="center" vertical="center"/>
    </xf>
    <xf numFmtId="1" fontId="77" fillId="16" borderId="27" xfId="0" applyNumberFormat="1" applyFont="1" applyFill="1" applyBorder="1" applyAlignment="1">
      <alignment horizontal="center"/>
    </xf>
    <xf numFmtId="177" fontId="79" fillId="5" borderId="44" xfId="1" applyNumberFormat="1" applyFont="1" applyFill="1" applyBorder="1"/>
    <xf numFmtId="177" fontId="79" fillId="5" borderId="45" xfId="1" applyNumberFormat="1" applyFont="1" applyFill="1" applyBorder="1"/>
    <xf numFmtId="0" fontId="77" fillId="16" borderId="19" xfId="0" applyFont="1" applyFill="1" applyBorder="1" applyAlignment="1">
      <alignment horizontal="center" vertical="center"/>
    </xf>
    <xf numFmtId="0" fontId="77" fillId="16" borderId="22" xfId="0" applyFont="1" applyFill="1" applyBorder="1" applyAlignment="1">
      <alignment horizontal="center" vertical="center"/>
    </xf>
    <xf numFmtId="1" fontId="77" fillId="16" borderId="24" xfId="0" applyNumberFormat="1" applyFont="1" applyFill="1" applyBorder="1" applyAlignment="1">
      <alignment horizontal="center"/>
    </xf>
    <xf numFmtId="0" fontId="77" fillId="16" borderId="26" xfId="0" applyFont="1" applyFill="1" applyBorder="1" applyAlignment="1">
      <alignment horizontal="center" vertical="center"/>
    </xf>
    <xf numFmtId="1" fontId="77" fillId="16" borderId="13" xfId="0" applyNumberFormat="1" applyFont="1" applyFill="1" applyBorder="1" applyAlignment="1">
      <alignment horizontal="center"/>
    </xf>
    <xf numFmtId="0" fontId="72" fillId="0" borderId="88" xfId="0" applyFont="1" applyBorder="1" applyAlignment="1">
      <alignment horizontal="center"/>
    </xf>
    <xf numFmtId="0" fontId="72" fillId="0" borderId="89" xfId="0" applyFont="1" applyBorder="1" applyAlignment="1">
      <alignment horizontal="center"/>
    </xf>
    <xf numFmtId="0" fontId="72" fillId="0" borderId="90" xfId="0" applyFont="1" applyBorder="1" applyAlignment="1">
      <alignment horizontal="center"/>
    </xf>
    <xf numFmtId="2" fontId="72" fillId="17" borderId="15" xfId="0" applyNumberFormat="1" applyFont="1" applyFill="1" applyBorder="1"/>
    <xf numFmtId="2" fontId="72" fillId="17" borderId="15" xfId="1" applyNumberFormat="1" applyFont="1" applyFill="1" applyBorder="1"/>
    <xf numFmtId="2" fontId="77" fillId="17" borderId="15" xfId="0" applyNumberFormat="1" applyFont="1" applyFill="1" applyBorder="1"/>
    <xf numFmtId="166" fontId="72" fillId="17" borderId="32" xfId="0" applyNumberFormat="1" applyFont="1" applyFill="1" applyBorder="1"/>
    <xf numFmtId="166" fontId="79" fillId="5" borderId="15" xfId="0" applyNumberFormat="1" applyFont="1" applyFill="1" applyBorder="1"/>
    <xf numFmtId="166" fontId="72" fillId="17" borderId="15" xfId="0" applyNumberFormat="1" applyFont="1" applyFill="1" applyBorder="1"/>
    <xf numFmtId="166" fontId="72" fillId="17" borderId="15" xfId="1" applyNumberFormat="1" applyFont="1" applyFill="1" applyBorder="1"/>
    <xf numFmtId="166" fontId="77" fillId="17" borderId="15" xfId="0" applyNumberFormat="1" applyFont="1" applyFill="1" applyBorder="1"/>
    <xf numFmtId="2" fontId="77" fillId="17" borderId="15" xfId="1" applyNumberFormat="1" applyFont="1" applyFill="1" applyBorder="1"/>
    <xf numFmtId="166" fontId="79" fillId="5" borderId="32" xfId="0" applyNumberFormat="1" applyFont="1" applyFill="1" applyBorder="1"/>
    <xf numFmtId="0" fontId="93" fillId="6" borderId="11" xfId="0" applyFont="1" applyFill="1" applyBorder="1"/>
    <xf numFmtId="1" fontId="93" fillId="6" borderId="11" xfId="0" applyNumberFormat="1" applyFont="1" applyFill="1" applyBorder="1"/>
    <xf numFmtId="0" fontId="93" fillId="6" borderId="26" xfId="0" applyFont="1" applyFill="1" applyBorder="1"/>
    <xf numFmtId="0" fontId="94" fillId="10" borderId="4" xfId="0" applyFont="1" applyFill="1" applyBorder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93" fillId="6" borderId="2" xfId="0" applyFont="1" applyFill="1" applyBorder="1" applyAlignment="1">
      <alignment horizontal="center"/>
    </xf>
    <xf numFmtId="0" fontId="44" fillId="0" borderId="59" xfId="0" applyFont="1" applyBorder="1" applyAlignment="1">
      <alignment horizontal="center" vertical="center"/>
    </xf>
    <xf numFmtId="0" fontId="96" fillId="0" borderId="15" xfId="0" applyFont="1" applyBorder="1" applyAlignment="1">
      <alignment horizontal="center"/>
    </xf>
    <xf numFmtId="2" fontId="96" fillId="0" borderId="15" xfId="0" applyNumberFormat="1" applyFont="1" applyBorder="1"/>
    <xf numFmtId="165" fontId="80" fillId="0" borderId="15" xfId="0" applyNumberFormat="1" applyFont="1" applyBorder="1"/>
    <xf numFmtId="0" fontId="45" fillId="0" borderId="0" xfId="0" applyFont="1"/>
    <xf numFmtId="2" fontId="46" fillId="0" borderId="0" xfId="2" applyNumberFormat="1" applyFont="1" applyProtection="1">
      <protection locked="0"/>
    </xf>
    <xf numFmtId="0" fontId="46" fillId="0" borderId="0" xfId="2" applyFont="1" applyProtection="1">
      <protection locked="0"/>
    </xf>
    <xf numFmtId="0" fontId="46" fillId="0" borderId="0" xfId="0" applyFont="1"/>
    <xf numFmtId="166" fontId="80" fillId="0" borderId="0" xfId="0" applyNumberFormat="1" applyFont="1" applyAlignment="1">
      <alignment horizontal="right"/>
    </xf>
    <xf numFmtId="0" fontId="72" fillId="0" borderId="11" xfId="0" applyFont="1" applyBorder="1" applyAlignment="1">
      <alignment horizontal="center"/>
    </xf>
    <xf numFmtId="165" fontId="80" fillId="0" borderId="2" xfId="0" applyNumberFormat="1" applyFont="1" applyBorder="1"/>
    <xf numFmtId="0" fontId="72" fillId="0" borderId="2" xfId="0" applyFont="1" applyBorder="1"/>
    <xf numFmtId="166" fontId="80" fillId="0" borderId="2" xfId="0" applyNumberFormat="1" applyFont="1" applyBorder="1"/>
    <xf numFmtId="2" fontId="75" fillId="0" borderId="0" xfId="0" applyNumberFormat="1" applyFont="1"/>
    <xf numFmtId="2" fontId="71" fillId="0" borderId="0" xfId="0" applyNumberFormat="1" applyFont="1"/>
    <xf numFmtId="1" fontId="71" fillId="0" borderId="0" xfId="0" applyNumberFormat="1" applyFont="1"/>
    <xf numFmtId="164" fontId="71" fillId="0" borderId="0" xfId="0" applyNumberFormat="1" applyFont="1"/>
    <xf numFmtId="167" fontId="71" fillId="0" borderId="0" xfId="0" applyNumberFormat="1" applyFont="1"/>
    <xf numFmtId="167" fontId="71" fillId="0" borderId="0" xfId="0" applyNumberFormat="1" applyFont="1" applyAlignment="1">
      <alignment horizontal="center"/>
    </xf>
    <xf numFmtId="179" fontId="72" fillId="0" borderId="0" xfId="0" applyNumberFormat="1" applyFont="1"/>
    <xf numFmtId="177" fontId="74" fillId="0" borderId="0" xfId="1" applyNumberFormat="1" applyFont="1" applyFill="1"/>
    <xf numFmtId="174" fontId="72" fillId="0" borderId="0" xfId="0" applyNumberFormat="1" applyFont="1"/>
    <xf numFmtId="166" fontId="64" fillId="0" borderId="0" xfId="0" applyNumberFormat="1" applyFont="1"/>
    <xf numFmtId="2" fontId="97" fillId="0" borderId="0" xfId="0" applyNumberFormat="1" applyFont="1"/>
    <xf numFmtId="166" fontId="97" fillId="0" borderId="0" xfId="0" applyNumberFormat="1" applyFont="1"/>
    <xf numFmtId="1" fontId="72" fillId="0" borderId="0" xfId="1" applyNumberFormat="1" applyFont="1" applyFill="1"/>
    <xf numFmtId="1" fontId="71" fillId="0" borderId="0" xfId="0" applyNumberFormat="1" applyFont="1" applyAlignment="1">
      <alignment horizontal="center"/>
    </xf>
    <xf numFmtId="166" fontId="74" fillId="0" borderId="0" xfId="1" applyNumberFormat="1" applyFont="1" applyFill="1"/>
    <xf numFmtId="0" fontId="64" fillId="0" borderId="0" xfId="0" applyFont="1" applyAlignment="1">
      <alignment vertical="center"/>
    </xf>
    <xf numFmtId="166" fontId="64" fillId="0" borderId="0" xfId="0" applyNumberFormat="1" applyFont="1" applyAlignment="1">
      <alignment vertical="center"/>
    </xf>
    <xf numFmtId="177" fontId="98" fillId="0" borderId="0" xfId="0" applyNumberFormat="1" applyFont="1"/>
    <xf numFmtId="177" fontId="64" fillId="0" borderId="0" xfId="0" applyNumberFormat="1" applyFont="1"/>
    <xf numFmtId="0" fontId="99" fillId="0" borderId="0" xfId="0" applyFont="1"/>
    <xf numFmtId="165" fontId="99" fillId="0" borderId="0" xfId="0" applyNumberFormat="1" applyFont="1"/>
    <xf numFmtId="2" fontId="99" fillId="0" borderId="0" xfId="0" applyNumberFormat="1" applyFont="1"/>
    <xf numFmtId="1" fontId="99" fillId="0" borderId="0" xfId="0" applyNumberFormat="1" applyFont="1"/>
    <xf numFmtId="1" fontId="64" fillId="9" borderId="15" xfId="0" applyNumberFormat="1" applyFont="1" applyFill="1" applyBorder="1"/>
    <xf numFmtId="1" fontId="64" fillId="18" borderId="15" xfId="0" applyNumberFormat="1" applyFont="1" applyFill="1" applyBorder="1"/>
    <xf numFmtId="0" fontId="64" fillId="18" borderId="15" xfId="0" applyFont="1" applyFill="1" applyBorder="1"/>
    <xf numFmtId="164" fontId="64" fillId="18" borderId="15" xfId="0" applyNumberFormat="1" applyFont="1" applyFill="1" applyBorder="1"/>
    <xf numFmtId="2" fontId="64" fillId="19" borderId="15" xfId="0" applyNumberFormat="1" applyFont="1" applyFill="1" applyBorder="1"/>
    <xf numFmtId="0" fontId="64" fillId="0" borderId="4" xfId="0" applyFont="1" applyBorder="1"/>
    <xf numFmtId="0" fontId="72" fillId="0" borderId="4" xfId="0" applyFont="1" applyBorder="1" applyAlignment="1">
      <alignment horizontal="center"/>
    </xf>
    <xf numFmtId="0" fontId="72" fillId="0" borderId="4" xfId="0" applyFont="1" applyBorder="1"/>
    <xf numFmtId="0" fontId="64" fillId="0" borderId="4" xfId="0" applyFont="1" applyBorder="1" applyAlignment="1">
      <alignment horizontal="right"/>
    </xf>
    <xf numFmtId="164" fontId="64" fillId="0" borderId="4" xfId="0" applyNumberFormat="1" applyFont="1" applyBorder="1"/>
    <xf numFmtId="0" fontId="72" fillId="0" borderId="5" xfId="0" applyFont="1" applyBorder="1" applyAlignment="1">
      <alignment horizontal="center"/>
    </xf>
    <xf numFmtId="1" fontId="64" fillId="18" borderId="62" xfId="0" applyNumberFormat="1" applyFont="1" applyFill="1" applyBorder="1"/>
    <xf numFmtId="1" fontId="100" fillId="0" borderId="0" xfId="0" applyNumberFormat="1" applyFont="1"/>
    <xf numFmtId="1" fontId="100" fillId="0" borderId="7" xfId="0" applyNumberFormat="1" applyFont="1" applyBorder="1"/>
    <xf numFmtId="0" fontId="64" fillId="0" borderId="6" xfId="0" applyFont="1" applyBorder="1"/>
    <xf numFmtId="164" fontId="65" fillId="0" borderId="0" xfId="0" applyNumberFormat="1" applyFont="1"/>
    <xf numFmtId="0" fontId="65" fillId="0" borderId="7" xfId="0" applyFont="1" applyBorder="1"/>
    <xf numFmtId="2" fontId="64" fillId="19" borderId="62" xfId="0" applyNumberFormat="1" applyFont="1" applyFill="1" applyBorder="1"/>
    <xf numFmtId="2" fontId="100" fillId="0" borderId="0" xfId="0" applyNumberFormat="1" applyFont="1"/>
    <xf numFmtId="2" fontId="100" fillId="0" borderId="7" xfId="0" applyNumberFormat="1" applyFont="1" applyBorder="1"/>
    <xf numFmtId="2" fontId="72" fillId="0" borderId="7" xfId="0" applyNumberFormat="1" applyFont="1" applyBorder="1"/>
    <xf numFmtId="0" fontId="72" fillId="0" borderId="8" xfId="0" applyFont="1" applyBorder="1"/>
    <xf numFmtId="0" fontId="72" fillId="0" borderId="9" xfId="0" applyFont="1" applyBorder="1"/>
    <xf numFmtId="164" fontId="72" fillId="0" borderId="9" xfId="0" applyNumberFormat="1" applyFont="1" applyBorder="1"/>
    <xf numFmtId="2" fontId="65" fillId="0" borderId="9" xfId="0" applyNumberFormat="1" applyFont="1" applyBorder="1"/>
    <xf numFmtId="0" fontId="65" fillId="0" borderId="9" xfId="0" applyFont="1" applyBorder="1"/>
    <xf numFmtId="164" fontId="65" fillId="0" borderId="9" xfId="0" applyNumberFormat="1" applyFont="1" applyBorder="1"/>
    <xf numFmtId="2" fontId="65" fillId="0" borderId="10" xfId="0" applyNumberFormat="1" applyFont="1" applyBorder="1"/>
    <xf numFmtId="0" fontId="72" fillId="0" borderId="6" xfId="0" applyFont="1" applyBorder="1"/>
    <xf numFmtId="49" fontId="64" fillId="0" borderId="0" xfId="0" applyNumberFormat="1" applyFont="1"/>
    <xf numFmtId="49" fontId="101" fillId="10" borderId="3" xfId="0" applyNumberFormat="1" applyFont="1" applyFill="1" applyBorder="1"/>
    <xf numFmtId="49" fontId="101" fillId="10" borderId="4" xfId="0" applyNumberFormat="1" applyFont="1" applyFill="1" applyBorder="1"/>
    <xf numFmtId="0" fontId="64" fillId="19" borderId="15" xfId="0" applyFont="1" applyFill="1" applyBorder="1"/>
    <xf numFmtId="1" fontId="64" fillId="9" borderId="62" xfId="0" applyNumberFormat="1" applyFont="1" applyFill="1" applyBorder="1"/>
    <xf numFmtId="0" fontId="72" fillId="0" borderId="15" xfId="0" applyFont="1" applyBorder="1" applyAlignment="1">
      <alignment horizontal="left"/>
    </xf>
    <xf numFmtId="0" fontId="91" fillId="10" borderId="15" xfId="0" applyFont="1" applyFill="1" applyBorder="1" applyAlignment="1">
      <alignment horizontal="left"/>
    </xf>
    <xf numFmtId="1" fontId="72" fillId="0" borderId="15" xfId="0" applyNumberFormat="1" applyFont="1" applyBorder="1"/>
    <xf numFmtId="0" fontId="72" fillId="0" borderId="0" xfId="0" applyFont="1" applyAlignment="1">
      <alignment horizontal="fill"/>
    </xf>
    <xf numFmtId="1" fontId="80" fillId="0" borderId="0" xfId="0" applyNumberFormat="1" applyFont="1"/>
    <xf numFmtId="165" fontId="71" fillId="0" borderId="0" xfId="0" applyNumberFormat="1" applyFont="1" applyAlignment="1">
      <alignment horizontal="right"/>
    </xf>
    <xf numFmtId="2" fontId="85" fillId="17" borderId="0" xfId="0" applyNumberFormat="1" applyFont="1" applyFill="1"/>
    <xf numFmtId="165" fontId="72" fillId="17" borderId="0" xfId="0" applyNumberFormat="1" applyFont="1" applyFill="1"/>
    <xf numFmtId="1" fontId="72" fillId="0" borderId="0" xfId="0" applyNumberFormat="1" applyFont="1" applyAlignment="1">
      <alignment horizontal="left"/>
    </xf>
    <xf numFmtId="2" fontId="80" fillId="20" borderId="0" xfId="0" applyNumberFormat="1" applyFont="1" applyFill="1"/>
    <xf numFmtId="1" fontId="72" fillId="20" borderId="0" xfId="0" applyNumberFormat="1" applyFont="1" applyFill="1"/>
    <xf numFmtId="165" fontId="72" fillId="20" borderId="0" xfId="0" applyNumberFormat="1" applyFont="1" applyFill="1"/>
    <xf numFmtId="2" fontId="71" fillId="0" borderId="15" xfId="0" applyNumberFormat="1" applyFont="1" applyBorder="1" applyAlignment="1">
      <alignment horizontal="center"/>
    </xf>
    <xf numFmtId="167" fontId="71" fillId="0" borderId="15" xfId="0" applyNumberFormat="1" applyFont="1" applyBorder="1" applyAlignment="1">
      <alignment horizontal="center"/>
    </xf>
    <xf numFmtId="166" fontId="80" fillId="0" borderId="12" xfId="0" applyNumberFormat="1" applyFont="1" applyBorder="1"/>
    <xf numFmtId="164" fontId="74" fillId="0" borderId="0" xfId="0" applyNumberFormat="1" applyFont="1" applyAlignment="1">
      <alignment horizontal="center"/>
    </xf>
    <xf numFmtId="167" fontId="74" fillId="0" borderId="0" xfId="0" applyNumberFormat="1" applyFont="1" applyAlignment="1">
      <alignment horizontal="center"/>
    </xf>
    <xf numFmtId="2" fontId="74" fillId="0" borderId="0" xfId="0" applyNumberFormat="1" applyFont="1" applyAlignment="1">
      <alignment horizontal="center"/>
    </xf>
    <xf numFmtId="2" fontId="102" fillId="0" borderId="0" xfId="0" applyNumberFormat="1" applyFont="1" applyAlignment="1">
      <alignment horizontal="center"/>
    </xf>
    <xf numFmtId="0" fontId="72" fillId="21" borderId="0" xfId="0" applyFont="1" applyFill="1"/>
    <xf numFmtId="0" fontId="72" fillId="21" borderId="0" xfId="0" applyFont="1" applyFill="1" applyAlignment="1">
      <alignment horizontal="center"/>
    </xf>
    <xf numFmtId="0" fontId="72" fillId="22" borderId="3" xfId="0" applyFont="1" applyFill="1" applyBorder="1" applyAlignment="1">
      <alignment horizontal="center"/>
    </xf>
    <xf numFmtId="0" fontId="72" fillId="22" borderId="4" xfId="0" applyFont="1" applyFill="1" applyBorder="1"/>
    <xf numFmtId="0" fontId="74" fillId="22" borderId="4" xfId="0" applyFont="1" applyFill="1" applyBorder="1"/>
    <xf numFmtId="0" fontId="72" fillId="22" borderId="6" xfId="0" applyFont="1" applyFill="1" applyBorder="1" applyAlignment="1">
      <alignment horizontal="center"/>
    </xf>
    <xf numFmtId="165" fontId="77" fillId="22" borderId="15" xfId="0" applyNumberFormat="1" applyFont="1" applyFill="1" applyBorder="1"/>
    <xf numFmtId="0" fontId="77" fillId="22" borderId="0" xfId="0" applyFont="1" applyFill="1"/>
    <xf numFmtId="0" fontId="72" fillId="22" borderId="0" xfId="0" applyFont="1" applyFill="1"/>
    <xf numFmtId="1" fontId="77" fillId="22" borderId="15" xfId="0" applyNumberFormat="1" applyFont="1" applyFill="1" applyBorder="1"/>
    <xf numFmtId="1" fontId="72" fillId="22" borderId="15" xfId="0" applyNumberFormat="1" applyFont="1" applyFill="1" applyBorder="1"/>
    <xf numFmtId="2" fontId="72" fillId="22" borderId="15" xfId="0" applyNumberFormat="1" applyFont="1" applyFill="1" applyBorder="1"/>
    <xf numFmtId="0" fontId="72" fillId="21" borderId="0" xfId="0" applyFont="1" applyFill="1" applyAlignment="1">
      <alignment horizontal="left"/>
    </xf>
    <xf numFmtId="0" fontId="72" fillId="22" borderId="15" xfId="0" applyFont="1" applyFill="1" applyBorder="1" applyAlignment="1">
      <alignment horizontal="left"/>
    </xf>
    <xf numFmtId="165" fontId="103" fillId="22" borderId="15" xfId="0" applyNumberFormat="1" applyFont="1" applyFill="1" applyBorder="1"/>
    <xf numFmtId="0" fontId="72" fillId="22" borderId="15" xfId="0" applyFont="1" applyFill="1" applyBorder="1"/>
    <xf numFmtId="0" fontId="103" fillId="22" borderId="15" xfId="0" applyFont="1" applyFill="1" applyBorder="1" applyAlignment="1">
      <alignment horizontal="right"/>
    </xf>
    <xf numFmtId="1" fontId="103" fillId="22" borderId="15" xfId="0" applyNumberFormat="1" applyFont="1" applyFill="1" applyBorder="1" applyAlignment="1">
      <alignment horizontal="right"/>
    </xf>
    <xf numFmtId="0" fontId="103" fillId="22" borderId="15" xfId="0" applyFont="1" applyFill="1" applyBorder="1"/>
    <xf numFmtId="2" fontId="71" fillId="0" borderId="0" xfId="0" applyNumberFormat="1" applyFont="1" applyAlignment="1">
      <alignment horizontal="center"/>
    </xf>
    <xf numFmtId="0" fontId="72" fillId="22" borderId="0" xfId="0" applyFont="1" applyFill="1" applyAlignment="1">
      <alignment horizontal="center"/>
    </xf>
    <xf numFmtId="1" fontId="72" fillId="22" borderId="0" xfId="0" applyNumberFormat="1" applyFont="1" applyFill="1"/>
    <xf numFmtId="165" fontId="72" fillId="22" borderId="0" xfId="0" applyNumberFormat="1" applyFont="1" applyFill="1"/>
    <xf numFmtId="2" fontId="102" fillId="22" borderId="0" xfId="0" applyNumberFormat="1" applyFont="1" applyFill="1" applyAlignment="1">
      <alignment horizontal="center"/>
    </xf>
    <xf numFmtId="2" fontId="71" fillId="22" borderId="0" xfId="0" applyNumberFormat="1" applyFont="1" applyFill="1" applyAlignment="1">
      <alignment horizontal="center"/>
    </xf>
    <xf numFmtId="167" fontId="102" fillId="22" borderId="0" xfId="0" applyNumberFormat="1" applyFont="1" applyFill="1" applyAlignment="1">
      <alignment horizontal="center"/>
    </xf>
    <xf numFmtId="11" fontId="72" fillId="0" borderId="0" xfId="0" applyNumberFormat="1" applyFont="1" applyAlignment="1">
      <alignment horizontal="center"/>
    </xf>
    <xf numFmtId="166" fontId="72" fillId="22" borderId="15" xfId="0" applyNumberFormat="1" applyFont="1" applyFill="1" applyBorder="1"/>
    <xf numFmtId="0" fontId="72" fillId="21" borderId="0" xfId="0" applyFont="1" applyFill="1" applyAlignment="1">
      <alignment horizontal="right"/>
    </xf>
    <xf numFmtId="2" fontId="72" fillId="22" borderId="0" xfId="0" applyNumberFormat="1" applyFont="1" applyFill="1"/>
    <xf numFmtId="166" fontId="72" fillId="22" borderId="0" xfId="0" applyNumberFormat="1" applyFont="1" applyFill="1"/>
    <xf numFmtId="166" fontId="74" fillId="22" borderId="0" xfId="0" applyNumberFormat="1" applyFont="1" applyFill="1"/>
    <xf numFmtId="2" fontId="72" fillId="22" borderId="0" xfId="0" applyNumberFormat="1" applyFont="1" applyFill="1" applyAlignment="1">
      <alignment horizontal="center"/>
    </xf>
    <xf numFmtId="166" fontId="82" fillId="22" borderId="0" xfId="0" applyNumberFormat="1" applyFont="1" applyFill="1"/>
    <xf numFmtId="166" fontId="104" fillId="22" borderId="0" xfId="0" applyNumberFormat="1" applyFont="1" applyFill="1"/>
    <xf numFmtId="166" fontId="72" fillId="22" borderId="15" xfId="0" applyNumberFormat="1" applyFont="1" applyFill="1" applyBorder="1" applyAlignment="1">
      <alignment horizontal="right"/>
    </xf>
    <xf numFmtId="1" fontId="72" fillId="22" borderId="0" xfId="0" applyNumberFormat="1" applyFont="1" applyFill="1" applyAlignment="1">
      <alignment horizontal="center"/>
    </xf>
    <xf numFmtId="0" fontId="72" fillId="22" borderId="8" xfId="0" applyFont="1" applyFill="1" applyBorder="1" applyAlignment="1">
      <alignment horizontal="center"/>
    </xf>
    <xf numFmtId="166" fontId="72" fillId="22" borderId="9" xfId="0" applyNumberFormat="1" applyFont="1" applyFill="1" applyBorder="1"/>
    <xf numFmtId="0" fontId="72" fillId="22" borderId="9" xfId="0" applyFont="1" applyFill="1" applyBorder="1"/>
    <xf numFmtId="0" fontId="72" fillId="22" borderId="9" xfId="0" applyFont="1" applyFill="1" applyBorder="1" applyAlignment="1">
      <alignment horizontal="center"/>
    </xf>
    <xf numFmtId="1" fontId="72" fillId="0" borderId="15" xfId="0" applyNumberFormat="1" applyFont="1" applyBorder="1" applyAlignment="1">
      <alignment horizontal="right"/>
    </xf>
    <xf numFmtId="165" fontId="72" fillId="0" borderId="15" xfId="0" applyNumberFormat="1" applyFont="1" applyBorder="1"/>
    <xf numFmtId="1" fontId="6" fillId="0" borderId="0" xfId="2" applyNumberFormat="1" applyFont="1" applyProtection="1">
      <protection locked="0"/>
    </xf>
    <xf numFmtId="166" fontId="74" fillId="23" borderId="15" xfId="0" applyNumberFormat="1" applyFont="1" applyFill="1" applyBorder="1"/>
    <xf numFmtId="166" fontId="77" fillId="0" borderId="15" xfId="0" applyNumberFormat="1" applyFont="1" applyBorder="1"/>
    <xf numFmtId="0" fontId="74" fillId="0" borderId="3" xfId="0" applyFont="1" applyBorder="1" applyAlignment="1">
      <alignment horizontal="right"/>
    </xf>
    <xf numFmtId="1" fontId="72" fillId="0" borderId="4" xfId="0" applyNumberFormat="1" applyFont="1" applyBorder="1" applyAlignment="1">
      <alignment horizontal="center"/>
    </xf>
    <xf numFmtId="166" fontId="72" fillId="0" borderId="4" xfId="0" applyNumberFormat="1" applyFont="1" applyBorder="1" applyAlignment="1">
      <alignment horizontal="center"/>
    </xf>
    <xf numFmtId="0" fontId="72" fillId="0" borderId="7" xfId="0" applyFont="1" applyBorder="1"/>
    <xf numFmtId="0" fontId="74" fillId="0" borderId="6" xfId="0" applyFont="1" applyBorder="1" applyAlignment="1">
      <alignment horizontal="right"/>
    </xf>
    <xf numFmtId="0" fontId="72" fillId="0" borderId="8" xfId="0" applyFont="1" applyBorder="1" applyAlignment="1">
      <alignment horizontal="right"/>
    </xf>
    <xf numFmtId="166" fontId="72" fillId="0" borderId="9" xfId="0" applyNumberFormat="1" applyFont="1" applyBorder="1"/>
    <xf numFmtId="0" fontId="72" fillId="0" borderId="10" xfId="0" applyFont="1" applyBorder="1"/>
    <xf numFmtId="167" fontId="72" fillId="0" borderId="5" xfId="0" applyNumberFormat="1" applyFont="1" applyBorder="1"/>
    <xf numFmtId="167" fontId="72" fillId="0" borderId="7" xfId="0" applyNumberFormat="1" applyFont="1" applyBorder="1"/>
    <xf numFmtId="164" fontId="72" fillId="0" borderId="7" xfId="0" applyNumberFormat="1" applyFont="1" applyBorder="1"/>
    <xf numFmtId="0" fontId="74" fillId="0" borderId="4" xfId="0" applyFont="1" applyBorder="1" applyAlignment="1">
      <alignment horizontal="right"/>
    </xf>
    <xf numFmtId="1" fontId="73" fillId="0" borderId="12" xfId="0" applyNumberFormat="1" applyFont="1" applyBorder="1"/>
    <xf numFmtId="49" fontId="72" fillId="0" borderId="0" xfId="0" applyNumberFormat="1" applyFont="1"/>
    <xf numFmtId="2" fontId="72" fillId="5" borderId="15" xfId="0" applyNumberFormat="1" applyFont="1" applyFill="1" applyBorder="1" applyAlignment="1">
      <alignment horizontal="right"/>
    </xf>
    <xf numFmtId="2" fontId="72" fillId="5" borderId="15" xfId="0" applyNumberFormat="1" applyFont="1" applyFill="1" applyBorder="1"/>
    <xf numFmtId="0" fontId="72" fillId="24" borderId="15" xfId="0" applyFont="1" applyFill="1" applyBorder="1"/>
    <xf numFmtId="2" fontId="72" fillId="24" borderId="15" xfId="0" applyNumberFormat="1" applyFont="1" applyFill="1" applyBorder="1"/>
    <xf numFmtId="2" fontId="72" fillId="24" borderId="11" xfId="0" applyNumberFormat="1" applyFont="1" applyFill="1" applyBorder="1"/>
    <xf numFmtId="0" fontId="72" fillId="0" borderId="26" xfId="0" applyFont="1" applyBorder="1"/>
    <xf numFmtId="0" fontId="72" fillId="0" borderId="20" xfId="0" applyFont="1" applyBorder="1"/>
    <xf numFmtId="0" fontId="72" fillId="0" borderId="21" xfId="0" applyFont="1" applyBorder="1"/>
    <xf numFmtId="0" fontId="72" fillId="0" borderId="27" xfId="0" applyFont="1" applyBorder="1"/>
    <xf numFmtId="0" fontId="72" fillId="0" borderId="23" xfId="0" applyFont="1" applyBorder="1"/>
    <xf numFmtId="0" fontId="72" fillId="0" borderId="13" xfId="0" applyFont="1" applyBorder="1"/>
    <xf numFmtId="0" fontId="72" fillId="0" borderId="25" xfId="0" applyFont="1" applyBorder="1"/>
    <xf numFmtId="0" fontId="72" fillId="0" borderId="14" xfId="0" applyFont="1" applyBorder="1"/>
    <xf numFmtId="165" fontId="72" fillId="0" borderId="0" xfId="1" applyNumberFormat="1" applyFont="1" applyFill="1" applyAlignment="1">
      <alignment horizontal="center"/>
    </xf>
    <xf numFmtId="164" fontId="52" fillId="0" borderId="0" xfId="0" applyNumberFormat="1" applyFont="1" applyAlignment="1">
      <alignment horizontal="right"/>
    </xf>
    <xf numFmtId="0" fontId="52" fillId="0" borderId="0" xfId="0" applyFont="1" applyAlignment="1">
      <alignment horizontal="center"/>
    </xf>
    <xf numFmtId="165" fontId="72" fillId="5" borderId="15" xfId="0" applyNumberFormat="1" applyFont="1" applyFill="1" applyBorder="1"/>
    <xf numFmtId="164" fontId="72" fillId="0" borderId="15" xfId="0" applyNumberFormat="1" applyFont="1" applyBorder="1" applyAlignment="1">
      <alignment horizontal="center"/>
    </xf>
    <xf numFmtId="0" fontId="72" fillId="25" borderId="15" xfId="0" applyFont="1" applyFill="1" applyBorder="1"/>
    <xf numFmtId="49" fontId="74" fillId="0" borderId="0" xfId="0" applyNumberFormat="1" applyFont="1" applyAlignment="1">
      <alignment horizontal="center"/>
    </xf>
    <xf numFmtId="2" fontId="74" fillId="26" borderId="15" xfId="0" applyNumberFormat="1" applyFont="1" applyFill="1" applyBorder="1"/>
    <xf numFmtId="1" fontId="100" fillId="0" borderId="0" xfId="0" applyNumberFormat="1" applyFont="1" applyAlignment="1">
      <alignment horizontal="right"/>
    </xf>
    <xf numFmtId="0" fontId="100" fillId="0" borderId="0" xfId="0" applyFont="1"/>
    <xf numFmtId="0" fontId="53" fillId="0" borderId="0" xfId="0" applyFont="1"/>
    <xf numFmtId="165" fontId="53" fillId="0" borderId="0" xfId="0" applyNumberFormat="1" applyFont="1"/>
    <xf numFmtId="0" fontId="105" fillId="0" borderId="0" xfId="0" applyFont="1"/>
    <xf numFmtId="0" fontId="106" fillId="0" borderId="0" xfId="0" applyFont="1"/>
    <xf numFmtId="0" fontId="107" fillId="0" borderId="0" xfId="0" applyFont="1"/>
    <xf numFmtId="0" fontId="72" fillId="0" borderId="20" xfId="0" applyFont="1" applyBorder="1" applyAlignment="1">
      <alignment horizontal="center"/>
    </xf>
    <xf numFmtId="0" fontId="72" fillId="0" borderId="21" xfId="0" applyFont="1" applyBorder="1" applyAlignment="1">
      <alignment horizontal="center"/>
    </xf>
    <xf numFmtId="0" fontId="72" fillId="0" borderId="23" xfId="0" applyFont="1" applyBorder="1" applyAlignment="1">
      <alignment horizontal="center"/>
    </xf>
    <xf numFmtId="0" fontId="72" fillId="27" borderId="14" xfId="0" applyFont="1" applyFill="1" applyBorder="1" applyAlignment="1">
      <alignment horizontal="center"/>
    </xf>
    <xf numFmtId="0" fontId="72" fillId="27" borderId="26" xfId="0" applyFont="1" applyFill="1" applyBorder="1" applyAlignment="1">
      <alignment horizontal="center"/>
    </xf>
    <xf numFmtId="0" fontId="72" fillId="27" borderId="27" xfId="0" applyFont="1" applyFill="1" applyBorder="1" applyAlignment="1">
      <alignment horizontal="center"/>
    </xf>
    <xf numFmtId="0" fontId="72" fillId="27" borderId="0" xfId="0" applyFont="1" applyFill="1" applyAlignment="1">
      <alignment horizontal="center"/>
    </xf>
    <xf numFmtId="0" fontId="72" fillId="27" borderId="25" xfId="0" applyFont="1" applyFill="1" applyBorder="1" applyAlignment="1">
      <alignment horizontal="center"/>
    </xf>
    <xf numFmtId="0" fontId="53" fillId="0" borderId="20" xfId="0" applyFont="1" applyBorder="1"/>
    <xf numFmtId="0" fontId="53" fillId="0" borderId="21" xfId="0" applyFont="1" applyBorder="1"/>
    <xf numFmtId="0" fontId="53" fillId="0" borderId="23" xfId="0" applyFont="1" applyBorder="1"/>
    <xf numFmtId="165" fontId="108" fillId="0" borderId="0" xfId="0" applyNumberFormat="1" applyFont="1"/>
    <xf numFmtId="0" fontId="108" fillId="0" borderId="0" xfId="0" applyFont="1"/>
    <xf numFmtId="0" fontId="108" fillId="0" borderId="27" xfId="0" applyFont="1" applyBorder="1"/>
    <xf numFmtId="2" fontId="77" fillId="25" borderId="15" xfId="0" applyNumberFormat="1" applyFont="1" applyFill="1" applyBorder="1"/>
    <xf numFmtId="0" fontId="77" fillId="25" borderId="15" xfId="0" applyFont="1" applyFill="1" applyBorder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72" fillId="28" borderId="0" xfId="0" applyFont="1" applyFill="1"/>
    <xf numFmtId="0" fontId="72" fillId="27" borderId="26" xfId="0" applyFont="1" applyFill="1" applyBorder="1"/>
    <xf numFmtId="0" fontId="72" fillId="27" borderId="27" xfId="0" applyFont="1" applyFill="1" applyBorder="1"/>
    <xf numFmtId="0" fontId="72" fillId="27" borderId="0" xfId="0" applyFont="1" applyFill="1"/>
    <xf numFmtId="0" fontId="72" fillId="25" borderId="27" xfId="0" applyFont="1" applyFill="1" applyBorder="1"/>
    <xf numFmtId="0" fontId="72" fillId="25" borderId="0" xfId="0" applyFont="1" applyFill="1"/>
    <xf numFmtId="0" fontId="72" fillId="25" borderId="13" xfId="0" applyFont="1" applyFill="1" applyBorder="1"/>
    <xf numFmtId="0" fontId="72" fillId="25" borderId="25" xfId="0" applyFont="1" applyFill="1" applyBorder="1"/>
    <xf numFmtId="0" fontId="72" fillId="27" borderId="25" xfId="0" applyFont="1" applyFill="1" applyBorder="1"/>
    <xf numFmtId="0" fontId="72" fillId="27" borderId="14" xfId="0" applyFont="1" applyFill="1" applyBorder="1"/>
    <xf numFmtId="0" fontId="109" fillId="27" borderId="26" xfId="0" applyFont="1" applyFill="1" applyBorder="1" applyAlignment="1">
      <alignment horizontal="center"/>
    </xf>
    <xf numFmtId="0" fontId="108" fillId="0" borderId="20" xfId="0" applyFont="1" applyBorder="1" applyAlignment="1">
      <alignment horizontal="center"/>
    </xf>
    <xf numFmtId="0" fontId="108" fillId="0" borderId="21" xfId="0" applyFont="1" applyBorder="1" applyAlignment="1">
      <alignment horizontal="center"/>
    </xf>
    <xf numFmtId="0" fontId="109" fillId="27" borderId="27" xfId="0" applyFont="1" applyFill="1" applyBorder="1" applyAlignment="1">
      <alignment horizontal="center"/>
    </xf>
    <xf numFmtId="0" fontId="109" fillId="27" borderId="0" xfId="0" applyFont="1" applyFill="1" applyAlignment="1">
      <alignment horizontal="center"/>
    </xf>
    <xf numFmtId="0" fontId="108" fillId="0" borderId="0" xfId="0" applyFont="1" applyAlignment="1">
      <alignment horizontal="center"/>
    </xf>
    <xf numFmtId="0" fontId="108" fillId="0" borderId="23" xfId="0" applyFont="1" applyBorder="1" applyAlignment="1">
      <alignment horizontal="center"/>
    </xf>
    <xf numFmtId="0" fontId="109" fillId="25" borderId="27" xfId="0" applyFont="1" applyFill="1" applyBorder="1" applyAlignment="1">
      <alignment horizontal="center"/>
    </xf>
    <xf numFmtId="0" fontId="109" fillId="25" borderId="0" xfId="0" applyFont="1" applyFill="1" applyAlignment="1">
      <alignment horizontal="center"/>
    </xf>
    <xf numFmtId="0" fontId="109" fillId="25" borderId="13" xfId="0" applyFont="1" applyFill="1" applyBorder="1" applyAlignment="1">
      <alignment horizontal="center"/>
    </xf>
    <xf numFmtId="0" fontId="109" fillId="25" borderId="25" xfId="0" applyFont="1" applyFill="1" applyBorder="1" applyAlignment="1">
      <alignment horizontal="center"/>
    </xf>
    <xf numFmtId="0" fontId="109" fillId="27" borderId="25" xfId="0" applyFont="1" applyFill="1" applyBorder="1" applyAlignment="1">
      <alignment horizontal="center"/>
    </xf>
    <xf numFmtId="0" fontId="109" fillId="27" borderId="14" xfId="0" applyFont="1" applyFill="1" applyBorder="1" applyAlignment="1">
      <alignment horizontal="center"/>
    </xf>
    <xf numFmtId="0" fontId="109" fillId="0" borderId="26" xfId="0" applyFont="1" applyBorder="1" applyAlignment="1">
      <alignment horizontal="center"/>
    </xf>
    <xf numFmtId="0" fontId="108" fillId="0" borderId="27" xfId="0" applyFont="1" applyBorder="1" applyAlignment="1">
      <alignment horizontal="center"/>
    </xf>
    <xf numFmtId="0" fontId="108" fillId="25" borderId="27" xfId="0" applyFont="1" applyFill="1" applyBorder="1" applyAlignment="1">
      <alignment horizontal="center"/>
    </xf>
    <xf numFmtId="0" fontId="108" fillId="25" borderId="0" xfId="0" applyFont="1" applyFill="1" applyAlignment="1">
      <alignment horizontal="center"/>
    </xf>
    <xf numFmtId="0" fontId="108" fillId="25" borderId="13" xfId="0" applyFont="1" applyFill="1" applyBorder="1" applyAlignment="1">
      <alignment horizontal="center"/>
    </xf>
    <xf numFmtId="0" fontId="108" fillId="25" borderId="25" xfId="0" applyFont="1" applyFill="1" applyBorder="1" applyAlignment="1">
      <alignment horizontal="center"/>
    </xf>
    <xf numFmtId="0" fontId="108" fillId="0" borderId="25" xfId="0" applyFont="1" applyBorder="1" applyAlignment="1">
      <alignment horizontal="center"/>
    </xf>
    <xf numFmtId="0" fontId="108" fillId="0" borderId="14" xfId="0" applyFont="1" applyBorder="1" applyAlignment="1">
      <alignment horizontal="center"/>
    </xf>
    <xf numFmtId="0" fontId="72" fillId="0" borderId="27" xfId="0" applyFont="1" applyBorder="1" applyAlignment="1">
      <alignment horizontal="center"/>
    </xf>
    <xf numFmtId="0" fontId="72" fillId="0" borderId="13" xfId="0" applyFont="1" applyBorder="1" applyAlignment="1">
      <alignment horizontal="center"/>
    </xf>
    <xf numFmtId="0" fontId="72" fillId="0" borderId="25" xfId="0" applyFont="1" applyBorder="1" applyAlignment="1">
      <alignment horizontal="center"/>
    </xf>
    <xf numFmtId="11" fontId="52" fillId="0" borderId="0" xfId="0" applyNumberFormat="1" applyFont="1" applyAlignment="1">
      <alignment horizontal="center"/>
    </xf>
    <xf numFmtId="2" fontId="80" fillId="0" borderId="2" xfId="0" applyNumberFormat="1" applyFont="1" applyBorder="1"/>
    <xf numFmtId="2" fontId="80" fillId="0" borderId="12" xfId="0" applyNumberFormat="1" applyFont="1" applyBorder="1"/>
    <xf numFmtId="2" fontId="80" fillId="0" borderId="0" xfId="0" applyNumberFormat="1" applyFont="1" applyAlignment="1">
      <alignment horizontal="right"/>
    </xf>
    <xf numFmtId="166" fontId="74" fillId="0" borderId="0" xfId="0" applyNumberFormat="1" applyFont="1" applyAlignment="1">
      <alignment horizontal="right"/>
    </xf>
    <xf numFmtId="0" fontId="6" fillId="0" borderId="0" xfId="5" applyFont="1" applyAlignment="1">
      <alignment horizontal="center"/>
    </xf>
    <xf numFmtId="2" fontId="73" fillId="0" borderId="2" xfId="1" applyNumberFormat="1" applyFont="1" applyFill="1" applyBorder="1"/>
    <xf numFmtId="1" fontId="73" fillId="0" borderId="2" xfId="1" applyNumberFormat="1" applyFont="1" applyFill="1" applyBorder="1"/>
    <xf numFmtId="0" fontId="65" fillId="28" borderId="0" xfId="0" applyFont="1" applyFill="1" applyAlignment="1">
      <alignment horizontal="left"/>
    </xf>
    <xf numFmtId="0" fontId="64" fillId="28" borderId="0" xfId="0" applyFont="1" applyFill="1"/>
    <xf numFmtId="0" fontId="65" fillId="0" borderId="0" xfId="0" applyFont="1" applyAlignment="1">
      <alignment horizontal="left"/>
    </xf>
    <xf numFmtId="0" fontId="109" fillId="0" borderId="0" xfId="0" applyFont="1" applyAlignment="1">
      <alignment horizontal="center"/>
    </xf>
    <xf numFmtId="0" fontId="109" fillId="0" borderId="27" xfId="0" applyFont="1" applyBorder="1" applyAlignment="1">
      <alignment horizontal="center"/>
    </xf>
    <xf numFmtId="0" fontId="72" fillId="3" borderId="0" xfId="0" applyFont="1" applyFill="1"/>
    <xf numFmtId="0" fontId="72" fillId="3" borderId="25" xfId="0" applyFont="1" applyFill="1" applyBorder="1"/>
    <xf numFmtId="0" fontId="72" fillId="3" borderId="14" xfId="0" applyFont="1" applyFill="1" applyBorder="1" applyAlignment="1">
      <alignment horizontal="right"/>
    </xf>
    <xf numFmtId="0" fontId="53" fillId="3" borderId="0" xfId="0" applyFont="1" applyFill="1"/>
    <xf numFmtId="0" fontId="72" fillId="3" borderId="0" xfId="0" applyFont="1" applyFill="1" applyAlignment="1">
      <alignment horizontal="center"/>
    </xf>
    <xf numFmtId="0" fontId="72" fillId="29" borderId="0" xfId="0" applyFont="1" applyFill="1"/>
    <xf numFmtId="0" fontId="72" fillId="29" borderId="25" xfId="0" applyFont="1" applyFill="1" applyBorder="1"/>
    <xf numFmtId="9" fontId="72" fillId="0" borderId="0" xfId="0" applyNumberFormat="1" applyFont="1"/>
    <xf numFmtId="0" fontId="108" fillId="25" borderId="27" xfId="0" applyFont="1" applyFill="1" applyBorder="1"/>
    <xf numFmtId="0" fontId="74" fillId="0" borderId="27" xfId="0" applyFont="1" applyBorder="1"/>
    <xf numFmtId="0" fontId="109" fillId="27" borderId="0" xfId="0" applyFont="1" applyFill="1"/>
    <xf numFmtId="0" fontId="109" fillId="3" borderId="0" xfId="0" applyFont="1" applyFill="1"/>
    <xf numFmtId="0" fontId="109" fillId="0" borderId="0" xfId="0" applyFont="1"/>
    <xf numFmtId="0" fontId="74" fillId="3" borderId="0" xfId="0" applyFont="1" applyFill="1"/>
    <xf numFmtId="0" fontId="109" fillId="0" borderId="26" xfId="0" applyFont="1" applyBorder="1"/>
    <xf numFmtId="0" fontId="108" fillId="25" borderId="13" xfId="0" applyFont="1" applyFill="1" applyBorder="1"/>
    <xf numFmtId="0" fontId="108" fillId="25" borderId="0" xfId="0" applyFont="1" applyFill="1"/>
    <xf numFmtId="0" fontId="108" fillId="25" borderId="25" xfId="0" applyFont="1" applyFill="1" applyBorder="1"/>
    <xf numFmtId="0" fontId="108" fillId="0" borderId="25" xfId="0" applyFont="1" applyBorder="1"/>
    <xf numFmtId="0" fontId="108" fillId="0" borderId="23" xfId="0" applyFont="1" applyBorder="1"/>
    <xf numFmtId="0" fontId="108" fillId="0" borderId="14" xfId="0" applyFont="1" applyBorder="1"/>
    <xf numFmtId="0" fontId="108" fillId="3" borderId="26" xfId="0" applyFont="1" applyFill="1" applyBorder="1"/>
    <xf numFmtId="0" fontId="108" fillId="27" borderId="27" xfId="0" applyFont="1" applyFill="1" applyBorder="1"/>
    <xf numFmtId="0" fontId="109" fillId="25" borderId="0" xfId="0" applyFont="1" applyFill="1"/>
    <xf numFmtId="0" fontId="109" fillId="25" borderId="25" xfId="0" applyFont="1" applyFill="1" applyBorder="1"/>
    <xf numFmtId="0" fontId="109" fillId="3" borderId="25" xfId="0" applyFont="1" applyFill="1" applyBorder="1"/>
    <xf numFmtId="0" fontId="109" fillId="3" borderId="14" xfId="0" applyFont="1" applyFill="1" applyBorder="1"/>
    <xf numFmtId="0" fontId="108" fillId="0" borderId="13" xfId="0" applyFont="1" applyBorder="1"/>
    <xf numFmtId="0" fontId="109" fillId="30" borderId="26" xfId="0" applyFont="1" applyFill="1" applyBorder="1"/>
    <xf numFmtId="0" fontId="108" fillId="30" borderId="27" xfId="0" applyFont="1" applyFill="1" applyBorder="1"/>
    <xf numFmtId="0" fontId="108" fillId="30" borderId="0" xfId="0" applyFont="1" applyFill="1"/>
    <xf numFmtId="0" fontId="108" fillId="30" borderId="25" xfId="0" applyFont="1" applyFill="1" applyBorder="1"/>
    <xf numFmtId="0" fontId="108" fillId="30" borderId="14" xfId="0" applyFont="1" applyFill="1" applyBorder="1"/>
    <xf numFmtId="0" fontId="109" fillId="0" borderId="27" xfId="0" applyFont="1" applyBorder="1"/>
    <xf numFmtId="0" fontId="109" fillId="0" borderId="13" xfId="0" applyFont="1" applyBorder="1"/>
    <xf numFmtId="0" fontId="109" fillId="0" borderId="25" xfId="0" applyFont="1" applyBorder="1"/>
    <xf numFmtId="0" fontId="109" fillId="30" borderId="27" xfId="0" applyFont="1" applyFill="1" applyBorder="1"/>
    <xf numFmtId="0" fontId="109" fillId="30" borderId="0" xfId="0" applyFont="1" applyFill="1"/>
    <xf numFmtId="0" fontId="109" fillId="30" borderId="25" xfId="0" applyFont="1" applyFill="1" applyBorder="1"/>
    <xf numFmtId="0" fontId="109" fillId="30" borderId="14" xfId="0" applyFont="1" applyFill="1" applyBorder="1"/>
    <xf numFmtId="166" fontId="72" fillId="29" borderId="0" xfId="0" applyNumberFormat="1" applyFont="1" applyFill="1"/>
    <xf numFmtId="167" fontId="72" fillId="29" borderId="0" xfId="0" applyNumberFormat="1" applyFont="1" applyFill="1" applyAlignment="1">
      <alignment horizontal="right"/>
    </xf>
    <xf numFmtId="0" fontId="72" fillId="29" borderId="0" xfId="0" applyFont="1" applyFill="1" applyAlignment="1">
      <alignment horizontal="right"/>
    </xf>
    <xf numFmtId="0" fontId="6" fillId="0" borderId="26" xfId="2" applyFont="1" applyBorder="1" applyProtection="1">
      <protection locked="0"/>
    </xf>
    <xf numFmtId="0" fontId="6" fillId="0" borderId="20" xfId="2" applyFont="1" applyBorder="1" applyProtection="1">
      <protection locked="0"/>
    </xf>
    <xf numFmtId="2" fontId="6" fillId="0" borderId="20" xfId="2" applyNumberFormat="1" applyFont="1" applyBorder="1" applyProtection="1">
      <protection locked="0"/>
    </xf>
    <xf numFmtId="0" fontId="0" fillId="0" borderId="20" xfId="0" applyBorder="1"/>
    <xf numFmtId="0" fontId="0" fillId="0" borderId="21" xfId="0" applyBorder="1"/>
    <xf numFmtId="0" fontId="6" fillId="0" borderId="27" xfId="2" applyFont="1" applyBorder="1" applyProtection="1">
      <protection locked="0"/>
    </xf>
    <xf numFmtId="2" fontId="6" fillId="0" borderId="23" xfId="2" applyNumberFormat="1" applyFont="1" applyBorder="1" applyProtection="1">
      <protection locked="0"/>
    </xf>
    <xf numFmtId="1" fontId="6" fillId="0" borderId="23" xfId="2" applyNumberFormat="1" applyFont="1" applyBorder="1" applyProtection="1">
      <protection locked="0"/>
    </xf>
    <xf numFmtId="1" fontId="6" fillId="0" borderId="27" xfId="2" applyNumberFormat="1" applyFont="1" applyBorder="1" applyProtection="1">
      <protection locked="0"/>
    </xf>
    <xf numFmtId="1" fontId="6" fillId="0" borderId="13" xfId="2" applyNumberFormat="1" applyFont="1" applyBorder="1" applyProtection="1">
      <protection locked="0"/>
    </xf>
    <xf numFmtId="1" fontId="6" fillId="0" borderId="25" xfId="2" applyNumberFormat="1" applyFont="1" applyBorder="1" applyProtection="1">
      <protection locked="0"/>
    </xf>
    <xf numFmtId="0" fontId="6" fillId="0" borderId="25" xfId="2" applyFont="1" applyBorder="1" applyProtection="1">
      <protection locked="0"/>
    </xf>
    <xf numFmtId="1" fontId="6" fillId="0" borderId="14" xfId="2" applyNumberFormat="1" applyFont="1" applyBorder="1" applyProtection="1">
      <protection locked="0"/>
    </xf>
    <xf numFmtId="0" fontId="6" fillId="5" borderId="26" xfId="2" applyFont="1" applyFill="1" applyBorder="1" applyProtection="1">
      <protection locked="0"/>
    </xf>
    <xf numFmtId="0" fontId="6" fillId="5" borderId="27" xfId="2" applyFont="1" applyFill="1" applyBorder="1" applyProtection="1">
      <protection locked="0"/>
    </xf>
    <xf numFmtId="0" fontId="6" fillId="5" borderId="0" xfId="2" applyFont="1" applyFill="1" applyProtection="1">
      <protection locked="0"/>
    </xf>
    <xf numFmtId="1" fontId="6" fillId="5" borderId="0" xfId="2" applyNumberFormat="1" applyFont="1" applyFill="1" applyProtection="1">
      <protection locked="0"/>
    </xf>
    <xf numFmtId="1" fontId="6" fillId="5" borderId="13" xfId="2" applyNumberFormat="1" applyFont="1" applyFill="1" applyBorder="1" applyProtection="1">
      <protection locked="0"/>
    </xf>
    <xf numFmtId="1" fontId="6" fillId="5" borderId="25" xfId="2" applyNumberFormat="1" applyFont="1" applyFill="1" applyBorder="1" applyProtection="1">
      <protection locked="0"/>
    </xf>
    <xf numFmtId="0" fontId="6" fillId="5" borderId="25" xfId="2" applyFont="1" applyFill="1" applyBorder="1" applyProtection="1">
      <protection locked="0"/>
    </xf>
    <xf numFmtId="1" fontId="6" fillId="5" borderId="14" xfId="2" applyNumberFormat="1" applyFont="1" applyFill="1" applyBorder="1" applyProtection="1">
      <protection locked="0"/>
    </xf>
    <xf numFmtId="165" fontId="72" fillId="0" borderId="15" xfId="0" applyNumberFormat="1" applyFont="1" applyBorder="1" applyAlignment="1">
      <alignment horizontal="right"/>
    </xf>
    <xf numFmtId="0" fontId="110" fillId="10" borderId="0" xfId="0" applyFont="1" applyFill="1"/>
    <xf numFmtId="166" fontId="72" fillId="0" borderId="15" xfId="0" applyNumberFormat="1" applyFont="1" applyBorder="1" applyAlignment="1">
      <alignment horizontal="right"/>
    </xf>
    <xf numFmtId="164" fontId="72" fillId="25" borderId="15" xfId="0" applyNumberFormat="1" applyFont="1" applyFill="1" applyBorder="1"/>
    <xf numFmtId="166" fontId="72" fillId="25" borderId="15" xfId="0" applyNumberFormat="1" applyFont="1" applyFill="1" applyBorder="1"/>
    <xf numFmtId="2" fontId="72" fillId="25" borderId="15" xfId="0" applyNumberFormat="1" applyFont="1" applyFill="1" applyBorder="1" applyAlignment="1">
      <alignment horizontal="right"/>
    </xf>
    <xf numFmtId="164" fontId="72" fillId="25" borderId="0" xfId="0" applyNumberFormat="1" applyFont="1" applyFill="1" applyAlignment="1">
      <alignment horizontal="left"/>
    </xf>
    <xf numFmtId="0" fontId="72" fillId="25" borderId="0" xfId="0" applyFont="1" applyFill="1" applyAlignment="1">
      <alignment horizontal="center"/>
    </xf>
    <xf numFmtId="167" fontId="72" fillId="0" borderId="0" xfId="0" applyNumberFormat="1" applyFont="1" applyAlignment="1">
      <alignment horizontal="right"/>
    </xf>
    <xf numFmtId="0" fontId="72" fillId="25" borderId="15" xfId="0" applyFont="1" applyFill="1" applyBorder="1" applyAlignment="1">
      <alignment horizontal="center"/>
    </xf>
    <xf numFmtId="167" fontId="72" fillId="25" borderId="15" xfId="0" applyNumberFormat="1" applyFont="1" applyFill="1" applyBorder="1"/>
    <xf numFmtId="1" fontId="72" fillId="25" borderId="15" xfId="0" applyNumberFormat="1" applyFont="1" applyFill="1" applyBorder="1"/>
    <xf numFmtId="1" fontId="72" fillId="25" borderId="15" xfId="0" applyNumberFormat="1" applyFont="1" applyFill="1" applyBorder="1" applyAlignment="1">
      <alignment horizontal="right"/>
    </xf>
    <xf numFmtId="165" fontId="111" fillId="0" borderId="0" xfId="0" applyNumberFormat="1" applyFont="1" applyAlignment="1">
      <alignment horizontal="right"/>
    </xf>
    <xf numFmtId="165" fontId="74" fillId="0" borderId="0" xfId="0" applyNumberFormat="1" applyFont="1" applyAlignment="1">
      <alignment horizontal="center"/>
    </xf>
    <xf numFmtId="2" fontId="77" fillId="0" borderId="15" xfId="0" applyNumberFormat="1" applyFont="1" applyBorder="1" applyAlignment="1">
      <alignment horizontal="right"/>
    </xf>
    <xf numFmtId="165" fontId="72" fillId="25" borderId="15" xfId="0" applyNumberFormat="1" applyFont="1" applyFill="1" applyBorder="1"/>
    <xf numFmtId="1" fontId="72" fillId="31" borderId="26" xfId="0" applyNumberFormat="1" applyFont="1" applyFill="1" applyBorder="1"/>
    <xf numFmtId="1" fontId="72" fillId="0" borderId="20" xfId="0" applyNumberFormat="1" applyFont="1" applyBorder="1"/>
    <xf numFmtId="1" fontId="72" fillId="0" borderId="21" xfId="0" applyNumberFormat="1" applyFont="1" applyBorder="1"/>
    <xf numFmtId="1" fontId="72" fillId="0" borderId="23" xfId="0" applyNumberFormat="1" applyFont="1" applyBorder="1"/>
    <xf numFmtId="1" fontId="72" fillId="31" borderId="0" xfId="0" applyNumberFormat="1" applyFont="1" applyFill="1"/>
    <xf numFmtId="1" fontId="72" fillId="31" borderId="27" xfId="0" applyNumberFormat="1" applyFont="1" applyFill="1" applyBorder="1"/>
    <xf numFmtId="1" fontId="72" fillId="31" borderId="13" xfId="0" applyNumberFormat="1" applyFont="1" applyFill="1" applyBorder="1"/>
    <xf numFmtId="1" fontId="72" fillId="31" borderId="25" xfId="0" applyNumberFormat="1" applyFont="1" applyFill="1" applyBorder="1"/>
    <xf numFmtId="1" fontId="72" fillId="31" borderId="14" xfId="0" applyNumberFormat="1" applyFont="1" applyFill="1" applyBorder="1"/>
    <xf numFmtId="1" fontId="6" fillId="32" borderId="0" xfId="2" applyNumberFormat="1" applyFont="1" applyFill="1" applyProtection="1">
      <protection locked="0"/>
    </xf>
    <xf numFmtId="0" fontId="72" fillId="32" borderId="0" xfId="0" applyFont="1" applyFill="1"/>
    <xf numFmtId="164" fontId="72" fillId="32" borderId="0" xfId="0" applyNumberFormat="1" applyFont="1" applyFill="1"/>
    <xf numFmtId="0" fontId="6" fillId="32" borderId="0" xfId="2" applyFont="1" applyFill="1" applyAlignment="1">
      <alignment horizontal="left"/>
    </xf>
    <xf numFmtId="1" fontId="6" fillId="13" borderId="0" xfId="2" applyNumberFormat="1" applyFont="1" applyFill="1" applyProtection="1">
      <protection locked="0"/>
    </xf>
    <xf numFmtId="0" fontId="72" fillId="13" borderId="0" xfId="0" applyFont="1" applyFill="1"/>
    <xf numFmtId="0" fontId="6" fillId="13" borderId="0" xfId="2" applyFont="1" applyFill="1" applyAlignment="1">
      <alignment horizontal="left"/>
    </xf>
    <xf numFmtId="164" fontId="72" fillId="13" borderId="0" xfId="0" applyNumberFormat="1" applyFont="1" applyFill="1"/>
    <xf numFmtId="9" fontId="72" fillId="25" borderId="0" xfId="0" applyNumberFormat="1" applyFont="1" applyFill="1"/>
    <xf numFmtId="0" fontId="6" fillId="0" borderId="0" xfId="2" applyFont="1" applyAlignment="1">
      <alignment horizontal="left"/>
    </xf>
    <xf numFmtId="164" fontId="74" fillId="5" borderId="0" xfId="0" applyNumberFormat="1" applyFont="1" applyFill="1"/>
    <xf numFmtId="165" fontId="77" fillId="9" borderId="15" xfId="0" applyNumberFormat="1" applyFont="1" applyFill="1" applyBorder="1"/>
    <xf numFmtId="165" fontId="77" fillId="19" borderId="15" xfId="0" applyNumberFormat="1" applyFont="1" applyFill="1" applyBorder="1"/>
    <xf numFmtId="165" fontId="77" fillId="13" borderId="15" xfId="0" applyNumberFormat="1" applyFont="1" applyFill="1" applyBorder="1" applyAlignment="1">
      <alignment horizontal="right"/>
    </xf>
    <xf numFmtId="9" fontId="6" fillId="0" borderId="0" xfId="1" applyFont="1" applyProtection="1">
      <protection locked="0"/>
    </xf>
    <xf numFmtId="0" fontId="74" fillId="0" borderId="0" xfId="0" applyFont="1" applyAlignment="1">
      <alignment horizontal="left"/>
    </xf>
    <xf numFmtId="0" fontId="72" fillId="30" borderId="0" xfId="0" applyFont="1" applyFill="1" applyAlignment="1">
      <alignment horizontal="center"/>
    </xf>
    <xf numFmtId="2" fontId="72" fillId="30" borderId="0" xfId="0" applyNumberFormat="1" applyFont="1" applyFill="1"/>
    <xf numFmtId="165" fontId="6" fillId="0" borderId="0" xfId="2" applyNumberFormat="1" applyFont="1" applyProtection="1">
      <protection locked="0"/>
    </xf>
    <xf numFmtId="0" fontId="89" fillId="0" borderId="0" xfId="2" applyFont="1" applyProtection="1">
      <protection locked="0"/>
    </xf>
    <xf numFmtId="167" fontId="100" fillId="0" borderId="0" xfId="0" applyNumberFormat="1" applyFont="1"/>
    <xf numFmtId="164" fontId="100" fillId="0" borderId="0" xfId="0" applyNumberFormat="1" applyFont="1" applyAlignment="1">
      <alignment horizontal="center"/>
    </xf>
    <xf numFmtId="11" fontId="100" fillId="0" borderId="0" xfId="0" applyNumberFormat="1" applyFont="1"/>
    <xf numFmtId="0" fontId="54" fillId="5" borderId="0" xfId="0" applyFont="1" applyFill="1"/>
    <xf numFmtId="164" fontId="100" fillId="0" borderId="0" xfId="0" applyNumberFormat="1" applyFont="1"/>
    <xf numFmtId="164" fontId="100" fillId="25" borderId="15" xfId="0" applyNumberFormat="1" applyFont="1" applyFill="1" applyBorder="1"/>
    <xf numFmtId="0" fontId="54" fillId="0" borderId="0" xfId="0" applyFont="1" applyAlignment="1">
      <alignment horizontal="center"/>
    </xf>
    <xf numFmtId="1" fontId="100" fillId="25" borderId="15" xfId="0" applyNumberFormat="1" applyFont="1" applyFill="1" applyBorder="1"/>
    <xf numFmtId="164" fontId="100" fillId="0" borderId="0" xfId="0" applyNumberFormat="1" applyFont="1" applyAlignment="1">
      <alignment horizontal="left"/>
    </xf>
    <xf numFmtId="1" fontId="100" fillId="25" borderId="15" xfId="0" applyNumberFormat="1" applyFont="1" applyFill="1" applyBorder="1" applyAlignment="1">
      <alignment horizontal="right"/>
    </xf>
    <xf numFmtId="0" fontId="71" fillId="21" borderId="0" xfId="0" applyFont="1" applyFill="1" applyAlignment="1">
      <alignment horizontal="left"/>
    </xf>
    <xf numFmtId="166" fontId="72" fillId="21" borderId="0" xfId="0" applyNumberFormat="1" applyFont="1" applyFill="1"/>
    <xf numFmtId="2" fontId="72" fillId="21" borderId="0" xfId="0" applyNumberFormat="1" applyFont="1" applyFill="1"/>
    <xf numFmtId="164" fontId="72" fillId="21" borderId="0" xfId="0" applyNumberFormat="1" applyFont="1" applyFill="1"/>
    <xf numFmtId="164" fontId="72" fillId="21" borderId="0" xfId="0" applyNumberFormat="1" applyFont="1" applyFill="1" applyAlignment="1">
      <alignment horizontal="center"/>
    </xf>
    <xf numFmtId="166" fontId="72" fillId="21" borderId="0" xfId="0" applyNumberFormat="1" applyFont="1" applyFill="1" applyAlignment="1">
      <alignment horizontal="center"/>
    </xf>
    <xf numFmtId="166" fontId="72" fillId="21" borderId="0" xfId="0" applyNumberFormat="1" applyFont="1" applyFill="1" applyAlignment="1">
      <alignment horizontal="left"/>
    </xf>
    <xf numFmtId="1" fontId="72" fillId="21" borderId="0" xfId="0" applyNumberFormat="1" applyFont="1" applyFill="1"/>
    <xf numFmtId="2" fontId="72" fillId="21" borderId="0" xfId="0" applyNumberFormat="1" applyFont="1" applyFill="1" applyAlignment="1">
      <alignment horizontal="right"/>
    </xf>
    <xf numFmtId="165" fontId="71" fillId="21" borderId="0" xfId="0" applyNumberFormat="1" applyFont="1" applyFill="1"/>
    <xf numFmtId="2" fontId="72" fillId="21" borderId="0" xfId="0" applyNumberFormat="1" applyFont="1" applyFill="1" applyAlignment="1">
      <alignment horizontal="left"/>
    </xf>
    <xf numFmtId="165" fontId="72" fillId="21" borderId="0" xfId="0" applyNumberFormat="1" applyFont="1" applyFill="1"/>
    <xf numFmtId="2" fontId="72" fillId="21" borderId="0" xfId="0" applyNumberFormat="1" applyFont="1" applyFill="1" applyAlignment="1">
      <alignment horizontal="center"/>
    </xf>
    <xf numFmtId="165" fontId="72" fillId="21" borderId="0" xfId="0" applyNumberFormat="1" applyFont="1" applyFill="1" applyAlignment="1">
      <alignment horizontal="right"/>
    </xf>
    <xf numFmtId="2" fontId="73" fillId="21" borderId="0" xfId="0" applyNumberFormat="1" applyFont="1" applyFill="1"/>
    <xf numFmtId="1" fontId="72" fillId="21" borderId="0" xfId="0" applyNumberFormat="1" applyFont="1" applyFill="1" applyAlignment="1">
      <alignment horizontal="center"/>
    </xf>
    <xf numFmtId="165" fontId="72" fillId="21" borderId="0" xfId="0" applyNumberFormat="1" applyFont="1" applyFill="1" applyAlignment="1">
      <alignment horizontal="center"/>
    </xf>
    <xf numFmtId="164" fontId="72" fillId="21" borderId="0" xfId="0" applyNumberFormat="1" applyFont="1" applyFill="1" applyAlignment="1">
      <alignment horizontal="left"/>
    </xf>
    <xf numFmtId="167" fontId="72" fillId="21" borderId="0" xfId="0" applyNumberFormat="1" applyFont="1" applyFill="1" applyAlignment="1">
      <alignment horizontal="center"/>
    </xf>
    <xf numFmtId="2" fontId="72" fillId="21" borderId="0" xfId="7" applyNumberFormat="1" applyFont="1" applyFill="1"/>
    <xf numFmtId="164" fontId="72" fillId="21" borderId="0" xfId="0" applyNumberFormat="1" applyFont="1" applyFill="1" applyAlignment="1">
      <alignment horizontal="right"/>
    </xf>
    <xf numFmtId="166" fontId="74" fillId="21" borderId="0" xfId="0" applyNumberFormat="1" applyFont="1" applyFill="1"/>
    <xf numFmtId="166" fontId="72" fillId="21" borderId="0" xfId="0" applyNumberFormat="1" applyFont="1" applyFill="1" applyAlignment="1">
      <alignment horizontal="right"/>
    </xf>
    <xf numFmtId="166" fontId="72" fillId="22" borderId="11" xfId="0" applyNumberFormat="1" applyFont="1" applyFill="1" applyBorder="1"/>
    <xf numFmtId="166" fontId="76" fillId="22" borderId="0" xfId="0" applyNumberFormat="1" applyFont="1" applyFill="1"/>
    <xf numFmtId="166" fontId="72" fillId="22" borderId="0" xfId="0" applyNumberFormat="1" applyFont="1" applyFill="1" applyAlignment="1">
      <alignment horizontal="center"/>
    </xf>
    <xf numFmtId="2" fontId="74" fillId="0" borderId="0" xfId="0" applyNumberFormat="1" applyFont="1" applyAlignment="1">
      <alignment horizontal="right"/>
    </xf>
    <xf numFmtId="164" fontId="74" fillId="0" borderId="0" xfId="0" applyNumberFormat="1" applyFont="1"/>
    <xf numFmtId="165" fontId="72" fillId="22" borderId="15" xfId="0" applyNumberFormat="1" applyFont="1" applyFill="1" applyBorder="1"/>
    <xf numFmtId="165" fontId="72" fillId="22" borderId="11" xfId="0" applyNumberFormat="1" applyFont="1" applyFill="1" applyBorder="1"/>
    <xf numFmtId="165" fontId="77" fillId="9" borderId="19" xfId="0" applyNumberFormat="1" applyFont="1" applyFill="1" applyBorder="1"/>
    <xf numFmtId="165" fontId="77" fillId="19" borderId="19" xfId="0" applyNumberFormat="1" applyFont="1" applyFill="1" applyBorder="1"/>
    <xf numFmtId="165" fontId="77" fillId="13" borderId="19" xfId="0" applyNumberFormat="1" applyFont="1" applyFill="1" applyBorder="1" applyAlignment="1">
      <alignment horizontal="right"/>
    </xf>
    <xf numFmtId="165" fontId="72" fillId="25" borderId="11" xfId="0" applyNumberFormat="1" applyFont="1" applyFill="1" applyBorder="1" applyAlignment="1">
      <alignment horizontal="right"/>
    </xf>
    <xf numFmtId="165" fontId="72" fillId="25" borderId="12" xfId="0" applyNumberFormat="1" applyFont="1" applyFill="1" applyBorder="1" applyAlignment="1">
      <alignment horizontal="right"/>
    </xf>
    <xf numFmtId="165" fontId="72" fillId="25" borderId="2" xfId="0" applyNumberFormat="1" applyFont="1" applyFill="1" applyBorder="1" applyAlignment="1">
      <alignment horizontal="left"/>
    </xf>
    <xf numFmtId="0" fontId="71" fillId="0" borderId="15" xfId="0" applyFont="1" applyBorder="1" applyAlignment="1">
      <alignment horizontal="center"/>
    </xf>
    <xf numFmtId="0" fontId="72" fillId="21" borderId="94" xfId="0" applyFont="1" applyFill="1" applyBorder="1"/>
    <xf numFmtId="0" fontId="72" fillId="21" borderId="95" xfId="0" applyFont="1" applyFill="1" applyBorder="1"/>
    <xf numFmtId="0" fontId="72" fillId="21" borderId="95" xfId="0" applyFont="1" applyFill="1" applyBorder="1" applyAlignment="1">
      <alignment horizontal="center"/>
    </xf>
    <xf numFmtId="0" fontId="72" fillId="21" borderId="94" xfId="0" applyFont="1" applyFill="1" applyBorder="1" applyAlignment="1">
      <alignment horizontal="center"/>
    </xf>
    <xf numFmtId="2" fontId="72" fillId="21" borderId="95" xfId="0" applyNumberFormat="1" applyFont="1" applyFill="1" applyBorder="1" applyAlignment="1">
      <alignment horizontal="center"/>
    </xf>
    <xf numFmtId="174" fontId="72" fillId="21" borderId="0" xfId="0" applyNumberFormat="1" applyFont="1" applyFill="1" applyAlignment="1">
      <alignment horizontal="center"/>
    </xf>
    <xf numFmtId="166" fontId="72" fillId="21" borderId="95" xfId="0" applyNumberFormat="1" applyFont="1" applyFill="1" applyBorder="1" applyAlignment="1">
      <alignment horizontal="center"/>
    </xf>
    <xf numFmtId="1" fontId="72" fillId="21" borderId="95" xfId="0" applyNumberFormat="1" applyFont="1" applyFill="1" applyBorder="1" applyAlignment="1">
      <alignment horizontal="center"/>
    </xf>
    <xf numFmtId="0" fontId="72" fillId="21" borderId="96" xfId="0" applyFont="1" applyFill="1" applyBorder="1" applyAlignment="1">
      <alignment horizontal="center"/>
    </xf>
    <xf numFmtId="0" fontId="72" fillId="21" borderId="97" xfId="0" applyFont="1" applyFill="1" applyBorder="1" applyAlignment="1">
      <alignment horizontal="center"/>
    </xf>
    <xf numFmtId="0" fontId="72" fillId="21" borderId="98" xfId="0" applyFont="1" applyFill="1" applyBorder="1" applyAlignment="1">
      <alignment horizontal="center"/>
    </xf>
    <xf numFmtId="166" fontId="72" fillId="0" borderId="15" xfId="0" applyNumberFormat="1" applyFont="1" applyBorder="1" applyAlignment="1">
      <alignment horizontal="left"/>
    </xf>
    <xf numFmtId="165" fontId="73" fillId="0" borderId="15" xfId="0" applyNumberFormat="1" applyFont="1" applyBorder="1"/>
    <xf numFmtId="0" fontId="79" fillId="0" borderId="0" xfId="0" applyFont="1"/>
    <xf numFmtId="2" fontId="79" fillId="0" borderId="0" xfId="0" applyNumberFormat="1" applyFont="1"/>
    <xf numFmtId="0" fontId="72" fillId="0" borderId="1" xfId="0" applyFont="1" applyBorder="1" applyAlignment="1">
      <alignment horizontal="right"/>
    </xf>
    <xf numFmtId="1" fontId="68" fillId="0" borderId="0" xfId="0" applyNumberFormat="1" applyFont="1" applyAlignment="1">
      <alignment horizontal="right"/>
    </xf>
    <xf numFmtId="165" fontId="68" fillId="0" borderId="0" xfId="0" applyNumberFormat="1" applyFont="1" applyAlignment="1">
      <alignment horizontal="center"/>
    </xf>
    <xf numFmtId="177" fontId="65" fillId="0" borderId="0" xfId="1" applyNumberFormat="1" applyFont="1" applyFill="1"/>
    <xf numFmtId="177" fontId="65" fillId="0" borderId="0" xfId="1" applyNumberFormat="1" applyFont="1" applyFill="1" applyBorder="1"/>
    <xf numFmtId="0" fontId="71" fillId="0" borderId="0" xfId="0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1" fontId="77" fillId="0" borderId="0" xfId="0" applyNumberFormat="1" applyFont="1" applyAlignment="1">
      <alignment horizontal="right"/>
    </xf>
    <xf numFmtId="0" fontId="85" fillId="0" borderId="0" xfId="0" applyFont="1" applyAlignment="1">
      <alignment horizontal="left" vertical="center"/>
    </xf>
    <xf numFmtId="1" fontId="77" fillId="0" borderId="0" xfId="0" applyNumberFormat="1" applyFont="1" applyAlignment="1">
      <alignment horizontal="left"/>
    </xf>
    <xf numFmtId="0" fontId="72" fillId="0" borderId="80" xfId="0" applyFont="1" applyBorder="1" applyAlignment="1">
      <alignment horizontal="right"/>
    </xf>
    <xf numFmtId="166" fontId="73" fillId="0" borderId="0" xfId="0" applyNumberFormat="1" applyFont="1"/>
    <xf numFmtId="0" fontId="74" fillId="21" borderId="0" xfId="0" applyFont="1" applyFill="1" applyAlignment="1">
      <alignment horizontal="center"/>
    </xf>
    <xf numFmtId="0" fontId="74" fillId="21" borderId="3" xfId="0" applyFont="1" applyFill="1" applyBorder="1" applyAlignment="1">
      <alignment horizontal="center"/>
    </xf>
    <xf numFmtId="0" fontId="112" fillId="21" borderId="4" xfId="0" applyFont="1" applyFill="1" applyBorder="1" applyAlignment="1">
      <alignment horizontal="center"/>
    </xf>
    <xf numFmtId="0" fontId="74" fillId="21" borderId="4" xfId="0" applyFont="1" applyFill="1" applyBorder="1"/>
    <xf numFmtId="0" fontId="74" fillId="21" borderId="5" xfId="0" applyFont="1" applyFill="1" applyBorder="1"/>
    <xf numFmtId="0" fontId="74" fillId="21" borderId="6" xfId="0" applyFont="1" applyFill="1" applyBorder="1"/>
    <xf numFmtId="0" fontId="74" fillId="21" borderId="0" xfId="0" applyFont="1" applyFill="1"/>
    <xf numFmtId="0" fontId="74" fillId="21" borderId="7" xfId="0" applyFont="1" applyFill="1" applyBorder="1"/>
    <xf numFmtId="0" fontId="74" fillId="21" borderId="7" xfId="0" applyFont="1" applyFill="1" applyBorder="1" applyAlignment="1">
      <alignment horizontal="center"/>
    </xf>
    <xf numFmtId="0" fontId="74" fillId="21" borderId="6" xfId="0" applyFont="1" applyFill="1" applyBorder="1" applyAlignment="1">
      <alignment horizontal="center"/>
    </xf>
    <xf numFmtId="2" fontId="74" fillId="21" borderId="0" xfId="0" applyNumberFormat="1" applyFont="1" applyFill="1" applyAlignment="1">
      <alignment horizontal="center"/>
    </xf>
    <xf numFmtId="2" fontId="74" fillId="21" borderId="7" xfId="0" applyNumberFormat="1" applyFont="1" applyFill="1" applyBorder="1" applyAlignment="1">
      <alignment horizontal="center"/>
    </xf>
    <xf numFmtId="165" fontId="74" fillId="21" borderId="0" xfId="0" applyNumberFormat="1" applyFont="1" applyFill="1" applyAlignment="1">
      <alignment horizontal="center"/>
    </xf>
    <xf numFmtId="1" fontId="74" fillId="21" borderId="7" xfId="0" applyNumberFormat="1" applyFont="1" applyFill="1" applyBorder="1" applyAlignment="1">
      <alignment horizontal="center"/>
    </xf>
    <xf numFmtId="2" fontId="74" fillId="21" borderId="0" xfId="0" applyNumberFormat="1" applyFont="1" applyFill="1"/>
    <xf numFmtId="2" fontId="74" fillId="21" borderId="7" xfId="0" applyNumberFormat="1" applyFont="1" applyFill="1" applyBorder="1"/>
    <xf numFmtId="0" fontId="74" fillId="21" borderId="8" xfId="0" applyFont="1" applyFill="1" applyBorder="1" applyAlignment="1">
      <alignment horizontal="center"/>
    </xf>
    <xf numFmtId="0" fontId="74" fillId="21" borderId="9" xfId="0" applyFont="1" applyFill="1" applyBorder="1" applyAlignment="1">
      <alignment horizontal="center"/>
    </xf>
    <xf numFmtId="0" fontId="74" fillId="21" borderId="9" xfId="0" applyFont="1" applyFill="1" applyBorder="1"/>
    <xf numFmtId="0" fontId="74" fillId="21" borderId="10" xfId="0" applyFont="1" applyFill="1" applyBorder="1"/>
    <xf numFmtId="0" fontId="113" fillId="0" borderId="91" xfId="0" applyFont="1" applyBorder="1"/>
    <xf numFmtId="0" fontId="115" fillId="0" borderId="92" xfId="0" applyFont="1" applyBorder="1"/>
    <xf numFmtId="0" fontId="116" fillId="0" borderId="92" xfId="0" applyFont="1" applyBorder="1"/>
    <xf numFmtId="0" fontId="115" fillId="0" borderId="94" xfId="0" applyFont="1" applyBorder="1"/>
    <xf numFmtId="0" fontId="115" fillId="0" borderId="97" xfId="0" applyFont="1" applyBorder="1"/>
    <xf numFmtId="0" fontId="116" fillId="0" borderId="96" xfId="0" applyFont="1" applyBorder="1"/>
    <xf numFmtId="0" fontId="118" fillId="0" borderId="91" xfId="0" applyFont="1" applyBorder="1"/>
    <xf numFmtId="0" fontId="118" fillId="0" borderId="92" xfId="0" applyFont="1" applyBorder="1"/>
    <xf numFmtId="0" fontId="120" fillId="0" borderId="92" xfId="0" applyFont="1" applyBorder="1"/>
    <xf numFmtId="0" fontId="120" fillId="0" borderId="93" xfId="0" applyFont="1" applyBorder="1"/>
    <xf numFmtId="0" fontId="118" fillId="0" borderId="94" xfId="0" applyFont="1" applyBorder="1"/>
    <xf numFmtId="165" fontId="118" fillId="0" borderId="0" xfId="0" applyNumberFormat="1" applyFont="1"/>
    <xf numFmtId="0" fontId="120" fillId="0" borderId="0" xfId="0" applyFont="1"/>
    <xf numFmtId="0" fontId="120" fillId="0" borderId="95" xfId="0" applyFont="1" applyBorder="1"/>
    <xf numFmtId="0" fontId="118" fillId="0" borderId="97" xfId="0" applyFont="1" applyBorder="1"/>
    <xf numFmtId="165" fontId="118" fillId="0" borderId="96" xfId="0" applyNumberFormat="1" applyFont="1" applyBorder="1"/>
    <xf numFmtId="0" fontId="120" fillId="0" borderId="96" xfId="0" applyFont="1" applyBorder="1"/>
    <xf numFmtId="0" fontId="118" fillId="0" borderId="96" xfId="0" applyFont="1" applyBorder="1"/>
    <xf numFmtId="0" fontId="118" fillId="0" borderId="96" xfId="0" applyFont="1" applyBorder="1" applyAlignment="1">
      <alignment horizontal="center"/>
    </xf>
    <xf numFmtId="0" fontId="120" fillId="0" borderId="98" xfId="0" applyFont="1" applyBorder="1"/>
    <xf numFmtId="0" fontId="113" fillId="0" borderId="92" xfId="0" applyFont="1" applyBorder="1"/>
    <xf numFmtId="1" fontId="115" fillId="0" borderId="93" xfId="0" applyNumberFormat="1" applyFont="1" applyBorder="1" applyAlignment="1">
      <alignment horizontal="center"/>
    </xf>
    <xf numFmtId="0" fontId="121" fillId="0" borderId="0" xfId="0" applyFont="1"/>
    <xf numFmtId="0" fontId="115" fillId="0" borderId="0" xfId="0" applyFont="1"/>
    <xf numFmtId="0" fontId="74" fillId="0" borderId="95" xfId="0" applyFont="1" applyBorder="1"/>
    <xf numFmtId="0" fontId="72" fillId="0" borderId="96" xfId="0" applyFont="1" applyBorder="1"/>
    <xf numFmtId="0" fontId="115" fillId="0" borderId="96" xfId="0" applyFont="1" applyBorder="1"/>
    <xf numFmtId="0" fontId="72" fillId="0" borderId="98" xfId="0" applyFont="1" applyBorder="1"/>
    <xf numFmtId="1" fontId="115" fillId="0" borderId="0" xfId="0" applyNumberFormat="1" applyFont="1"/>
    <xf numFmtId="1" fontId="115" fillId="0" borderId="96" xfId="0" applyNumberFormat="1" applyFont="1" applyBorder="1"/>
  </cellXfs>
  <cellStyles count="11">
    <cellStyle name="Normal" xfId="0" builtinId="0"/>
    <cellStyle name="Percent" xfId="1" builtinId="5"/>
    <cellStyle name="표준_CHART" xfId="2" xr:uid="{00000000-0005-0000-0000-000002000000}"/>
    <cellStyle name="표준_INPSTR" xfId="3" xr:uid="{00000000-0005-0000-0000-000003000000}"/>
    <cellStyle name="표준_MAT" xfId="4" xr:uid="{00000000-0005-0000-0000-000004000000}"/>
    <cellStyle name="표준_OPENME" xfId="5" xr:uid="{00000000-0005-0000-0000-000005000000}"/>
    <cellStyle name="표준_PD" xfId="6" xr:uid="{00000000-0005-0000-0000-000006000000}"/>
    <cellStyle name="표준_PDF" xfId="7" xr:uid="{00000000-0005-0000-0000-000007000000}"/>
    <cellStyle name="표준_PDFLEX" xfId="8" xr:uid="{00000000-0005-0000-0000-000008000000}"/>
    <cellStyle name="표준_PDFLEX_1" xfId="9" xr:uid="{00000000-0005-0000-0000-000009000000}"/>
    <cellStyle name="표준_SHEAR" xfId="10" xr:uid="{00000000-0005-0000-0000-00000A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1.xml"/><Relationship Id="rId39" Type="http://schemas.openxmlformats.org/officeDocument/2006/relationships/styles" Target="styles.xml"/><Relationship Id="rId21" Type="http://schemas.openxmlformats.org/officeDocument/2006/relationships/worksheet" Target="worksheets/sheet18.xml"/><Relationship Id="rId34" Type="http://schemas.openxmlformats.org/officeDocument/2006/relationships/externalLink" Target="externalLinks/externalLink2.xml"/><Relationship Id="rId42" Type="http://schemas.microsoft.com/office/2006/relationships/vbaProject" Target="vbaProject.bin"/><Relationship Id="rId7" Type="http://schemas.openxmlformats.org/officeDocument/2006/relationships/worksheet" Target="worksheets/sheet6.xml"/><Relationship Id="rId2" Type="http://schemas.openxmlformats.org/officeDocument/2006/relationships/worksheet" Target="worksheets/sheet2.xml"/><Relationship Id="rId16" Type="http://schemas.microsoft.com/office/2006/relationships/xlMacrosheet" Target="macrosheets/sheet2.xml"/><Relationship Id="rId20" Type="http://schemas.openxmlformats.org/officeDocument/2006/relationships/worksheet" Target="worksheets/sheet17.xml"/><Relationship Id="rId29" Type="http://schemas.openxmlformats.org/officeDocument/2006/relationships/chartsheet" Target="chartsheets/sheet1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6.xml"/><Relationship Id="rId37" Type="http://schemas.openxmlformats.org/officeDocument/2006/relationships/externalLink" Target="externalLinks/externalLink5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microsoft.com/office/2006/relationships/xlMacrosheet" Target="macrosheets/sheet5.xml"/><Relationship Id="rId28" Type="http://schemas.openxmlformats.org/officeDocument/2006/relationships/worksheet" Target="worksheets/sheet23.xml"/><Relationship Id="rId36" Type="http://schemas.openxmlformats.org/officeDocument/2006/relationships/externalLink" Target="externalLinks/externalLink4.xml"/><Relationship Id="rId10" Type="http://schemas.openxmlformats.org/officeDocument/2006/relationships/worksheet" Target="worksheets/sheet9.xml"/><Relationship Id="rId19" Type="http://schemas.microsoft.com/office/2006/relationships/xlMacrosheet" Target="macrosheets/sheet3.xml"/><Relationship Id="rId31" Type="http://schemas.openxmlformats.org/officeDocument/2006/relationships/worksheet" Target="worksheets/sheet25.xml"/><Relationship Id="rId4" Type="http://schemas.microsoft.com/office/2006/relationships/xlMacrosheet" Target="macrosheets/sheet1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xlMacrosheet" Target="macrosheets/sheet4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4.xml"/><Relationship Id="rId35" Type="http://schemas.openxmlformats.org/officeDocument/2006/relationships/externalLink" Target="externalLinks/externalLink3.xml"/><Relationship Id="rId8" Type="http://schemas.openxmlformats.org/officeDocument/2006/relationships/worksheet" Target="worksheets/sheet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0.xml"/><Relationship Id="rId33" Type="http://schemas.openxmlformats.org/officeDocument/2006/relationships/externalLink" Target="externalLinks/externalLink1.xml"/><Relationship Id="rId38" Type="http://schemas.openxmlformats.org/officeDocument/2006/relationships/theme" Target="theme/theme1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47625">
              <a:noFill/>
            </a:ln>
          </c:spPr>
          <c:marker>
            <c:symbol val="plus"/>
            <c:size val="9"/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InPlane!$Y$270:$Y$287</c:f>
              <c:numCache>
                <c:formatCode>0.0</c:formatCode>
                <c:ptCount val="18"/>
              </c:numCache>
            </c:numRef>
          </c:xVal>
          <c:yVal>
            <c:numRef>
              <c:f>InPlane!$Z$270:$Z$287</c:f>
              <c:numCache>
                <c:formatCode>0</c:formatCode>
                <c:ptCount val="1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35-4607-9FF7-28291DFF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7024"/>
        <c:axId val="1"/>
      </c:scatterChart>
      <c:valAx>
        <c:axId val="79018702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8702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1435398519757782"/>
          <c:y val="0.47546020050246013"/>
          <c:w val="6.481496972231815E-2"/>
          <c:h val="3.987735478019377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InPlane!$AC$270:$AC$283</c:f>
              <c:numCache>
                <c:formatCode>0.00</c:formatCode>
                <c:ptCount val="14"/>
              </c:numCache>
            </c:numRef>
          </c:xVal>
          <c:yVal>
            <c:numRef>
              <c:f>InPlane!$AD$270:$AD$283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CF-4FBE-A9E7-634353165007}"/>
            </c:ext>
          </c:extLst>
        </c:ser>
        <c:ser>
          <c:idx val="1"/>
          <c:order val="1"/>
          <c:spPr>
            <a:ln w="47625">
              <a:noFill/>
            </a:ln>
          </c:spPr>
          <c:marker>
            <c:symbol val="circle"/>
            <c:size val="7"/>
            <c:spPr>
              <a:gradFill rotWithShape="0">
                <a:gsLst>
                  <a:gs pos="0">
                    <a:srgbClr val="CE3B37"/>
                  </a:gs>
                  <a:gs pos="20000">
                    <a:srgbClr val="CB3D3A"/>
                  </a:gs>
                  <a:gs pos="100000">
                    <a:srgbClr val="9B2D2A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InPlane!$AA$270:$AA$283</c:f>
              <c:numCache>
                <c:formatCode>0.00</c:formatCode>
                <c:ptCount val="14"/>
              </c:numCache>
            </c:numRef>
          </c:xVal>
          <c:yVal>
            <c:numRef>
              <c:f>InPlane!$AB$270:$AB$283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CF-4FBE-A9E7-634353165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7680"/>
        <c:axId val="1"/>
      </c:scatterChart>
      <c:valAx>
        <c:axId val="790187680"/>
        <c:scaling>
          <c:orientation val="minMax"/>
          <c:min val="-3"/>
        </c:scaling>
        <c:delete val="0"/>
        <c:axPos val="b"/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  <c:min val="-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87680"/>
        <c:crosses val="autoZero"/>
        <c:crossBetween val="midCat"/>
        <c:majorUnit val="0.2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5480192312409542"/>
          <c:y val="0.44366197183098594"/>
          <c:w val="0.1288056516299948"/>
          <c:h val="9.859154929577468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000000000000011" r="0.75000000000000011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InPlane!$AC$270:$AC$283</c:f>
              <c:numCache>
                <c:formatCode>0.00</c:formatCode>
                <c:ptCount val="14"/>
              </c:numCache>
            </c:numRef>
          </c:xVal>
          <c:yVal>
            <c:numRef>
              <c:f>InPlane!$AD$270:$AD$283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75-4654-AC1D-28427125C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91288"/>
        <c:axId val="1"/>
      </c:scatterChart>
      <c:valAx>
        <c:axId val="79019128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128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5246007800426815"/>
          <c:y val="0.47385741277454324"/>
          <c:w val="0.12880565162999491"/>
          <c:h val="4.248377747569825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InPlane!$Y$270:$Y$283</c:f>
              <c:numCache>
                <c:formatCode>0.0</c:formatCode>
                <c:ptCount val="14"/>
              </c:numCache>
            </c:numRef>
          </c:xVal>
          <c:yVal>
            <c:numRef>
              <c:f>InPlane!$Z$270:$Z$283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E-4828-8EDF-E55A6D720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98176"/>
        <c:axId val="1"/>
      </c:scatterChart>
      <c:valAx>
        <c:axId val="790198176"/>
        <c:scaling>
          <c:orientation val="minMax"/>
          <c:max val="50"/>
          <c:min val="-50"/>
        </c:scaling>
        <c:delete val="0"/>
        <c:axPos val="b"/>
        <c:numFmt formatCode="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300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8176"/>
        <c:crosses val="autoZero"/>
        <c:crossBetween val="midCat"/>
        <c:majorUnit val="500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976722172023589"/>
          <c:y val="0.47385741277454324"/>
          <c:w val="0.12910828769354654"/>
          <c:h val="4.248377747569825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circle"/>
            <c:size val="7"/>
            <c:spPr>
              <a:noFill/>
              <a:ln>
                <a:noFill/>
              </a:ln>
            </c:spPr>
          </c:marker>
          <c:xVal>
            <c:numRef>
              <c:f>InPlane!$AC$270:$AC$280</c:f>
              <c:numCache>
                <c:formatCode>0.00</c:formatCode>
                <c:ptCount val="11"/>
              </c:numCache>
            </c:numRef>
          </c:xVal>
          <c:yVal>
            <c:numRef>
              <c:f>InPlane!$AD$270:$AD$280</c:f>
              <c:numCache>
                <c:formatCode>0.00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8F-4473-9887-80C2A2EA9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96864"/>
        <c:axId val="1"/>
      </c:scatterChart>
      <c:valAx>
        <c:axId val="790196864"/>
        <c:scaling>
          <c:orientation val="minMax"/>
          <c:max val="1.5"/>
          <c:min val="-3"/>
        </c:scaling>
        <c:delete val="0"/>
        <c:axPos val="b"/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  <c:max val="1.2"/>
          <c:min val="-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6864"/>
        <c:crosses val="autoZero"/>
        <c:crossBetween val="midCat"/>
        <c:majorUnit val="0.2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5483862793012944"/>
          <c:y val="0.47183091587235804"/>
          <c:w val="0.12672809002322982"/>
          <c:h val="4.57746465902288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circle"/>
            <c:size val="7"/>
            <c:spPr>
              <a:noFill/>
              <a:ln>
                <a:noFill/>
              </a:ln>
            </c:spPr>
          </c:marker>
          <c:xVal>
            <c:numRef>
              <c:f>InPlane!$AC$270:$AC$280</c:f>
              <c:numCache>
                <c:formatCode>0.00</c:formatCode>
                <c:ptCount val="11"/>
              </c:numCache>
            </c:numRef>
          </c:xVal>
          <c:yVal>
            <c:numRef>
              <c:f>InPlane!$AD$270:$AD$280</c:f>
              <c:numCache>
                <c:formatCode>0.00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E4-4060-8F19-2A84170C4C24}"/>
            </c:ext>
          </c:extLst>
        </c:ser>
        <c:ser>
          <c:idx val="1"/>
          <c:order val="1"/>
          <c:spPr>
            <a:ln w="47625">
              <a:noFill/>
            </a:ln>
          </c:spPr>
          <c:marker>
            <c:symbol val="circle"/>
            <c:size val="7"/>
            <c:spPr>
              <a:gradFill rotWithShape="0">
                <a:gsLst>
                  <a:gs pos="0">
                    <a:srgbClr val="CE3B37"/>
                  </a:gs>
                  <a:gs pos="20000">
                    <a:srgbClr val="CB3D3A"/>
                  </a:gs>
                  <a:gs pos="100000">
                    <a:srgbClr val="9B2D2A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InPlane!$AA$270:$AA$280</c:f>
              <c:numCache>
                <c:formatCode>0.00</c:formatCode>
                <c:ptCount val="11"/>
              </c:numCache>
            </c:numRef>
          </c:xVal>
          <c:yVal>
            <c:numRef>
              <c:f>InPlane!$AB$270:$AB$279</c:f>
              <c:numCache>
                <c:formatCode>0.00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E4-4060-8F19-2A84170C4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95224"/>
        <c:axId val="1"/>
      </c:scatterChart>
      <c:valAx>
        <c:axId val="790195224"/>
        <c:scaling>
          <c:orientation val="minMax"/>
          <c:max val="1.5"/>
          <c:min val="-3"/>
        </c:scaling>
        <c:delete val="0"/>
        <c:axPos val="b"/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  <c:max val="1.2"/>
          <c:min val="-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5224"/>
        <c:crosses val="autoZero"/>
        <c:crossBetween val="midCat"/>
        <c:majorUnit val="0.2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5314875175486793"/>
          <c:y val="0.44366197183098594"/>
          <c:w val="0.12820533479826657"/>
          <c:h val="9.859154929577468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000000000000011" r="0.75000000000000011" t="1" header="0.5" footer="0.5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175">
              <a:solidFill>
                <a:srgbClr val="666699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InPlane!$AA$290:$AA$327</c:f>
              <c:numCache>
                <c:formatCode>0.00</c:formatCode>
                <c:ptCount val="38"/>
              </c:numCache>
            </c:numRef>
          </c:xVal>
          <c:yVal>
            <c:numRef>
              <c:f>InPlane!$AB$290:$AB$327</c:f>
              <c:numCache>
                <c:formatCode>0.00</c:formatCode>
                <c:ptCount val="3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42-4418-A8F1-E3B32D675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99816"/>
        <c:axId val="1"/>
      </c:scatterChart>
      <c:valAx>
        <c:axId val="790199816"/>
        <c:scaling>
          <c:orientation val="minMax"/>
          <c:min val="-3"/>
        </c:scaling>
        <c:delete val="0"/>
        <c:axPos val="b"/>
        <c:numFmt formatCode="#,##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#,##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9816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5116368574577839"/>
          <c:y val="0.47692382010530893"/>
          <c:w val="0.12790714385759783"/>
          <c:h val="3.99999999999999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90713A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9BBB59"/>
              </a:soli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InPlane!$L$393:$L$436</c:f>
              <c:numCache>
                <c:formatCode>0.0</c:formatCode>
                <c:ptCount val="44"/>
              </c:numCache>
            </c:numRef>
          </c:xVal>
          <c:yVal>
            <c:numRef>
              <c:f>InPlane!$M$393:$M$436</c:f>
              <c:numCache>
                <c:formatCode>0</c:formatCode>
                <c:ptCount val="4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27-4A74-9BFB-AB8BA233B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2768"/>
        <c:axId val="1"/>
      </c:scatterChart>
      <c:valAx>
        <c:axId val="790202768"/>
        <c:scaling>
          <c:orientation val="minMax"/>
          <c:max val="40"/>
        </c:scaling>
        <c:delete val="0"/>
        <c:axPos val="b"/>
        <c:numFmt formatCode="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500"/>
          <c:min val="-100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1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2027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40594925634296"/>
          <c:y val="0.47183091587235804"/>
          <c:w val="0.13613868636790771"/>
          <c:h val="4.57746465902288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90713A"/>
              </a:solidFill>
              <a:prstDash val="solid"/>
            </a:ln>
          </c:spPr>
          <c:marker>
            <c:symbol val="circle"/>
            <c:size val="8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InPlane!$L$448:$L$510</c:f>
              <c:numCache>
                <c:formatCode>0.0</c:formatCode>
                <c:ptCount val="63"/>
              </c:numCache>
            </c:numRef>
          </c:xVal>
          <c:yVal>
            <c:numRef>
              <c:f>InPlane!$M$448:$M$510</c:f>
              <c:numCache>
                <c:formatCode>General</c:formatCode>
                <c:ptCount val="6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1F-4741-99E0-D5F9A7F2D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3096"/>
        <c:axId val="1"/>
      </c:scatterChart>
      <c:valAx>
        <c:axId val="790203096"/>
        <c:scaling>
          <c:orientation val="minMax"/>
          <c:max val="20"/>
          <c:min val="-15"/>
        </c:scaling>
        <c:delete val="0"/>
        <c:axPos val="b"/>
        <c:majorGridlines/>
        <c:numFmt formatCode="0" sourceLinked="0"/>
        <c:majorTickMark val="out"/>
        <c:minorTickMark val="in"/>
        <c:tickLblPos val="nextTo"/>
        <c:spPr>
          <a:solidFill>
            <a:schemeClr val="bg1"/>
          </a:solidFill>
          <a:ln w="3175">
            <a:solidFill>
              <a:schemeClr val="tx1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  <c:max val="1000"/>
          <c:min val="-800"/>
        </c:scaling>
        <c:delete val="0"/>
        <c:axPos val="l"/>
        <c:maj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numFmt formatCode="General" sourceLinked="1"/>
        <c:majorTickMark val="cross"/>
        <c:minorTickMark val="in"/>
        <c:tickLblPos val="nextTo"/>
        <c:spPr>
          <a:solidFill>
            <a:schemeClr val="bg1"/>
          </a:solidFill>
          <a:ln w="3175">
            <a:solidFill>
              <a:schemeClr val="tx1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203096"/>
        <c:crosses val="autoZero"/>
        <c:crossBetween val="midCat"/>
        <c:majorUnit val="200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289288465807455"/>
          <c:y val="0.47349894643451262"/>
          <c:w val="0.13715699716639895"/>
          <c:h val="4.59365642674947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Double-double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InPlane!$AA$85:$AA$99</c:f>
              <c:numCache>
                <c:formatCode>General</c:formatCode>
                <c:ptCount val="15"/>
                <c:pt idx="0" formatCode="0.00">
                  <c:v>0.90632136887651715</c:v>
                </c:pt>
                <c:pt idx="1">
                  <c:v>0</c:v>
                </c:pt>
                <c:pt idx="2" formatCode="0.00">
                  <c:v>0.90632136887651715</c:v>
                </c:pt>
                <c:pt idx="3">
                  <c:v>0</c:v>
                </c:pt>
                <c:pt idx="4" formatCode="0.00">
                  <c:v>-0.90641913048835909</c:v>
                </c:pt>
                <c:pt idx="5">
                  <c:v>0</c:v>
                </c:pt>
                <c:pt idx="6" formatCode="0.00">
                  <c:v>-0.90622355873606708</c:v>
                </c:pt>
                <c:pt idx="7">
                  <c:v>0</c:v>
                </c:pt>
                <c:pt idx="8" formatCode="0.00">
                  <c:v>0.42269399138387415</c:v>
                </c:pt>
                <c:pt idx="9">
                  <c:v>0</c:v>
                </c:pt>
                <c:pt idx="10" formatCode="0.00">
                  <c:v>0.42269399138387415</c:v>
                </c:pt>
                <c:pt idx="11">
                  <c:v>0</c:v>
                </c:pt>
                <c:pt idx="12" formatCode="0.00">
                  <c:v>-0.4229036888372702</c:v>
                </c:pt>
                <c:pt idx="13">
                  <c:v>0</c:v>
                </c:pt>
                <c:pt idx="14" formatCode="0.00">
                  <c:v>-0.42248427129750027</c:v>
                </c:pt>
              </c:numCache>
            </c:numRef>
          </c:xVal>
          <c:yVal>
            <c:numRef>
              <c:f>InPlane!$AB$85:$AB$99</c:f>
              <c:numCache>
                <c:formatCode>General</c:formatCode>
                <c:ptCount val="15"/>
                <c:pt idx="0" formatCode="0.00">
                  <c:v>0.42258913416910765</c:v>
                </c:pt>
                <c:pt idx="1">
                  <c:v>0</c:v>
                </c:pt>
                <c:pt idx="2" formatCode="0.00">
                  <c:v>-0.42258913416910765</c:v>
                </c:pt>
                <c:pt idx="3">
                  <c:v>0</c:v>
                </c:pt>
                <c:pt idx="4" formatCode="0.00">
                  <c:v>-0.42237940277045599</c:v>
                </c:pt>
                <c:pt idx="5">
                  <c:v>0</c:v>
                </c:pt>
                <c:pt idx="6" formatCode="0.00">
                  <c:v>0.42279884294039644</c:v>
                </c:pt>
                <c:pt idx="7">
                  <c:v>0</c:v>
                </c:pt>
                <c:pt idx="8" formatCode="0.00">
                  <c:v>0.90627246987204091</c:v>
                </c:pt>
                <c:pt idx="9">
                  <c:v>0</c:v>
                </c:pt>
                <c:pt idx="10" formatCode="0.00">
                  <c:v>-0.90627246987204091</c:v>
                </c:pt>
                <c:pt idx="11">
                  <c:v>0</c:v>
                </c:pt>
                <c:pt idx="12" formatCode="0.00">
                  <c:v>-0.9061746354692507</c:v>
                </c:pt>
                <c:pt idx="13">
                  <c:v>0</c:v>
                </c:pt>
                <c:pt idx="14" formatCode="0.00">
                  <c:v>0.90637025574884145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95-43B7-A9E4-074D100B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10968"/>
        <c:axId val="1"/>
      </c:scatterChart>
      <c:valAx>
        <c:axId val="790210968"/>
        <c:scaling>
          <c:orientation val="minMax"/>
          <c:max val="4"/>
          <c:min val="-2.6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"/>
        <c:crosses val="autoZero"/>
        <c:crossBetween val="midCat"/>
        <c:majorUnit val="2.4"/>
        <c:minorUnit val="2"/>
      </c:valAx>
      <c:valAx>
        <c:axId val="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790210968"/>
        <c:crosses val="autoZero"/>
        <c:crossBetween val="midCat"/>
        <c:majorUnit val="1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circle"/>
            <c:size val="9"/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'InPlane Strain'!$C$46:$C$52</c:f>
              <c:numCache>
                <c:formatCode>General</c:formatCode>
                <c:ptCount val="7"/>
                <c:pt idx="0">
                  <c:v>15.1</c:v>
                </c:pt>
                <c:pt idx="1">
                  <c:v>-13</c:v>
                </c:pt>
                <c:pt idx="2">
                  <c:v>15.6</c:v>
                </c:pt>
                <c:pt idx="3">
                  <c:v>16.600000000000001</c:v>
                </c:pt>
                <c:pt idx="4">
                  <c:v>-11.9</c:v>
                </c:pt>
                <c:pt idx="5">
                  <c:v>13.7</c:v>
                </c:pt>
                <c:pt idx="6">
                  <c:v>-14.6</c:v>
                </c:pt>
              </c:numCache>
            </c:numRef>
          </c:xVal>
          <c:yVal>
            <c:numRef>
              <c:f>'InPlane Strain'!$D$46:$D$52</c:f>
              <c:numCache>
                <c:formatCode>General</c:formatCode>
                <c:ptCount val="7"/>
                <c:pt idx="0">
                  <c:v>2094</c:v>
                </c:pt>
                <c:pt idx="1">
                  <c:v>-1653</c:v>
                </c:pt>
                <c:pt idx="2">
                  <c:v>800</c:v>
                </c:pt>
                <c:pt idx="3">
                  <c:v>1298</c:v>
                </c:pt>
                <c:pt idx="4">
                  <c:v>-883</c:v>
                </c:pt>
                <c:pt idx="5">
                  <c:v>407</c:v>
                </c:pt>
                <c:pt idx="6">
                  <c:v>-450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6-450C-9D09-7B05899BD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5392"/>
        <c:axId val="1"/>
      </c:scatterChart>
      <c:valAx>
        <c:axId val="790205392"/>
        <c:scaling>
          <c:orientation val="minMax"/>
          <c:min val="-40"/>
        </c:scaling>
        <c:delete val="0"/>
        <c:axPos val="b"/>
        <c:numFmt formatCode="General" sourceLinked="1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20539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909090909090906"/>
          <c:y val="0.46996534685833308"/>
          <c:w val="6.879606879606881E-2"/>
          <c:h val="4.5936428764909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18097222222222226"/>
          <c:w val="0.89655796150481193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strRef>
              <c:f>Flex!$H$64</c:f>
              <c:strCache>
                <c:ptCount val="1"/>
                <c:pt idx="0">
                  <c:v>D11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Flex!$I$64:$T$64</c:f>
              <c:numCache>
                <c:formatCode>0.000</c:formatCode>
                <c:ptCount val="12"/>
                <c:pt idx="0">
                  <c:v>0.11023816657886266</c:v>
                </c:pt>
                <c:pt idx="1">
                  <c:v>9.1952435829894374E-2</c:v>
                </c:pt>
                <c:pt idx="2">
                  <c:v>5.5380974331957766E-2</c:v>
                </c:pt>
                <c:pt idx="3">
                  <c:v>5.5380974331957766E-2</c:v>
                </c:pt>
                <c:pt idx="4">
                  <c:v>0.14680962807679929</c:v>
                </c:pt>
                <c:pt idx="5">
                  <c:v>0.16509535882576756</c:v>
                </c:pt>
                <c:pt idx="6">
                  <c:v>0.20166682032370417</c:v>
                </c:pt>
                <c:pt idx="7">
                  <c:v>0.14680962807679929</c:v>
                </c:pt>
                <c:pt idx="8">
                  <c:v>9.1952435829894374E-2</c:v>
                </c:pt>
                <c:pt idx="9">
                  <c:v>0.11023816657886266</c:v>
                </c:pt>
                <c:pt idx="10">
                  <c:v>0.16509535882576756</c:v>
                </c:pt>
                <c:pt idx="11">
                  <c:v>0.20166682032370417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F-4B34-939D-E22C3D8E59D9}"/>
            </c:ext>
          </c:extLst>
        </c:ser>
        <c:ser>
          <c:idx val="1"/>
          <c:order val="1"/>
          <c:tx>
            <c:strRef>
              <c:f>Flex!$H$65</c:f>
              <c:strCache>
                <c:ptCount val="1"/>
                <c:pt idx="0">
                  <c:v>D22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Flex!$I$65:$T$65</c:f>
              <c:numCache>
                <c:formatCode>0.000</c:formatCode>
                <c:ptCount val="12"/>
                <c:pt idx="0">
                  <c:v>0.73412957312611593</c:v>
                </c:pt>
                <c:pt idx="1">
                  <c:v>0.69508079250446353</c:v>
                </c:pt>
                <c:pt idx="2">
                  <c:v>0.6169832312611585</c:v>
                </c:pt>
                <c:pt idx="3">
                  <c:v>0.38269054753124371</c:v>
                </c:pt>
                <c:pt idx="4">
                  <c:v>0.5779344506395061</c:v>
                </c:pt>
                <c:pt idx="5">
                  <c:v>0.6169832312611585</c:v>
                </c:pt>
                <c:pt idx="6">
                  <c:v>0.53888567001785359</c:v>
                </c:pt>
                <c:pt idx="7">
                  <c:v>0.42173932815289616</c:v>
                </c:pt>
                <c:pt idx="8">
                  <c:v>0.30459298628793874</c:v>
                </c:pt>
                <c:pt idx="9">
                  <c:v>0.26554420566628628</c:v>
                </c:pt>
                <c:pt idx="10">
                  <c:v>0.38269054753124371</c:v>
                </c:pt>
                <c:pt idx="11">
                  <c:v>0.46078810877454857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6F-4B34-939D-E22C3D8E59D9}"/>
            </c:ext>
          </c:extLst>
        </c:ser>
        <c:ser>
          <c:idx val="2"/>
          <c:order val="2"/>
          <c:tx>
            <c:strRef>
              <c:f>Flex!$H$66</c:f>
              <c:strCache>
                <c:ptCount val="1"/>
                <c:pt idx="0">
                  <c:v>D66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Flex!$I$66:$T$66</c:f>
              <c:numCache>
                <c:formatCode>0.000</c:formatCode>
                <c:ptCount val="12"/>
                <c:pt idx="0">
                  <c:v>0.88943561221353951</c:v>
                </c:pt>
                <c:pt idx="1">
                  <c:v>0.90772134296250795</c:v>
                </c:pt>
                <c:pt idx="2">
                  <c:v>0.94429280446044439</c:v>
                </c:pt>
                <c:pt idx="3">
                  <c:v>0.94429280446044439</c:v>
                </c:pt>
                <c:pt idx="4">
                  <c:v>0.85286415071560295</c:v>
                </c:pt>
                <c:pt idx="5">
                  <c:v>0.83457841996663462</c:v>
                </c:pt>
                <c:pt idx="6">
                  <c:v>0.79800695846869796</c:v>
                </c:pt>
                <c:pt idx="7">
                  <c:v>0.85286415071560295</c:v>
                </c:pt>
                <c:pt idx="8">
                  <c:v>0.90772134296250784</c:v>
                </c:pt>
                <c:pt idx="9">
                  <c:v>0.88943561221353962</c:v>
                </c:pt>
                <c:pt idx="10">
                  <c:v>0.83457841996663462</c:v>
                </c:pt>
                <c:pt idx="11">
                  <c:v>0.79800695846869796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6F-4B34-939D-E22C3D8E59D9}"/>
            </c:ext>
          </c:extLst>
        </c:ser>
        <c:ser>
          <c:idx val="3"/>
          <c:order val="3"/>
          <c:tx>
            <c:strRef>
              <c:f>Flex!$H$67</c:f>
              <c:strCache>
                <c:ptCount val="1"/>
                <c:pt idx="0">
                  <c:v>Tsai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Flex!$I$67:$T$67</c:f>
              <c:numCache>
                <c:formatCode>0.000</c:formatCode>
                <c:ptCount val="12"/>
                <c:pt idx="0">
                  <c:v>0.99967377879240216</c:v>
                </c:pt>
                <c:pt idx="1">
                  <c:v>0.99967377879240238</c:v>
                </c:pt>
                <c:pt idx="2">
                  <c:v>0.99967377879240216</c:v>
                </c:pt>
                <c:pt idx="3">
                  <c:v>0.99967377879240216</c:v>
                </c:pt>
                <c:pt idx="4">
                  <c:v>0.99967377879240227</c:v>
                </c:pt>
                <c:pt idx="5">
                  <c:v>0.99967377879240216</c:v>
                </c:pt>
                <c:pt idx="6">
                  <c:v>0.99967377879240216</c:v>
                </c:pt>
                <c:pt idx="7">
                  <c:v>0.99967377879240227</c:v>
                </c:pt>
                <c:pt idx="8">
                  <c:v>0.99967377879240216</c:v>
                </c:pt>
                <c:pt idx="9">
                  <c:v>0.99967377879240227</c:v>
                </c:pt>
                <c:pt idx="10">
                  <c:v>0.99967377879240216</c:v>
                </c:pt>
                <c:pt idx="11">
                  <c:v>0.99967377879240216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6F-4B34-939D-E22C3D8E5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173904"/>
        <c:axId val="1"/>
      </c:lineChart>
      <c:catAx>
        <c:axId val="79017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739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666710265867929"/>
          <c:y val="0.91349630076728205"/>
          <c:w val="0.7066691082219374"/>
          <c:h val="5.53635673589581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Flex!$I$55:$T$55</c:f>
              <c:numCache>
                <c:formatCode>General</c:formatCode>
                <c:ptCount val="12"/>
                <c:pt idx="0">
                  <c:v>3</c:v>
                </c:pt>
                <c:pt idx="1">
                  <c:v>7</c:v>
                </c:pt>
                <c:pt idx="2">
                  <c:v>1</c:v>
                </c:pt>
                <c:pt idx="3">
                  <c:v>2</c:v>
                </c:pt>
                <c:pt idx="4">
                  <c:v>11</c:v>
                </c:pt>
                <c:pt idx="5">
                  <c:v>9</c:v>
                </c:pt>
                <c:pt idx="6">
                  <c:v>5</c:v>
                </c:pt>
                <c:pt idx="7">
                  <c:v>12</c:v>
                </c:pt>
                <c:pt idx="8">
                  <c:v>8</c:v>
                </c:pt>
                <c:pt idx="9">
                  <c:v>4</c:v>
                </c:pt>
                <c:pt idx="10">
                  <c:v>10</c:v>
                </c:pt>
                <c:pt idx="11">
                  <c:v>6</c:v>
                </c:pt>
              </c:numCache>
            </c:numRef>
          </c:xVal>
          <c:yVal>
            <c:numRef>
              <c:f>Flex!$I$56:$T$56</c:f>
              <c:numCache>
                <c:formatCode>0.00</c:formatCode>
                <c:ptCount val="12"/>
                <c:pt idx="0">
                  <c:v>0.62389140654725328</c:v>
                </c:pt>
                <c:pt idx="1">
                  <c:v>0.6031283566745691</c:v>
                </c:pt>
                <c:pt idx="2">
                  <c:v>0.56160225692920074</c:v>
                </c:pt>
                <c:pt idx="3">
                  <c:v>0.32730957319928594</c:v>
                </c:pt>
                <c:pt idx="4">
                  <c:v>0.43112482256270679</c:v>
                </c:pt>
                <c:pt idx="5">
                  <c:v>0.45188787243539097</c:v>
                </c:pt>
                <c:pt idx="6">
                  <c:v>0.33721884969414939</c:v>
                </c:pt>
                <c:pt idx="7">
                  <c:v>0.27492970007609691</c:v>
                </c:pt>
                <c:pt idx="8">
                  <c:v>0.21264055045804439</c:v>
                </c:pt>
                <c:pt idx="9">
                  <c:v>0.1553060390874236</c:v>
                </c:pt>
                <c:pt idx="10">
                  <c:v>0.21759518870547614</c:v>
                </c:pt>
                <c:pt idx="11">
                  <c:v>0.25912128845084442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42-4585-9507-37692D4E0935}"/>
            </c:ext>
          </c:extLst>
        </c:ser>
        <c:ser>
          <c:idx val="2"/>
          <c:order val="1"/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Flex!$I$55:$T$55</c:f>
              <c:numCache>
                <c:formatCode>General</c:formatCode>
                <c:ptCount val="12"/>
                <c:pt idx="0">
                  <c:v>3</c:v>
                </c:pt>
                <c:pt idx="1">
                  <c:v>7</c:v>
                </c:pt>
                <c:pt idx="2">
                  <c:v>1</c:v>
                </c:pt>
                <c:pt idx="3">
                  <c:v>2</c:v>
                </c:pt>
                <c:pt idx="4">
                  <c:v>11</c:v>
                </c:pt>
                <c:pt idx="5">
                  <c:v>9</c:v>
                </c:pt>
                <c:pt idx="6">
                  <c:v>5</c:v>
                </c:pt>
                <c:pt idx="7">
                  <c:v>12</c:v>
                </c:pt>
                <c:pt idx="8">
                  <c:v>8</c:v>
                </c:pt>
                <c:pt idx="9">
                  <c:v>4</c:v>
                </c:pt>
                <c:pt idx="10">
                  <c:v>10</c:v>
                </c:pt>
                <c:pt idx="11">
                  <c:v>6</c:v>
                </c:pt>
              </c:numCache>
            </c:numRef>
          </c:xVal>
          <c:yVal>
            <c:numRef>
              <c:f>Flex!$I$58:$T$58</c:f>
              <c:numCache>
                <c:formatCode>0.00</c:formatCode>
                <c:ptCount val="12"/>
                <c:pt idx="0">
                  <c:v>0.11023816657886266</c:v>
                </c:pt>
                <c:pt idx="1">
                  <c:v>9.1952435829894374E-2</c:v>
                </c:pt>
                <c:pt idx="2">
                  <c:v>5.5380974331957766E-2</c:v>
                </c:pt>
                <c:pt idx="3">
                  <c:v>5.5380974331957766E-2</c:v>
                </c:pt>
                <c:pt idx="4">
                  <c:v>0.14680962807679929</c:v>
                </c:pt>
                <c:pt idx="5">
                  <c:v>0.16509535882576756</c:v>
                </c:pt>
                <c:pt idx="6">
                  <c:v>0.20166682032370417</c:v>
                </c:pt>
                <c:pt idx="7">
                  <c:v>0.14680962807679929</c:v>
                </c:pt>
                <c:pt idx="8">
                  <c:v>9.1952435829894374E-2</c:v>
                </c:pt>
                <c:pt idx="9">
                  <c:v>0.11023816657886266</c:v>
                </c:pt>
                <c:pt idx="10">
                  <c:v>0.16509535882576756</c:v>
                </c:pt>
                <c:pt idx="11">
                  <c:v>0.20166682032370417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42-4585-9507-37692D4E0935}"/>
            </c:ext>
          </c:extLst>
        </c:ser>
        <c:ser>
          <c:idx val="4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Flex!$I$55:$T$55</c:f>
              <c:numCache>
                <c:formatCode>General</c:formatCode>
                <c:ptCount val="12"/>
                <c:pt idx="0">
                  <c:v>3</c:v>
                </c:pt>
                <c:pt idx="1">
                  <c:v>7</c:v>
                </c:pt>
                <c:pt idx="2">
                  <c:v>1</c:v>
                </c:pt>
                <c:pt idx="3">
                  <c:v>2</c:v>
                </c:pt>
                <c:pt idx="4">
                  <c:v>11</c:v>
                </c:pt>
                <c:pt idx="5">
                  <c:v>9</c:v>
                </c:pt>
                <c:pt idx="6">
                  <c:v>5</c:v>
                </c:pt>
                <c:pt idx="7">
                  <c:v>12</c:v>
                </c:pt>
                <c:pt idx="8">
                  <c:v>8</c:v>
                </c:pt>
                <c:pt idx="9">
                  <c:v>4</c:v>
                </c:pt>
                <c:pt idx="10">
                  <c:v>10</c:v>
                </c:pt>
                <c:pt idx="11">
                  <c:v>6</c:v>
                </c:pt>
              </c:numCache>
            </c:numRef>
          </c:xVal>
          <c:yVal>
            <c:numRef>
              <c:f>Flex!$I$60:$T$60</c:f>
              <c:numCache>
                <c:formatCode>0.00</c:formatCode>
                <c:ptCount val="12"/>
                <c:pt idx="0">
                  <c:v>3.9048780621652478E-2</c:v>
                </c:pt>
                <c:pt idx="1">
                  <c:v>5.8573170932478706E-2</c:v>
                </c:pt>
                <c:pt idx="2">
                  <c:v>1.9524390310826235E-2</c:v>
                </c:pt>
                <c:pt idx="3">
                  <c:v>1.9524390310826235E-2</c:v>
                </c:pt>
                <c:pt idx="4">
                  <c:v>0.11714634186495741</c:v>
                </c:pt>
                <c:pt idx="5">
                  <c:v>9.7621951554131184E-2</c:v>
                </c:pt>
                <c:pt idx="6">
                  <c:v>5.8573170932478706E-2</c:v>
                </c:pt>
                <c:pt idx="7">
                  <c:v>0.11714634186495741</c:v>
                </c:pt>
                <c:pt idx="8">
                  <c:v>5.8573170932478706E-2</c:v>
                </c:pt>
                <c:pt idx="9">
                  <c:v>3.9048780621652478E-2</c:v>
                </c:pt>
                <c:pt idx="10">
                  <c:v>9.7621951554131184E-2</c:v>
                </c:pt>
                <c:pt idx="11">
                  <c:v>5.8573170932478706E-2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42-4585-9507-37692D4E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76856"/>
        <c:axId val="1"/>
      </c:scatterChart>
      <c:valAx>
        <c:axId val="79017685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  <c:minorUnit val="1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76856"/>
        <c:crosses val="autoZero"/>
        <c:crossBetween val="midCat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14285714285714"/>
          <c:y val="6.6838046272493568E-2"/>
          <c:w val="0.78896103896103897"/>
          <c:h val="0.8688946015424164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PD!$S$3:$S$19</c:f>
              <c:numCache>
                <c:formatCode>General</c:formatCode>
                <c:ptCount val="17"/>
                <c:pt idx="0">
                  <c:v>543.42501949558402</c:v>
                </c:pt>
                <c:pt idx="1">
                  <c:v>589.27087262741043</c:v>
                </c:pt>
                <c:pt idx="2">
                  <c:v>628.60624776895736</c:v>
                </c:pt>
                <c:pt idx="3">
                  <c:v>244.08398735370204</c:v>
                </c:pt>
                <c:pt idx="4">
                  <c:v>0</c:v>
                </c:pt>
                <c:pt idx="5">
                  <c:v>-186.69729018631449</c:v>
                </c:pt>
                <c:pt idx="6">
                  <c:v>-283.58342895070399</c:v>
                </c:pt>
                <c:pt idx="7">
                  <c:v>-398.21236926228977</c:v>
                </c:pt>
                <c:pt idx="8">
                  <c:v>-629.01872552425311</c:v>
                </c:pt>
                <c:pt idx="9">
                  <c:v>-1186.0670320986219</c:v>
                </c:pt>
                <c:pt idx="10">
                  <c:v>-1947.4327682520736</c:v>
                </c:pt>
                <c:pt idx="11">
                  <c:v>-491.28505057885565</c:v>
                </c:pt>
                <c:pt idx="12">
                  <c:v>0</c:v>
                </c:pt>
                <c:pt idx="13">
                  <c:v>164.94496405316352</c:v>
                </c:pt>
                <c:pt idx="14">
                  <c:v>283.58342895070388</c:v>
                </c:pt>
                <c:pt idx="15">
                  <c:v>450.72713002610544</c:v>
                </c:pt>
                <c:pt idx="16">
                  <c:v>543.42501949558402</c:v>
                </c:pt>
              </c:numCache>
            </c:numRef>
          </c:xVal>
          <c:yVal>
            <c:numRef>
              <c:f>PD!$T$3:$T$19</c:f>
              <c:numCache>
                <c:formatCode>General</c:formatCode>
                <c:ptCount val="17"/>
                <c:pt idx="0">
                  <c:v>0</c:v>
                </c:pt>
                <c:pt idx="1">
                  <c:v>244.08398735370204</c:v>
                </c:pt>
                <c:pt idx="2">
                  <c:v>628.60624776895725</c:v>
                </c:pt>
                <c:pt idx="3">
                  <c:v>589.27087262741031</c:v>
                </c:pt>
                <c:pt idx="4">
                  <c:v>543.42501949558402</c:v>
                </c:pt>
                <c:pt idx="5">
                  <c:v>450.72713002610578</c:v>
                </c:pt>
                <c:pt idx="6">
                  <c:v>283.58342895070405</c:v>
                </c:pt>
                <c:pt idx="7">
                  <c:v>164.94496405316346</c:v>
                </c:pt>
                <c:pt idx="8">
                  <c:v>0</c:v>
                </c:pt>
                <c:pt idx="9">
                  <c:v>-491.28505057885417</c:v>
                </c:pt>
                <c:pt idx="10">
                  <c:v>-1947.4327682520729</c:v>
                </c:pt>
                <c:pt idx="11">
                  <c:v>-1186.0670320986233</c:v>
                </c:pt>
                <c:pt idx="12">
                  <c:v>-629.01872552425289</c:v>
                </c:pt>
                <c:pt idx="13">
                  <c:v>-398.21236926228971</c:v>
                </c:pt>
                <c:pt idx="14">
                  <c:v>-283.58342895070399</c:v>
                </c:pt>
                <c:pt idx="15">
                  <c:v>-186.69729018631469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5-4735-8DFC-4706558B8E9B}"/>
            </c:ext>
          </c:extLst>
        </c:ser>
        <c:ser>
          <c:idx val="1"/>
          <c:order val="1"/>
          <c:spPr>
            <a:ln w="3175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PD!$U$3:$U$19</c:f>
              <c:numCache>
                <c:formatCode>General</c:formatCode>
                <c:ptCount val="17"/>
                <c:pt idx="0">
                  <c:v>325.23286297077135</c:v>
                </c:pt>
                <c:pt idx="1">
                  <c:v>355.6508828020032</c:v>
                </c:pt>
                <c:pt idx="2">
                  <c:v>347.60587579877301</c:v>
                </c:pt>
                <c:pt idx="3">
                  <c:v>147.31541912655391</c:v>
                </c:pt>
                <c:pt idx="4">
                  <c:v>0</c:v>
                </c:pt>
                <c:pt idx="5">
                  <c:v>-118.26977135267582</c:v>
                </c:pt>
                <c:pt idx="6">
                  <c:v>-235.27443926176196</c:v>
                </c:pt>
                <c:pt idx="7">
                  <c:v>-382.59940880391247</c:v>
                </c:pt>
                <c:pt idx="8">
                  <c:v>-629.01872552425311</c:v>
                </c:pt>
                <c:pt idx="9">
                  <c:v>-1186.0670320986219</c:v>
                </c:pt>
                <c:pt idx="10">
                  <c:v>-1947.4327682520736</c:v>
                </c:pt>
                <c:pt idx="11">
                  <c:v>-491.28505057885565</c:v>
                </c:pt>
                <c:pt idx="12">
                  <c:v>0</c:v>
                </c:pt>
                <c:pt idx="13">
                  <c:v>158.47786408250877</c:v>
                </c:pt>
                <c:pt idx="14">
                  <c:v>235.27443926176201</c:v>
                </c:pt>
                <c:pt idx="15">
                  <c:v>285.5284860183948</c:v>
                </c:pt>
                <c:pt idx="16">
                  <c:v>325.23286297077135</c:v>
                </c:pt>
              </c:numCache>
            </c:numRef>
          </c:xVal>
          <c:yVal>
            <c:numRef>
              <c:f>PD!$V$3:$V$19</c:f>
              <c:numCache>
                <c:formatCode>General</c:formatCode>
                <c:ptCount val="17"/>
                <c:pt idx="0">
                  <c:v>0</c:v>
                </c:pt>
                <c:pt idx="1">
                  <c:v>147.31541912655388</c:v>
                </c:pt>
                <c:pt idx="2">
                  <c:v>347.60587579877296</c:v>
                </c:pt>
                <c:pt idx="3">
                  <c:v>355.6508828020032</c:v>
                </c:pt>
                <c:pt idx="4">
                  <c:v>325.23286297077129</c:v>
                </c:pt>
                <c:pt idx="5">
                  <c:v>285.52848601839491</c:v>
                </c:pt>
                <c:pt idx="6">
                  <c:v>235.27443926176201</c:v>
                </c:pt>
                <c:pt idx="7">
                  <c:v>158.47786408250875</c:v>
                </c:pt>
                <c:pt idx="8">
                  <c:v>0</c:v>
                </c:pt>
                <c:pt idx="9">
                  <c:v>-491.28505057885417</c:v>
                </c:pt>
                <c:pt idx="10">
                  <c:v>-1947.4327682520729</c:v>
                </c:pt>
                <c:pt idx="11">
                  <c:v>-1186.0670320986233</c:v>
                </c:pt>
                <c:pt idx="12">
                  <c:v>-629.01872552425289</c:v>
                </c:pt>
                <c:pt idx="13">
                  <c:v>-382.59940880391241</c:v>
                </c:pt>
                <c:pt idx="14">
                  <c:v>-235.27443926176213</c:v>
                </c:pt>
                <c:pt idx="15">
                  <c:v>-118.26977135267599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85-4735-8DFC-4706558B8E9B}"/>
            </c:ext>
          </c:extLst>
        </c:ser>
        <c:ser>
          <c:idx val="2"/>
          <c:order val="2"/>
          <c:spPr>
            <a:ln w="3175">
              <a:solidFill>
                <a:srgbClr val="99CC00"/>
              </a:solidFill>
              <a:prstDash val="solid"/>
            </a:ln>
          </c:spPr>
          <c:marker>
            <c:spPr>
              <a:solidFill>
                <a:srgbClr val="9BBB59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PD!$AD$3:$AD$4</c:f>
              <c:numCache>
                <c:formatCode>General</c:formatCode>
                <c:ptCount val="2"/>
                <c:pt idx="0">
                  <c:v>-2336.9193219024883</c:v>
                </c:pt>
                <c:pt idx="1">
                  <c:v>754.32749732274885</c:v>
                </c:pt>
              </c:numCache>
            </c:numRef>
          </c:xVal>
          <c:yVal>
            <c:numRef>
              <c:f>PD!$AE$3:$AE$4</c:f>
              <c:numCache>
                <c:formatCode>General</c:formatCode>
                <c:ptCount val="2"/>
                <c:pt idx="0">
                  <c:v>-2336.9193219024883</c:v>
                </c:pt>
                <c:pt idx="1">
                  <c:v>754.32749732274885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85-4735-8DFC-4706558B8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5720"/>
        <c:axId val="1"/>
      </c:scatterChart>
      <c:valAx>
        <c:axId val="790205720"/>
        <c:scaling>
          <c:orientation val="minMax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020572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r>
              <a:rPr lang="fr-FR"/>
              <a:t>stress strain curve</a:t>
            </a:r>
          </a:p>
        </c:rich>
      </c:tx>
      <c:layout>
        <c:manualLayout>
          <c:xMode val="edge"/>
          <c:yMode val="edge"/>
          <c:x val="0.2638443104310958"/>
          <c:y val="3.34191086938874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21827160886542"/>
          <c:y val="0.18508997429305912"/>
          <c:w val="0.71661351761871062"/>
          <c:h val="0.609254498714652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PD!$H$3:$H$8</c:f>
              <c:numCache>
                <c:formatCode>General</c:formatCode>
                <c:ptCount val="6"/>
                <c:pt idx="0">
                  <c:v>0</c:v>
                </c:pt>
                <c:pt idx="1">
                  <c:v>4.6004533828805974</c:v>
                </c:pt>
                <c:pt idx="2">
                  <c:v>5.4191874993235558</c:v>
                </c:pt>
                <c:pt idx="3">
                  <c:v>8.1834069438720469</c:v>
                </c:pt>
                <c:pt idx="4">
                  <c:v>8.4705816413054862</c:v>
                </c:pt>
                <c:pt idx="5">
                  <c:v>23.655698810999255</c:v>
                </c:pt>
              </c:numCache>
            </c:numRef>
          </c:xVal>
          <c:yVal>
            <c:numRef>
              <c:f>PD!$I$3:$I$8</c:f>
              <c:numCache>
                <c:formatCode>General</c:formatCode>
                <c:ptCount val="6"/>
                <c:pt idx="0">
                  <c:v>0</c:v>
                </c:pt>
                <c:pt idx="1">
                  <c:v>285.5284860183948</c:v>
                </c:pt>
                <c:pt idx="2">
                  <c:v>329.78597945934547</c:v>
                </c:pt>
                <c:pt idx="3">
                  <c:v>450.72713002610544</c:v>
                </c:pt>
                <c:pt idx="4">
                  <c:v>309.14491025956227</c:v>
                </c:pt>
                <c:pt idx="5">
                  <c:v>64.012436593011316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AC-407F-9E16-5D951C57D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12280"/>
        <c:axId val="1"/>
      </c:scatterChart>
      <c:valAx>
        <c:axId val="790212280"/>
        <c:scaling>
          <c:orientation val="minMax"/>
          <c:max val="30"/>
          <c:min val="-30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epsilon-1 (E-3)</a:t>
                </a:r>
              </a:p>
            </c:rich>
          </c:tx>
          <c:layout>
            <c:manualLayout>
              <c:xMode val="edge"/>
              <c:yMode val="edge"/>
              <c:x val="0.36482167153854933"/>
              <c:y val="0.886889357902427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sigma-1 (MPa or ksi)</a:t>
                </a:r>
              </a:p>
            </c:rich>
          </c:tx>
          <c:layout>
            <c:manualLayout>
              <c:xMode val="edge"/>
              <c:yMode val="edge"/>
              <c:x val="5.2117381648364193E-2"/>
              <c:y val="0.285347024920853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79021228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r>
              <a:rPr lang="fr-FR"/>
              <a:t>stress strain curve</a:t>
            </a:r>
          </a:p>
        </c:rich>
      </c:tx>
      <c:layout>
        <c:manualLayout>
          <c:xMode val="edge"/>
          <c:yMode val="edge"/>
          <c:x val="0.2638443104310958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21827160886542"/>
          <c:y val="0.18508997429305912"/>
          <c:w val="0.71661351761871062"/>
          <c:h val="0.6683804627249357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PD!$J$3:$J$8</c:f>
              <c:numCache>
                <c:formatCode>General</c:formatCode>
                <c:ptCount val="6"/>
                <c:pt idx="0">
                  <c:v>0</c:v>
                </c:pt>
                <c:pt idx="1">
                  <c:v>-2.9105544592890196</c:v>
                </c:pt>
                <c:pt idx="2">
                  <c:v>-3.3523018064255963</c:v>
                </c:pt>
                <c:pt idx="3">
                  <c:v>-5.2377727060788786</c:v>
                </c:pt>
                <c:pt idx="4">
                  <c:v>-12.057135397641906</c:v>
                </c:pt>
                <c:pt idx="5">
                  <c:v>-22.83778279976945</c:v>
                </c:pt>
              </c:numCache>
            </c:numRef>
          </c:xVal>
          <c:yVal>
            <c:numRef>
              <c:f>PD!$K$3:$K$8</c:f>
              <c:numCache>
                <c:formatCode>General</c:formatCode>
                <c:ptCount val="6"/>
                <c:pt idx="0">
                  <c:v>0</c:v>
                </c:pt>
                <c:pt idx="1">
                  <c:v>-118.26977135267599</c:v>
                </c:pt>
                <c:pt idx="2">
                  <c:v>-136.60182537255611</c:v>
                </c:pt>
                <c:pt idx="3">
                  <c:v>-186.69729018631469</c:v>
                </c:pt>
                <c:pt idx="4">
                  <c:v>-128.05201456812429</c:v>
                </c:pt>
                <c:pt idx="5">
                  <c:v>-26.514819397373131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5-4CEF-BD0E-06B567F3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9000"/>
        <c:axId val="1"/>
      </c:scatterChart>
      <c:valAx>
        <c:axId val="790209000"/>
        <c:scaling>
          <c:orientation val="minMax"/>
          <c:max val="30"/>
          <c:min val="-30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epsilon-2 (E-3)</a:t>
                </a:r>
              </a:p>
            </c:rich>
          </c:tx>
          <c:layout>
            <c:manualLayout>
              <c:xMode val="edge"/>
              <c:yMode val="edge"/>
              <c:x val="0.36482167153854933"/>
              <c:y val="0.886889460154241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sigma-2 (MPa or ksi)</a:t>
                </a:r>
              </a:p>
            </c:rich>
          </c:tx>
          <c:layout>
            <c:manualLayout>
              <c:xMode val="edge"/>
              <c:yMode val="edge"/>
              <c:x val="5.2117381648364193E-2"/>
              <c:y val="0.316195372750642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79020900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r>
              <a:rPr lang="fr-FR"/>
              <a:t>stress strain curve</a:t>
            </a:r>
          </a:p>
        </c:rich>
      </c:tx>
      <c:layout>
        <c:manualLayout>
          <c:xMode val="edge"/>
          <c:yMode val="edge"/>
          <c:x val="0.26298724287371056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55844155844157"/>
          <c:y val="0.18508997429305912"/>
          <c:w val="0.71753246753246758"/>
          <c:h val="0.609254498714652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PD!$L$3:$L$8</c:f>
              <c:numCache>
                <c:formatCode>General</c:formatCode>
                <c:ptCount val="6"/>
                <c:pt idx="0">
                  <c:v>0</c:v>
                </c:pt>
                <c:pt idx="1">
                  <c:v>2.2133466552898548E-16</c:v>
                </c:pt>
                <c:pt idx="2">
                  <c:v>4.0694471459722024E-16</c:v>
                </c:pt>
                <c:pt idx="3">
                  <c:v>6.4558293637716753E-16</c:v>
                </c:pt>
                <c:pt idx="4">
                  <c:v>6.6405956762346746E-18</c:v>
                </c:pt>
                <c:pt idx="5">
                  <c:v>1.3539924716509737E-17</c:v>
                </c:pt>
              </c:numCache>
            </c:numRef>
          </c:xVal>
          <c:yVal>
            <c:numRef>
              <c:f>PD!$M$3:$M$8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8A-4527-A4C0-E12F7FEED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9984"/>
        <c:axId val="1"/>
      </c:scatterChart>
      <c:valAx>
        <c:axId val="790209984"/>
        <c:scaling>
          <c:orientation val="minMax"/>
          <c:max val="30"/>
          <c:min val="-30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epsilon-6 (E-3)</a:t>
                </a:r>
              </a:p>
            </c:rich>
          </c:tx>
          <c:layout>
            <c:manualLayout>
              <c:xMode val="edge"/>
              <c:yMode val="edge"/>
              <c:x val="0.36363617338530357"/>
              <c:y val="0.886889460154241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sigma-6 (MPa or ksi)</a:t>
                </a:r>
              </a:p>
            </c:rich>
          </c:tx>
          <c:layout>
            <c:manualLayout>
              <c:xMode val="edge"/>
              <c:yMode val="edge"/>
              <c:x val="5.1948273907622008E-2"/>
              <c:y val="0.285347043701799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790209984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55844155844159E-2"/>
          <c:y val="6.6838046272493568E-2"/>
          <c:w val="0.81493506493506496"/>
          <c:h val="0.8688946015424164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PDFlex!$R$5:$R$21</c:f>
              <c:numCache>
                <c:formatCode>General</c:formatCode>
                <c:ptCount val="17"/>
                <c:pt idx="0">
                  <c:v>54.342501949558411</c:v>
                </c:pt>
                <c:pt idx="1">
                  <c:v>58.927087262741054</c:v>
                </c:pt>
                <c:pt idx="2">
                  <c:v>62.860624776895754</c:v>
                </c:pt>
                <c:pt idx="3">
                  <c:v>24.408398735370206</c:v>
                </c:pt>
                <c:pt idx="4">
                  <c:v>0</c:v>
                </c:pt>
                <c:pt idx="5">
                  <c:v>-18.669729018631443</c:v>
                </c:pt>
                <c:pt idx="6">
                  <c:v>-28.358342895070386</c:v>
                </c:pt>
                <c:pt idx="7">
                  <c:v>-39.821236926228984</c:v>
                </c:pt>
                <c:pt idx="8">
                  <c:v>-62.901872552425282</c:v>
                </c:pt>
                <c:pt idx="9">
                  <c:v>-118.60670320986222</c:v>
                </c:pt>
                <c:pt idx="10">
                  <c:v>-194.74327682520735</c:v>
                </c:pt>
                <c:pt idx="11">
                  <c:v>-49.128505057885569</c:v>
                </c:pt>
                <c:pt idx="12">
                  <c:v>0</c:v>
                </c:pt>
                <c:pt idx="13">
                  <c:v>16.494496405316351</c:v>
                </c:pt>
                <c:pt idx="14">
                  <c:v>28.358342895070383</c:v>
                </c:pt>
                <c:pt idx="15">
                  <c:v>45.072713002610541</c:v>
                </c:pt>
                <c:pt idx="16">
                  <c:v>54.342501949558411</c:v>
                </c:pt>
              </c:numCache>
            </c:numRef>
          </c:xVal>
          <c:yVal>
            <c:numRef>
              <c:f>PDFlex!$S$5:$S$21</c:f>
              <c:numCache>
                <c:formatCode>General</c:formatCode>
                <c:ptCount val="17"/>
                <c:pt idx="0">
                  <c:v>0</c:v>
                </c:pt>
                <c:pt idx="1">
                  <c:v>24.408398735370209</c:v>
                </c:pt>
                <c:pt idx="2">
                  <c:v>62.860624776895747</c:v>
                </c:pt>
                <c:pt idx="3">
                  <c:v>58.92708726274104</c:v>
                </c:pt>
                <c:pt idx="4">
                  <c:v>54.342501949558404</c:v>
                </c:pt>
                <c:pt idx="5">
                  <c:v>45.07271300261057</c:v>
                </c:pt>
                <c:pt idx="6">
                  <c:v>28.358342895070393</c:v>
                </c:pt>
                <c:pt idx="7">
                  <c:v>16.494496405316351</c:v>
                </c:pt>
                <c:pt idx="8">
                  <c:v>0</c:v>
                </c:pt>
                <c:pt idx="9">
                  <c:v>-49.12850505788542</c:v>
                </c:pt>
                <c:pt idx="10">
                  <c:v>-194.74327682520726</c:v>
                </c:pt>
                <c:pt idx="11">
                  <c:v>-118.60670320986233</c:v>
                </c:pt>
                <c:pt idx="12">
                  <c:v>-62.901872552425274</c:v>
                </c:pt>
                <c:pt idx="13">
                  <c:v>-39.82123692622897</c:v>
                </c:pt>
                <c:pt idx="14">
                  <c:v>-28.358342895070397</c:v>
                </c:pt>
                <c:pt idx="15">
                  <c:v>-18.669729018631472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6-48BD-A31B-45850AEE2935}"/>
            </c:ext>
          </c:extLst>
        </c:ser>
        <c:ser>
          <c:idx val="1"/>
          <c:order val="1"/>
          <c:spPr>
            <a:ln w="12700">
              <a:solidFill>
                <a:srgbClr val="F20884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PDFlex!$T$5:$T$21</c:f>
              <c:numCache>
                <c:formatCode>General</c:formatCode>
                <c:ptCount val="17"/>
                <c:pt idx="0">
                  <c:v>32.523286297077128</c:v>
                </c:pt>
                <c:pt idx="1">
                  <c:v>35.565088280200342</c:v>
                </c:pt>
                <c:pt idx="2">
                  <c:v>34.760587579877281</c:v>
                </c:pt>
                <c:pt idx="3">
                  <c:v>14.731541912655386</c:v>
                </c:pt>
                <c:pt idx="4">
                  <c:v>0</c:v>
                </c:pt>
                <c:pt idx="5">
                  <c:v>-11.82697713526758</c:v>
                </c:pt>
                <c:pt idx="6">
                  <c:v>-23.52744392617619</c:v>
                </c:pt>
                <c:pt idx="7">
                  <c:v>-38.259940880391241</c:v>
                </c:pt>
                <c:pt idx="8">
                  <c:v>-62.901872552425282</c:v>
                </c:pt>
                <c:pt idx="9">
                  <c:v>-118.60670320986222</c:v>
                </c:pt>
                <c:pt idx="10">
                  <c:v>-194.74327682520735</c:v>
                </c:pt>
                <c:pt idx="11">
                  <c:v>-49.128505057885569</c:v>
                </c:pt>
                <c:pt idx="12">
                  <c:v>0</c:v>
                </c:pt>
                <c:pt idx="13">
                  <c:v>15.847786408250876</c:v>
                </c:pt>
                <c:pt idx="14">
                  <c:v>23.527443926176197</c:v>
                </c:pt>
                <c:pt idx="15">
                  <c:v>28.552848601839489</c:v>
                </c:pt>
                <c:pt idx="16">
                  <c:v>32.523286297077128</c:v>
                </c:pt>
              </c:numCache>
            </c:numRef>
          </c:xVal>
          <c:yVal>
            <c:numRef>
              <c:f>PDFlex!$U$5:$U$21</c:f>
              <c:numCache>
                <c:formatCode>General</c:formatCode>
                <c:ptCount val="17"/>
                <c:pt idx="0">
                  <c:v>0</c:v>
                </c:pt>
                <c:pt idx="1">
                  <c:v>14.731541912655395</c:v>
                </c:pt>
                <c:pt idx="2">
                  <c:v>34.760587579877274</c:v>
                </c:pt>
                <c:pt idx="3">
                  <c:v>35.565088280200314</c:v>
                </c:pt>
                <c:pt idx="4">
                  <c:v>32.523286297077121</c:v>
                </c:pt>
                <c:pt idx="5">
                  <c:v>28.552848601839489</c:v>
                </c:pt>
                <c:pt idx="6">
                  <c:v>23.527443926176193</c:v>
                </c:pt>
                <c:pt idx="7">
                  <c:v>15.847786408250872</c:v>
                </c:pt>
                <c:pt idx="8">
                  <c:v>0</c:v>
                </c:pt>
                <c:pt idx="9">
                  <c:v>-49.12850505788542</c:v>
                </c:pt>
                <c:pt idx="10">
                  <c:v>-194.74327682520726</c:v>
                </c:pt>
                <c:pt idx="11">
                  <c:v>-118.60670320986233</c:v>
                </c:pt>
                <c:pt idx="12">
                  <c:v>-62.901872552425274</c:v>
                </c:pt>
                <c:pt idx="13">
                  <c:v>-38.259940880391241</c:v>
                </c:pt>
                <c:pt idx="14">
                  <c:v>-23.527443926176208</c:v>
                </c:pt>
                <c:pt idx="15">
                  <c:v>-11.826977135267603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26-48BD-A31B-45850AEE2935}"/>
            </c:ext>
          </c:extLst>
        </c:ser>
        <c:ser>
          <c:idx val="2"/>
          <c:order val="2"/>
          <c:spPr>
            <a:ln w="12700">
              <a:solidFill>
                <a:srgbClr val="FCF305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CF305"/>
              </a:solidFill>
              <a:ln>
                <a:solidFill>
                  <a:srgbClr val="FCF305"/>
                </a:solidFill>
                <a:prstDash val="solid"/>
              </a:ln>
            </c:spPr>
          </c:marker>
          <c:xVal>
            <c:numRef>
              <c:f>PDFlex!$AD$17:$AD$18</c:f>
              <c:numCache>
                <c:formatCode>General</c:formatCode>
                <c:ptCount val="2"/>
                <c:pt idx="0">
                  <c:v>-233.69193219024879</c:v>
                </c:pt>
                <c:pt idx="1">
                  <c:v>75.4327497322749</c:v>
                </c:pt>
              </c:numCache>
            </c:numRef>
          </c:xVal>
          <c:yVal>
            <c:numRef>
              <c:f>PDFlex!$AE$17:$AE$18</c:f>
              <c:numCache>
                <c:formatCode>General</c:formatCode>
                <c:ptCount val="2"/>
                <c:pt idx="0">
                  <c:v>-233.69193219024879</c:v>
                </c:pt>
                <c:pt idx="1">
                  <c:v>75.4327497322749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26-48BD-A31B-45850AEE2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15888"/>
        <c:axId val="1"/>
      </c:scatterChart>
      <c:valAx>
        <c:axId val="790215888"/>
        <c:scaling>
          <c:orientation val="minMax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0215888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09470603672454"/>
          <c:y val="6.6838046272493568E-2"/>
          <c:w val="0.77198819852561096"/>
          <c:h val="0.76606683804627251"/>
        </c:manualLayout>
      </c:layout>
      <c:scatterChart>
        <c:scatterStyle val="lineMarker"/>
        <c:varyColors val="0"/>
        <c:ser>
          <c:idx val="0"/>
          <c:order val="0"/>
          <c:tx>
            <c:strRef>
              <c:f>PDFlex!$C$46</c:f>
              <c:strCache>
                <c:ptCount val="1"/>
                <c:pt idx="0">
                  <c:v>1_1</c:v>
                </c:pt>
              </c:strCache>
            </c:strRef>
          </c:tx>
          <c:spPr>
            <a:ln w="3175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PDFlex!$B$47:$B$50</c:f>
              <c:numCache>
                <c:formatCode>General</c:formatCode>
                <c:ptCount val="4"/>
                <c:pt idx="0">
                  <c:v>0</c:v>
                </c:pt>
                <c:pt idx="1">
                  <c:v>3.5008547310588525</c:v>
                </c:pt>
                <c:pt idx="2">
                  <c:v>4.103483506394829</c:v>
                </c:pt>
                <c:pt idx="3">
                  <c:v>6.303846202727013</c:v>
                </c:pt>
              </c:numCache>
            </c:numRef>
          </c:xVal>
          <c:yVal>
            <c:numRef>
              <c:f>PDFlex!$C$47:$C$50</c:f>
              <c:numCache>
                <c:formatCode>General</c:formatCode>
                <c:ptCount val="4"/>
                <c:pt idx="0">
                  <c:v>0</c:v>
                </c:pt>
                <c:pt idx="1">
                  <c:v>32.523286297077142</c:v>
                </c:pt>
                <c:pt idx="2">
                  <c:v>37.544903960070599</c:v>
                </c:pt>
                <c:pt idx="3">
                  <c:v>54.342501949558404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BB-44C5-B745-238F1B24935C}"/>
            </c:ext>
          </c:extLst>
        </c:ser>
        <c:ser>
          <c:idx val="1"/>
          <c:order val="1"/>
          <c:tx>
            <c:strRef>
              <c:f>PDFlex!$E$46</c:f>
              <c:strCache>
                <c:ptCount val="1"/>
                <c:pt idx="0">
                  <c:v>2_2</c:v>
                </c:pt>
              </c:strCache>
            </c:strRef>
          </c:tx>
          <c:spPr>
            <a:ln w="3175">
              <a:solidFill>
                <a:srgbClr val="9933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PDFlex!$D$47:$D$50</c:f>
              <c:numCache>
                <c:formatCode>General</c:formatCode>
                <c:ptCount val="4"/>
                <c:pt idx="0">
                  <c:v>0</c:v>
                </c:pt>
                <c:pt idx="1">
                  <c:v>-1.0363613286551623</c:v>
                </c:pt>
                <c:pt idx="2">
                  <c:v>-1.1916623808265618</c:v>
                </c:pt>
                <c:pt idx="3">
                  <c:v>-1.9755364308407</c:v>
                </c:pt>
              </c:numCache>
            </c:numRef>
          </c:xVal>
          <c:yVal>
            <c:numRef>
              <c:f>PDFlex!$E$47:$E$50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BB-44C5-B745-238F1B24935C}"/>
            </c:ext>
          </c:extLst>
        </c:ser>
        <c:ser>
          <c:idx val="2"/>
          <c:order val="2"/>
          <c:tx>
            <c:strRef>
              <c:f>PDFlex!$G$46</c:f>
              <c:strCache>
                <c:ptCount val="1"/>
                <c:pt idx="0">
                  <c:v>6_6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pPr>
              <a:solidFill>
                <a:srgbClr val="9BBB59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PDFlex!$F$47:$F$49</c:f>
              <c:numCache>
                <c:formatCode>General</c:formatCode>
                <c:ptCount val="3"/>
                <c:pt idx="0">
                  <c:v>0</c:v>
                </c:pt>
                <c:pt idx="1">
                  <c:v>6.6881380015127048E-17</c:v>
                </c:pt>
                <c:pt idx="2">
                  <c:v>1.3379082265077459E-16</c:v>
                </c:pt>
              </c:numCache>
            </c:numRef>
          </c:xVal>
          <c:yVal>
            <c:numRef>
              <c:f>PDFlex!$G$47:$G$50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BB-44C5-B745-238F1B249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52584"/>
        <c:axId val="1"/>
      </c:scatterChart>
      <c:valAx>
        <c:axId val="790152584"/>
        <c:scaling>
          <c:orientation val="minMax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fr-FR"/>
                  <a:t>&lt;esp&gt;o   E-3</a:t>
                </a:r>
              </a:p>
            </c:rich>
          </c:tx>
          <c:layout>
            <c:manualLayout>
              <c:xMode val="edge"/>
              <c:yMode val="edge"/>
              <c:x val="0.38846916862664893"/>
              <c:y val="0.950171821305841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Helv"/>
                <a:ea typeface="Helv"/>
                <a:cs typeface="Helv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fr-FR"/>
                  <a:t>&lt;sig&gt;o   MPa, ksi</a:t>
                </a:r>
              </a:p>
            </c:rich>
          </c:tx>
          <c:layout>
            <c:manualLayout>
              <c:xMode val="edge"/>
              <c:yMode val="edge"/>
              <c:x val="1.0282286142803578E-2"/>
              <c:y val="0.293059230998187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Helv"/>
                <a:ea typeface="Helv"/>
                <a:cs typeface="Helv"/>
              </a:defRPr>
            </a:pPr>
            <a:endParaRPr lang="fr-FR"/>
          </a:p>
        </c:txPr>
        <c:crossAx val="7901525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795918367346939"/>
          <c:y val="0.29639202316205321"/>
          <c:w val="9.0909090909090939E-2"/>
          <c:h val="0.206185837595042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45" b="0" i="0" u="none" strike="noStrike" baseline="0">
              <a:solidFill>
                <a:srgbClr val="000000"/>
              </a:solidFill>
              <a:latin typeface="Helv"/>
              <a:ea typeface="Helv"/>
              <a:cs typeface="Helv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Helv"/>
          <a:ea typeface="Helv"/>
          <a:cs typeface="Helv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8003769473626"/>
          <c:y val="6.6838046272493568E-2"/>
          <c:w val="0.7850175352095875"/>
          <c:h val="0.78149100257069404"/>
        </c:manualLayout>
      </c:layout>
      <c:scatterChart>
        <c:scatterStyle val="lineMarker"/>
        <c:varyColors val="0"/>
        <c:ser>
          <c:idx val="0"/>
          <c:order val="0"/>
          <c:tx>
            <c:strRef>
              <c:f>PDFlex!$J$46</c:f>
              <c:strCache>
                <c:ptCount val="1"/>
                <c:pt idx="0">
                  <c:v>1_1</c:v>
                </c:pt>
              </c:strCache>
            </c:strRef>
          </c:tx>
          <c:spPr>
            <a:ln w="3175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PDFlex!$I$47:$I$50</c:f>
              <c:numCache>
                <c:formatCode>General</c:formatCode>
                <c:ptCount val="4"/>
                <c:pt idx="0">
                  <c:v>0</c:v>
                </c:pt>
                <c:pt idx="1">
                  <c:v>1.1669515770196175</c:v>
                </c:pt>
                <c:pt idx="2">
                  <c:v>1.4092241080638588</c:v>
                </c:pt>
                <c:pt idx="3">
                  <c:v>2.4041745785266064</c:v>
                </c:pt>
              </c:numCache>
            </c:numRef>
          </c:xVal>
          <c:yVal>
            <c:numRef>
              <c:f>PDFlex!$J$47:$J$50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ED-46D6-8510-E8E7DBC6A02C}"/>
            </c:ext>
          </c:extLst>
        </c:ser>
        <c:ser>
          <c:idx val="1"/>
          <c:order val="1"/>
          <c:tx>
            <c:strRef>
              <c:f>PDFlex!$L$46</c:f>
              <c:strCache>
                <c:ptCount val="1"/>
                <c:pt idx="0">
                  <c:v>2_2</c:v>
                </c:pt>
              </c:strCache>
            </c:strRef>
          </c:tx>
          <c:spPr>
            <a:ln w="3175">
              <a:solidFill>
                <a:srgbClr val="9933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PDFlex!$K$47:$K$50</c:f>
              <c:numCache>
                <c:formatCode>General</c:formatCode>
                <c:ptCount val="4"/>
                <c:pt idx="0">
                  <c:v>0</c:v>
                </c:pt>
                <c:pt idx="1">
                  <c:v>-0.34545377621838741</c:v>
                </c:pt>
                <c:pt idx="2">
                  <c:v>-0.39407822944093202</c:v>
                </c:pt>
                <c:pt idx="3">
                  <c:v>-0.82111296107484522</c:v>
                </c:pt>
              </c:numCache>
            </c:numRef>
          </c:xVal>
          <c:yVal>
            <c:numRef>
              <c:f>PDFlex!$L$47:$L$49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ED-46D6-8510-E8E7DBC6A02C}"/>
            </c:ext>
          </c:extLst>
        </c:ser>
        <c:ser>
          <c:idx val="2"/>
          <c:order val="2"/>
          <c:tx>
            <c:strRef>
              <c:f>PDFlex!$N$46</c:f>
              <c:strCache>
                <c:ptCount val="1"/>
                <c:pt idx="0">
                  <c:v>6_6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pPr>
              <a:solidFill>
                <a:srgbClr val="9BBB59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PDFlex!$M$47:$M$50</c:f>
              <c:numCache>
                <c:formatCode>General</c:formatCode>
                <c:ptCount val="4"/>
                <c:pt idx="0">
                  <c:v>0</c:v>
                </c:pt>
                <c:pt idx="1">
                  <c:v>2.2293793338375679E-17</c:v>
                </c:pt>
                <c:pt idx="2">
                  <c:v>8.2318882075679685E-17</c:v>
                </c:pt>
                <c:pt idx="3">
                  <c:v>1.5622741160549287E-16</c:v>
                </c:pt>
              </c:numCache>
            </c:numRef>
          </c:xVal>
          <c:yVal>
            <c:numRef>
              <c:f>PDFlex!$N$47:$N$50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ED-46D6-8510-E8E7DBC6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57176"/>
        <c:axId val="1"/>
      </c:scatterChart>
      <c:valAx>
        <c:axId val="790157176"/>
        <c:scaling>
          <c:orientation val="minMax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fr-FR"/>
                  <a:t>&lt;esp&gt;f    E-3</a:t>
                </a:r>
              </a:p>
            </c:rich>
          </c:tx>
          <c:layout>
            <c:manualLayout>
              <c:xMode val="edge"/>
              <c:yMode val="edge"/>
              <c:x val="0.3908803565898557"/>
              <c:y val="0.948586194766891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Helv"/>
                <a:ea typeface="Helv"/>
                <a:cs typeface="Helv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fr-FR"/>
                  <a:t>&lt;sig&gt;f   MPa, ksi</a:t>
                </a:r>
              </a:p>
            </c:rich>
          </c:tx>
          <c:layout>
            <c:manualLayout>
              <c:xMode val="edge"/>
              <c:yMode val="edge"/>
              <c:x val="8.5323667230184225E-3"/>
              <c:y val="0.308483101983386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Helv"/>
                <a:ea typeface="Helv"/>
                <a:cs typeface="Helv"/>
              </a:defRPr>
            </a:pPr>
            <a:endParaRPr lang="fr-FR"/>
          </a:p>
        </c:txPr>
        <c:crossAx val="7901571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361783355417124"/>
          <c:y val="0.28092810563628001"/>
          <c:w val="9.8646034816247563E-2"/>
          <c:h val="0.201031198419785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45" b="0" i="0" u="none" strike="noStrike" baseline="0">
              <a:solidFill>
                <a:srgbClr val="000000"/>
              </a:solidFill>
              <a:latin typeface="Helv"/>
              <a:ea typeface="Helv"/>
              <a:cs typeface="Helv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Helv"/>
          <a:ea typeface="Helv"/>
          <a:cs typeface="Helv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GenLam!$CK$36:$CW$36</c:f>
              <c:numCache>
                <c:formatCode>General</c:formatCode>
                <c:ptCount val="1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D-473B-A442-9219455A74C5}"/>
            </c:ext>
          </c:extLst>
        </c:ser>
        <c:ser>
          <c:idx val="1"/>
          <c:order val="1"/>
          <c:spPr>
            <a:solidFill>
              <a:srgbClr val="C0504D"/>
            </a:solidFill>
            <a:ln w="25400">
              <a:noFill/>
            </a:ln>
          </c:spPr>
          <c:invertIfNegative val="0"/>
          <c:val>
            <c:numRef>
              <c:f>GenLam!$CK$37:$CW$37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BD-473B-A442-9219455A74C5}"/>
            </c:ext>
          </c:extLst>
        </c:ser>
        <c:ser>
          <c:idx val="2"/>
          <c:order val="2"/>
          <c:spPr>
            <a:solidFill>
              <a:srgbClr val="9BBB59"/>
            </a:solidFill>
            <a:ln w="25400">
              <a:noFill/>
            </a:ln>
          </c:spPr>
          <c:invertIfNegative val="0"/>
          <c:val>
            <c:numRef>
              <c:f>GenLam!$CK$38:$CW$38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BD-473B-A442-9219455A74C5}"/>
            </c:ext>
          </c:extLst>
        </c:ser>
        <c:ser>
          <c:idx val="3"/>
          <c:order val="3"/>
          <c:spPr>
            <a:solidFill>
              <a:srgbClr val="8064A2"/>
            </a:solidFill>
            <a:ln w="25400">
              <a:noFill/>
            </a:ln>
          </c:spPr>
          <c:invertIfNegative val="0"/>
          <c:val>
            <c:numRef>
              <c:f>GenLam!$CK$39:$CW$39</c:f>
              <c:numCache>
                <c:formatCode>General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BD-473B-A442-9219455A74C5}"/>
            </c:ext>
          </c:extLst>
        </c:ser>
        <c:ser>
          <c:idx val="4"/>
          <c:order val="4"/>
          <c:spPr>
            <a:solidFill>
              <a:srgbClr val="4BACC6"/>
            </a:solidFill>
            <a:ln w="25400">
              <a:noFill/>
            </a:ln>
          </c:spPr>
          <c:invertIfNegative val="0"/>
          <c:val>
            <c:numRef>
              <c:f>GenLam!$CK$40:$CW$40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BD-473B-A442-9219455A74C5}"/>
            </c:ext>
          </c:extLst>
        </c:ser>
        <c:ser>
          <c:idx val="5"/>
          <c:order val="5"/>
          <c:spPr>
            <a:solidFill>
              <a:srgbClr val="F79646"/>
            </a:solidFill>
            <a:ln w="25400">
              <a:noFill/>
            </a:ln>
          </c:spPr>
          <c:invertIfNegative val="0"/>
          <c:val>
            <c:numRef>
              <c:f>GenLam!$CK$41:$CW$41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BD-473B-A442-9219455A74C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GenLam!$CK$42:$CW$42</c:f>
              <c:numCache>
                <c:formatCode>General</c:formatCode>
                <c:ptCount val="13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BD-473B-A442-9219455A74C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GenLam!$CK$43:$CW$43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BD-473B-A442-9219455A74C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GenLam!$CK$44:$CW$44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BD-473B-A442-9219455A74C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GenLam!$CK$45:$CW$45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BD-473B-A442-9219455A74C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GenLam!$CK$46:$CW$46</c:f>
              <c:numCache>
                <c:formatCode>General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BD-473B-A442-9219455A74C5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GenLam!$CK$47:$CW$47</c:f>
              <c:numCache>
                <c:formatCode>General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7BD-473B-A442-9219455A74C5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GenLam!$CK$48:$CW$48</c:f>
              <c:numCache>
                <c:formatCode>General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7BD-473B-A442-9219455A7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90177840"/>
        <c:axId val="1"/>
        <c:axId val="2"/>
      </c:bar3DChart>
      <c:catAx>
        <c:axId val="79017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77840"/>
        <c:crosses val="autoZero"/>
        <c:crossBetween val="between"/>
      </c:valAx>
      <c:serAx>
        <c:axId val="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tickLblSkip val="7"/>
        <c:tickMarkSkip val="1"/>
      </c:ser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206222258866856"/>
          <c:y val="0.8586209198077045"/>
          <c:w val="0.68814527765181177"/>
          <c:h val="0.113793146990646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GenLam!$DI$3</c:f>
              <c:strCache>
                <c:ptCount val="1"/>
                <c:pt idx="0">
                  <c:v>±F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GenLam!$DH$4:$DH$29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13</c:v>
                </c:pt>
                <c:pt idx="3">
                  <c:v>23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15</c:v>
                </c:pt>
                <c:pt idx="8">
                  <c:v>27</c:v>
                </c:pt>
                <c:pt idx="9">
                  <c:v>0</c:v>
                </c:pt>
                <c:pt idx="10">
                  <c:v>6</c:v>
                </c:pt>
                <c:pt idx="11">
                  <c:v>23</c:v>
                </c:pt>
                <c:pt idx="12">
                  <c:v>0</c:v>
                </c:pt>
                <c:pt idx="13">
                  <c:v>18</c:v>
                </c:pt>
                <c:pt idx="14">
                  <c:v>32</c:v>
                </c:pt>
                <c:pt idx="15">
                  <c:v>1</c:v>
                </c:pt>
                <c:pt idx="16">
                  <c:v>9</c:v>
                </c:pt>
                <c:pt idx="17">
                  <c:v>20</c:v>
                </c:pt>
                <c:pt idx="18">
                  <c:v>28</c:v>
                </c:pt>
                <c:pt idx="19">
                  <c:v>10</c:v>
                </c:pt>
                <c:pt idx="20">
                  <c:v>18</c:v>
                </c:pt>
                <c:pt idx="21">
                  <c:v>27</c:v>
                </c:pt>
                <c:pt idx="22">
                  <c:v>19</c:v>
                </c:pt>
                <c:pt idx="23">
                  <c:v>18</c:v>
                </c:pt>
                <c:pt idx="24">
                  <c:v>25</c:v>
                </c:pt>
                <c:pt idx="25">
                  <c:v>27</c:v>
                </c:pt>
              </c:numCache>
            </c:numRef>
          </c:xVal>
          <c:yVal>
            <c:numRef>
              <c:f>GenLam!$DI$4:$DI$29</c:f>
              <c:numCache>
                <c:formatCode>0</c:formatCode>
                <c:ptCount val="26"/>
                <c:pt idx="0">
                  <c:v>42</c:v>
                </c:pt>
                <c:pt idx="1">
                  <c:v>65</c:v>
                </c:pt>
                <c:pt idx="2">
                  <c:v>77</c:v>
                </c:pt>
                <c:pt idx="3">
                  <c:v>90</c:v>
                </c:pt>
                <c:pt idx="4">
                  <c:v>90</c:v>
                </c:pt>
                <c:pt idx="5">
                  <c:v>38</c:v>
                </c:pt>
                <c:pt idx="6">
                  <c:v>59</c:v>
                </c:pt>
                <c:pt idx="7">
                  <c:v>75</c:v>
                </c:pt>
                <c:pt idx="8">
                  <c:v>90</c:v>
                </c:pt>
                <c:pt idx="9">
                  <c:v>43</c:v>
                </c:pt>
                <c:pt idx="10">
                  <c:v>67</c:v>
                </c:pt>
                <c:pt idx="11">
                  <c:v>83</c:v>
                </c:pt>
                <c:pt idx="12">
                  <c:v>52</c:v>
                </c:pt>
                <c:pt idx="13">
                  <c:v>73</c:v>
                </c:pt>
                <c:pt idx="14">
                  <c:v>90</c:v>
                </c:pt>
                <c:pt idx="15">
                  <c:v>49</c:v>
                </c:pt>
                <c:pt idx="16">
                  <c:v>62</c:v>
                </c:pt>
                <c:pt idx="17">
                  <c:v>70</c:v>
                </c:pt>
                <c:pt idx="18">
                  <c:v>80</c:v>
                </c:pt>
                <c:pt idx="19">
                  <c:v>55</c:v>
                </c:pt>
                <c:pt idx="20">
                  <c:v>64</c:v>
                </c:pt>
                <c:pt idx="21">
                  <c:v>72</c:v>
                </c:pt>
                <c:pt idx="22">
                  <c:v>60</c:v>
                </c:pt>
                <c:pt idx="23">
                  <c:v>57</c:v>
                </c:pt>
                <c:pt idx="24">
                  <c:v>65</c:v>
                </c:pt>
                <c:pt idx="25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E0-4EBA-A847-0A497A1FC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4072"/>
        <c:axId val="1"/>
      </c:scatterChart>
      <c:valAx>
        <c:axId val="790184072"/>
        <c:scaling>
          <c:orientation val="minMax"/>
          <c:max val="1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max"/>
        <c:crossBetween val="midCat"/>
        <c:majorUnit val="15"/>
      </c:valAx>
      <c:valAx>
        <c:axId val="1"/>
        <c:scaling>
          <c:orientation val="maxMin"/>
          <c:max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84072"/>
        <c:crosses val="autoZero"/>
        <c:crossBetween val="midCat"/>
        <c:majorUnit val="15"/>
        <c:minorUnit val="2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GenLam!$EL$11:$EU$11</c:f>
              <c:numCache>
                <c:formatCode>General</c:formatCode>
                <c:ptCount val="10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0E-42FF-A9CC-667AD79C442D}"/>
            </c:ext>
          </c:extLst>
        </c:ser>
        <c:ser>
          <c:idx val="1"/>
          <c:order val="1"/>
          <c:spPr>
            <a:solidFill>
              <a:srgbClr val="C0504D"/>
            </a:solidFill>
            <a:ln w="25400">
              <a:noFill/>
            </a:ln>
          </c:spPr>
          <c:invertIfNegative val="0"/>
          <c:val>
            <c:numRef>
              <c:f>GenLam!$EL$12:$EU$12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0E-42FF-A9CC-667AD79C442D}"/>
            </c:ext>
          </c:extLst>
        </c:ser>
        <c:ser>
          <c:idx val="2"/>
          <c:order val="2"/>
          <c:spPr>
            <a:solidFill>
              <a:srgbClr val="9BBB59"/>
            </a:solidFill>
            <a:ln w="25400">
              <a:noFill/>
            </a:ln>
          </c:spPr>
          <c:invertIfNegative val="0"/>
          <c:val>
            <c:numRef>
              <c:f>GenLam!$EL$13:$EU$13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0E-42FF-A9CC-667AD79C442D}"/>
            </c:ext>
          </c:extLst>
        </c:ser>
        <c:ser>
          <c:idx val="3"/>
          <c:order val="3"/>
          <c:spPr>
            <a:solidFill>
              <a:srgbClr val="8064A2"/>
            </a:solidFill>
            <a:ln w="25400">
              <a:noFill/>
            </a:ln>
          </c:spPr>
          <c:invertIfNegative val="0"/>
          <c:val>
            <c:numRef>
              <c:f>GenLam!$EL$14:$EU$14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0E-42FF-A9CC-667AD79C442D}"/>
            </c:ext>
          </c:extLst>
        </c:ser>
        <c:ser>
          <c:idx val="4"/>
          <c:order val="4"/>
          <c:spPr>
            <a:solidFill>
              <a:srgbClr val="4BACC6"/>
            </a:solidFill>
            <a:ln w="25400">
              <a:noFill/>
            </a:ln>
          </c:spPr>
          <c:invertIfNegative val="0"/>
          <c:val>
            <c:numRef>
              <c:f>GenLam!$EL$15:$EU$15</c:f>
              <c:numCache>
                <c:formatCode>General</c:formatCode>
                <c:ptCount val="10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0E-42FF-A9CC-667AD79C442D}"/>
            </c:ext>
          </c:extLst>
        </c:ser>
        <c:ser>
          <c:idx val="5"/>
          <c:order val="5"/>
          <c:spPr>
            <a:solidFill>
              <a:srgbClr val="F79646"/>
            </a:solidFill>
            <a:ln w="25400">
              <a:noFill/>
            </a:ln>
          </c:spPr>
          <c:invertIfNegative val="0"/>
          <c:val>
            <c:numRef>
              <c:f>GenLam!$EL$16:$EU$16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 formatCode="0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0E-42FF-A9CC-667AD79C44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GenLam!$EL$17:$EU$17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 formatCode="0">
                  <c:v>3</c:v>
                </c:pt>
                <c:pt idx="5">
                  <c:v>3</c:v>
                </c:pt>
                <c:pt idx="6" formatCode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0E-42FF-A9CC-667AD79C44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GenLam!$EL$18:$EU$18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 formatCode="0">
                  <c:v>4</c:v>
                </c:pt>
                <c:pt idx="5">
                  <c:v>3</c:v>
                </c:pt>
                <c:pt idx="6" formatCode="0">
                  <c:v>4</c:v>
                </c:pt>
                <c:pt idx="7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0E-42FF-A9CC-667AD79C44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GenLam!$EL$19:$EU$19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 formatCode="0">
                  <c:v>3</c:v>
                </c:pt>
                <c:pt idx="7" formatCode="0">
                  <c:v>3</c:v>
                </c:pt>
                <c:pt idx="8" formatCode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0E-42FF-A9CC-667AD79C44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GenLam!$EL$20:$EU$20</c:f>
              <c:numCache>
                <c:formatCode>0</c:formatCode>
                <c:ptCount val="10"/>
                <c:pt idx="0">
                  <c:v>1</c:v>
                </c:pt>
                <c:pt idx="1">
                  <c:v>3</c:v>
                </c:pt>
                <c:pt idx="2" formatCode="General">
                  <c:v>5</c:v>
                </c:pt>
                <c:pt idx="3" formatCode="General">
                  <c:v>5</c:v>
                </c:pt>
                <c:pt idx="4" formatCode="General">
                  <c:v>5</c:v>
                </c:pt>
                <c:pt idx="5" formatCode="General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0E-42FF-A9CC-667AD79C4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90192272"/>
        <c:axId val="1"/>
        <c:axId val="2"/>
      </c:bar3DChart>
      <c:catAx>
        <c:axId val="79019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2272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tickLblSkip val="4"/>
        <c:tickMarkSkip val="1"/>
      </c:ser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943777364055087"/>
          <c:y val="0.82733835689893609"/>
          <c:w val="0.53896231517698023"/>
          <c:h val="0.1438847025842200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Table!$H$3:$H$93</c:f>
              <c:numCache>
                <c:formatCode>0.00</c:formatCode>
                <c:ptCount val="9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  <c:pt idx="72">
                  <c:v>7.7899620731662989</c:v>
                </c:pt>
                <c:pt idx="73">
                  <c:v>7.5313525888643005</c:v>
                </c:pt>
                <c:pt idx="74">
                  <c:v>7.6814655774198313</c:v>
                </c:pt>
                <c:pt idx="75">
                  <c:v>7.841507442215649</c:v>
                </c:pt>
                <c:pt idx="76">
                  <c:v>8.011997619049632</c:v>
                </c:pt>
                <c:pt idx="77">
                  <c:v>8.1934797201108189</c:v>
                </c:pt>
                <c:pt idx="78">
                  <c:v>8.3865189667717708</c:v>
                </c:pt>
                <c:pt idx="79">
                  <c:v>8.5916983221328795</c:v>
                </c:pt>
                <c:pt idx="80">
                  <c:v>8.8096129721102834</c:v>
                </c:pt>
                <c:pt idx="81">
                  <c:v>9.0408627296300477</c:v>
                </c:pt>
                <c:pt idx="82">
                  <c:v>9.2860418527770516</c:v>
                </c:pt>
                <c:pt idx="83">
                  <c:v>9.5457256763936851</c:v>
                </c:pt>
                <c:pt idx="84">
                  <c:v>9.8204533616166589</c:v>
                </c:pt>
                <c:pt idx="85">
                  <c:v>10.110705976357513</c:v>
                </c:pt>
                <c:pt idx="86">
                  <c:v>9.8968344361105363</c:v>
                </c:pt>
                <c:pt idx="87">
                  <c:v>9.6179830211099393</c:v>
                </c:pt>
                <c:pt idx="88">
                  <c:v>9.3543113570698644</c:v>
                </c:pt>
                <c:pt idx="89">
                  <c:v>9.1052935129782142</c:v>
                </c:pt>
                <c:pt idx="90">
                  <c:v>8.8703619925574557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0B-49B1-89DB-E90752F62306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Table!$I$3:$I$93</c:f>
              <c:numCache>
                <c:formatCode>General</c:formatCode>
                <c:ptCount val="91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  <c:pt idx="72" formatCode="0.00">
                  <c:v>8.7410347416929017</c:v>
                </c:pt>
                <c:pt idx="73" formatCode="0.00">
                  <c:v>15.179459438258901</c:v>
                </c:pt>
                <c:pt idx="74" formatCode="0.00">
                  <c:v>14.166277861143101</c:v>
                </c:pt>
                <c:pt idx="75" formatCode="0.00">
                  <c:v>13.2927175530399</c:v>
                </c:pt>
                <c:pt idx="76" formatCode="0.00">
                  <c:v>12.5452334714097</c:v>
                </c:pt>
                <c:pt idx="77" formatCode="0.00">
                  <c:v>11.857318091794699</c:v>
                </c:pt>
                <c:pt idx="78" formatCode="0.00">
                  <c:v>11.3047826220023</c:v>
                </c:pt>
                <c:pt idx="79" formatCode="0.00">
                  <c:v>10.804064561253201</c:v>
                </c:pt>
                <c:pt idx="80" formatCode="0.00">
                  <c:v>10.3780161245319</c:v>
                </c:pt>
                <c:pt idx="81" formatCode="0.00">
                  <c:v>10.062189009877301</c:v>
                </c:pt>
                <c:pt idx="82" formatCode="0.00">
                  <c:v>9.8495073549917294</c:v>
                </c:pt>
                <c:pt idx="83" formatCode="0.00">
                  <c:v>9.7339567235650701</c:v>
                </c:pt>
                <c:pt idx="84" formatCode="0.00">
                  <c:v>9.7107809730317793</c:v>
                </c:pt>
                <c:pt idx="85" formatCode="0.00">
                  <c:v>9.7764145151320196</c:v>
                </c:pt>
                <c:pt idx="86" formatCode="0.00">
                  <c:v>9.9281628440300498</c:v>
                </c:pt>
                <c:pt idx="87" formatCode="0.00">
                  <c:v>10.163602949217699</c:v>
                </c:pt>
                <c:pt idx="88" formatCode="0.00">
                  <c:v>10.479628550056001</c:v>
                </c:pt>
                <c:pt idx="89" formatCode="0.00">
                  <c:v>10.8710276034854</c:v>
                </c:pt>
                <c:pt idx="90" formatCode="0.00">
                  <c:v>11.3284803180563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0B-49B1-89DB-E90752F62306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Table!$J$3:$J$93</c:f>
              <c:numCache>
                <c:formatCode>General</c:formatCode>
                <c:ptCount val="91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  <c:pt idx="72" formatCode="0.00">
                  <c:v>13.984467403512841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0B-49B1-89DB-E90752F62306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Table!$K$3:$K$93</c:f>
              <c:numCache>
                <c:formatCode>0.00</c:formatCode>
                <c:ptCount val="91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  <c:pt idx="72">
                  <c:v>15.602034288426681</c:v>
                </c:pt>
                <c:pt idx="73">
                  <c:v>5.5380974331957766E-2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0B-49B1-89DB-E90752F62306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Table!$L$3:$L$93</c:f>
              <c:numCache>
                <c:formatCode>General</c:formatCode>
                <c:ptCount val="91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  <c:pt idx="72" formatCode="0.00">
                  <c:v>14.410075731637864</c:v>
                </c:pt>
                <c:pt idx="73" formatCode="0.00">
                  <c:v>13.391806340411126</c:v>
                </c:pt>
                <c:pt idx="74" formatCode="0.00">
                  <c:v>12.714015826845907</c:v>
                </c:pt>
                <c:pt idx="75" formatCode="0.00">
                  <c:v>12.178963744847081</c:v>
                </c:pt>
                <c:pt idx="76" formatCode="0.00">
                  <c:v>11.779937035375166</c:v>
                </c:pt>
                <c:pt idx="77" formatCode="0.00">
                  <c:v>11.509517561461063</c:v>
                </c:pt>
                <c:pt idx="78" formatCode="0.00">
                  <c:v>11.360860255616581</c:v>
                </c:pt>
                <c:pt idx="79" formatCode="0.00">
                  <c:v>11.328398905464608</c:v>
                </c:pt>
                <c:pt idx="80" formatCode="0.00">
                  <c:v>11.408057062143836</c:v>
                </c:pt>
                <c:pt idx="81" formatCode="0.00">
                  <c:v>11.597032924735091</c:v>
                </c:pt>
                <c:pt idx="82" formatCode="0.00">
                  <c:v>11.893163059178038</c:v>
                </c:pt>
                <c:pt idx="83" formatCode="0.00">
                  <c:v>12.293785842956797</c:v>
                </c:pt>
                <c:pt idx="84" formatCode="0.00">
                  <c:v>12.793945317986026</c:v>
                </c:pt>
                <c:pt idx="85" formatCode="0.00">
                  <c:v>13.383734305319976</c:v>
                </c:pt>
                <c:pt idx="86" formatCode="0.00">
                  <c:v>14.044649064731534</c:v>
                </c:pt>
                <c:pt idx="87" formatCode="0.00">
                  <c:v>14.745167609832098</c:v>
                </c:pt>
                <c:pt idx="88" formatCode="0.00">
                  <c:v>15.436584803725816</c:v>
                </c:pt>
                <c:pt idx="89" formatCode="0.00">
                  <c:v>16.051538600131831</c:v>
                </c:pt>
                <c:pt idx="90" formatCode="0.00">
                  <c:v>16.509101867125558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0B-49B1-89DB-E90752F62306}"/>
            </c:ext>
          </c:extLst>
        </c:ser>
        <c:ser>
          <c:idx val="5"/>
          <c:order val="5"/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val>
            <c:numRef>
              <c:f>Table!$M$3:$M$93</c:f>
              <c:numCache>
                <c:formatCode>General</c:formatCode>
                <c:ptCount val="91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  <c:pt idx="46" formatCode="0.00">
                  <c:v>15.98849615827371</c:v>
                </c:pt>
                <c:pt idx="47" formatCode="0.00">
                  <c:v>15.667815324652182</c:v>
                </c:pt>
                <c:pt idx="48" formatCode="0.00">
                  <c:v>15.271308035652691</c:v>
                </c:pt>
                <c:pt idx="49" formatCode="0.00">
                  <c:v>14.80534513418009</c:v>
                </c:pt>
                <c:pt idx="50" formatCode="0.00">
                  <c:v>14.27990792621585</c:v>
                </c:pt>
                <c:pt idx="51" formatCode="0.00">
                  <c:v>13.707972544191708</c:v>
                </c:pt>
                <c:pt idx="52" formatCode="0.00">
                  <c:v>13.09905388656818</c:v>
                </c:pt>
                <c:pt idx="53" formatCode="0.00">
                  <c:v>12.145559766917005</c:v>
                </c:pt>
                <c:pt idx="54" formatCode="0.00">
                  <c:v>11.303632466227674</c:v>
                </c:pt>
                <c:pt idx="55" formatCode="0.00">
                  <c:v>10.566649362383584</c:v>
                </c:pt>
                <c:pt idx="56" formatCode="0.00">
                  <c:v>12.958682111546981</c:v>
                </c:pt>
                <c:pt idx="57" formatCode="0.00">
                  <c:v>12.869457474354391</c:v>
                </c:pt>
                <c:pt idx="58" formatCode="0.00">
                  <c:v>12.184797808389458</c:v>
                </c:pt>
                <c:pt idx="59" formatCode="0.00">
                  <c:v>11.602324003058872</c:v>
                </c:pt>
                <c:pt idx="60" formatCode="0.00">
                  <c:v>11.111034201301292</c:v>
                </c:pt>
                <c:pt idx="61" formatCode="0.00">
                  <c:v>10.701324056284191</c:v>
                </c:pt>
                <c:pt idx="62" formatCode="0.00">
                  <c:v>10.36504454415943</c:v>
                </c:pt>
                <c:pt idx="63" formatCode="0.00">
                  <c:v>10.095448642235965</c:v>
                </c:pt>
                <c:pt idx="64" formatCode="0.00">
                  <c:v>9.8870875823042255</c:v>
                </c:pt>
                <c:pt idx="65" formatCode="0.00">
                  <c:v>9.735689776844195</c:v>
                </c:pt>
                <c:pt idx="66">
                  <c:v>9.6380382497370629</c:v>
                </c:pt>
                <c:pt idx="67">
                  <c:v>9.5918512916480072</c:v>
                </c:pt>
                <c:pt idx="68" formatCode="0.00">
                  <c:v>9.5956630972884973</c:v>
                </c:pt>
                <c:pt idx="69" formatCode="0.00">
                  <c:v>9.6486941252562293</c:v>
                </c:pt>
                <c:pt idx="70" formatCode="0.00">
                  <c:v>9.7506931125984231</c:v>
                </c:pt>
                <c:pt idx="71" formatCode="0.00">
                  <c:v>12.223101410302334</c:v>
                </c:pt>
                <c:pt idx="72" formatCode="0.00">
                  <c:v>11.694471806543582</c:v>
                </c:pt>
                <c:pt idx="73" formatCode="0.00">
                  <c:v>16.933055679335631</c:v>
                </c:pt>
                <c:pt idx="74" formatCode="0.00">
                  <c:v>16.998964605733534</c:v>
                </c:pt>
                <c:pt idx="75" formatCode="0.00">
                  <c:v>17.237043375717771</c:v>
                </c:pt>
                <c:pt idx="76" formatCode="0.00">
                  <c:v>17.637743092852993</c:v>
                </c:pt>
                <c:pt idx="77" formatCode="0.00">
                  <c:v>18.188248674141565</c:v>
                </c:pt>
                <c:pt idx="78" formatCode="0.00">
                  <c:v>18.868802318645763</c:v>
                </c:pt>
                <c:pt idx="79" formatCode="0.00">
                  <c:v>19.647689577377683</c:v>
                </c:pt>
                <c:pt idx="80" formatCode="0.00">
                  <c:v>20.475380464180315</c:v>
                </c:pt>
                <c:pt idx="81" formatCode="0.00">
                  <c:v>21.279391128742098</c:v>
                </c:pt>
                <c:pt idx="82" formatCode="0.00">
                  <c:v>20.38923092695315</c:v>
                </c:pt>
                <c:pt idx="83" formatCode="0.00">
                  <c:v>18.861972914473988</c:v>
                </c:pt>
                <c:pt idx="84" formatCode="0.00">
                  <c:v>17.32471682469685</c:v>
                </c:pt>
                <c:pt idx="85" formatCode="0.00">
                  <c:v>15.860968910529889</c:v>
                </c:pt>
                <c:pt idx="86" formatCode="0.00">
                  <c:v>14.526875701034321</c:v>
                </c:pt>
                <c:pt idx="87" formatCode="0.00">
                  <c:v>13.352672686837307</c:v>
                </c:pt>
                <c:pt idx="88" formatCode="0.00">
                  <c:v>12.348549436972586</c:v>
                </c:pt>
                <c:pt idx="89" formatCode="0.00">
                  <c:v>11.511557277103048</c:v>
                </c:pt>
                <c:pt idx="90" formatCode="0.00">
                  <c:v>10.831579439260654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0B-49B1-89DB-E90752F62306}"/>
            </c:ext>
          </c:extLst>
        </c:ser>
        <c:ser>
          <c:idx val="6"/>
          <c:order val="6"/>
          <c:spPr>
            <a:ln w="38100">
              <a:solidFill>
                <a:srgbClr val="9999FF"/>
              </a:solidFill>
              <a:prstDash val="solid"/>
            </a:ln>
          </c:spPr>
          <c:marker>
            <c:symbol val="none"/>
          </c:marker>
          <c:val>
            <c:numRef>
              <c:f>Table!$N$3:$N$93</c:f>
              <c:numCache>
                <c:formatCode>General</c:formatCode>
                <c:ptCount val="91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11.640118403871508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 formatCode="0.00">
                  <c:v>8.1954384235114244</c:v>
                </c:pt>
                <c:pt idx="67" formatCode="0.00">
                  <c:v>8.3219465602183114</c:v>
                </c:pt>
                <c:pt idx="68" formatCode="0.00">
                  <c:v>8.1863484715315025</c:v>
                </c:pt>
                <c:pt idx="69" formatCode="0.00">
                  <c:v>8.0121125924002925</c:v>
                </c:pt>
                <c:pt idx="70" formatCode="0.00">
                  <c:v>7.8898459815381301</c:v>
                </c:pt>
                <c:pt idx="71" formatCode="0.00">
                  <c:v>7.816427065842019</c:v>
                </c:pt>
                <c:pt idx="72" formatCode="0.00">
                  <c:v>0</c:v>
                </c:pt>
                <c:pt idx="73" formatCode="0.00">
                  <c:v>22.665366783214346</c:v>
                </c:pt>
                <c:pt idx="74" formatCode="0.00">
                  <c:v>21.202669185230864</c:v>
                </c:pt>
                <c:pt idx="75" formatCode="0.00">
                  <c:v>19.672926909926822</c:v>
                </c:pt>
                <c:pt idx="76" formatCode="0.00">
                  <c:v>18.139264771813384</c:v>
                </c:pt>
                <c:pt idx="77" formatCode="0.00">
                  <c:v>16.65671167898445</c:v>
                </c:pt>
                <c:pt idx="78" formatCode="0.00">
                  <c:v>15.267623588416969</c:v>
                </c:pt>
                <c:pt idx="79" formatCode="0.00">
                  <c:v>14.000502619058398</c:v>
                </c:pt>
                <c:pt idx="80" formatCode="0.00">
                  <c:v>12.871185931515015</c:v>
                </c:pt>
                <c:pt idx="81" formatCode="0.00">
                  <c:v>11.88526941905352</c:v>
                </c:pt>
                <c:pt idx="82" formatCode="0.00">
                  <c:v>11.040900877039331</c:v>
                </c:pt>
                <c:pt idx="83" formatCode="0.00">
                  <c:v>10.331413688401021</c:v>
                </c:pt>
                <c:pt idx="84" formatCode="0.00">
                  <c:v>9.747532616186863</c:v>
                </c:pt>
                <c:pt idx="85" formatCode="0.00">
                  <c:v>9.2790535534161371</c:v>
                </c:pt>
                <c:pt idx="86" formatCode="0.00">
                  <c:v>8.9160046798920565</c:v>
                </c:pt>
                <c:pt idx="87" formatCode="0.00">
                  <c:v>8.6493562592461082</c:v>
                </c:pt>
                <c:pt idx="88" formatCode="0.00">
                  <c:v>8.4713691540068492</c:v>
                </c:pt>
                <c:pt idx="89" formatCode="0.00">
                  <c:v>8.3756659908838884</c:v>
                </c:pt>
                <c:pt idx="90" formatCode="0.00">
                  <c:v>8.3570837355674694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0B-49B1-89DB-E90752F62306}"/>
            </c:ext>
          </c:extLst>
        </c:ser>
        <c:ser>
          <c:idx val="7"/>
          <c:order val="7"/>
          <c:spPr>
            <a:ln w="38100">
              <a:solidFill>
                <a:srgbClr val="FF8080"/>
              </a:solidFill>
              <a:prstDash val="solid"/>
            </a:ln>
          </c:spPr>
          <c:marker>
            <c:symbol val="none"/>
          </c:marker>
          <c:val>
            <c:numRef>
              <c:f>Table!$O$3:$O$93</c:f>
              <c:numCache>
                <c:formatCode>General</c:formatCode>
                <c:ptCount val="91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14.958672524598965</c:v>
                </c:pt>
                <c:pt idx="74" formatCode="0.00">
                  <c:v>13.807724039339728</c:v>
                </c:pt>
                <c:pt idx="75" formatCode="0.00">
                  <c:v>12.787527916889401</c:v>
                </c:pt>
                <c:pt idx="76" formatCode="0.00">
                  <c:v>11.901276223161794</c:v>
                </c:pt>
                <c:pt idx="77" formatCode="0.00">
                  <c:v>11.147528631042558</c:v>
                </c:pt>
                <c:pt idx="78" formatCode="0.00">
                  <c:v>10.521356374296694</c:v>
                </c:pt>
                <c:pt idx="79" formatCode="0.00">
                  <c:v>10.015645861557951</c:v>
                </c:pt>
                <c:pt idx="80" formatCode="0.00">
                  <c:v>9.6223505831570684</c:v>
                </c:pt>
                <c:pt idx="81" formatCode="0.00">
                  <c:v>9.3335092719753554</c:v>
                </c:pt>
                <c:pt idx="82" formatCode="0.00">
                  <c:v>9.0394534814818464</c:v>
                </c:pt>
                <c:pt idx="83" formatCode="0.00">
                  <c:v>8.8258145203135268</c:v>
                </c:pt>
                <c:pt idx="84" formatCode="0.00">
                  <c:v>8.671877038162096</c:v>
                </c:pt>
                <c:pt idx="85" formatCode="0.00">
                  <c:v>8.5192857948047358</c:v>
                </c:pt>
                <c:pt idx="86" formatCode="0.00">
                  <c:v>8.4468721223842422</c:v>
                </c:pt>
                <c:pt idx="87" formatCode="0.00">
                  <c:v>8.3903321301203029</c:v>
                </c:pt>
                <c:pt idx="88" formatCode="0.00">
                  <c:v>8.3645770579406289</c:v>
                </c:pt>
                <c:pt idx="89" formatCode="0.00">
                  <c:v>8.4100030966709198</c:v>
                </c:pt>
                <c:pt idx="90" formatCode="0.00">
                  <c:v>8.5229201700363131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0B-49B1-89DB-E90752F62306}"/>
            </c:ext>
          </c:extLst>
        </c:ser>
        <c:ser>
          <c:idx val="8"/>
          <c:order val="8"/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val>
            <c:numRef>
              <c:f>Table!$P$3:$P$93</c:f>
              <c:numCache>
                <c:formatCode>General</c:formatCode>
                <c:ptCount val="91"/>
                <c:pt idx="0">
                  <c:v>0</c:v>
                </c:pt>
                <c:pt idx="1">
                  <c:v>1.6739540469607082E-3</c:v>
                </c:pt>
                <c:pt idx="2">
                  <c:v>4.4509073811771667E-3</c:v>
                </c:pt>
                <c:pt idx="3">
                  <c:v>8.8636502326806602E-3</c:v>
                </c:pt>
                <c:pt idx="4">
                  <c:v>1.33339678736834E-2</c:v>
                </c:pt>
                <c:pt idx="5">
                  <c:v>1.6950367657718419E-2</c:v>
                </c:pt>
                <c:pt idx="6">
                  <c:v>1.9276658398454688E-2</c:v>
                </c:pt>
                <c:pt idx="7">
                  <c:v>2.0404561464264684E-2</c:v>
                </c:pt>
                <c:pt idx="8">
                  <c:v>2.0768441542048845E-2</c:v>
                </c:pt>
                <c:pt idx="9">
                  <c:v>2.0826016331548007E-2</c:v>
                </c:pt>
                <c:pt idx="11" formatCode="0">
                  <c:v>80</c:v>
                </c:pt>
                <c:pt idx="20" formatCode="0">
                  <c:v>2</c:v>
                </c:pt>
                <c:pt idx="21" formatCode="0">
                  <c:v>2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13.292717553039875</c:v>
                </c:pt>
                <c:pt idx="74" formatCode="0.00">
                  <c:v>12.545233471409674</c:v>
                </c:pt>
                <c:pt idx="75" formatCode="0.00">
                  <c:v>11.857318091794699</c:v>
                </c:pt>
                <c:pt idx="76" formatCode="0.00">
                  <c:v>11.304782622002277</c:v>
                </c:pt>
                <c:pt idx="77" formatCode="0.00">
                  <c:v>10.804064561253202</c:v>
                </c:pt>
                <c:pt idx="78" formatCode="0.00">
                  <c:v>10.378016124531886</c:v>
                </c:pt>
                <c:pt idx="79" formatCode="0.00">
                  <c:v>10.062189009877255</c:v>
                </c:pt>
                <c:pt idx="80" formatCode="0.00">
                  <c:v>9.8495073549917347</c:v>
                </c:pt>
                <c:pt idx="81" formatCode="0.00">
                  <c:v>9.7339567235650684</c:v>
                </c:pt>
                <c:pt idx="82" formatCode="0.00">
                  <c:v>9.7107809730317829</c:v>
                </c:pt>
                <c:pt idx="83" formatCode="0.00">
                  <c:v>9.776414515132025</c:v>
                </c:pt>
                <c:pt idx="84" formatCode="0.00">
                  <c:v>9.9281628440300462</c:v>
                </c:pt>
                <c:pt idx="85" formatCode="0.00">
                  <c:v>10.163602949217662</c:v>
                </c:pt>
                <c:pt idx="86" formatCode="0.00">
                  <c:v>10.479628550056049</c:v>
                </c:pt>
                <c:pt idx="87" formatCode="0.00">
                  <c:v>10.871027603485402</c:v>
                </c:pt>
                <c:pt idx="88" formatCode="0.00">
                  <c:v>11.328480318056339</c:v>
                </c:pt>
                <c:pt idx="89" formatCode="0.00">
                  <c:v>11.835965331230685</c:v>
                </c:pt>
                <c:pt idx="90" formatCode="0.00">
                  <c:v>12.367862375339952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0B-49B1-89DB-E90752F62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55536"/>
        <c:axId val="1"/>
      </c:radarChart>
      <c:catAx>
        <c:axId val="7901555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2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5553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875"/>
          <c:y val="0.27464791100400704"/>
          <c:w val="0.2455357142857143"/>
          <c:h val="0.4436618376439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Table!$H$3:$H$93</c:f>
              <c:numCache>
                <c:formatCode>0.00</c:formatCode>
                <c:ptCount val="9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  <c:pt idx="72">
                  <c:v>7.7899620731662989</c:v>
                </c:pt>
                <c:pt idx="73">
                  <c:v>7.5313525888643005</c:v>
                </c:pt>
                <c:pt idx="74">
                  <c:v>7.6814655774198313</c:v>
                </c:pt>
                <c:pt idx="75">
                  <c:v>7.841507442215649</c:v>
                </c:pt>
                <c:pt idx="76">
                  <c:v>8.011997619049632</c:v>
                </c:pt>
                <c:pt idx="77">
                  <c:v>8.1934797201108189</c:v>
                </c:pt>
                <c:pt idx="78">
                  <c:v>8.3865189667717708</c:v>
                </c:pt>
                <c:pt idx="79">
                  <c:v>8.5916983221328795</c:v>
                </c:pt>
                <c:pt idx="80">
                  <c:v>8.8096129721102834</c:v>
                </c:pt>
                <c:pt idx="81">
                  <c:v>9.0408627296300477</c:v>
                </c:pt>
                <c:pt idx="82">
                  <c:v>9.2860418527770516</c:v>
                </c:pt>
                <c:pt idx="83">
                  <c:v>9.5457256763936851</c:v>
                </c:pt>
                <c:pt idx="84">
                  <c:v>9.8204533616166589</c:v>
                </c:pt>
                <c:pt idx="85">
                  <c:v>10.110705976357513</c:v>
                </c:pt>
                <c:pt idx="86">
                  <c:v>9.8968344361105363</c:v>
                </c:pt>
                <c:pt idx="87">
                  <c:v>9.6179830211099393</c:v>
                </c:pt>
                <c:pt idx="88">
                  <c:v>9.3543113570698644</c:v>
                </c:pt>
                <c:pt idx="89">
                  <c:v>9.1052935129782142</c:v>
                </c:pt>
                <c:pt idx="90">
                  <c:v>8.8703619925574557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6-45BF-9C56-9429A8DD601E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Table!$I$3:$I$93</c:f>
              <c:numCache>
                <c:formatCode>General</c:formatCode>
                <c:ptCount val="91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  <c:pt idx="72" formatCode="0.00">
                  <c:v>8.7410347416929017</c:v>
                </c:pt>
                <c:pt idx="73" formatCode="0.00">
                  <c:v>15.179459438258901</c:v>
                </c:pt>
                <c:pt idx="74" formatCode="0.00">
                  <c:v>14.166277861143101</c:v>
                </c:pt>
                <c:pt idx="75" formatCode="0.00">
                  <c:v>13.2927175530399</c:v>
                </c:pt>
                <c:pt idx="76" formatCode="0.00">
                  <c:v>12.5452334714097</c:v>
                </c:pt>
                <c:pt idx="77" formatCode="0.00">
                  <c:v>11.857318091794699</c:v>
                </c:pt>
                <c:pt idx="78" formatCode="0.00">
                  <c:v>11.3047826220023</c:v>
                </c:pt>
                <c:pt idx="79" formatCode="0.00">
                  <c:v>10.804064561253201</c:v>
                </c:pt>
                <c:pt idx="80" formatCode="0.00">
                  <c:v>10.3780161245319</c:v>
                </c:pt>
                <c:pt idx="81" formatCode="0.00">
                  <c:v>10.062189009877301</c:v>
                </c:pt>
                <c:pt idx="82" formatCode="0.00">
                  <c:v>9.8495073549917294</c:v>
                </c:pt>
                <c:pt idx="83" formatCode="0.00">
                  <c:v>9.7339567235650701</c:v>
                </c:pt>
                <c:pt idx="84" formatCode="0.00">
                  <c:v>9.7107809730317793</c:v>
                </c:pt>
                <c:pt idx="85" formatCode="0.00">
                  <c:v>9.7764145151320196</c:v>
                </c:pt>
                <c:pt idx="86" formatCode="0.00">
                  <c:v>9.9281628440300498</c:v>
                </c:pt>
                <c:pt idx="87" formatCode="0.00">
                  <c:v>10.163602949217699</c:v>
                </c:pt>
                <c:pt idx="88" formatCode="0.00">
                  <c:v>10.479628550056001</c:v>
                </c:pt>
                <c:pt idx="89" formatCode="0.00">
                  <c:v>10.8710276034854</c:v>
                </c:pt>
                <c:pt idx="90" formatCode="0.00">
                  <c:v>11.3284803180563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C6-45BF-9C56-9429A8DD601E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Table!$J$3:$J$93</c:f>
              <c:numCache>
                <c:formatCode>General</c:formatCode>
                <c:ptCount val="91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  <c:pt idx="72" formatCode="0.00">
                  <c:v>13.984467403512841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C6-45BF-9C56-9429A8DD601E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Table!$K$3:$K$93</c:f>
              <c:numCache>
                <c:formatCode>0.00</c:formatCode>
                <c:ptCount val="91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  <c:pt idx="72">
                  <c:v>15.602034288426681</c:v>
                </c:pt>
                <c:pt idx="73">
                  <c:v>5.5380974331957766E-2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C6-45BF-9C56-9429A8DD601E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Table!$L$3:$L$93</c:f>
              <c:numCache>
                <c:formatCode>General</c:formatCode>
                <c:ptCount val="91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  <c:pt idx="72" formatCode="0.00">
                  <c:v>14.410075731637864</c:v>
                </c:pt>
                <c:pt idx="73" formatCode="0.00">
                  <c:v>13.391806340411126</c:v>
                </c:pt>
                <c:pt idx="74" formatCode="0.00">
                  <c:v>12.714015826845907</c:v>
                </c:pt>
                <c:pt idx="75" formatCode="0.00">
                  <c:v>12.178963744847081</c:v>
                </c:pt>
                <c:pt idx="76" formatCode="0.00">
                  <c:v>11.779937035375166</c:v>
                </c:pt>
                <c:pt idx="77" formatCode="0.00">
                  <c:v>11.509517561461063</c:v>
                </c:pt>
                <c:pt idx="78" formatCode="0.00">
                  <c:v>11.360860255616581</c:v>
                </c:pt>
                <c:pt idx="79" formatCode="0.00">
                  <c:v>11.328398905464608</c:v>
                </c:pt>
                <c:pt idx="80" formatCode="0.00">
                  <c:v>11.408057062143836</c:v>
                </c:pt>
                <c:pt idx="81" formatCode="0.00">
                  <c:v>11.597032924735091</c:v>
                </c:pt>
                <c:pt idx="82" formatCode="0.00">
                  <c:v>11.893163059178038</c:v>
                </c:pt>
                <c:pt idx="83" formatCode="0.00">
                  <c:v>12.293785842956797</c:v>
                </c:pt>
                <c:pt idx="84" formatCode="0.00">
                  <c:v>12.793945317986026</c:v>
                </c:pt>
                <c:pt idx="85" formatCode="0.00">
                  <c:v>13.383734305319976</c:v>
                </c:pt>
                <c:pt idx="86" formatCode="0.00">
                  <c:v>14.044649064731534</c:v>
                </c:pt>
                <c:pt idx="87" formatCode="0.00">
                  <c:v>14.745167609832098</c:v>
                </c:pt>
                <c:pt idx="88" formatCode="0.00">
                  <c:v>15.436584803725816</c:v>
                </c:pt>
                <c:pt idx="89" formatCode="0.00">
                  <c:v>16.051538600131831</c:v>
                </c:pt>
                <c:pt idx="90" formatCode="0.00">
                  <c:v>16.509101867125558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C6-45BF-9C56-9429A8DD601E}"/>
            </c:ext>
          </c:extLst>
        </c:ser>
        <c:ser>
          <c:idx val="5"/>
          <c:order val="5"/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val>
            <c:numRef>
              <c:f>Table!$M$3:$M$93</c:f>
              <c:numCache>
                <c:formatCode>General</c:formatCode>
                <c:ptCount val="91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  <c:pt idx="46" formatCode="0.00">
                  <c:v>15.98849615827371</c:v>
                </c:pt>
                <c:pt idx="47" formatCode="0.00">
                  <c:v>15.667815324652182</c:v>
                </c:pt>
                <c:pt idx="48" formatCode="0.00">
                  <c:v>15.271308035652691</c:v>
                </c:pt>
                <c:pt idx="49" formatCode="0.00">
                  <c:v>14.80534513418009</c:v>
                </c:pt>
                <c:pt idx="50" formatCode="0.00">
                  <c:v>14.27990792621585</c:v>
                </c:pt>
                <c:pt idx="51" formatCode="0.00">
                  <c:v>13.707972544191708</c:v>
                </c:pt>
                <c:pt idx="52" formatCode="0.00">
                  <c:v>13.09905388656818</c:v>
                </c:pt>
                <c:pt idx="53" formatCode="0.00">
                  <c:v>12.145559766917005</c:v>
                </c:pt>
                <c:pt idx="54" formatCode="0.00">
                  <c:v>11.303632466227674</c:v>
                </c:pt>
                <c:pt idx="55" formatCode="0.00">
                  <c:v>10.566649362383584</c:v>
                </c:pt>
                <c:pt idx="56" formatCode="0.00">
                  <c:v>12.958682111546981</c:v>
                </c:pt>
                <c:pt idx="57" formatCode="0.00">
                  <c:v>12.869457474354391</c:v>
                </c:pt>
                <c:pt idx="58" formatCode="0.00">
                  <c:v>12.184797808389458</c:v>
                </c:pt>
                <c:pt idx="59" formatCode="0.00">
                  <c:v>11.602324003058872</c:v>
                </c:pt>
                <c:pt idx="60" formatCode="0.00">
                  <c:v>11.111034201301292</c:v>
                </c:pt>
                <c:pt idx="61" formatCode="0.00">
                  <c:v>10.701324056284191</c:v>
                </c:pt>
                <c:pt idx="62" formatCode="0.00">
                  <c:v>10.36504454415943</c:v>
                </c:pt>
                <c:pt idx="63" formatCode="0.00">
                  <c:v>10.095448642235965</c:v>
                </c:pt>
                <c:pt idx="64" formatCode="0.00">
                  <c:v>9.8870875823042255</c:v>
                </c:pt>
                <c:pt idx="65" formatCode="0.00">
                  <c:v>9.735689776844195</c:v>
                </c:pt>
                <c:pt idx="66">
                  <c:v>9.6380382497370629</c:v>
                </c:pt>
                <c:pt idx="67">
                  <c:v>9.5918512916480072</c:v>
                </c:pt>
                <c:pt idx="68" formatCode="0.00">
                  <c:v>9.5956630972884973</c:v>
                </c:pt>
                <c:pt idx="69" formatCode="0.00">
                  <c:v>9.6486941252562293</c:v>
                </c:pt>
                <c:pt idx="70" formatCode="0.00">
                  <c:v>9.7506931125984231</c:v>
                </c:pt>
                <c:pt idx="71" formatCode="0.00">
                  <c:v>12.223101410302334</c:v>
                </c:pt>
                <c:pt idx="72" formatCode="0.00">
                  <c:v>11.694471806543582</c:v>
                </c:pt>
                <c:pt idx="73" formatCode="0.00">
                  <c:v>16.933055679335631</c:v>
                </c:pt>
                <c:pt idx="74" formatCode="0.00">
                  <c:v>16.998964605733534</c:v>
                </c:pt>
                <c:pt idx="75" formatCode="0.00">
                  <c:v>17.237043375717771</c:v>
                </c:pt>
                <c:pt idx="76" formatCode="0.00">
                  <c:v>17.637743092852993</c:v>
                </c:pt>
                <c:pt idx="77" formatCode="0.00">
                  <c:v>18.188248674141565</c:v>
                </c:pt>
                <c:pt idx="78" formatCode="0.00">
                  <c:v>18.868802318645763</c:v>
                </c:pt>
                <c:pt idx="79" formatCode="0.00">
                  <c:v>19.647689577377683</c:v>
                </c:pt>
                <c:pt idx="80" formatCode="0.00">
                  <c:v>20.475380464180315</c:v>
                </c:pt>
                <c:pt idx="81" formatCode="0.00">
                  <c:v>21.279391128742098</c:v>
                </c:pt>
                <c:pt idx="82" formatCode="0.00">
                  <c:v>20.38923092695315</c:v>
                </c:pt>
                <c:pt idx="83" formatCode="0.00">
                  <c:v>18.861972914473988</c:v>
                </c:pt>
                <c:pt idx="84" formatCode="0.00">
                  <c:v>17.32471682469685</c:v>
                </c:pt>
                <c:pt idx="85" formatCode="0.00">
                  <c:v>15.860968910529889</c:v>
                </c:pt>
                <c:pt idx="86" formatCode="0.00">
                  <c:v>14.526875701034321</c:v>
                </c:pt>
                <c:pt idx="87" formatCode="0.00">
                  <c:v>13.352672686837307</c:v>
                </c:pt>
                <c:pt idx="88" formatCode="0.00">
                  <c:v>12.348549436972586</c:v>
                </c:pt>
                <c:pt idx="89" formatCode="0.00">
                  <c:v>11.511557277103048</c:v>
                </c:pt>
                <c:pt idx="90" formatCode="0.00">
                  <c:v>10.831579439260654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C6-45BF-9C56-9429A8DD601E}"/>
            </c:ext>
          </c:extLst>
        </c:ser>
        <c:ser>
          <c:idx val="6"/>
          <c:order val="6"/>
          <c:spPr>
            <a:ln w="38100">
              <a:solidFill>
                <a:srgbClr val="9999FF"/>
              </a:solidFill>
              <a:prstDash val="solid"/>
            </a:ln>
          </c:spPr>
          <c:marker>
            <c:symbol val="none"/>
          </c:marker>
          <c:val>
            <c:numRef>
              <c:f>Table!$N$3:$N$93</c:f>
              <c:numCache>
                <c:formatCode>General</c:formatCode>
                <c:ptCount val="91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11.640118403871508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 formatCode="0.00">
                  <c:v>8.1954384235114244</c:v>
                </c:pt>
                <c:pt idx="67" formatCode="0.00">
                  <c:v>8.3219465602183114</c:v>
                </c:pt>
                <c:pt idx="68" formatCode="0.00">
                  <c:v>8.1863484715315025</c:v>
                </c:pt>
                <c:pt idx="69" formatCode="0.00">
                  <c:v>8.0121125924002925</c:v>
                </c:pt>
                <c:pt idx="70" formatCode="0.00">
                  <c:v>7.8898459815381301</c:v>
                </c:pt>
                <c:pt idx="71" formatCode="0.00">
                  <c:v>7.816427065842019</c:v>
                </c:pt>
                <c:pt idx="72" formatCode="0.00">
                  <c:v>0</c:v>
                </c:pt>
                <c:pt idx="73" formatCode="0.00">
                  <c:v>22.665366783214346</c:v>
                </c:pt>
                <c:pt idx="74" formatCode="0.00">
                  <c:v>21.202669185230864</c:v>
                </c:pt>
                <c:pt idx="75" formatCode="0.00">
                  <c:v>19.672926909926822</c:v>
                </c:pt>
                <c:pt idx="76" formatCode="0.00">
                  <c:v>18.139264771813384</c:v>
                </c:pt>
                <c:pt idx="77" formatCode="0.00">
                  <c:v>16.65671167898445</c:v>
                </c:pt>
                <c:pt idx="78" formatCode="0.00">
                  <c:v>15.267623588416969</c:v>
                </c:pt>
                <c:pt idx="79" formatCode="0.00">
                  <c:v>14.000502619058398</c:v>
                </c:pt>
                <c:pt idx="80" formatCode="0.00">
                  <c:v>12.871185931515015</c:v>
                </c:pt>
                <c:pt idx="81" formatCode="0.00">
                  <c:v>11.88526941905352</c:v>
                </c:pt>
                <c:pt idx="82" formatCode="0.00">
                  <c:v>11.040900877039331</c:v>
                </c:pt>
                <c:pt idx="83" formatCode="0.00">
                  <c:v>10.331413688401021</c:v>
                </c:pt>
                <c:pt idx="84" formatCode="0.00">
                  <c:v>9.747532616186863</c:v>
                </c:pt>
                <c:pt idx="85" formatCode="0.00">
                  <c:v>9.2790535534161371</c:v>
                </c:pt>
                <c:pt idx="86" formatCode="0.00">
                  <c:v>8.9160046798920565</c:v>
                </c:pt>
                <c:pt idx="87" formatCode="0.00">
                  <c:v>8.6493562592461082</c:v>
                </c:pt>
                <c:pt idx="88" formatCode="0.00">
                  <c:v>8.4713691540068492</c:v>
                </c:pt>
                <c:pt idx="89" formatCode="0.00">
                  <c:v>8.3756659908838884</c:v>
                </c:pt>
                <c:pt idx="90" formatCode="0.00">
                  <c:v>8.3570837355674694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C6-45BF-9C56-9429A8DD601E}"/>
            </c:ext>
          </c:extLst>
        </c:ser>
        <c:ser>
          <c:idx val="7"/>
          <c:order val="7"/>
          <c:spPr>
            <a:ln w="38100">
              <a:solidFill>
                <a:srgbClr val="FF8080"/>
              </a:solidFill>
              <a:prstDash val="solid"/>
            </a:ln>
          </c:spPr>
          <c:marker>
            <c:symbol val="none"/>
          </c:marker>
          <c:val>
            <c:numRef>
              <c:f>Table!$O$3:$O$93</c:f>
              <c:numCache>
                <c:formatCode>General</c:formatCode>
                <c:ptCount val="91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14.958672524598965</c:v>
                </c:pt>
                <c:pt idx="74" formatCode="0.00">
                  <c:v>13.807724039339728</c:v>
                </c:pt>
                <c:pt idx="75" formatCode="0.00">
                  <c:v>12.787527916889401</c:v>
                </c:pt>
                <c:pt idx="76" formatCode="0.00">
                  <c:v>11.901276223161794</c:v>
                </c:pt>
                <c:pt idx="77" formatCode="0.00">
                  <c:v>11.147528631042558</c:v>
                </c:pt>
                <c:pt idx="78" formatCode="0.00">
                  <c:v>10.521356374296694</c:v>
                </c:pt>
                <c:pt idx="79" formatCode="0.00">
                  <c:v>10.015645861557951</c:v>
                </c:pt>
                <c:pt idx="80" formatCode="0.00">
                  <c:v>9.6223505831570684</c:v>
                </c:pt>
                <c:pt idx="81" formatCode="0.00">
                  <c:v>9.3335092719753554</c:v>
                </c:pt>
                <c:pt idx="82" formatCode="0.00">
                  <c:v>9.0394534814818464</c:v>
                </c:pt>
                <c:pt idx="83" formatCode="0.00">
                  <c:v>8.8258145203135268</c:v>
                </c:pt>
                <c:pt idx="84" formatCode="0.00">
                  <c:v>8.671877038162096</c:v>
                </c:pt>
                <c:pt idx="85" formatCode="0.00">
                  <c:v>8.5192857948047358</c:v>
                </c:pt>
                <c:pt idx="86" formatCode="0.00">
                  <c:v>8.4468721223842422</c:v>
                </c:pt>
                <c:pt idx="87" formatCode="0.00">
                  <c:v>8.3903321301203029</c:v>
                </c:pt>
                <c:pt idx="88" formatCode="0.00">
                  <c:v>8.3645770579406289</c:v>
                </c:pt>
                <c:pt idx="89" formatCode="0.00">
                  <c:v>8.4100030966709198</c:v>
                </c:pt>
                <c:pt idx="90" formatCode="0.00">
                  <c:v>8.5229201700363131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C6-45BF-9C56-9429A8DD601E}"/>
            </c:ext>
          </c:extLst>
        </c:ser>
        <c:ser>
          <c:idx val="8"/>
          <c:order val="8"/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val>
            <c:numRef>
              <c:f>Table!$P$3:$P$93</c:f>
              <c:numCache>
                <c:formatCode>General</c:formatCode>
                <c:ptCount val="91"/>
                <c:pt idx="0">
                  <c:v>0</c:v>
                </c:pt>
                <c:pt idx="1">
                  <c:v>1.6739540469607082E-3</c:v>
                </c:pt>
                <c:pt idx="2">
                  <c:v>4.4509073811771667E-3</c:v>
                </c:pt>
                <c:pt idx="3">
                  <c:v>8.8636502326806602E-3</c:v>
                </c:pt>
                <c:pt idx="4">
                  <c:v>1.33339678736834E-2</c:v>
                </c:pt>
                <c:pt idx="5">
                  <c:v>1.6950367657718419E-2</c:v>
                </c:pt>
                <c:pt idx="6">
                  <c:v>1.9276658398454688E-2</c:v>
                </c:pt>
                <c:pt idx="7">
                  <c:v>2.0404561464264684E-2</c:v>
                </c:pt>
                <c:pt idx="8">
                  <c:v>2.0768441542048845E-2</c:v>
                </c:pt>
                <c:pt idx="9">
                  <c:v>2.0826016331548007E-2</c:v>
                </c:pt>
                <c:pt idx="11" formatCode="0">
                  <c:v>80</c:v>
                </c:pt>
                <c:pt idx="20" formatCode="0">
                  <c:v>2</c:v>
                </c:pt>
                <c:pt idx="21" formatCode="0">
                  <c:v>2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13.292717553039875</c:v>
                </c:pt>
                <c:pt idx="74" formatCode="0.00">
                  <c:v>12.545233471409674</c:v>
                </c:pt>
                <c:pt idx="75" formatCode="0.00">
                  <c:v>11.857318091794699</c:v>
                </c:pt>
                <c:pt idx="76" formatCode="0.00">
                  <c:v>11.304782622002277</c:v>
                </c:pt>
                <c:pt idx="77" formatCode="0.00">
                  <c:v>10.804064561253202</c:v>
                </c:pt>
                <c:pt idx="78" formatCode="0.00">
                  <c:v>10.378016124531886</c:v>
                </c:pt>
                <c:pt idx="79" formatCode="0.00">
                  <c:v>10.062189009877255</c:v>
                </c:pt>
                <c:pt idx="80" formatCode="0.00">
                  <c:v>9.8495073549917347</c:v>
                </c:pt>
                <c:pt idx="81" formatCode="0.00">
                  <c:v>9.7339567235650684</c:v>
                </c:pt>
                <c:pt idx="82" formatCode="0.00">
                  <c:v>9.7107809730317829</c:v>
                </c:pt>
                <c:pt idx="83" formatCode="0.00">
                  <c:v>9.776414515132025</c:v>
                </c:pt>
                <c:pt idx="84" formatCode="0.00">
                  <c:v>9.9281628440300462</c:v>
                </c:pt>
                <c:pt idx="85" formatCode="0.00">
                  <c:v>10.163602949217662</c:v>
                </c:pt>
                <c:pt idx="86" formatCode="0.00">
                  <c:v>10.479628550056049</c:v>
                </c:pt>
                <c:pt idx="87" formatCode="0.00">
                  <c:v>10.871027603485402</c:v>
                </c:pt>
                <c:pt idx="88" formatCode="0.00">
                  <c:v>11.328480318056339</c:v>
                </c:pt>
                <c:pt idx="89" formatCode="0.00">
                  <c:v>11.835965331230685</c:v>
                </c:pt>
                <c:pt idx="90" formatCode="0.00">
                  <c:v>12.367862375339952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C6-45BF-9C56-9429A8DD601E}"/>
            </c:ext>
          </c:extLst>
        </c:ser>
        <c:ser>
          <c:idx val="9"/>
          <c:order val="9"/>
          <c:spPr>
            <a:ln w="381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Table!$Q$3:$Q$93</c:f>
              <c:numCache>
                <c:formatCode>0.00</c:formatCode>
                <c:ptCount val="91"/>
                <c:pt idx="11" formatCode="0">
                  <c:v>90</c:v>
                </c:pt>
                <c:pt idx="21" formatCode="0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8C6-45BF-9C56-9429A8DD6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61440"/>
        <c:axId val="1"/>
      </c:radarChart>
      <c:catAx>
        <c:axId val="79016144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2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6144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811473064194735"/>
          <c:y val="0.30458233481684355"/>
          <c:w val="0.19191987289214263"/>
          <c:h val="0.380053919890448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2E65A7"/>
                  </a:gs>
                  <a:gs pos="20000">
                    <a:srgbClr val="3065A4"/>
                  </a:gs>
                  <a:gs pos="100000">
                    <a:srgbClr val="224B7D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Table!$H$3:$H$48</c:f>
              <c:numCache>
                <c:formatCode>0.00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0B-4723-91FA-5832F0C708AF}"/>
            </c:ext>
          </c:extLst>
        </c:ser>
        <c:ser>
          <c:idx val="1"/>
          <c:order val="1"/>
          <c:spPr>
            <a:ln w="12700">
              <a:solidFill>
                <a:srgbClr val="99336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AA2F2C"/>
                  </a:gs>
                  <a:gs pos="20000">
                    <a:srgbClr val="A7312E"/>
                  </a:gs>
                  <a:gs pos="100000">
                    <a:srgbClr val="7F2321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0B-4723-91FA-5832F0C708AF}"/>
            </c:ext>
          </c:extLst>
        </c:ser>
        <c:ser>
          <c:idx val="2"/>
          <c:order val="2"/>
          <c:spPr>
            <a:ln w="12700">
              <a:solidFill>
                <a:srgbClr val="90713A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80A438"/>
                  </a:gs>
                  <a:gs pos="20000">
                    <a:srgbClr val="7FA13A"/>
                  </a:gs>
                  <a:gs pos="100000">
                    <a:srgbClr val="607A2A"/>
                  </a:gs>
                </a:gsLst>
                <a:lin ang="5400000"/>
              </a:gra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Table!$J$3:$J$48</c:f>
              <c:numCache>
                <c:formatCode>General</c:formatCode>
                <c:ptCount val="46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0B-4723-91FA-5832F0C708AF}"/>
            </c:ext>
          </c:extLst>
        </c:ser>
        <c:ser>
          <c:idx val="3"/>
          <c:order val="3"/>
          <c:spPr>
            <a:ln w="25400">
              <a:solidFill>
                <a:srgbClr val="DD080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65468A"/>
                  </a:gs>
                  <a:gs pos="20000">
                    <a:srgbClr val="644788"/>
                  </a:gs>
                  <a:gs pos="100000">
                    <a:srgbClr val="4B3467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Table!$K$3:$K$48</c:f>
              <c:numCache>
                <c:formatCode>0.00</c:formatCode>
                <c:ptCount val="46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0B-4723-91FA-5832F0C708AF}"/>
            </c:ext>
          </c:extLst>
        </c:ser>
        <c:ser>
          <c:idx val="4"/>
          <c:order val="4"/>
          <c:spPr>
            <a:ln w="25400">
              <a:solidFill>
                <a:srgbClr val="DD080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2994B0"/>
                  </a:gs>
                  <a:gs pos="20000">
                    <a:srgbClr val="2B91AD"/>
                  </a:gs>
                  <a:gs pos="100000">
                    <a:srgbClr val="1F6E83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Table!$L$3:$L$48</c:f>
              <c:numCache>
                <c:formatCode>General</c:formatCode>
                <c:ptCount val="46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20B-4723-91FA-5832F0C708AF}"/>
            </c:ext>
          </c:extLst>
        </c:ser>
        <c:ser>
          <c:idx val="5"/>
          <c:order val="5"/>
          <c:spPr>
            <a:ln w="25400">
              <a:solidFill>
                <a:srgbClr val="DD080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E0751D"/>
                  </a:gs>
                  <a:gs pos="20000">
                    <a:srgbClr val="DB7521"/>
                  </a:gs>
                  <a:gs pos="100000">
                    <a:srgbClr val="A85816"/>
                  </a:gs>
                </a:gsLst>
                <a:lin ang="5400000"/>
              </a:gra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Table!$M$3:$M$48</c:f>
              <c:numCache>
                <c:formatCode>General</c:formatCode>
                <c:ptCount val="46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20B-4723-91FA-5832F0C708AF}"/>
            </c:ext>
          </c:extLst>
        </c:ser>
        <c:ser>
          <c:idx val="6"/>
          <c:order val="6"/>
          <c:spPr>
            <a:ln w="12700">
              <a:solidFill>
                <a:srgbClr val="006411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Table!$N$3:$N$48</c:f>
              <c:numCache>
                <c:formatCode>General</c:formatCode>
                <c:ptCount val="46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11.640118403871508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16.101296215998197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20B-4723-91FA-5832F0C708AF}"/>
            </c:ext>
          </c:extLst>
        </c:ser>
        <c:ser>
          <c:idx val="7"/>
          <c:order val="7"/>
          <c:spPr>
            <a:ln w="12700">
              <a:solidFill>
                <a:srgbClr val="006411"/>
              </a:solidFill>
              <a:prstDash val="solid"/>
            </a:ln>
          </c:spPr>
          <c:marker>
            <c:symbol val="dot"/>
            <c:size val="2"/>
            <c:spPr>
              <a:solidFill>
                <a:schemeClr val="bg1"/>
              </a:solidFill>
              <a:ln>
                <a:solidFill>
                  <a:srgbClr val="008000"/>
                </a:solidFill>
              </a:ln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Table!$O$3:$O$48</c:f>
              <c:numCache>
                <c:formatCode>General</c:formatCode>
                <c:ptCount val="46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20B-4723-91FA-5832F0C708AF}"/>
            </c:ext>
          </c:extLst>
        </c:ser>
        <c:ser>
          <c:idx val="8"/>
          <c:order val="8"/>
          <c:spPr>
            <a:ln w="12700">
              <a:solidFill>
                <a:srgbClr val="90713A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9CC746"/>
                  </a:gs>
                  <a:gs pos="20000">
                    <a:srgbClr val="9BC348"/>
                  </a:gs>
                  <a:gs pos="100000">
                    <a:srgbClr val="769535"/>
                  </a:gs>
                </a:gsLst>
                <a:lin ang="5400000"/>
              </a:gra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Table!$P$3:$P$48</c:f>
              <c:numCache>
                <c:formatCode>General</c:formatCode>
                <c:ptCount val="46"/>
                <c:pt idx="0">
                  <c:v>0</c:v>
                </c:pt>
                <c:pt idx="1">
                  <c:v>1.6739540469607082E-3</c:v>
                </c:pt>
                <c:pt idx="2">
                  <c:v>4.4509073811771667E-3</c:v>
                </c:pt>
                <c:pt idx="3">
                  <c:v>8.8636502326806602E-3</c:v>
                </c:pt>
                <c:pt idx="4">
                  <c:v>1.33339678736834E-2</c:v>
                </c:pt>
                <c:pt idx="5">
                  <c:v>1.6950367657718419E-2</c:v>
                </c:pt>
                <c:pt idx="6">
                  <c:v>1.9276658398454688E-2</c:v>
                </c:pt>
                <c:pt idx="7">
                  <c:v>2.0404561464264684E-2</c:v>
                </c:pt>
                <c:pt idx="8">
                  <c:v>2.0768441542048845E-2</c:v>
                </c:pt>
                <c:pt idx="9">
                  <c:v>2.0826016331548007E-2</c:v>
                </c:pt>
                <c:pt idx="11" formatCode="0">
                  <c:v>80</c:v>
                </c:pt>
                <c:pt idx="20" formatCode="0">
                  <c:v>2</c:v>
                </c:pt>
                <c:pt idx="21" formatCode="0">
                  <c:v>2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20B-4723-91FA-5832F0C708AF}"/>
            </c:ext>
          </c:extLst>
        </c:ser>
        <c:ser>
          <c:idx val="9"/>
          <c:order val="9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7B57A8"/>
                  </a:gs>
                  <a:gs pos="20000">
                    <a:srgbClr val="7B58A6"/>
                  </a:gs>
                  <a:gs pos="100000">
                    <a:srgbClr val="5D417E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Table!$Q$3:$Q$48</c:f>
              <c:numCache>
                <c:formatCode>0.00</c:formatCode>
                <c:ptCount val="46"/>
                <c:pt idx="11" formatCode="0">
                  <c:v>90</c:v>
                </c:pt>
                <c:pt idx="21" formatCode="0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20B-4723-91FA-5832F0C708AF}"/>
            </c:ext>
          </c:extLst>
        </c:ser>
        <c:ser>
          <c:idx val="10"/>
          <c:order val="1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star"/>
            <c:size val="2"/>
            <c:spPr>
              <a:gradFill rotWithShape="0">
                <a:gsLst>
                  <a:gs pos="0">
                    <a:srgbClr val="34B3D6"/>
                  </a:gs>
                  <a:gs pos="20000">
                    <a:srgbClr val="36B1D2"/>
                  </a:gs>
                  <a:gs pos="100000">
                    <a:srgbClr val="2787A0"/>
                  </a:gs>
                </a:gsLst>
                <a:lin ang="5400000"/>
              </a:gradFill>
              <a:ln>
                <a:solidFill>
                  <a:srgbClr val="33CCCC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Table!$R$3:$R$48</c:f>
              <c:numCache>
                <c:formatCode>General</c:formatCode>
                <c:ptCount val="46"/>
                <c:pt idx="26">
                  <c:v>92.802449613104187</c:v>
                </c:pt>
                <c:pt idx="27">
                  <c:v>95.051278199176792</c:v>
                </c:pt>
                <c:pt idx="28">
                  <c:v>97.779088356310922</c:v>
                </c:pt>
                <c:pt idx="29">
                  <c:v>100.93278636263599</c:v>
                </c:pt>
                <c:pt idx="30">
                  <c:v>104.45098907373719</c:v>
                </c:pt>
                <c:pt idx="31">
                  <c:v>108.26521867573925</c:v>
                </c:pt>
                <c:pt idx="32">
                  <c:v>112.30123552806103</c:v>
                </c:pt>
                <c:pt idx="33">
                  <c:v>116.48048315357323</c:v>
                </c:pt>
                <c:pt idx="34">
                  <c:v>120.72161725106896</c:v>
                </c:pt>
                <c:pt idx="35">
                  <c:v>124.94208896955899</c:v>
                </c:pt>
                <c:pt idx="36">
                  <c:v>129.05975162775835</c:v>
                </c:pt>
                <c:pt idx="37">
                  <c:v>132.99445960579703</c:v>
                </c:pt>
                <c:pt idx="38">
                  <c:v>136.66962828854651</c:v>
                </c:pt>
                <c:pt idx="39">
                  <c:v>140.01372469803948</c:v>
                </c:pt>
                <c:pt idx="40">
                  <c:v>142.96165980151844</c:v>
                </c:pt>
                <c:pt idx="41">
                  <c:v>145.45605539542066</c:v>
                </c:pt>
                <c:pt idx="42">
                  <c:v>147.44836090684379</c:v>
                </c:pt>
                <c:pt idx="43">
                  <c:v>148.89979837522188</c:v>
                </c:pt>
                <c:pt idx="44">
                  <c:v>149.78211722121861</c:v>
                </c:pt>
                <c:pt idx="45">
                  <c:v>150.07814411211942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20B-4723-91FA-5832F0C708AF}"/>
            </c:ext>
          </c:extLst>
        </c:ser>
        <c:ser>
          <c:idx val="11"/>
          <c:order val="1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FF8F26"/>
                  </a:gs>
                  <a:gs pos="20000">
                    <a:srgbClr val="FF8F2A"/>
                  </a:gs>
                  <a:gs pos="100000">
                    <a:srgbClr val="CB6C1D"/>
                  </a:gs>
                </a:gsLst>
                <a:lin ang="5400000"/>
              </a:gradFill>
              <a:ln>
                <a:solidFill>
                  <a:srgbClr val="FF99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Table!$S$3:$S$48</c:f>
              <c:numCache>
                <c:formatCode>General</c:formatCode>
                <c:ptCount val="46"/>
                <c:pt idx="13">
                  <c:v>0</c:v>
                </c:pt>
                <c:pt idx="26">
                  <c:v>161.09814411211943</c:v>
                </c:pt>
                <c:pt idx="27">
                  <c:v>161.09814411211943</c:v>
                </c:pt>
                <c:pt idx="28">
                  <c:v>161.09814411211943</c:v>
                </c:pt>
                <c:pt idx="29">
                  <c:v>161.09814411211943</c:v>
                </c:pt>
                <c:pt idx="30">
                  <c:v>161.09814411211943</c:v>
                </c:pt>
                <c:pt idx="31">
                  <c:v>161.09814411211943</c:v>
                </c:pt>
                <c:pt idx="32">
                  <c:v>161.0981441121194</c:v>
                </c:pt>
                <c:pt idx="33">
                  <c:v>161.09814411211943</c:v>
                </c:pt>
                <c:pt idx="34">
                  <c:v>161.09814411211943</c:v>
                </c:pt>
                <c:pt idx="35">
                  <c:v>161.09814411211943</c:v>
                </c:pt>
                <c:pt idx="36">
                  <c:v>161.09814411211943</c:v>
                </c:pt>
                <c:pt idx="37">
                  <c:v>161.09814411211943</c:v>
                </c:pt>
                <c:pt idx="38">
                  <c:v>161.09814411211943</c:v>
                </c:pt>
                <c:pt idx="39">
                  <c:v>161.09814411211943</c:v>
                </c:pt>
                <c:pt idx="40">
                  <c:v>161.0981441121194</c:v>
                </c:pt>
                <c:pt idx="41">
                  <c:v>161.0981441121194</c:v>
                </c:pt>
                <c:pt idx="42">
                  <c:v>161.0981441121194</c:v>
                </c:pt>
                <c:pt idx="43">
                  <c:v>161.09814411211943</c:v>
                </c:pt>
                <c:pt idx="44">
                  <c:v>161.09814411211943</c:v>
                </c:pt>
                <c:pt idx="45">
                  <c:v>161.09814411211943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20B-4723-91FA-5832F0C70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55208"/>
        <c:axId val="1"/>
      </c:scatterChart>
      <c:valAx>
        <c:axId val="790155208"/>
        <c:scaling>
          <c:orientation val="minMax"/>
          <c:max val="12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  <c:max val="162"/>
          <c:min val="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out"/>
        <c:minorTickMark val="out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552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3950816492765989"/>
          <c:y val="0.19434645669291339"/>
          <c:w val="0.14074111425726954"/>
          <c:h val="0.5971743532058493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Table!$H$3:$H$48</c:f>
              <c:numCache>
                <c:formatCode>0.00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45-443F-A7E9-0A9EBCB8F93C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CE3B37"/>
                  </a:gs>
                  <a:gs pos="20000">
                    <a:srgbClr val="CB3D3A"/>
                  </a:gs>
                  <a:gs pos="100000">
                    <a:srgbClr val="9B2D2A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45-443F-A7E9-0A9EBCB8F93C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9CC746"/>
                  </a:gs>
                  <a:gs pos="20000">
                    <a:srgbClr val="9BC348"/>
                  </a:gs>
                  <a:gs pos="100000">
                    <a:srgbClr val="769535"/>
                  </a:gs>
                </a:gsLst>
                <a:lin ang="5400000"/>
              </a:gra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Table!$J$3:$J$48</c:f>
              <c:numCache>
                <c:formatCode>General</c:formatCode>
                <c:ptCount val="46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45-443F-A7E9-0A9EBCB8F93C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7B57A8"/>
                  </a:gs>
                  <a:gs pos="20000">
                    <a:srgbClr val="7B58A6"/>
                  </a:gs>
                  <a:gs pos="100000">
                    <a:srgbClr val="5D417E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Table!$K$3:$K$48</c:f>
              <c:numCache>
                <c:formatCode>0.00</c:formatCode>
                <c:ptCount val="46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45-443F-A7E9-0A9EBCB8F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8008"/>
        <c:axId val="1"/>
      </c:scatterChart>
      <c:valAx>
        <c:axId val="790188008"/>
        <c:scaling>
          <c:orientation val="minMax"/>
          <c:max val="135"/>
          <c:min val="15"/>
        </c:scaling>
        <c:delete val="0"/>
        <c:axPos val="b"/>
        <c:numFmt formatCode="General" sourceLinked="1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  <c:max val="1.4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88008"/>
        <c:crosses val="autoZero"/>
        <c:crossBetween val="midCat"/>
        <c:majorUnit val="166666.66946576402"/>
      </c:valAx>
      <c:spPr>
        <a:solidFill>
          <a:srgbClr val="FFFFFF"/>
        </a:solidFill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326DB3"/>
                  </a:gs>
                  <a:gs pos="20000">
                    <a:srgbClr val="346CB0"/>
                  </a:gs>
                  <a:gs pos="100000">
                    <a:srgbClr val="265186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Table!$H$3:$H$48</c:f>
              <c:numCache>
                <c:formatCode>0.00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1E-4B61-BA8C-4714B49F9490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B73330"/>
                  </a:gs>
                  <a:gs pos="20000">
                    <a:srgbClr val="B33532"/>
                  </a:gs>
                  <a:gs pos="100000">
                    <a:srgbClr val="882624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1E-4B61-BA8C-4714B49F9490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8AB03D"/>
                  </a:gs>
                  <a:gs pos="20000">
                    <a:srgbClr val="89AD3E"/>
                  </a:gs>
                  <a:gs pos="100000">
                    <a:srgbClr val="67832D"/>
                  </a:gs>
                </a:gsLst>
                <a:lin ang="5400000"/>
              </a:gra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Table!$J$3:$J$48</c:f>
              <c:numCache>
                <c:formatCode>General</c:formatCode>
                <c:ptCount val="46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1E-4B61-BA8C-4714B49F9490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6D4C94"/>
                  </a:gs>
                  <a:gs pos="20000">
                    <a:srgbClr val="6C4D92"/>
                  </a:gs>
                  <a:gs pos="100000">
                    <a:srgbClr val="51396F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Table!$K$3:$K$48</c:f>
              <c:numCache>
                <c:formatCode>0.00</c:formatCode>
                <c:ptCount val="46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1E-4B61-BA8C-4714B49F9490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2D9EBD"/>
                  </a:gs>
                  <a:gs pos="20000">
                    <a:srgbClr val="2F9CB9"/>
                  </a:gs>
                  <a:gs pos="100000">
                    <a:srgbClr val="22768D"/>
                  </a:gs>
                </a:gsLst>
                <a:lin ang="5400000"/>
              </a:gradFill>
              <a:ln>
                <a:solidFill>
                  <a:srgbClr val="33CCCC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Table!$L$3:$L$48</c:f>
              <c:numCache>
                <c:formatCode>General</c:formatCode>
                <c:ptCount val="46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91E-4B61-BA8C-4714B49F9490}"/>
            </c:ext>
          </c:extLst>
        </c:ser>
        <c:ser>
          <c:idx val="5"/>
          <c:order val="5"/>
          <c:spPr>
            <a:ln w="38100">
              <a:solidFill>
                <a:srgbClr val="FF9900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F07E20"/>
                  </a:gs>
                  <a:gs pos="20000">
                    <a:srgbClr val="EB7E24"/>
                  </a:gs>
                  <a:gs pos="100000">
                    <a:srgbClr val="B45F19"/>
                  </a:gs>
                </a:gsLst>
                <a:lin ang="5400000"/>
              </a:gradFill>
              <a:ln>
                <a:solidFill>
                  <a:srgbClr val="FF99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Table!$M$3:$M$48</c:f>
              <c:numCache>
                <c:formatCode>General</c:formatCode>
                <c:ptCount val="46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91E-4B61-BA8C-4714B49F9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926840"/>
        <c:axId val="1"/>
      </c:scatterChart>
      <c:valAx>
        <c:axId val="745926840"/>
        <c:scaling>
          <c:orientation val="minMax"/>
          <c:max val="95"/>
          <c:min val="20"/>
        </c:scaling>
        <c:delete val="0"/>
        <c:axPos val="b"/>
        <c:numFmt formatCode="General" sourceLinked="1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" sourceLinked="0"/>
        <c:majorTickMark val="out"/>
        <c:minorTickMark val="out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4592684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482862246641777"/>
          <c:y val="0.3475189794824034"/>
          <c:w val="0.1354681524760265"/>
          <c:h val="0.2978733572281959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7-446A-B824-8EF196358163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D7-446A-B824-8EF196358163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D7-446A-B824-8EF196358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937664"/>
        <c:axId val="1"/>
      </c:radarChart>
      <c:catAx>
        <c:axId val="74593766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4593766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59016708277324"/>
          <c:y val="0.42402891809342341"/>
          <c:w val="0.1348041738685104"/>
          <c:h val="0.1448766591008863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6F-4923-9959-7E049F33C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56968"/>
        <c:axId val="1"/>
      </c:radarChart>
      <c:catAx>
        <c:axId val="79545696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5696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210733009994698"/>
          <c:y val="0.46830997189181139"/>
          <c:w val="0.1378448890896119"/>
          <c:h val="4.577465050911183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BA-49E7-AF9B-77A08AE6B9D0}"/>
            </c:ext>
          </c:extLst>
        </c:ser>
        <c:ser>
          <c:idx val="1"/>
          <c:order val="1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Table!$L$3:$L$74</c:f>
              <c:numCache>
                <c:formatCode>General</c:formatCode>
                <c:ptCount val="72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BA-49E7-AF9B-77A08AE6B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1888"/>
        <c:axId val="1"/>
      </c:radarChart>
      <c:catAx>
        <c:axId val="79546188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61888"/>
        <c:crosses val="autoZero"/>
        <c:crossBetween val="between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96683951091478"/>
          <c:y val="0.44366188269019563"/>
          <c:w val="0.1344743614365278"/>
          <c:h val="9.859161221868545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Table!$N$3:$N$38</c:f>
              <c:numCache>
                <c:formatCode>General</c:formatCode>
                <c:ptCount val="36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14-47FC-8820-76A6F7CB670D}"/>
            </c:ext>
          </c:extLst>
        </c:ser>
        <c:ser>
          <c:idx val="1"/>
          <c:order val="1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circle"/>
            <c:size val="5"/>
            <c:spPr>
              <a:gradFill rotWithShape="0">
                <a:gsLst>
                  <a:gs pos="0">
                    <a:srgbClr val="CE3B37"/>
                  </a:gs>
                  <a:gs pos="20000">
                    <a:srgbClr val="CB3D3A"/>
                  </a:gs>
                  <a:gs pos="100000">
                    <a:srgbClr val="9B2D2A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Table!$O$3:$O$38</c:f>
              <c:numCache>
                <c:formatCode>General</c:formatCode>
                <c:ptCount val="36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14-47FC-8820-76A6F7CB6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56312"/>
        <c:axId val="1"/>
      </c:radarChart>
      <c:catAx>
        <c:axId val="7954563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5631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2396184623263558"/>
          <c:y val="0.44523028927433894"/>
          <c:w val="0.15647935471480701"/>
          <c:h val="9.894023033597665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2-420D-8951-8B4A77F5C651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92-420D-8951-8B4A77F5C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54344"/>
        <c:axId val="1"/>
      </c:radarChart>
      <c:catAx>
        <c:axId val="79545434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5434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96683951091478"/>
          <c:y val="0.44523059617547805"/>
          <c:w val="0.1344743614365278"/>
          <c:h val="9.894000749906256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6-4BC3-9A35-DB507C20A833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B6-4BC3-9A35-DB507C20A833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B6-4BC3-9A35-DB507C20A833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B6-4BC3-9A35-DB507C20A833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Table!$L$3:$L$74</c:f>
              <c:numCache>
                <c:formatCode>General</c:formatCode>
                <c:ptCount val="72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B6-4BC3-9A35-DB507C20A833}"/>
            </c:ext>
          </c:extLst>
        </c:ser>
        <c:ser>
          <c:idx val="5"/>
          <c:order val="5"/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val>
            <c:numRef>
              <c:f>Table!$M$3:$M$74</c:f>
              <c:numCache>
                <c:formatCode>General</c:formatCode>
                <c:ptCount val="72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  <c:pt idx="46" formatCode="0.00">
                  <c:v>15.98849615827371</c:v>
                </c:pt>
                <c:pt idx="47" formatCode="0.00">
                  <c:v>15.667815324652182</c:v>
                </c:pt>
                <c:pt idx="48" formatCode="0.00">
                  <c:v>15.271308035652691</c:v>
                </c:pt>
                <c:pt idx="49" formatCode="0.00">
                  <c:v>14.80534513418009</c:v>
                </c:pt>
                <c:pt idx="50" formatCode="0.00">
                  <c:v>14.27990792621585</c:v>
                </c:pt>
                <c:pt idx="51" formatCode="0.00">
                  <c:v>13.707972544191708</c:v>
                </c:pt>
                <c:pt idx="52" formatCode="0.00">
                  <c:v>13.09905388656818</c:v>
                </c:pt>
                <c:pt idx="53" formatCode="0.00">
                  <c:v>12.145559766917005</c:v>
                </c:pt>
                <c:pt idx="54" formatCode="0.00">
                  <c:v>11.303632466227674</c:v>
                </c:pt>
                <c:pt idx="55" formatCode="0.00">
                  <c:v>10.566649362383584</c:v>
                </c:pt>
                <c:pt idx="56" formatCode="0.00">
                  <c:v>12.958682111546981</c:v>
                </c:pt>
                <c:pt idx="57" formatCode="0.00">
                  <c:v>12.869457474354391</c:v>
                </c:pt>
                <c:pt idx="58" formatCode="0.00">
                  <c:v>12.184797808389458</c:v>
                </c:pt>
                <c:pt idx="59" formatCode="0.00">
                  <c:v>11.602324003058872</c:v>
                </c:pt>
                <c:pt idx="60" formatCode="0.00">
                  <c:v>11.111034201301292</c:v>
                </c:pt>
                <c:pt idx="61" formatCode="0.00">
                  <c:v>10.701324056284191</c:v>
                </c:pt>
                <c:pt idx="62" formatCode="0.00">
                  <c:v>10.36504454415943</c:v>
                </c:pt>
                <c:pt idx="63" formatCode="0.00">
                  <c:v>10.095448642235965</c:v>
                </c:pt>
                <c:pt idx="64" formatCode="0.00">
                  <c:v>9.8870875823042255</c:v>
                </c:pt>
                <c:pt idx="65" formatCode="0.00">
                  <c:v>9.735689776844195</c:v>
                </c:pt>
                <c:pt idx="66">
                  <c:v>9.6380382497370629</c:v>
                </c:pt>
                <c:pt idx="67">
                  <c:v>9.5918512916480072</c:v>
                </c:pt>
                <c:pt idx="68" formatCode="0.00">
                  <c:v>9.5956630972884973</c:v>
                </c:pt>
                <c:pt idx="69" formatCode="0.00">
                  <c:v>9.6486941252562293</c:v>
                </c:pt>
                <c:pt idx="70" formatCode="0.00">
                  <c:v>9.7506931125984231</c:v>
                </c:pt>
                <c:pt idx="71" formatCode="0.00">
                  <c:v>12.223101410302334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B6-4BC3-9A35-DB507C20A833}"/>
            </c:ext>
          </c:extLst>
        </c:ser>
        <c:ser>
          <c:idx val="6"/>
          <c:order val="6"/>
          <c:spPr>
            <a:ln w="38100">
              <a:solidFill>
                <a:srgbClr val="9999FF"/>
              </a:solidFill>
              <a:prstDash val="solid"/>
            </a:ln>
          </c:spPr>
          <c:marker>
            <c:symbol val="none"/>
          </c:marker>
          <c:val>
            <c:numRef>
              <c:f>Table!$N$3:$N$74</c:f>
              <c:numCache>
                <c:formatCode>General</c:formatCode>
                <c:ptCount val="72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11.640118403871508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 formatCode="0.00">
                  <c:v>8.1954384235114244</c:v>
                </c:pt>
                <c:pt idx="67" formatCode="0.00">
                  <c:v>8.3219465602183114</c:v>
                </c:pt>
                <c:pt idx="68" formatCode="0.00">
                  <c:v>8.1863484715315025</c:v>
                </c:pt>
                <c:pt idx="69" formatCode="0.00">
                  <c:v>8.0121125924002925</c:v>
                </c:pt>
                <c:pt idx="70" formatCode="0.00">
                  <c:v>7.8898459815381301</c:v>
                </c:pt>
                <c:pt idx="71" formatCode="0.00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B6-4BC3-9A35-DB507C20A833}"/>
            </c:ext>
          </c:extLst>
        </c:ser>
        <c:ser>
          <c:idx val="7"/>
          <c:order val="7"/>
          <c:spPr>
            <a:ln w="38100">
              <a:solidFill>
                <a:srgbClr val="FF8080"/>
              </a:solidFill>
              <a:prstDash val="solid"/>
            </a:ln>
          </c:spPr>
          <c:marker>
            <c:symbol val="none"/>
          </c:marker>
          <c:val>
            <c:numRef>
              <c:f>Table!$O$3:$O$74</c:f>
              <c:numCache>
                <c:formatCode>General</c:formatCode>
                <c:ptCount val="72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B6-4BC3-9A35-DB507C20A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58936"/>
        <c:axId val="1"/>
      </c:radarChart>
      <c:catAx>
        <c:axId val="7954589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5893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96683951091478"/>
          <c:y val="0.2922536810558255"/>
          <c:w val="0.1344743614365278"/>
          <c:h val="0.3978872321810836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Table!$N$3:$N$74</c:f>
              <c:numCache>
                <c:formatCode>General</c:formatCode>
                <c:ptCount val="72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11.640118403871508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 formatCode="0.00">
                  <c:v>8.1954384235114244</c:v>
                </c:pt>
                <c:pt idx="67" formatCode="0.00">
                  <c:v>8.3219465602183114</c:v>
                </c:pt>
                <c:pt idx="68" formatCode="0.00">
                  <c:v>8.1863484715315025</c:v>
                </c:pt>
                <c:pt idx="69" formatCode="0.00">
                  <c:v>8.0121125924002925</c:v>
                </c:pt>
                <c:pt idx="70" formatCode="0.00">
                  <c:v>7.8898459815381301</c:v>
                </c:pt>
                <c:pt idx="71" formatCode="0.00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2-42C3-8858-16F2F1C412D3}"/>
            </c:ext>
          </c:extLst>
        </c:ser>
        <c:ser>
          <c:idx val="1"/>
          <c:order val="1"/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Table!$O$3:$O$74</c:f>
              <c:numCache>
                <c:formatCode>General</c:formatCode>
                <c:ptCount val="72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92-42C3-8858-16F2F1C412D3}"/>
            </c:ext>
          </c:extLst>
        </c:ser>
        <c:ser>
          <c:idx val="2"/>
          <c:order val="2"/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Table!$P$3:$P$74</c:f>
              <c:numCache>
                <c:formatCode>General</c:formatCode>
                <c:ptCount val="72"/>
                <c:pt idx="0">
                  <c:v>0</c:v>
                </c:pt>
                <c:pt idx="1">
                  <c:v>1.6739540469607082E-3</c:v>
                </c:pt>
                <c:pt idx="2">
                  <c:v>4.4509073811771667E-3</c:v>
                </c:pt>
                <c:pt idx="3">
                  <c:v>8.8636502326806602E-3</c:v>
                </c:pt>
                <c:pt idx="4">
                  <c:v>1.33339678736834E-2</c:v>
                </c:pt>
                <c:pt idx="5">
                  <c:v>1.6950367657718419E-2</c:v>
                </c:pt>
                <c:pt idx="6">
                  <c:v>1.9276658398454688E-2</c:v>
                </c:pt>
                <c:pt idx="7">
                  <c:v>2.0404561464264684E-2</c:v>
                </c:pt>
                <c:pt idx="8">
                  <c:v>2.0768441542048845E-2</c:v>
                </c:pt>
                <c:pt idx="9">
                  <c:v>2.0826016331548007E-2</c:v>
                </c:pt>
                <c:pt idx="11" formatCode="0">
                  <c:v>80</c:v>
                </c:pt>
                <c:pt idx="20" formatCode="0">
                  <c:v>2</c:v>
                </c:pt>
                <c:pt idx="21" formatCode="0">
                  <c:v>2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92-42C3-8858-16F2F1C41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2712"/>
        <c:axId val="1"/>
      </c:radarChart>
      <c:catAx>
        <c:axId val="7954727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271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3246172353455816"/>
          <c:y val="0.42049560530912283"/>
          <c:w val="0.14397911198600177"/>
          <c:h val="0.1448766591008863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1C-4757-AEF6-C1D69DDC2AC6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1C-4757-AEF6-C1D69DDC2AC6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1C-4757-AEF6-C1D69DDC2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8776"/>
        <c:axId val="1"/>
      </c:radarChart>
      <c:catAx>
        <c:axId val="79546877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68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59016708277324"/>
          <c:y val="0.4204953130858643"/>
          <c:w val="0.1348041738685104"/>
          <c:h val="0.1448766404199475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D-485F-99CB-0FE8E600D16C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3D-485F-99CB-0FE8E600D16C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3D-485F-99CB-0FE8E600D16C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3D-485F-99CB-0FE8E600D16C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Table!$L$3:$L$74</c:f>
              <c:numCache>
                <c:formatCode>General</c:formatCode>
                <c:ptCount val="72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3D-485F-99CB-0FE8E600D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1400"/>
        <c:axId val="1"/>
      </c:radarChart>
      <c:catAx>
        <c:axId val="79547140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140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59016708277324"/>
          <c:y val="0.36749193850768652"/>
          <c:w val="0.1348041738685104"/>
          <c:h val="0.247350206224221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8A-4D5C-85B1-50930318D340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8A-4D5C-85B1-50930318D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8448"/>
        <c:axId val="1"/>
      </c:radarChart>
      <c:catAx>
        <c:axId val="79546844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6844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3464786222870968"/>
          <c:y val="0.44169703787026626"/>
          <c:w val="0.14435722949774876"/>
          <c:h val="9.894000749906262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5-421A-99AF-1A15E1E067E5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Table!$I$3:$I$74</c:f>
              <c:numCache>
                <c:formatCode>General</c:formatCode>
                <c:ptCount val="72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35-421A-99AF-1A15E1E06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0416"/>
        <c:axId val="1"/>
      </c:radarChart>
      <c:catAx>
        <c:axId val="79547041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041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3589961969039583"/>
          <c:y val="0.44523028927433894"/>
          <c:w val="0.14102603246022816"/>
          <c:h val="9.894023033597665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35-4A3B-9EBA-7971054DAE80}"/>
            </c:ext>
          </c:extLst>
        </c:ser>
        <c:ser>
          <c:idx val="1"/>
          <c:order val="1"/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Table!$I$3:$I$74</c:f>
              <c:numCache>
                <c:formatCode>General</c:formatCode>
                <c:ptCount val="72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35-4A3B-9EBA-7971054DAE80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35-4A3B-9EBA-7971054DAE80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35-4A3B-9EBA-7971054D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3856"/>
        <c:axId val="1"/>
      </c:radarChart>
      <c:catAx>
        <c:axId val="79546385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6385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Table!$L$3:$L$75</c:f>
              <c:numCache>
                <c:formatCode>General</c:formatCode>
                <c:ptCount val="73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  <c:pt idx="72" formatCode="0.00">
                  <c:v>14.410075731637864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8-4F40-8179-96043AA88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3696"/>
        <c:axId val="1"/>
      </c:radarChart>
      <c:catAx>
        <c:axId val="79547369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36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29730811950393"/>
          <c:y val="0.46830997189181139"/>
          <c:w val="0.1486489660490552"/>
          <c:h val="4.577465050911183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D-43BB-80E8-CC279CF41E9A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Table!$I$3:$I$74</c:f>
              <c:numCache>
                <c:formatCode>General</c:formatCode>
                <c:ptCount val="72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5D-43BB-80E8-CC279CF41E9A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5D-43BB-80E8-CC279CF41E9A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5D-43BB-80E8-CC279CF41E9A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Table!$L$3:$L$74</c:f>
              <c:numCache>
                <c:formatCode>General</c:formatCode>
                <c:ptCount val="72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5D-43BB-80E8-CC279CF41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6320"/>
        <c:axId val="1"/>
      </c:radarChart>
      <c:catAx>
        <c:axId val="79547632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63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74576099674288"/>
          <c:y val="0.3732395152733568"/>
          <c:w val="0.13317193182177534"/>
          <c:h val="0.2464790305467135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4-4715-9B35-F8AA7FBCCA33}"/>
            </c:ext>
          </c:extLst>
        </c:ser>
        <c:ser>
          <c:idx val="1"/>
          <c:order val="1"/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Table!$I$3:$I$74</c:f>
              <c:numCache>
                <c:formatCode>General</c:formatCode>
                <c:ptCount val="72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4-4715-9B35-F8AA7FBCCA33}"/>
            </c:ext>
          </c:extLst>
        </c:ser>
        <c:ser>
          <c:idx val="2"/>
          <c:order val="2"/>
          <c:spPr>
            <a:ln w="254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24-4715-9B35-F8AA7FBCCA33}"/>
            </c:ext>
          </c:extLst>
        </c:ser>
        <c:ser>
          <c:idx val="3"/>
          <c:order val="3"/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24-4715-9B35-F8AA7FBCCA33}"/>
            </c:ext>
          </c:extLst>
        </c:ser>
        <c:ser>
          <c:idx val="4"/>
          <c:order val="4"/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Table!$L$3:$L$74</c:f>
              <c:numCache>
                <c:formatCode>General</c:formatCode>
                <c:ptCount val="72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24-4715-9B35-F8AA7FBCCA33}"/>
            </c:ext>
          </c:extLst>
        </c:ser>
        <c:ser>
          <c:idx val="5"/>
          <c:order val="5"/>
          <c:spPr>
            <a:ln w="25400">
              <a:solidFill>
                <a:srgbClr val="FF9900"/>
              </a:solidFill>
              <a:prstDash val="solid"/>
            </a:ln>
          </c:spPr>
          <c:marker>
            <c:symbol val="none"/>
          </c:marker>
          <c:val>
            <c:numRef>
              <c:f>Table!$M$3:$M$74</c:f>
              <c:numCache>
                <c:formatCode>General</c:formatCode>
                <c:ptCount val="72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  <c:pt idx="46" formatCode="0.00">
                  <c:v>15.98849615827371</c:v>
                </c:pt>
                <c:pt idx="47" formatCode="0.00">
                  <c:v>15.667815324652182</c:v>
                </c:pt>
                <c:pt idx="48" formatCode="0.00">
                  <c:v>15.271308035652691</c:v>
                </c:pt>
                <c:pt idx="49" formatCode="0.00">
                  <c:v>14.80534513418009</c:v>
                </c:pt>
                <c:pt idx="50" formatCode="0.00">
                  <c:v>14.27990792621585</c:v>
                </c:pt>
                <c:pt idx="51" formatCode="0.00">
                  <c:v>13.707972544191708</c:v>
                </c:pt>
                <c:pt idx="52" formatCode="0.00">
                  <c:v>13.09905388656818</c:v>
                </c:pt>
                <c:pt idx="53" formatCode="0.00">
                  <c:v>12.145559766917005</c:v>
                </c:pt>
                <c:pt idx="54" formatCode="0.00">
                  <c:v>11.303632466227674</c:v>
                </c:pt>
                <c:pt idx="55" formatCode="0.00">
                  <c:v>10.566649362383584</c:v>
                </c:pt>
                <c:pt idx="56" formatCode="0.00">
                  <c:v>12.958682111546981</c:v>
                </c:pt>
                <c:pt idx="57" formatCode="0.00">
                  <c:v>12.869457474354391</c:v>
                </c:pt>
                <c:pt idx="58" formatCode="0.00">
                  <c:v>12.184797808389458</c:v>
                </c:pt>
                <c:pt idx="59" formatCode="0.00">
                  <c:v>11.602324003058872</c:v>
                </c:pt>
                <c:pt idx="60" formatCode="0.00">
                  <c:v>11.111034201301292</c:v>
                </c:pt>
                <c:pt idx="61" formatCode="0.00">
                  <c:v>10.701324056284191</c:v>
                </c:pt>
                <c:pt idx="62" formatCode="0.00">
                  <c:v>10.36504454415943</c:v>
                </c:pt>
                <c:pt idx="63" formatCode="0.00">
                  <c:v>10.095448642235965</c:v>
                </c:pt>
                <c:pt idx="64" formatCode="0.00">
                  <c:v>9.8870875823042255</c:v>
                </c:pt>
                <c:pt idx="65" formatCode="0.00">
                  <c:v>9.735689776844195</c:v>
                </c:pt>
                <c:pt idx="66">
                  <c:v>9.6380382497370629</c:v>
                </c:pt>
                <c:pt idx="67">
                  <c:v>9.5918512916480072</c:v>
                </c:pt>
                <c:pt idx="68" formatCode="0.00">
                  <c:v>9.5956630972884973</c:v>
                </c:pt>
                <c:pt idx="69" formatCode="0.00">
                  <c:v>9.6486941252562293</c:v>
                </c:pt>
                <c:pt idx="70" formatCode="0.00">
                  <c:v>9.7506931125984231</c:v>
                </c:pt>
                <c:pt idx="71" formatCode="0.00">
                  <c:v>12.223101410302334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24-4715-9B35-F8AA7FBCC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80584"/>
        <c:axId val="1"/>
      </c:radarChart>
      <c:catAx>
        <c:axId val="79548058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05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74576099674288"/>
          <c:y val="0.34507027047151023"/>
          <c:w val="0.13317193182177534"/>
          <c:h val="0.2957744643621674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2B-4953-BFD2-2448444E0292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Table!$I$3:$I$74</c:f>
              <c:numCache>
                <c:formatCode>General</c:formatCode>
                <c:ptCount val="72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2B-4953-BFD2-2448444E0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81896"/>
        <c:axId val="1"/>
      </c:radarChart>
      <c:catAx>
        <c:axId val="79548189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18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337742782152231"/>
          <c:y val="0.44366183764395994"/>
          <c:w val="0.14511893907998341"/>
          <c:h val="9.859164401602826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Table!$AL$2</c:f>
              <c:strCache>
                <c:ptCount val="1"/>
                <c:pt idx="0">
                  <c:v>D11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Table!$AL$3:$AL$22</c:f>
              <c:numCache>
                <c:formatCode>0.00</c:formatCode>
                <c:ptCount val="20"/>
                <c:pt idx="0">
                  <c:v>0.71959467696900525</c:v>
                </c:pt>
                <c:pt idx="1">
                  <c:v>0.59053117780314335</c:v>
                </c:pt>
                <c:pt idx="2">
                  <c:v>0.5503220465751556</c:v>
                </c:pt>
                <c:pt idx="3">
                  <c:v>0.53074473755378004</c:v>
                </c:pt>
                <c:pt idx="4">
                  <c:v>0.51916707425059272</c:v>
                </c:pt>
                <c:pt idx="5">
                  <c:v>0.51151893292748363</c:v>
                </c:pt>
                <c:pt idx="6">
                  <c:v>0.5060904079231483</c:v>
                </c:pt>
                <c:pt idx="7">
                  <c:v>0.50203784476249069</c:v>
                </c:pt>
                <c:pt idx="8">
                  <c:v>0.49889701006277398</c:v>
                </c:pt>
                <c:pt idx="9">
                  <c:v>0.49639137239090392</c:v>
                </c:pt>
                <c:pt idx="10">
                  <c:v>0.49434595319682845</c:v>
                </c:pt>
                <c:pt idx="11">
                  <c:v>0.49264463269626652</c:v>
                </c:pt>
                <c:pt idx="12">
                  <c:v>0.49120732280135276</c:v>
                </c:pt>
                <c:pt idx="13">
                  <c:v>0.48997699832813885</c:v>
                </c:pt>
                <c:pt idx="14">
                  <c:v>0.48891195317743164</c:v>
                </c:pt>
                <c:pt idx="15">
                  <c:v>0.48798098020019315</c:v>
                </c:pt>
                <c:pt idx="16">
                  <c:v>0.48716026322248046</c:v>
                </c:pt>
                <c:pt idx="17">
                  <c:v>0.48643131137365592</c:v>
                </c:pt>
                <c:pt idx="18">
                  <c:v>0.48577954950845503</c:v>
                </c:pt>
                <c:pt idx="19">
                  <c:v>0.48519333383440211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12-4DE8-8630-335B7B02EFC2}"/>
            </c:ext>
          </c:extLst>
        </c:ser>
        <c:ser>
          <c:idx val="1"/>
          <c:order val="1"/>
          <c:tx>
            <c:strRef>
              <c:f>Table!$AM$2</c:f>
              <c:strCache>
                <c:ptCount val="1"/>
                <c:pt idx="0">
                  <c:v>D66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Table!$AM$3:$AM$22</c:f>
              <c:numCache>
                <c:formatCode>General</c:formatCode>
                <c:ptCount val="20"/>
                <c:pt idx="0">
                  <c:v>4.3483058857962387E-2</c:v>
                </c:pt>
                <c:pt idx="1">
                  <c:v>7.5080801592179586E-2</c:v>
                </c:pt>
                <c:pt idx="2">
                  <c:v>8.6133509956000429E-2</c:v>
                </c:pt>
                <c:pt idx="3">
                  <c:v>9.175738803523889E-2</c:v>
                </c:pt>
                <c:pt idx="4">
                  <c:v>9.5162922529926572E-2</c:v>
                </c:pt>
                <c:pt idx="5">
                  <c:v>9.7446282046028856E-2</c:v>
                </c:pt>
                <c:pt idx="6">
                  <c:v>9.9083622036539656E-2</c:v>
                </c:pt>
                <c:pt idx="7">
                  <c:v>0.10031511002575595</c:v>
                </c:pt>
                <c:pt idx="8">
                  <c:v>0.10127499801519557</c:v>
                </c:pt>
                <c:pt idx="9">
                  <c:v>0.10204420872537839</c:v>
                </c:pt>
                <c:pt idx="10">
                  <c:v>0.10267442265759805</c:v>
                </c:pt>
                <c:pt idx="11">
                  <c:v>0.10320019198837102</c:v>
                </c:pt>
                <c:pt idx="12">
                  <c:v>0.10364549341305287</c:v>
                </c:pt>
                <c:pt idx="13">
                  <c:v>0.10402748654597448</c:v>
                </c:pt>
                <c:pt idx="14">
                  <c:v>0.10435877588862527</c:v>
                </c:pt>
                <c:pt idx="15">
                  <c:v>0.10464882821326105</c:v>
                </c:pt>
                <c:pt idx="16">
                  <c:v>0.10490489171617137</c:v>
                </c:pt>
                <c:pt idx="17">
                  <c:v>0.10513260995394064</c:v>
                </c:pt>
                <c:pt idx="18">
                  <c:v>0.10533644260361409</c:v>
                </c:pt>
                <c:pt idx="19">
                  <c:v>0.10551996042614267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12-4DE8-8630-335B7B02EFC2}"/>
            </c:ext>
          </c:extLst>
        </c:ser>
        <c:ser>
          <c:idx val="2"/>
          <c:order val="2"/>
          <c:tx>
            <c:strRef>
              <c:f>Table!$AN$2</c:f>
              <c:strCache>
                <c:ptCount val="1"/>
                <c:pt idx="0">
                  <c:v>D16</c:v>
                </c:pt>
              </c:strCache>
            </c:strRef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Table!$AN$3:$AN$22</c:f>
              <c:numCache>
                <c:formatCode>General</c:formatCode>
                <c:ptCount val="20"/>
                <c:pt idx="0">
                  <c:v>9.9964878391430399E-3</c:v>
                </c:pt>
                <c:pt idx="1">
                  <c:v>8.7469268592501506E-3</c:v>
                </c:pt>
                <c:pt idx="2">
                  <c:v>6.6643252260953781E-3</c:v>
                </c:pt>
                <c:pt idx="3">
                  <c:v>5.310634164544659E-3</c:v>
                </c:pt>
                <c:pt idx="4">
                  <c:v>4.3984546492228938E-3</c:v>
                </c:pt>
                <c:pt idx="5">
                  <c:v>3.7486829396786029E-3</c:v>
                </c:pt>
                <c:pt idx="6">
                  <c:v>3.2641592944143323E-3</c:v>
                </c:pt>
                <c:pt idx="7">
                  <c:v>2.8896097660022135E-3</c:v>
                </c:pt>
                <c:pt idx="8">
                  <c:v>2.5916820323706445E-3</c:v>
                </c:pt>
                <c:pt idx="9">
                  <c:v>2.3491746421982315E-3</c:v>
                </c:pt>
                <c:pt idx="10">
                  <c:v>2.1480056513862636E-3</c:v>
                </c:pt>
                <c:pt idx="11">
                  <c:v>1.9784715514970766E-3</c:v>
                </c:pt>
                <c:pt idx="12">
                  <c:v>1.8336752841031053E-3</c:v>
                </c:pt>
                <c:pt idx="13">
                  <c:v>1.7085833806698308E-3</c:v>
                </c:pt>
                <c:pt idx="14">
                  <c:v>1.5994380542627728E-3</c:v>
                </c:pt>
                <c:pt idx="15">
                  <c:v>1.5033780539337458E-3</c:v>
                </c:pt>
                <c:pt idx="16">
                  <c:v>1.4181868560723455E-3</c:v>
                </c:pt>
                <c:pt idx="17">
                  <c:v>1.3421210524771404E-3</c:v>
                </c:pt>
                <c:pt idx="18">
                  <c:v>1.2737906941850735E-3</c:v>
                </c:pt>
                <c:pt idx="19">
                  <c:v>1.2120741504958732E-3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12-4DE8-8630-335B7B02EFC2}"/>
            </c:ext>
          </c:extLst>
        </c:ser>
        <c:ser>
          <c:idx val="3"/>
          <c:order val="3"/>
          <c:tx>
            <c:strRef>
              <c:f>Table!$AO$2</c:f>
              <c:strCache>
                <c:ptCount val="1"/>
                <c:pt idx="0">
                  <c:v>D22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Table!$AO$3:$AO$22</c:f>
              <c:numCache>
                <c:formatCode>0.00</c:formatCode>
                <c:ptCount val="20"/>
                <c:pt idx="0">
                  <c:v>0.19311298410747221</c:v>
                </c:pt>
                <c:pt idx="1">
                  <c:v>0.25898099780489953</c:v>
                </c:pt>
                <c:pt idx="2">
                  <c:v>0.27708471230524601</c:v>
                </c:pt>
                <c:pt idx="3">
                  <c:v>0.28541426516814516</c:v>
                </c:pt>
                <c:pt idx="4">
                  <c:v>0.29018085948195649</c:v>
                </c:pt>
                <c:pt idx="5">
                  <c:v>0.29326228177286079</c:v>
                </c:pt>
                <c:pt idx="6">
                  <c:v>0.29541612679617463</c:v>
                </c:pt>
                <c:pt idx="7">
                  <c:v>0.2970057139784002</c:v>
                </c:pt>
                <c:pt idx="8">
                  <c:v>0.29822677269923742</c:v>
                </c:pt>
                <c:pt idx="9">
                  <c:v>0.29919398895074251</c:v>
                </c:pt>
                <c:pt idx="10">
                  <c:v>0.29997898028037756</c:v>
                </c:pt>
                <c:pt idx="11">
                  <c:v>0.30062876211939565</c:v>
                </c:pt>
                <c:pt idx="12">
                  <c:v>0.30117546916494259</c:v>
                </c:pt>
                <c:pt idx="13">
                  <c:v>0.30164180737231194</c:v>
                </c:pt>
                <c:pt idx="14">
                  <c:v>0.30204427383771754</c:v>
                </c:pt>
                <c:pt idx="15">
                  <c:v>0.30239514216568536</c:v>
                </c:pt>
                <c:pt idx="16">
                  <c:v>0.30270373213757695</c:v>
                </c:pt>
                <c:pt idx="17">
                  <c:v>0.3029772475108638</c:v>
                </c:pt>
                <c:pt idx="18">
                  <c:v>0.30322134407671969</c:v>
                </c:pt>
                <c:pt idx="19">
                  <c:v>0.3034405241057172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12-4DE8-8630-335B7B02EFC2}"/>
            </c:ext>
          </c:extLst>
        </c:ser>
        <c:ser>
          <c:idx val="4"/>
          <c:order val="4"/>
          <c:tx>
            <c:strRef>
              <c:f>Table!$AP$2</c:f>
              <c:strCache>
                <c:ptCount val="1"/>
                <c:pt idx="0">
                  <c:v>D66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Table!$AP$3:$AP$22</c:f>
              <c:numCache>
                <c:formatCode>General</c:formatCode>
                <c:ptCount val="20"/>
                <c:pt idx="0">
                  <c:v>4.3483058857962387E-2</c:v>
                </c:pt>
                <c:pt idx="1">
                  <c:v>7.5080801592179586E-2</c:v>
                </c:pt>
                <c:pt idx="2">
                  <c:v>8.6133509956000429E-2</c:v>
                </c:pt>
                <c:pt idx="3">
                  <c:v>9.175738803523889E-2</c:v>
                </c:pt>
                <c:pt idx="4">
                  <c:v>9.5162922529926572E-2</c:v>
                </c:pt>
                <c:pt idx="5">
                  <c:v>9.7446282046028856E-2</c:v>
                </c:pt>
                <c:pt idx="6">
                  <c:v>9.9083622036539656E-2</c:v>
                </c:pt>
                <c:pt idx="7">
                  <c:v>0.10031511002575595</c:v>
                </c:pt>
                <c:pt idx="8">
                  <c:v>0.10127499801519557</c:v>
                </c:pt>
                <c:pt idx="9">
                  <c:v>0.10204420872537839</c:v>
                </c:pt>
                <c:pt idx="10">
                  <c:v>0.10267442265759805</c:v>
                </c:pt>
                <c:pt idx="11">
                  <c:v>0.10320019198837102</c:v>
                </c:pt>
                <c:pt idx="12">
                  <c:v>0.10364549341305287</c:v>
                </c:pt>
                <c:pt idx="13">
                  <c:v>0.10402748654597448</c:v>
                </c:pt>
                <c:pt idx="14">
                  <c:v>0.10435877588862527</c:v>
                </c:pt>
                <c:pt idx="15">
                  <c:v>0.10464882821326105</c:v>
                </c:pt>
                <c:pt idx="16">
                  <c:v>0.10490489171617137</c:v>
                </c:pt>
                <c:pt idx="17">
                  <c:v>0.10513260995394064</c:v>
                </c:pt>
                <c:pt idx="18">
                  <c:v>0.10533644260361409</c:v>
                </c:pt>
                <c:pt idx="19">
                  <c:v>0.10551996042614267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A12-4DE8-8630-335B7B02EFC2}"/>
            </c:ext>
          </c:extLst>
        </c:ser>
        <c:ser>
          <c:idx val="5"/>
          <c:order val="5"/>
          <c:tx>
            <c:strRef>
              <c:f>Table!$AQ$2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Table!$AQ$3:$AQ$22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A12-4DE8-8630-335B7B02E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6976"/>
        <c:axId val="1"/>
      </c:scatterChart>
      <c:valAx>
        <c:axId val="795476976"/>
        <c:scaling>
          <c:orientation val="minMax"/>
          <c:max val="2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6976"/>
        <c:crossesAt val="1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934785158362797"/>
          <c:y val="0.91986075424782421"/>
          <c:w val="0.60869637499217155"/>
          <c:h val="4.5296127457752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3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7"/>
          <c:order val="0"/>
          <c:tx>
            <c:strRef>
              <c:f>Table!$AU$2</c:f>
              <c:strCache>
                <c:ptCount val="1"/>
                <c:pt idx="0">
                  <c:v>D66</c:v>
                </c:pt>
              </c:strCache>
            </c:strRef>
          </c:tx>
          <c:marker>
            <c:symbol val="none"/>
          </c:marker>
          <c:xVal>
            <c:numRef>
              <c:f>Table!$AS$3:$AS$22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Table!$AU$3:$AU$22</c:f>
              <c:numCache>
                <c:formatCode>General</c:formatCode>
                <c:ptCount val="20"/>
                <c:pt idx="0">
                  <c:v>0.18391747101003897</c:v>
                </c:pt>
                <c:pt idx="1">
                  <c:v>0.14529800766821796</c:v>
                </c:pt>
                <c:pt idx="2">
                  <c:v>0.13294498067335928</c:v>
                </c:pt>
                <c:pt idx="3">
                  <c:v>0.12686599107325794</c:v>
                </c:pt>
                <c:pt idx="4">
                  <c:v>0.12324980496034196</c:v>
                </c:pt>
                <c:pt idx="5">
                  <c:v>0.12085201740470822</c:v>
                </c:pt>
                <c:pt idx="6">
                  <c:v>0.11914568091540781</c:v>
                </c:pt>
                <c:pt idx="7">
                  <c:v>0.11786941154476566</c:v>
                </c:pt>
                <c:pt idx="8">
                  <c:v>0.11687882158764851</c:v>
                </c:pt>
                <c:pt idx="9">
                  <c:v>0.11608764994058608</c:v>
                </c:pt>
                <c:pt idx="10">
                  <c:v>0.1154411873986958</c:v>
                </c:pt>
                <c:pt idx="11">
                  <c:v>0.11490305966771085</c:v>
                </c:pt>
                <c:pt idx="12">
                  <c:v>0.11444814050167407</c:v>
                </c:pt>
                <c:pt idx="13">
                  <c:v>0.1140585159854086</c:v>
                </c:pt>
                <c:pt idx="14">
                  <c:v>0.11372107003209715</c:v>
                </c:pt>
                <c:pt idx="15">
                  <c:v>0.11342597897276582</c:v>
                </c:pt>
                <c:pt idx="16">
                  <c:v>0.11316573948982286</c:v>
                </c:pt>
                <c:pt idx="17">
                  <c:v>0.1129345217401668</c:v>
                </c:pt>
                <c:pt idx="18">
                  <c:v>0.11272772745372332</c:v>
                </c:pt>
                <c:pt idx="19">
                  <c:v>0.11254168103374615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4-4E6B-A263-DE36E1D94B51}"/>
            </c:ext>
          </c:extLst>
        </c:ser>
        <c:ser>
          <c:idx val="8"/>
          <c:order val="1"/>
          <c:tx>
            <c:strRef>
              <c:f>Table!$AV$2</c:f>
              <c:strCache>
                <c:ptCount val="1"/>
                <c:pt idx="0">
                  <c:v>D16</c:v>
                </c:pt>
              </c:strCache>
            </c:strRef>
          </c:tx>
          <c:spPr>
            <a:ln w="190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Table!$AS$3:$AS$22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Table!$AV$3:$AV$22</c:f>
              <c:numCache>
                <c:formatCode>General</c:formatCode>
                <c:ptCount val="20"/>
                <c:pt idx="0">
                  <c:v>3.9985951356572104E-2</c:v>
                </c:pt>
                <c:pt idx="1">
                  <c:v>1.6244292738607415E-2</c:v>
                </c:pt>
                <c:pt idx="2">
                  <c:v>9.9964878391430537E-3</c:v>
                </c:pt>
                <c:pt idx="3">
                  <c:v>7.1849756343841525E-3</c:v>
                </c:pt>
                <c:pt idx="4">
                  <c:v>5.5980331899201435E-3</c:v>
                </c:pt>
                <c:pt idx="5">
                  <c:v>4.5817235929405354E-3</c:v>
                </c:pt>
                <c:pt idx="6">
                  <c:v>3.876189162116587E-3</c:v>
                </c:pt>
                <c:pt idx="7">
                  <c:v>3.3581951334619993E-3</c:v>
                </c:pt>
                <c:pt idx="8">
                  <c:v>2.9619223227090393E-3</c:v>
                </c:pt>
                <c:pt idx="9">
                  <c:v>2.6490692773727931E-3</c:v>
                </c:pt>
                <c:pt idx="10">
                  <c:v>2.3958524573151991E-3</c:v>
                </c:pt>
                <c:pt idx="11">
                  <c:v>2.1867317148123624E-3</c:v>
                </c:pt>
                <c:pt idx="12">
                  <c:v>2.0111277309522026E-3</c:v>
                </c:pt>
                <c:pt idx="13">
                  <c:v>1.8615908475954285E-3</c:v>
                </c:pt>
                <c:pt idx="14">
                  <c:v>1.7327245587845088E-3</c:v>
                </c:pt>
                <c:pt idx="15">
                  <c:v>1.6205243957986587E-3</c:v>
                </c:pt>
                <c:pt idx="16">
                  <c:v>1.5219566260285264E-3</c:v>
                </c:pt>
                <c:pt idx="17">
                  <c:v>1.4346811250625501E-3</c:v>
                </c:pt>
                <c:pt idx="18">
                  <c:v>1.3568640003273551E-3</c:v>
                </c:pt>
                <c:pt idx="19">
                  <c:v>1.2870478092901958E-3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54-4E6B-A263-DE36E1D94B51}"/>
            </c:ext>
          </c:extLst>
        </c:ser>
        <c:ser>
          <c:idx val="9"/>
          <c:order val="2"/>
          <c:tx>
            <c:strRef>
              <c:f>Table!$AW$2</c:f>
              <c:strCache>
                <c:ptCount val="1"/>
                <c:pt idx="0">
                  <c:v>D22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Table!$AS$3:$AS$22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Table!$AW$3:$AW$22</c:f>
              <c:numCache>
                <c:formatCode>0.00</c:formatCode>
                <c:ptCount val="20"/>
                <c:pt idx="0">
                  <c:v>0.35257320712968659</c:v>
                </c:pt>
                <c:pt idx="1">
                  <c:v>0.33871110931600668</c:v>
                </c:pt>
                <c:pt idx="2">
                  <c:v>0.33023811997931729</c:v>
                </c:pt>
                <c:pt idx="3">
                  <c:v>0.32527932092369871</c:v>
                </c:pt>
                <c:pt idx="4">
                  <c:v>0.32207290408639994</c:v>
                </c:pt>
                <c:pt idx="5">
                  <c:v>0.31983898560989626</c:v>
                </c:pt>
                <c:pt idx="6">
                  <c:v>0.31819615865649103</c:v>
                </c:pt>
                <c:pt idx="7">
                  <c:v>0.31693824185617736</c:v>
                </c:pt>
                <c:pt idx="8">
                  <c:v>0.31594457525726088</c:v>
                </c:pt>
                <c:pt idx="9">
                  <c:v>0.31514001125296398</c:v>
                </c:pt>
                <c:pt idx="10">
                  <c:v>0.31447536419148819</c:v>
                </c:pt>
                <c:pt idx="11">
                  <c:v>0.31391711403791228</c:v>
                </c:pt>
                <c:pt idx="12">
                  <c:v>0.31344164016665071</c:v>
                </c:pt>
                <c:pt idx="13">
                  <c:v>0.31303182330247004</c:v>
                </c:pt>
                <c:pt idx="14">
                  <c:v>0.3126749553725317</c:v>
                </c:pt>
                <c:pt idx="15">
                  <c:v>0.31236140610457319</c:v>
                </c:pt>
                <c:pt idx="16">
                  <c:v>0.31208374525653043</c:v>
                </c:pt>
                <c:pt idx="17">
                  <c:v>0.31183614878987542</c:v>
                </c:pt>
                <c:pt idx="18">
                  <c:v>0.31161398739367863</c:v>
                </c:pt>
                <c:pt idx="19">
                  <c:v>0.31141353525682736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54-4E6B-A263-DE36E1D94B51}"/>
            </c:ext>
          </c:extLst>
        </c:ser>
        <c:ser>
          <c:idx val="10"/>
          <c:order val="3"/>
          <c:tx>
            <c:strRef>
              <c:f>Table!$AX$2</c:f>
              <c:strCache>
                <c:ptCount val="1"/>
                <c:pt idx="0">
                  <c:v>D66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Table!$AS$3:$AS$22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Table!$AX$3:$AX$22</c:f>
              <c:numCache>
                <c:formatCode>General</c:formatCode>
                <c:ptCount val="20"/>
                <c:pt idx="0">
                  <c:v>0.18391747101003897</c:v>
                </c:pt>
                <c:pt idx="1">
                  <c:v>0.14529800766821796</c:v>
                </c:pt>
                <c:pt idx="2">
                  <c:v>0.13294498067335928</c:v>
                </c:pt>
                <c:pt idx="3">
                  <c:v>0.12686599107325794</c:v>
                </c:pt>
                <c:pt idx="4">
                  <c:v>0.12324980496034196</c:v>
                </c:pt>
                <c:pt idx="5">
                  <c:v>0.12085201740470822</c:v>
                </c:pt>
                <c:pt idx="6">
                  <c:v>0.11914568091540781</c:v>
                </c:pt>
                <c:pt idx="7">
                  <c:v>0.11786941154476566</c:v>
                </c:pt>
                <c:pt idx="8">
                  <c:v>0.11687882158764851</c:v>
                </c:pt>
                <c:pt idx="9">
                  <c:v>0.11608764994058608</c:v>
                </c:pt>
                <c:pt idx="10">
                  <c:v>0.1154411873986958</c:v>
                </c:pt>
                <c:pt idx="11">
                  <c:v>0.11490305966771085</c:v>
                </c:pt>
                <c:pt idx="12">
                  <c:v>0.11444814050167407</c:v>
                </c:pt>
                <c:pt idx="13">
                  <c:v>0.1140585159854086</c:v>
                </c:pt>
                <c:pt idx="14">
                  <c:v>0.11372107003209715</c:v>
                </c:pt>
                <c:pt idx="15">
                  <c:v>0.11342597897276582</c:v>
                </c:pt>
                <c:pt idx="16">
                  <c:v>0.11316573948982286</c:v>
                </c:pt>
                <c:pt idx="17">
                  <c:v>0.1129345217401668</c:v>
                </c:pt>
                <c:pt idx="18">
                  <c:v>0.11272772745372332</c:v>
                </c:pt>
                <c:pt idx="19">
                  <c:v>0.11254168103374615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54-4E6B-A263-DE36E1D94B51}"/>
            </c:ext>
          </c:extLst>
        </c:ser>
        <c:ser>
          <c:idx val="11"/>
          <c:order val="4"/>
          <c:tx>
            <c:strRef>
              <c:f>Table!$AY$2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xVal>
            <c:numRef>
              <c:f>Table!$AS$3:$AS$22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Table!$AY$3:$AY$22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54-4E6B-A263-DE36E1D94B51}"/>
            </c:ext>
          </c:extLst>
        </c:ser>
        <c:ser>
          <c:idx val="12"/>
          <c:order val="5"/>
          <c:tx>
            <c:strRef>
              <c:f>Table!$AL$2</c:f>
              <c:strCache>
                <c:ptCount val="1"/>
                <c:pt idx="0">
                  <c:v>D11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Table!$AL$3:$AL$22</c:f>
              <c:numCache>
                <c:formatCode>0.00</c:formatCode>
                <c:ptCount val="20"/>
                <c:pt idx="0">
                  <c:v>0.71959467696900525</c:v>
                </c:pt>
                <c:pt idx="1">
                  <c:v>0.59053117780314335</c:v>
                </c:pt>
                <c:pt idx="2">
                  <c:v>0.5503220465751556</c:v>
                </c:pt>
                <c:pt idx="3">
                  <c:v>0.53074473755378004</c:v>
                </c:pt>
                <c:pt idx="4">
                  <c:v>0.51916707425059272</c:v>
                </c:pt>
                <c:pt idx="5">
                  <c:v>0.51151893292748363</c:v>
                </c:pt>
                <c:pt idx="6">
                  <c:v>0.5060904079231483</c:v>
                </c:pt>
                <c:pt idx="7">
                  <c:v>0.50203784476249069</c:v>
                </c:pt>
                <c:pt idx="8">
                  <c:v>0.49889701006277398</c:v>
                </c:pt>
                <c:pt idx="9">
                  <c:v>0.49639137239090392</c:v>
                </c:pt>
                <c:pt idx="10">
                  <c:v>0.49434595319682845</c:v>
                </c:pt>
                <c:pt idx="11">
                  <c:v>0.49264463269626652</c:v>
                </c:pt>
                <c:pt idx="12">
                  <c:v>0.49120732280135276</c:v>
                </c:pt>
                <c:pt idx="13">
                  <c:v>0.48997699832813885</c:v>
                </c:pt>
                <c:pt idx="14">
                  <c:v>0.48891195317743164</c:v>
                </c:pt>
                <c:pt idx="15">
                  <c:v>0.48798098020019315</c:v>
                </c:pt>
                <c:pt idx="16">
                  <c:v>0.48716026322248046</c:v>
                </c:pt>
                <c:pt idx="17">
                  <c:v>0.48643131137365592</c:v>
                </c:pt>
                <c:pt idx="18">
                  <c:v>0.48577954950845503</c:v>
                </c:pt>
                <c:pt idx="19">
                  <c:v>0.48519333383440211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54-4E6B-A263-DE36E1D94B51}"/>
            </c:ext>
          </c:extLst>
        </c:ser>
        <c:ser>
          <c:idx val="13"/>
          <c:order val="6"/>
          <c:tx>
            <c:strRef>
              <c:f>Table!$AM$2</c:f>
              <c:strCache>
                <c:ptCount val="1"/>
                <c:pt idx="0">
                  <c:v>D66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Table!$AM$3:$AM$22</c:f>
              <c:numCache>
                <c:formatCode>General</c:formatCode>
                <c:ptCount val="20"/>
                <c:pt idx="0">
                  <c:v>4.3483058857962387E-2</c:v>
                </c:pt>
                <c:pt idx="1">
                  <c:v>7.5080801592179586E-2</c:v>
                </c:pt>
                <c:pt idx="2">
                  <c:v>8.6133509956000429E-2</c:v>
                </c:pt>
                <c:pt idx="3">
                  <c:v>9.175738803523889E-2</c:v>
                </c:pt>
                <c:pt idx="4">
                  <c:v>9.5162922529926572E-2</c:v>
                </c:pt>
                <c:pt idx="5">
                  <c:v>9.7446282046028856E-2</c:v>
                </c:pt>
                <c:pt idx="6">
                  <c:v>9.9083622036539656E-2</c:v>
                </c:pt>
                <c:pt idx="7">
                  <c:v>0.10031511002575595</c:v>
                </c:pt>
                <c:pt idx="8">
                  <c:v>0.10127499801519557</c:v>
                </c:pt>
                <c:pt idx="9">
                  <c:v>0.10204420872537839</c:v>
                </c:pt>
                <c:pt idx="10">
                  <c:v>0.10267442265759805</c:v>
                </c:pt>
                <c:pt idx="11">
                  <c:v>0.10320019198837102</c:v>
                </c:pt>
                <c:pt idx="12">
                  <c:v>0.10364549341305287</c:v>
                </c:pt>
                <c:pt idx="13">
                  <c:v>0.10402748654597448</c:v>
                </c:pt>
                <c:pt idx="14">
                  <c:v>0.10435877588862527</c:v>
                </c:pt>
                <c:pt idx="15">
                  <c:v>0.10464882821326105</c:v>
                </c:pt>
                <c:pt idx="16">
                  <c:v>0.10490489171617137</c:v>
                </c:pt>
                <c:pt idx="17">
                  <c:v>0.10513260995394064</c:v>
                </c:pt>
                <c:pt idx="18">
                  <c:v>0.10533644260361409</c:v>
                </c:pt>
                <c:pt idx="19">
                  <c:v>0.10551996042614267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54-4E6B-A263-DE36E1D94B51}"/>
            </c:ext>
          </c:extLst>
        </c:ser>
        <c:ser>
          <c:idx val="14"/>
          <c:order val="7"/>
          <c:tx>
            <c:strRef>
              <c:f>Table!$AN$2</c:f>
              <c:strCache>
                <c:ptCount val="1"/>
                <c:pt idx="0">
                  <c:v>D16</c:v>
                </c:pt>
              </c:strCache>
            </c:strRef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Table!$AN$3:$AN$22</c:f>
              <c:numCache>
                <c:formatCode>General</c:formatCode>
                <c:ptCount val="20"/>
                <c:pt idx="0">
                  <c:v>9.9964878391430399E-3</c:v>
                </c:pt>
                <c:pt idx="1">
                  <c:v>8.7469268592501506E-3</c:v>
                </c:pt>
                <c:pt idx="2">
                  <c:v>6.6643252260953781E-3</c:v>
                </c:pt>
                <c:pt idx="3">
                  <c:v>5.310634164544659E-3</c:v>
                </c:pt>
                <c:pt idx="4">
                  <c:v>4.3984546492228938E-3</c:v>
                </c:pt>
                <c:pt idx="5">
                  <c:v>3.7486829396786029E-3</c:v>
                </c:pt>
                <c:pt idx="6">
                  <c:v>3.2641592944143323E-3</c:v>
                </c:pt>
                <c:pt idx="7">
                  <c:v>2.8896097660022135E-3</c:v>
                </c:pt>
                <c:pt idx="8">
                  <c:v>2.5916820323706445E-3</c:v>
                </c:pt>
                <c:pt idx="9">
                  <c:v>2.3491746421982315E-3</c:v>
                </c:pt>
                <c:pt idx="10">
                  <c:v>2.1480056513862636E-3</c:v>
                </c:pt>
                <c:pt idx="11">
                  <c:v>1.9784715514970766E-3</c:v>
                </c:pt>
                <c:pt idx="12">
                  <c:v>1.8336752841031053E-3</c:v>
                </c:pt>
                <c:pt idx="13">
                  <c:v>1.7085833806698308E-3</c:v>
                </c:pt>
                <c:pt idx="14">
                  <c:v>1.5994380542627728E-3</c:v>
                </c:pt>
                <c:pt idx="15">
                  <c:v>1.5033780539337458E-3</c:v>
                </c:pt>
                <c:pt idx="16">
                  <c:v>1.4181868560723455E-3</c:v>
                </c:pt>
                <c:pt idx="17">
                  <c:v>1.3421210524771404E-3</c:v>
                </c:pt>
                <c:pt idx="18">
                  <c:v>1.2737906941850735E-3</c:v>
                </c:pt>
                <c:pt idx="19">
                  <c:v>1.2120741504958732E-3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054-4E6B-A263-DE36E1D94B51}"/>
            </c:ext>
          </c:extLst>
        </c:ser>
        <c:ser>
          <c:idx val="16"/>
          <c:order val="8"/>
          <c:tx>
            <c:strRef>
              <c:f>Table!$AP$2</c:f>
              <c:strCache>
                <c:ptCount val="1"/>
                <c:pt idx="0">
                  <c:v>D66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Table!$AP$3:$AP$22</c:f>
              <c:numCache>
                <c:formatCode>General</c:formatCode>
                <c:ptCount val="20"/>
                <c:pt idx="0">
                  <c:v>4.3483058857962387E-2</c:v>
                </c:pt>
                <c:pt idx="1">
                  <c:v>7.5080801592179586E-2</c:v>
                </c:pt>
                <c:pt idx="2">
                  <c:v>8.6133509956000429E-2</c:v>
                </c:pt>
                <c:pt idx="3">
                  <c:v>9.175738803523889E-2</c:v>
                </c:pt>
                <c:pt idx="4">
                  <c:v>9.5162922529926572E-2</c:v>
                </c:pt>
                <c:pt idx="5">
                  <c:v>9.7446282046028856E-2</c:v>
                </c:pt>
                <c:pt idx="6">
                  <c:v>9.9083622036539656E-2</c:v>
                </c:pt>
                <c:pt idx="7">
                  <c:v>0.10031511002575595</c:v>
                </c:pt>
                <c:pt idx="8">
                  <c:v>0.10127499801519557</c:v>
                </c:pt>
                <c:pt idx="9">
                  <c:v>0.10204420872537839</c:v>
                </c:pt>
                <c:pt idx="10">
                  <c:v>0.10267442265759805</c:v>
                </c:pt>
                <c:pt idx="11">
                  <c:v>0.10320019198837102</c:v>
                </c:pt>
                <c:pt idx="12">
                  <c:v>0.10364549341305287</c:v>
                </c:pt>
                <c:pt idx="13">
                  <c:v>0.10402748654597448</c:v>
                </c:pt>
                <c:pt idx="14">
                  <c:v>0.10435877588862527</c:v>
                </c:pt>
                <c:pt idx="15">
                  <c:v>0.10464882821326105</c:v>
                </c:pt>
                <c:pt idx="16">
                  <c:v>0.10490489171617137</c:v>
                </c:pt>
                <c:pt idx="17">
                  <c:v>0.10513260995394064</c:v>
                </c:pt>
                <c:pt idx="18">
                  <c:v>0.10533644260361409</c:v>
                </c:pt>
                <c:pt idx="19">
                  <c:v>0.10551996042614267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54-4E6B-A263-DE36E1D94B51}"/>
            </c:ext>
          </c:extLst>
        </c:ser>
        <c:ser>
          <c:idx val="17"/>
          <c:order val="9"/>
          <c:tx>
            <c:strRef>
              <c:f>Table!$AQ$2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Table!$AQ$3:$AQ$22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054-4E6B-A263-DE36E1D94B51}"/>
            </c:ext>
          </c:extLst>
        </c:ser>
        <c:ser>
          <c:idx val="18"/>
          <c:order val="10"/>
          <c:tx>
            <c:strRef>
              <c:f>Table!$H$2</c:f>
              <c:strCache>
                <c:ptCount val="1"/>
                <c:pt idx="0">
                  <c:v>V1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054-4E6B-A263-DE36E1D94B51}"/>
            </c:ext>
          </c:extLst>
        </c:ser>
        <c:ser>
          <c:idx val="20"/>
          <c:order val="11"/>
          <c:tx>
            <c:strRef>
              <c:f>Table!$J$2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054-4E6B-A263-DE36E1D94B51}"/>
            </c:ext>
          </c:extLst>
        </c:ser>
        <c:ser>
          <c:idx val="21"/>
          <c:order val="12"/>
          <c:tx>
            <c:strRef>
              <c:f>Table!$K$2</c:f>
              <c:strCache>
                <c:ptCount val="1"/>
                <c:pt idx="0">
                  <c:v>V1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Table!$K$3:$K$22</c:f>
              <c:numCache>
                <c:formatCode>0.00</c:formatCode>
                <c:ptCount val="2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054-4E6B-A263-DE36E1D94B51}"/>
            </c:ext>
          </c:extLst>
        </c:ser>
        <c:ser>
          <c:idx val="23"/>
          <c:order val="13"/>
          <c:tx>
            <c:strRef>
              <c:f>Table!$M$2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Table!$M$3:$M$22</c:f>
              <c:numCache>
                <c:formatCode>General</c:formatCode>
                <c:ptCount val="20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054-4E6B-A263-DE36E1D94B51}"/>
            </c:ext>
          </c:extLst>
        </c:ser>
        <c:ser>
          <c:idx val="0"/>
          <c:order val="14"/>
          <c:tx>
            <c:strRef>
              <c:f>Table!$H$2</c:f>
              <c:strCache>
                <c:ptCount val="1"/>
                <c:pt idx="0">
                  <c:v>V1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054-4E6B-A263-DE36E1D94B51}"/>
            </c:ext>
          </c:extLst>
        </c:ser>
        <c:ser>
          <c:idx val="2"/>
          <c:order val="15"/>
          <c:tx>
            <c:strRef>
              <c:f>Table!$J$2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054-4E6B-A263-DE36E1D94B51}"/>
            </c:ext>
          </c:extLst>
        </c:ser>
        <c:ser>
          <c:idx val="3"/>
          <c:order val="16"/>
          <c:tx>
            <c:strRef>
              <c:f>Table!$K$2</c:f>
              <c:strCache>
                <c:ptCount val="1"/>
                <c:pt idx="0">
                  <c:v>V1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Table!$K$3:$K$22</c:f>
              <c:numCache>
                <c:formatCode>0.00</c:formatCode>
                <c:ptCount val="2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054-4E6B-A263-DE36E1D94B51}"/>
            </c:ext>
          </c:extLst>
        </c:ser>
        <c:ser>
          <c:idx val="5"/>
          <c:order val="17"/>
          <c:tx>
            <c:strRef>
              <c:f>Table!$M$2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Table!$M$3:$M$22</c:f>
              <c:numCache>
                <c:formatCode>General</c:formatCode>
                <c:ptCount val="20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054-4E6B-A263-DE36E1D94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86160"/>
        <c:axId val="1"/>
      </c:scatterChart>
      <c:valAx>
        <c:axId val="795486160"/>
        <c:scaling>
          <c:orientation val="minMax"/>
          <c:max val="2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6160"/>
        <c:crossesAt val="1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Symbol"/>
              <a:ea typeface="Symbol"/>
              <a:cs typeface="Symbo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0363142107236596E-2"/>
          <c:y val="4.6712962962962977E-2"/>
          <c:w val="0.90093457067866511"/>
          <c:h val="0.7773611111111110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Table!$H$3:$H$39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</c:numCache>
            </c:numRef>
          </c:xVal>
          <c:yVal>
            <c:numRef>
              <c:f>Table!$I$3:$I$39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2E-4025-A53B-A92EAA1C1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90096"/>
        <c:axId val="1"/>
      </c:scatterChart>
      <c:valAx>
        <c:axId val="795490096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ymbol"/>
                <a:ea typeface="Symbol"/>
                <a:cs typeface="Symbo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ymbol"/>
                <a:ea typeface="Symbol"/>
                <a:cs typeface="Symbol"/>
              </a:defRPr>
            </a:pPr>
            <a:endParaRPr lang="fr-FR"/>
          </a:p>
        </c:txPr>
        <c:crossAx val="795490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Symbol"/>
          <a:ea typeface="Symbol"/>
          <a:cs typeface="Symbol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29130448878253E-2"/>
          <c:y val="0.13225812366406678"/>
          <c:w val="0.88427027585656559"/>
          <c:h val="0.83905179063422153"/>
        </c:manualLayout>
      </c:layout>
      <c:lineChart>
        <c:grouping val="standard"/>
        <c:varyColors val="0"/>
        <c:ser>
          <c:idx val="0"/>
          <c:order val="0"/>
          <c:tx>
            <c:strRef>
              <c:f>Table!$D$2</c:f>
              <c:strCache>
                <c:ptCount val="1"/>
                <c:pt idx="0">
                  <c:v>V1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cat>
          <c:val>
            <c:numRef>
              <c:f>Table!$H$3:$H$21</c:f>
              <c:numCache>
                <c:formatCode>0.00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6-47DC-A364-25077990EC03}"/>
            </c:ext>
          </c:extLst>
        </c:ser>
        <c:ser>
          <c:idx val="1"/>
          <c:order val="1"/>
          <c:tx>
            <c:strRef>
              <c:f>Table!$E$2</c:f>
              <c:strCache>
                <c:ptCount val="1"/>
                <c:pt idx="0">
                  <c:v>V2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cat>
          <c:val>
            <c:numRef>
              <c:f>Table!$I$3:$I$21</c:f>
              <c:numCache>
                <c:formatCode>General</c:formatCode>
                <c:ptCount val="19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16-47DC-A364-25077990EC03}"/>
            </c:ext>
          </c:extLst>
        </c:ser>
        <c:ser>
          <c:idx val="2"/>
          <c:order val="2"/>
          <c:tx>
            <c:strRef>
              <c:f>Table!$F$2</c:f>
              <c:strCache>
                <c:ptCount val="1"/>
                <c:pt idx="0">
                  <c:v>0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cat>
          <c:val>
            <c:numRef>
              <c:f>Table!$J$3:$J$21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16-47DC-A364-25077990E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487144"/>
        <c:axId val="1"/>
      </c:lineChart>
      <c:catAx>
        <c:axId val="795487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7144"/>
        <c:crosses val="autoZero"/>
        <c:crossBetween val="midCat"/>
        <c:minorUnit val="1.6683514779598605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Table!$G$3:$G$23</c:f>
              <c:numCache>
                <c:formatCode>General</c:formatCode>
                <c:ptCount val="21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</c:numCache>
            </c:numRef>
          </c:xVal>
          <c:yVal>
            <c:numRef>
              <c:f>Table!$I$3:$I$23</c:f>
              <c:numCache>
                <c:formatCode>General</c:formatCode>
                <c:ptCount val="21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52-4C6F-AE1C-B090D0E6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85504"/>
        <c:axId val="1"/>
      </c:scatterChart>
      <c:valAx>
        <c:axId val="795485504"/>
        <c:scaling>
          <c:orientation val="minMax"/>
          <c:max val="195"/>
          <c:min val="-15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1"/>
        <c:crosses val="autoZero"/>
        <c:crossBetween val="midCat"/>
        <c:majorUnit val="15"/>
        <c:minorUnit val="15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5504"/>
        <c:crosses val="autoZero"/>
        <c:crossBetween val="midCat"/>
        <c:majorUnit val="1.112396377768293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Table!$D$3:$D$39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>
                  <c:v>7.7494593649912567E-5</c:v>
                </c:pt>
                <c:pt idx="20">
                  <c:v>7.7494593649912567E-5</c:v>
                </c:pt>
                <c:pt idx="21">
                  <c:v>6.404511872015674E-5</c:v>
                </c:pt>
                <c:pt idx="22">
                  <c:v>5.8597046238228796E-5</c:v>
                </c:pt>
                <c:pt idx="23">
                  <c:v>5.381569003594673E-5</c:v>
                </c:pt>
                <c:pt idx="24">
                  <c:v>4.959653993779708E-5</c:v>
                </c:pt>
                <c:pt idx="25">
                  <c:v>4.5854789140884419E-5</c:v>
                </c:pt>
                <c:pt idx="26">
                  <c:v>4.2521039039495013E-5</c:v>
                </c:pt>
                <c:pt idx="27">
                  <c:v>3.953805798275207E-5</c:v>
                </c:pt>
                <c:pt idx="28">
                  <c:v>3.685830850932529E-5</c:v>
                </c:pt>
                <c:pt idx="29">
                  <c:v>3.444204162430053E-5</c:v>
                </c:pt>
                <c:pt idx="30">
                  <c:v>3.2255814213576094E-5</c:v>
                </c:pt>
                <c:pt idx="31">
                  <c:v>3.0271325645052423E-5</c:v>
                </c:pt>
                <c:pt idx="32">
                  <c:v>2.8464497207566372E-5</c:v>
                </c:pt>
                <c:pt idx="33">
                  <c:v>2.6814738288384415E-5</c:v>
                </c:pt>
                <c:pt idx="34">
                  <c:v>2.5304357110526944E-5</c:v>
                </c:pt>
                <c:pt idx="35">
                  <c:v>2.3918084457709574E-5</c:v>
                </c:pt>
                <c:pt idx="36">
                  <c:v>2.2642686238147925E-5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47-43F7-868C-1FBC829CAFA0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Table!$E$3:$E$39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>
                  <c:v>-8.474154782937805E-6</c:v>
                </c:pt>
                <c:pt idx="20">
                  <c:v>-8.474154782937805E-6</c:v>
                </c:pt>
                <c:pt idx="21">
                  <c:v>-7.0034337057346066E-6</c:v>
                </c:pt>
                <c:pt idx="22">
                  <c:v>-6.4076784749761683E-6</c:v>
                </c:pt>
                <c:pt idx="23">
                  <c:v>-5.8848297104328545E-6</c:v>
                </c:pt>
                <c:pt idx="24">
                  <c:v>-5.4234590619629531E-6</c:v>
                </c:pt>
                <c:pt idx="25">
                  <c:v>-5.0142927706666584E-6</c:v>
                </c:pt>
                <c:pt idx="26">
                  <c:v>-4.6497419934214149E-6</c:v>
                </c:pt>
                <c:pt idx="27">
                  <c:v>-4.3235483584030814E-6</c:v>
                </c:pt>
                <c:pt idx="28">
                  <c:v>-4.0305135702352419E-6</c:v>
                </c:pt>
                <c:pt idx="29">
                  <c:v>-3.7662910157627082E-6</c:v>
                </c:pt>
                <c:pt idx="30">
                  <c:v>-3.5272236344713652E-6</c:v>
                </c:pt>
                <c:pt idx="31">
                  <c:v>-3.3102167120705207E-6</c:v>
                </c:pt>
                <c:pt idx="32">
                  <c:v>-3.1126372021952692E-6</c:v>
                </c:pt>
                <c:pt idx="33">
                  <c:v>-2.9322334891282568E-6</c:v>
                </c:pt>
                <c:pt idx="34">
                  <c:v>-2.7670709499181644E-6</c:v>
                </c:pt>
                <c:pt idx="35">
                  <c:v>-2.6154798715554085E-6</c:v>
                </c:pt>
                <c:pt idx="36">
                  <c:v>-2.4760130855488151E-6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47-43F7-868C-1FBC829CAFA0}"/>
            </c:ext>
          </c:extLst>
        </c:ser>
        <c:ser>
          <c:idx val="2"/>
          <c:order val="2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Table!$F$3:$F$39</c:f>
              <c:numCache>
                <c:formatCode>General</c:formatCode>
                <c:ptCount val="37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>
                  <c:v>5.2288211262211141E-4</c:v>
                </c:pt>
                <c:pt idx="20">
                  <c:v>5.2288211262211141E-4</c:v>
                </c:pt>
                <c:pt idx="21">
                  <c:v>4.7534737511120034E-4</c:v>
                </c:pt>
                <c:pt idx="22">
                  <c:v>4.5468009793230767E-4</c:v>
                </c:pt>
                <c:pt idx="23">
                  <c:v>4.3573509385163938E-4</c:v>
                </c:pt>
                <c:pt idx="24">
                  <c:v>4.1830569009748263E-4</c:v>
                </c:pt>
                <c:pt idx="25">
                  <c:v>4.0221700970941097E-4</c:v>
                </c:pt>
                <c:pt idx="26">
                  <c:v>3.8732008342382788E-4</c:v>
                </c:pt>
                <c:pt idx="27">
                  <c:v>3.7348722330135146E-4</c:v>
                </c:pt>
                <c:pt idx="28">
                  <c:v>3.6060835353246383E-4</c:v>
                </c:pt>
                <c:pt idx="29">
                  <c:v>3.4858807508139199E-4</c:v>
                </c:pt>
                <c:pt idx="30">
                  <c:v>3.3734329846615125E-4</c:v>
                </c:pt>
                <c:pt idx="31">
                  <c:v>3.2680132038904444E-4</c:v>
                </c:pt>
                <c:pt idx="32">
                  <c:v>3.168982500734502E-4</c:v>
                </c:pt>
                <c:pt idx="33">
                  <c:v>3.0757771330679835E-4</c:v>
                </c:pt>
                <c:pt idx="34">
                  <c:v>2.9878977864133971E-4</c:v>
                </c:pt>
                <c:pt idx="35">
                  <c:v>2.9049006256804343E-4</c:v>
                </c:pt>
                <c:pt idx="36">
                  <c:v>2.8263897979604078E-4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47-43F7-868C-1FBC829CA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85176"/>
        <c:axId val="1"/>
      </c:scatterChart>
      <c:valAx>
        <c:axId val="795485176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  <c:minorUnit val="5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5176"/>
        <c:crosses val="autoZero"/>
        <c:crossBetween val="midCat"/>
        <c:minorUnit val="1.607467296464047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929430359803698"/>
          <c:y val="0.28516101117696913"/>
          <c:w val="0.75914291526897615"/>
          <c:h val="0.68939101807570224"/>
        </c:manualLayout>
      </c:layout>
      <c:scatterChart>
        <c:scatterStyle val="smoothMarker"/>
        <c:varyColors val="0"/>
        <c:ser>
          <c:idx val="3"/>
          <c:order val="0"/>
          <c:spPr>
            <a:ln w="28575">
              <a:noFill/>
            </a:ln>
          </c:spPr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Table!$D$3:$D$39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>
                  <c:v>7.7494593649912567E-5</c:v>
                </c:pt>
                <c:pt idx="20">
                  <c:v>7.7494593649912567E-5</c:v>
                </c:pt>
                <c:pt idx="21">
                  <c:v>6.404511872015674E-5</c:v>
                </c:pt>
                <c:pt idx="22">
                  <c:v>5.8597046238228796E-5</c:v>
                </c:pt>
                <c:pt idx="23">
                  <c:v>5.381569003594673E-5</c:v>
                </c:pt>
                <c:pt idx="24">
                  <c:v>4.959653993779708E-5</c:v>
                </c:pt>
                <c:pt idx="25">
                  <c:v>4.5854789140884419E-5</c:v>
                </c:pt>
                <c:pt idx="26">
                  <c:v>4.2521039039495013E-5</c:v>
                </c:pt>
                <c:pt idx="27">
                  <c:v>3.953805798275207E-5</c:v>
                </c:pt>
                <c:pt idx="28">
                  <c:v>3.685830850932529E-5</c:v>
                </c:pt>
                <c:pt idx="29">
                  <c:v>3.444204162430053E-5</c:v>
                </c:pt>
                <c:pt idx="30">
                  <c:v>3.2255814213576094E-5</c:v>
                </c:pt>
                <c:pt idx="31">
                  <c:v>3.0271325645052423E-5</c:v>
                </c:pt>
                <c:pt idx="32">
                  <c:v>2.8464497207566372E-5</c:v>
                </c:pt>
                <c:pt idx="33">
                  <c:v>2.6814738288384415E-5</c:v>
                </c:pt>
                <c:pt idx="34">
                  <c:v>2.5304357110526944E-5</c:v>
                </c:pt>
                <c:pt idx="35">
                  <c:v>2.3918084457709574E-5</c:v>
                </c:pt>
                <c:pt idx="36">
                  <c:v>2.2642686238147925E-5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BF-48AD-BBEA-E03FB3BEA6E8}"/>
            </c:ext>
          </c:extLst>
        </c:ser>
        <c:ser>
          <c:idx val="4"/>
          <c:order val="1"/>
          <c:spPr>
            <a:ln w="28575">
              <a:noFill/>
            </a:ln>
          </c:spPr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Table!$E$3:$E$39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>
                  <c:v>-8.474154782937805E-6</c:v>
                </c:pt>
                <c:pt idx="20">
                  <c:v>-8.474154782937805E-6</c:v>
                </c:pt>
                <c:pt idx="21">
                  <c:v>-7.0034337057346066E-6</c:v>
                </c:pt>
                <c:pt idx="22">
                  <c:v>-6.4076784749761683E-6</c:v>
                </c:pt>
                <c:pt idx="23">
                  <c:v>-5.8848297104328545E-6</c:v>
                </c:pt>
                <c:pt idx="24">
                  <c:v>-5.4234590619629531E-6</c:v>
                </c:pt>
                <c:pt idx="25">
                  <c:v>-5.0142927706666584E-6</c:v>
                </c:pt>
                <c:pt idx="26">
                  <c:v>-4.6497419934214149E-6</c:v>
                </c:pt>
                <c:pt idx="27">
                  <c:v>-4.3235483584030814E-6</c:v>
                </c:pt>
                <c:pt idx="28">
                  <c:v>-4.0305135702352419E-6</c:v>
                </c:pt>
                <c:pt idx="29">
                  <c:v>-3.7662910157627082E-6</c:v>
                </c:pt>
                <c:pt idx="30">
                  <c:v>-3.5272236344713652E-6</c:v>
                </c:pt>
                <c:pt idx="31">
                  <c:v>-3.3102167120705207E-6</c:v>
                </c:pt>
                <c:pt idx="32">
                  <c:v>-3.1126372021952692E-6</c:v>
                </c:pt>
                <c:pt idx="33">
                  <c:v>-2.9322334891282568E-6</c:v>
                </c:pt>
                <c:pt idx="34">
                  <c:v>-2.7670709499181644E-6</c:v>
                </c:pt>
                <c:pt idx="35">
                  <c:v>-2.6154798715554085E-6</c:v>
                </c:pt>
                <c:pt idx="36">
                  <c:v>-2.4760130855488151E-6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BF-48AD-BBEA-E03FB3BEA6E8}"/>
            </c:ext>
          </c:extLst>
        </c:ser>
        <c:ser>
          <c:idx val="5"/>
          <c:order val="2"/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Table!$F$3:$F$39</c:f>
              <c:numCache>
                <c:formatCode>General</c:formatCode>
                <c:ptCount val="37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>
                  <c:v>5.2288211262211141E-4</c:v>
                </c:pt>
                <c:pt idx="20">
                  <c:v>5.2288211262211141E-4</c:v>
                </c:pt>
                <c:pt idx="21">
                  <c:v>4.7534737511120034E-4</c:v>
                </c:pt>
                <c:pt idx="22">
                  <c:v>4.5468009793230767E-4</c:v>
                </c:pt>
                <c:pt idx="23">
                  <c:v>4.3573509385163938E-4</c:v>
                </c:pt>
                <c:pt idx="24">
                  <c:v>4.1830569009748263E-4</c:v>
                </c:pt>
                <c:pt idx="25">
                  <c:v>4.0221700970941097E-4</c:v>
                </c:pt>
                <c:pt idx="26">
                  <c:v>3.8732008342382788E-4</c:v>
                </c:pt>
                <c:pt idx="27">
                  <c:v>3.7348722330135146E-4</c:v>
                </c:pt>
                <c:pt idx="28">
                  <c:v>3.6060835353246383E-4</c:v>
                </c:pt>
                <c:pt idx="29">
                  <c:v>3.4858807508139199E-4</c:v>
                </c:pt>
                <c:pt idx="30">
                  <c:v>3.3734329846615125E-4</c:v>
                </c:pt>
                <c:pt idx="31">
                  <c:v>3.2680132038904444E-4</c:v>
                </c:pt>
                <c:pt idx="32">
                  <c:v>3.168982500734502E-4</c:v>
                </c:pt>
                <c:pt idx="33">
                  <c:v>3.0757771330679835E-4</c:v>
                </c:pt>
                <c:pt idx="34">
                  <c:v>2.9878977864133971E-4</c:v>
                </c:pt>
                <c:pt idx="35">
                  <c:v>2.9049006256804343E-4</c:v>
                </c:pt>
                <c:pt idx="36">
                  <c:v>2.8263897979604078E-4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BF-48AD-BBEA-E03FB3BEA6E8}"/>
            </c:ext>
          </c:extLst>
        </c:ser>
        <c:ser>
          <c:idx val="0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Table!$G$3:$G$39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</c:numCache>
            </c:numRef>
          </c:xVal>
          <c:yVal>
            <c:numRef>
              <c:f>Table!$H$3:$H$39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BF-48AD-BBEA-E03FB3BEA6E8}"/>
            </c:ext>
          </c:extLst>
        </c:ser>
        <c:ser>
          <c:idx val="1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Table!$G$3:$G$39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</c:numCache>
            </c:numRef>
          </c:xVal>
          <c:yVal>
            <c:numRef>
              <c:f>Table!$I$3:$I$39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8BF-48AD-BBEA-E03FB3BEA6E8}"/>
            </c:ext>
          </c:extLst>
        </c:ser>
        <c:ser>
          <c:idx val="2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Table!$G$3:$G$39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</c:numCache>
            </c:numRef>
          </c:xVal>
          <c:yVal>
            <c:numRef>
              <c:f>Table!$J$3:$J$39</c:f>
              <c:numCache>
                <c:formatCode>General</c:formatCode>
                <c:ptCount val="37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BF-48AD-BBEA-E03FB3BE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90752"/>
        <c:axId val="1"/>
      </c:scatterChart>
      <c:valAx>
        <c:axId val="795490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90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062315664150234E-2"/>
          <c:y val="0.90909249418027693"/>
          <c:w val="0.8132779175798901"/>
          <c:h val="5.59442790499243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Table!$H$3:$H$39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</c:numCache>
            </c:numRef>
          </c:xVal>
          <c:yVal>
            <c:numRef>
              <c:f>Table!$I$3:$I$39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C4-4CDC-B1C1-6087A1BB5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1576"/>
        <c:axId val="1"/>
      </c:scatterChart>
      <c:valAx>
        <c:axId val="795501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15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Table!$H$3:$H$39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</c:numCache>
            </c:numRef>
          </c:xVal>
          <c:yVal>
            <c:numRef>
              <c:f>Table!$I$3:$I$39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BA-42CB-AE06-663B1FEBF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1248"/>
        <c:axId val="1"/>
      </c:scatterChart>
      <c:valAx>
        <c:axId val="795501248"/>
        <c:scaling>
          <c:orientation val="minMax"/>
          <c:max val="600"/>
          <c:min val="-1000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200"/>
      </c:valAx>
      <c:valAx>
        <c:axId val="1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1248"/>
        <c:crosses val="autoZero"/>
        <c:crossBetween val="midCat"/>
        <c:majorUnit val="2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Table!$J$3:$J$21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xVal>
          <c:yVal>
            <c:numRef>
              <c:f>Table!$K$3:$K$21</c:f>
              <c:numCache>
                <c:formatCode>0.00</c:formatCode>
                <c:ptCount val="19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20-4D0F-96DF-83B00D283F2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Table!$J$3:$J$21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xVal>
          <c:yVal>
            <c:numRef>
              <c:f>Table!$L$3:$L$21</c:f>
              <c:numCache>
                <c:formatCode>General</c:formatCode>
                <c:ptCount val="19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20-4D0F-96DF-83B00D28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99608"/>
        <c:axId val="1"/>
      </c:scatterChart>
      <c:valAx>
        <c:axId val="795499608"/>
        <c:scaling>
          <c:orientation val="minMax"/>
          <c:max val="13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996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Table!$H$3:$H$22</c:f>
              <c:numCache>
                <c:formatCode>0.00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E7-4074-8822-F03AE7E8AE53}"/>
            </c:ext>
          </c:extLst>
        </c:ser>
        <c:ser>
          <c:idx val="1"/>
          <c:order val="1"/>
          <c:spPr>
            <a:ln w="254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Table!$I$3:$I$22</c:f>
              <c:numCache>
                <c:formatCode>General</c:formatCode>
                <c:ptCount val="20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E7-4074-8822-F03AE7E8AE53}"/>
            </c:ext>
          </c:extLst>
        </c:ser>
        <c:ser>
          <c:idx val="2"/>
          <c:order val="2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Table!$J$3:$J$22</c:f>
              <c:numCache>
                <c:formatCode>General</c:formatCode>
                <c:ptCount val="2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E7-4074-8822-F03AE7E8A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98952"/>
        <c:axId val="1"/>
      </c:scatterChart>
      <c:valAx>
        <c:axId val="795498952"/>
        <c:scaling>
          <c:logBase val="10"/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98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0868785703257678"/>
          <c:y val="0.90909245499242164"/>
          <c:w val="0.37523139570788949"/>
          <c:h val="5.94406861114191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Table!$H$3:$H$22</c:f>
              <c:numCache>
                <c:formatCode>0.00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40-4EF9-A11C-329FFA0D32D4}"/>
            </c:ext>
          </c:extLst>
        </c:ser>
        <c:ser>
          <c:idx val="1"/>
          <c:order val="1"/>
          <c:spPr>
            <a:ln w="254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Table!$I$3:$I$22</c:f>
              <c:numCache>
                <c:formatCode>General</c:formatCode>
                <c:ptCount val="20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40-4EF9-A11C-329FFA0D32D4}"/>
            </c:ext>
          </c:extLst>
        </c:ser>
        <c:ser>
          <c:idx val="2"/>
          <c:order val="2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Table!$J$3:$J$22</c:f>
              <c:numCache>
                <c:formatCode>General</c:formatCode>
                <c:ptCount val="2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40-4EF9-A11C-329FFA0D32D4}"/>
            </c:ext>
          </c:extLst>
        </c:ser>
        <c:ser>
          <c:idx val="3"/>
          <c:order val="3"/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Table!$K$3:$K$22</c:f>
              <c:numCache>
                <c:formatCode>0.00</c:formatCode>
                <c:ptCount val="2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40-4EF9-A11C-329FFA0D3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3872"/>
        <c:axId val="1"/>
      </c:scatterChart>
      <c:valAx>
        <c:axId val="795503872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0.1"/>
          <c:min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38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5137620137519373"/>
          <c:y val="0.90559609626261495"/>
          <c:w val="0.49724778918174534"/>
          <c:h val="5.94406861114191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9442038495188095E-2"/>
          <c:y val="0.17171296296296298"/>
          <c:w val="0.8648912948381452"/>
          <c:h val="0.614984324876057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Table!$H$3:$H$12</c:f>
              <c:numCache>
                <c:formatCode>0.00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8C-42E2-B046-3555C7E6105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Table!$I$3:$I$12</c:f>
              <c:numCache>
                <c:formatCode>General</c:formatCode>
                <c:ptCount val="10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8C-42E2-B046-3555C7E6105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Table!$J$3:$J$12</c:f>
              <c:numCache>
                <c:formatCode>General</c:formatCode>
                <c:ptCount val="1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8C-42E2-B046-3555C7E6105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Table!$K$3:$K$12</c:f>
              <c:numCache>
                <c:formatCode>0.00</c:formatCode>
                <c:ptCount val="1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8C-42E2-B046-3555C7E61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95016"/>
        <c:axId val="1"/>
      </c:scatterChart>
      <c:valAx>
        <c:axId val="79549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950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4299095512689167"/>
          <c:y val="0.90357315443872765"/>
          <c:w val="0.50654255578647467"/>
          <c:h val="6.071425187375045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6"/>
          <c:order val="0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Table!$BB$3:$BB$12</c:f>
              <c:numCache>
                <c:formatCode>0.00</c:formatCode>
                <c:ptCount val="10"/>
                <c:pt idx="0">
                  <c:v>0.42198180443414035</c:v>
                </c:pt>
                <c:pt idx="1">
                  <c:v>0.4231215607253892</c:v>
                </c:pt>
                <c:pt idx="2">
                  <c:v>0.42444025600789131</c:v>
                </c:pt>
                <c:pt idx="3">
                  <c:v>0.42080808700300326</c:v>
                </c:pt>
                <c:pt idx="4">
                  <c:v>0.40701061950627554</c:v>
                </c:pt>
                <c:pt idx="5">
                  <c:v>0.38102260649671044</c:v>
                </c:pt>
                <c:pt idx="6">
                  <c:v>0.34597858588548525</c:v>
                </c:pt>
                <c:pt idx="7">
                  <c:v>0.30979480898301137</c:v>
                </c:pt>
                <c:pt idx="8">
                  <c:v>0.28248810069094399</c:v>
                </c:pt>
                <c:pt idx="9">
                  <c:v>0.27232280219910437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70-462E-B5E4-97AEA7513F50}"/>
            </c:ext>
          </c:extLst>
        </c:ser>
        <c:ser>
          <c:idx val="7"/>
          <c:order val="1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Table!$BC$3:$BC$12</c:f>
              <c:numCache>
                <c:formatCode>General</c:formatCode>
                <c:ptCount val="10"/>
                <c:pt idx="0">
                  <c:v>0.42198180443414024</c:v>
                </c:pt>
                <c:pt idx="1">
                  <c:v>0.42384810982282645</c:v>
                </c:pt>
                <c:pt idx="2">
                  <c:v>0.42541385405840809</c:v>
                </c:pt>
                <c:pt idx="3">
                  <c:v>0.42131092771735168</c:v>
                </c:pt>
                <c:pt idx="4">
                  <c:v>0.40645409108326103</c:v>
                </c:pt>
                <c:pt idx="5">
                  <c:v>0.37926532608253882</c:v>
                </c:pt>
                <c:pt idx="6">
                  <c:v>0.34344101582789699</c:v>
                </c:pt>
                <c:pt idx="7">
                  <c:v>0.30731097947140257</c:v>
                </c:pt>
                <c:pt idx="8">
                  <c:v>0.28095797421741281</c:v>
                </c:pt>
                <c:pt idx="9">
                  <c:v>0.27232280219910437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70-462E-B5E4-97AEA7513F50}"/>
            </c:ext>
          </c:extLst>
        </c:ser>
        <c:ser>
          <c:idx val="8"/>
          <c:order val="2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Table!$BD$3:$BD$12</c:f>
              <c:numCache>
                <c:formatCode>General</c:formatCode>
                <c:ptCount val="10"/>
                <c:pt idx="0">
                  <c:v>1.4487087054504048E-2</c:v>
                </c:pt>
                <c:pt idx="1">
                  <c:v>3.022344300312868E-2</c:v>
                </c:pt>
                <c:pt idx="2">
                  <c:v>4.8598146503394182E-2</c:v>
                </c:pt>
                <c:pt idx="3">
                  <c:v>5.2741891586785487E-2</c:v>
                </c:pt>
                <c:pt idx="4">
                  <c:v>4.3562255897518276E-2</c:v>
                </c:pt>
                <c:pt idx="5">
                  <c:v>4.6657301416488592E-2</c:v>
                </c:pt>
                <c:pt idx="6">
                  <c:v>5.3909897797386495E-2</c:v>
                </c:pt>
                <c:pt idx="7">
                  <c:v>4.7088596855643844E-2</c:v>
                </c:pt>
                <c:pt idx="8">
                  <c:v>2.643013643630614E-2</c:v>
                </c:pt>
                <c:pt idx="9">
                  <c:v>1.4487087054504052E-2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70-462E-B5E4-97AEA7513F50}"/>
            </c:ext>
          </c:extLst>
        </c:ser>
        <c:ser>
          <c:idx val="9"/>
          <c:order val="3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Table!$BE$3:$BE$12</c:f>
              <c:numCache>
                <c:formatCode>0.00</c:formatCode>
                <c:ptCount val="10"/>
                <c:pt idx="0">
                  <c:v>0.15268458607957899</c:v>
                </c:pt>
                <c:pt idx="1">
                  <c:v>0.14703205868803479</c:v>
                </c:pt>
                <c:pt idx="2">
                  <c:v>0.13271935690074996</c:v>
                </c:pt>
                <c:pt idx="3">
                  <c:v>0.11644355295195702</c:v>
                </c:pt>
                <c:pt idx="4">
                  <c:v>0.10582027639470838</c:v>
                </c:pt>
                <c:pt idx="5">
                  <c:v>0.10582027639470838</c:v>
                </c:pt>
                <c:pt idx="6">
                  <c:v>0.11644355295195705</c:v>
                </c:pt>
                <c:pt idx="7">
                  <c:v>0.13271935690074999</c:v>
                </c:pt>
                <c:pt idx="8">
                  <c:v>0.14703205868803479</c:v>
                </c:pt>
                <c:pt idx="9">
                  <c:v>0.15268458607957897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70-462E-B5E4-97AEA7513F50}"/>
            </c:ext>
          </c:extLst>
        </c:ser>
        <c:ser>
          <c:idx val="10"/>
          <c:order val="4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Table!$BF$3:$BF$12</c:f>
              <c:numCache>
                <c:formatCode>General</c:formatCode>
                <c:ptCount val="10"/>
                <c:pt idx="0">
                  <c:v>0.15268458607957894</c:v>
                </c:pt>
                <c:pt idx="1">
                  <c:v>0.14590372090255049</c:v>
                </c:pt>
                <c:pt idx="2">
                  <c:v>0.13099064311968717</c:v>
                </c:pt>
                <c:pt idx="3">
                  <c:v>0.11492334756598861</c:v>
                </c:pt>
                <c:pt idx="4">
                  <c:v>0.10521990039912983</c:v>
                </c:pt>
                <c:pt idx="5">
                  <c:v>0.10642065239028684</c:v>
                </c:pt>
                <c:pt idx="6">
                  <c:v>0.11796375833792536</c:v>
                </c:pt>
                <c:pt idx="7">
                  <c:v>0.13444807068181264</c:v>
                </c:pt>
                <c:pt idx="8">
                  <c:v>0.14816039647351892</c:v>
                </c:pt>
                <c:pt idx="9">
                  <c:v>0.15268458607957891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F70-462E-B5E4-97AEA7513F50}"/>
            </c:ext>
          </c:extLst>
        </c:ser>
        <c:ser>
          <c:idx val="11"/>
          <c:order val="5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Table!$BG$3:$BG$12</c:f>
              <c:numCache>
                <c:formatCode>General</c:formatCode>
                <c:ptCount val="10"/>
                <c:pt idx="0">
                  <c:v>1.4487087054504048E-2</c:v>
                </c:pt>
                <c:pt idx="1">
                  <c:v>3.022344300312868E-2</c:v>
                </c:pt>
                <c:pt idx="2">
                  <c:v>4.8598146503394182E-2</c:v>
                </c:pt>
                <c:pt idx="3">
                  <c:v>5.2741891586785487E-2</c:v>
                </c:pt>
                <c:pt idx="4">
                  <c:v>4.3562255897518276E-2</c:v>
                </c:pt>
                <c:pt idx="5">
                  <c:v>4.6657301416488592E-2</c:v>
                </c:pt>
                <c:pt idx="6">
                  <c:v>5.3909897797386495E-2</c:v>
                </c:pt>
                <c:pt idx="7">
                  <c:v>4.7088596855643844E-2</c:v>
                </c:pt>
                <c:pt idx="8">
                  <c:v>2.643013643630614E-2</c:v>
                </c:pt>
                <c:pt idx="9">
                  <c:v>1.4487087054504052E-2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F70-462E-B5E4-97AEA7513F50}"/>
            </c:ext>
          </c:extLst>
        </c:ser>
        <c:ser>
          <c:idx val="0"/>
          <c:order val="6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Table!$H$3:$H$12</c:f>
              <c:numCache>
                <c:formatCode>0.00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F70-462E-B5E4-97AEA7513F50}"/>
            </c:ext>
          </c:extLst>
        </c:ser>
        <c:ser>
          <c:idx val="1"/>
          <c:order val="7"/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6"/>
              </a:solidFill>
            </c:spPr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Table!$I$3:$I$12</c:f>
              <c:numCache>
                <c:formatCode>General</c:formatCode>
                <c:ptCount val="10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F70-462E-B5E4-97AEA7513F50}"/>
            </c:ext>
          </c:extLst>
        </c:ser>
        <c:ser>
          <c:idx val="2"/>
          <c:order val="8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Table!$J$3:$J$12</c:f>
              <c:numCache>
                <c:formatCode>General</c:formatCode>
                <c:ptCount val="1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F70-462E-B5E4-97AEA7513F50}"/>
            </c:ext>
          </c:extLst>
        </c:ser>
        <c:ser>
          <c:idx val="3"/>
          <c:order val="9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Table!$K$3:$K$12</c:f>
              <c:numCache>
                <c:formatCode>0.00</c:formatCode>
                <c:ptCount val="1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F70-462E-B5E4-97AEA7513F50}"/>
            </c:ext>
          </c:extLst>
        </c:ser>
        <c:ser>
          <c:idx val="4"/>
          <c:order val="10"/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6"/>
              </a:solidFill>
            </c:spPr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Table!$L$3:$L$12</c:f>
              <c:numCache>
                <c:formatCode>General</c:formatCode>
                <c:ptCount val="10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F70-462E-B5E4-97AEA7513F50}"/>
            </c:ext>
          </c:extLst>
        </c:ser>
        <c:ser>
          <c:idx val="5"/>
          <c:order val="11"/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Table!$M$3:$M$12</c:f>
              <c:numCache>
                <c:formatCode>General</c:formatCode>
                <c:ptCount val="10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F70-462E-B5E4-97AEA7513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7152"/>
        <c:axId val="1"/>
      </c:scatterChart>
      <c:valAx>
        <c:axId val="795507152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  <c:max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71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42038495188095E-2"/>
          <c:y val="0.17171296296296298"/>
          <c:w val="0.8648912948381452"/>
          <c:h val="0.61498432487605714"/>
        </c:manualLayout>
      </c:layout>
      <c:scatterChart>
        <c:scatterStyle val="smoothMarker"/>
        <c:varyColors val="0"/>
        <c:ser>
          <c:idx val="5"/>
          <c:order val="0"/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Table!$J$3:$J$12</c:f>
              <c:numCache>
                <c:formatCode>General</c:formatCode>
                <c:ptCount val="1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6E-468F-BCC8-CC3058129BD1}"/>
            </c:ext>
          </c:extLst>
        </c:ser>
        <c:ser>
          <c:idx val="6"/>
          <c:order val="1"/>
          <c:spPr>
            <a:ln>
              <a:noFill/>
            </a:ln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Table!$K$3:$K$12</c:f>
              <c:numCache>
                <c:formatCode>0.00</c:formatCode>
                <c:ptCount val="1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6E-468F-BCC8-CC3058129BD1}"/>
            </c:ext>
          </c:extLst>
        </c:ser>
        <c:ser>
          <c:idx val="7"/>
          <c:order val="2"/>
          <c:spPr>
            <a:ln>
              <a:noFill/>
            </a:ln>
          </c:spPr>
          <c:marker>
            <c:symbol val="square"/>
            <c:size val="9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Table!$L$3:$L$12</c:f>
              <c:numCache>
                <c:formatCode>General</c:formatCode>
                <c:ptCount val="10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6E-468F-BCC8-CC3058129BD1}"/>
            </c:ext>
          </c:extLst>
        </c:ser>
        <c:ser>
          <c:idx val="0"/>
          <c:order val="3"/>
          <c:spPr>
            <a:ln w="28575">
              <a:noFill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pt idx="7">
                <c:v>35</c:v>
              </c:pt>
              <c:pt idx="8">
                <c:v>40</c:v>
              </c:pt>
              <c:pt idx="9">
                <c:v>45</c:v>
              </c:pt>
            </c:numLit>
          </c:xVal>
          <c:yVal>
            <c:numLit>
              <c:formatCode>General</c:formatCode>
              <c:ptCount val="10"/>
              <c:pt idx="0">
                <c:v>101.64908198597757</c:v>
              </c:pt>
              <c:pt idx="1">
                <c:v>124.43594619061376</c:v>
              </c:pt>
              <c:pt idx="2">
                <c:v>162.74952809622224</c:v>
              </c:pt>
              <c:pt idx="3">
                <c:v>245.60508272357583</c:v>
              </c:pt>
              <c:pt idx="4">
                <c:v>490.14698268246212</c:v>
              </c:pt>
              <c:pt idx="5">
                <c:v>348.94124027239172</c:v>
              </c:pt>
              <c:pt idx="6">
                <c:v>148.33926131211109</c:v>
              </c:pt>
              <c:pt idx="7">
                <c:v>68.471031080268986</c:v>
              </c:pt>
              <c:pt idx="8">
                <c:v>26.641480624575173</c:v>
              </c:pt>
              <c:pt idx="9">
                <c:v>1.4699531628064618E-2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16E-468F-BCC8-CC3058129BD1}"/>
            </c:ext>
          </c:extLst>
        </c:ser>
        <c:ser>
          <c:idx val="1"/>
          <c:order val="4"/>
          <c:spPr>
            <a:ln w="28575">
              <a:noFill/>
            </a:ln>
          </c:spPr>
          <c:marker>
            <c:symbol val="square"/>
            <c:size val="9"/>
            <c:spPr>
              <a:solidFill>
                <a:schemeClr val="accent2">
                  <a:lumMod val="75000"/>
                </a:schemeClr>
              </a:solidFill>
            </c:spPr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pt idx="7">
                <c:v>35</c:v>
              </c:pt>
              <c:pt idx="8">
                <c:v>40</c:v>
              </c:pt>
              <c:pt idx="9">
                <c:v>45</c:v>
              </c:pt>
            </c:numLit>
          </c:xVal>
          <c:yVal>
            <c:numLit>
              <c:formatCode>General</c:formatCode>
              <c:ptCount val="10"/>
              <c:pt idx="0">
                <c:v>0</c:v>
              </c:pt>
              <c:pt idx="1">
                <c:v>21.939765278584158</c:v>
              </c:pt>
              <c:pt idx="2">
                <c:v>59.231245166523671</c:v>
              </c:pt>
              <c:pt idx="3">
                <c:v>141.78753150811494</c:v>
              </c:pt>
              <c:pt idx="4">
                <c:v>411.23920419241779</c:v>
              </c:pt>
              <c:pt idx="5">
                <c:v>415.79769676012091</c:v>
              </c:pt>
              <c:pt idx="6">
                <c:v>256.88537644089126</c:v>
              </c:pt>
              <c:pt idx="7">
                <c:v>188.06995194622615</c:v>
              </c:pt>
              <c:pt idx="8">
                <c:v>151.00053339968372</c:v>
              </c:pt>
              <c:pt idx="9">
                <c:v>127.05029611787701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16E-468F-BCC8-CC3058129BD1}"/>
            </c:ext>
          </c:extLst>
        </c:ser>
        <c:ser>
          <c:idx val="2"/>
          <c:order val="5"/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pt idx="7">
                <c:v>35</c:v>
              </c:pt>
              <c:pt idx="8">
                <c:v>40</c:v>
              </c:pt>
              <c:pt idx="9">
                <c:v>45</c:v>
              </c:pt>
            </c:numLit>
          </c:xVal>
          <c:yVal>
            <c:numLit>
              <c:formatCode>General</c:formatCode>
              <c:ptCount val="10"/>
              <c:pt idx="0">
                <c:v>461.41124049786333</c:v>
              </c:pt>
              <c:pt idx="1">
                <c:v>449.95022260821725</c:v>
              </c:pt>
              <c:pt idx="2">
                <c:v>417.7722611379217</c:v>
              </c:pt>
              <c:pt idx="3">
                <c:v>370.24279054285682</c:v>
              </c:pt>
              <c:pt idx="4">
                <c:v>313.45550840518854</c:v>
              </c:pt>
              <c:pt idx="5">
                <c:v>254.27861203668112</c:v>
              </c:pt>
              <c:pt idx="6">
                <c:v>194.29690048702156</c:v>
              </c:pt>
              <c:pt idx="7">
                <c:v>132.72702233444767</c:v>
              </c:pt>
              <c:pt idx="8">
                <c:v>68.428245337567304</c:v>
              </c:pt>
              <c:pt idx="9">
                <c:v>4.7003429981599468E-2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F16E-468F-BCC8-CC3058129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8136"/>
        <c:axId val="1"/>
      </c:scatterChart>
      <c:valAx>
        <c:axId val="795508136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81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cat>
          <c:val>
            <c:numRef>
              <c:f>Table!$H$3:$H$12</c:f>
              <c:numCache>
                <c:formatCode>0.00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1B-4BF3-B8B2-6F395AC37D5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cat>
          <c:val>
            <c:numRef>
              <c:f>Table!$I$3:$I$12</c:f>
              <c:numCache>
                <c:formatCode>General</c:formatCode>
                <c:ptCount val="10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1B-4BF3-B8B2-6F395AC37D5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cat>
          <c:val>
            <c:numRef>
              <c:f>Table!$J$3:$J$12</c:f>
              <c:numCache>
                <c:formatCode>General</c:formatCode>
                <c:ptCount val="1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1B-4BF3-B8B2-6F395AC37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508792"/>
        <c:axId val="1"/>
      </c:lineChart>
      <c:catAx>
        <c:axId val="795508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%" sourceLinked="0"/>
        <c:majorTickMark val="cross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8792"/>
        <c:crosses val="autoZero"/>
        <c:crossBetween val="between"/>
      </c:valAx>
      <c:spPr>
        <a:noFill/>
        <a:ln>
          <a:solidFill>
            <a:schemeClr val="tx1">
              <a:lumMod val="65000"/>
              <a:lumOff val="3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Table!$H$3:$H$21</c:f>
              <c:numCache>
                <c:formatCode>0.00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3C-479F-B2AF-7FD2970835A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Table!$I$3:$I$21</c:f>
              <c:numCache>
                <c:formatCode>General</c:formatCode>
                <c:ptCount val="19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3C-479F-B2AF-7FD2970835A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Table!$J$3:$J$21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3C-479F-B2AF-7FD297083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14368"/>
        <c:axId val="1"/>
      </c:scatterChart>
      <c:valAx>
        <c:axId val="795514368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5.000000000000001E-2"/>
          <c:min val="-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143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Table!$H$3:$H$21</c:f>
              <c:numCache>
                <c:formatCode>0.00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41-4E68-B461-80329C7B0E8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Table!$I$3:$I$21</c:f>
              <c:numCache>
                <c:formatCode>General</c:formatCode>
                <c:ptCount val="19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41-4E68-B461-80329C7B0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10432"/>
        <c:axId val="1"/>
      </c:scatterChart>
      <c:valAx>
        <c:axId val="79551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104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2258128333530039"/>
          <c:y val="0.89474008328464238"/>
          <c:w val="0.34408673219916025"/>
          <c:h val="7.36844643536165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19816272965887E-2"/>
          <c:y val="3.7037037037037035E-2"/>
          <c:w val="0.8585579615048119"/>
          <c:h val="0.89814814814814814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Table!$C$3:$C$21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Table!$D$3:$D$21</c:f>
              <c:numCache>
                <c:formatCode>0.00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FD-4356-9277-45822AABC542}"/>
            </c:ext>
          </c:extLst>
        </c:ser>
        <c:ser>
          <c:idx val="1"/>
          <c:order val="1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Table!$C$3:$C$21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Table!$E$3:$E$21</c:f>
              <c:numCache>
                <c:formatCode>General</c:formatCode>
                <c:ptCount val="19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FD-4356-9277-45822AABC542}"/>
            </c:ext>
          </c:extLst>
        </c:ser>
        <c:ser>
          <c:idx val="2"/>
          <c:order val="2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Table!$C$3:$C$21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Table!$F$3:$F$21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FD-4356-9277-45822AABC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4856"/>
        <c:axId val="1"/>
      </c:scatterChart>
      <c:valAx>
        <c:axId val="795504856"/>
        <c:scaling>
          <c:orientation val="minMax"/>
          <c:max val="2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48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Table!$H$3:$H$21</c:f>
              <c:numCache>
                <c:formatCode>0.00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44-408B-8BB9-B501EE1EA127}"/>
            </c:ext>
          </c:extLst>
        </c:ser>
        <c:ser>
          <c:idx val="1"/>
          <c:order val="1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Table!$I$3:$I$21</c:f>
              <c:numCache>
                <c:formatCode>General</c:formatCode>
                <c:ptCount val="19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44-408B-8BB9-B501EE1EA127}"/>
            </c:ext>
          </c:extLst>
        </c:ser>
        <c:ser>
          <c:idx val="2"/>
          <c:order val="2"/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Table!$J$3:$J$21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44-408B-8BB9-B501EE1EA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17976"/>
        <c:axId val="1"/>
      </c:scatterChart>
      <c:valAx>
        <c:axId val="79551797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solidFill>
            <a:schemeClr val="bg1"/>
          </a:solidFill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logBase val="10"/>
          <c:orientation val="minMax"/>
          <c:max val="2"/>
          <c:min val="2.0000000000000005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17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ChartQ!$R$15</c:f>
              <c:strCache>
                <c:ptCount val="1"/>
                <c:pt idx="0">
                  <c:v>V1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ChartQ!$C$3:$C$48</c:f>
              <c:numCache>
                <c:formatCode>General</c:formatCode>
                <c:ptCount val="46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</c:numCache>
            </c:numRef>
          </c:xVal>
          <c:yVal>
            <c:numRef>
              <c:f>ChartQ!$D$3:$D$48</c:f>
              <c:numCache>
                <c:formatCode>0.00</c:formatCode>
                <c:ptCount val="46"/>
                <c:pt idx="0">
                  <c:v>1</c:v>
                </c:pt>
                <c:pt idx="1">
                  <c:v>0.9996679936586832</c:v>
                </c:pt>
                <c:pt idx="2">
                  <c:v>0.99867561216568534</c:v>
                </c:pt>
                <c:pt idx="3">
                  <c:v>0.99703372826031222</c:v>
                </c:pt>
                <c:pt idx="4">
                  <c:v>0.99476033076621817</c:v>
                </c:pt>
                <c:pt idx="5">
                  <c:v>0.99188032750208721</c:v>
                </c:pt>
                <c:pt idx="6">
                  <c:v>0.98842527238636047</c:v>
                </c:pt>
                <c:pt idx="7">
                  <c:v>0.98443301972590269</c:v>
                </c:pt>
                <c:pt idx="8">
                  <c:v>0.97994730947629427</c:v>
                </c:pt>
                <c:pt idx="9">
                  <c:v>0.97501728801772569</c:v>
                </c:pt>
                <c:pt idx="10">
                  <c:v>0.96969696969696972</c:v>
                </c:pt>
                <c:pt idx="11">
                  <c:v>0.96404464503489695</c:v>
                </c:pt>
                <c:pt idx="12">
                  <c:v>0.95812224208333019</c:v>
                </c:pt>
                <c:pt idx="13">
                  <c:v>0.95199464792834898</c:v>
                </c:pt>
                <c:pt idx="14">
                  <c:v>0.94572899777379726</c:v>
                </c:pt>
                <c:pt idx="15">
                  <c:v>0.93939393939393945</c:v>
                </c:pt>
                <c:pt idx="16">
                  <c:v>0.93305888101408163</c:v>
                </c:pt>
                <c:pt idx="17">
                  <c:v>0.92679323085952992</c:v>
                </c:pt>
                <c:pt idx="18">
                  <c:v>0.92066563670454871</c:v>
                </c:pt>
                <c:pt idx="19">
                  <c:v>0.91474323375298194</c:v>
                </c:pt>
                <c:pt idx="20">
                  <c:v>0.90909090909090917</c:v>
                </c:pt>
                <c:pt idx="21">
                  <c:v>0.9037705907701532</c:v>
                </c:pt>
                <c:pt idx="22">
                  <c:v>0.89884056931158429</c:v>
                </c:pt>
                <c:pt idx="23">
                  <c:v>0.8943548590619762</c:v>
                </c:pt>
                <c:pt idx="24">
                  <c:v>0.89036260640151854</c:v>
                </c:pt>
                <c:pt idx="25">
                  <c:v>0.88690755128579168</c:v>
                </c:pt>
                <c:pt idx="26">
                  <c:v>0.88402754802166073</c:v>
                </c:pt>
                <c:pt idx="27">
                  <c:v>0.88175415052756656</c:v>
                </c:pt>
                <c:pt idx="28">
                  <c:v>0.88011226662219377</c:v>
                </c:pt>
                <c:pt idx="29">
                  <c:v>0.87911988512919559</c:v>
                </c:pt>
                <c:pt idx="30">
                  <c:v>0.8787878787878789</c:v>
                </c:pt>
                <c:pt idx="31">
                  <c:v>3.0271325645052423E-5</c:v>
                </c:pt>
                <c:pt idx="32">
                  <c:v>2.8464497207566372E-5</c:v>
                </c:pt>
                <c:pt idx="33">
                  <c:v>2.6814738288384415E-5</c:v>
                </c:pt>
                <c:pt idx="34">
                  <c:v>2.5304357110526944E-5</c:v>
                </c:pt>
                <c:pt idx="35">
                  <c:v>2.3918084457709574E-5</c:v>
                </c:pt>
                <c:pt idx="36">
                  <c:v>2.2642686238147925E-5</c:v>
                </c:pt>
                <c:pt idx="37">
                  <c:v>2.1466646443072463E-5</c:v>
                </c:pt>
                <c:pt idx="38">
                  <c:v>2.0379906285388413E-5</c:v>
                </c:pt>
                <c:pt idx="39">
                  <c:v>1.9373648410211299E-5</c:v>
                </c:pt>
                <c:pt idx="40">
                  <c:v>1.8440117464207767E-5</c:v>
                </c:pt>
                <c:pt idx="41">
                  <c:v>1.7572470213911289E-5</c:v>
                </c:pt>
                <c:pt idx="42">
                  <c:v>1.6764649791186553E-5</c:v>
                </c:pt>
                <c:pt idx="43">
                  <c:v>1.6011279678880769E-5</c:v>
                </c:pt>
                <c:pt idx="44">
                  <c:v>1.530757405235197E-5</c:v>
                </c:pt>
                <c:pt idx="45">
                  <c:v>1.4649261561106724E-5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C2-4F52-AE05-448482BB0B7A}"/>
            </c:ext>
          </c:extLst>
        </c:ser>
        <c:ser>
          <c:idx val="1"/>
          <c:order val="1"/>
          <c:tx>
            <c:strRef>
              <c:f>ChartQ!$R$16</c:f>
              <c:strCache>
                <c:ptCount val="1"/>
                <c:pt idx="0">
                  <c:v>V2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ChartQ!$C$3:$C$48</c:f>
              <c:numCache>
                <c:formatCode>General</c:formatCode>
                <c:ptCount val="46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</c:numCache>
            </c:numRef>
          </c:xVal>
          <c:yVal>
            <c:numRef>
              <c:f>ChartQ!$E$3:$E$48</c:f>
              <c:numCache>
                <c:formatCode>General</c:formatCode>
                <c:ptCount val="46"/>
                <c:pt idx="0">
                  <c:v>1.0000000000000002</c:v>
                </c:pt>
                <c:pt idx="1">
                  <c:v>0.99867561216568512</c:v>
                </c:pt>
                <c:pt idx="2">
                  <c:v>0.99476033076621861</c:v>
                </c:pt>
                <c:pt idx="3">
                  <c:v>0.98842527238636069</c:v>
                </c:pt>
                <c:pt idx="4">
                  <c:v>0.97994730947629483</c:v>
                </c:pt>
                <c:pt idx="5">
                  <c:v>0.9696969696969705</c:v>
                </c:pt>
                <c:pt idx="6">
                  <c:v>0.95812224208333086</c:v>
                </c:pt>
                <c:pt idx="7">
                  <c:v>0.94572899777379793</c:v>
                </c:pt>
                <c:pt idx="8">
                  <c:v>0.93305888101408196</c:v>
                </c:pt>
                <c:pt idx="9">
                  <c:v>0.92066563670454837</c:v>
                </c:pt>
                <c:pt idx="10">
                  <c:v>0.90909090909091006</c:v>
                </c:pt>
                <c:pt idx="11">
                  <c:v>0.8988405693115844</c:v>
                </c:pt>
                <c:pt idx="12">
                  <c:v>0.89036260640151854</c:v>
                </c:pt>
                <c:pt idx="13">
                  <c:v>0.88402754802166061</c:v>
                </c:pt>
                <c:pt idx="14">
                  <c:v>0.88011226662219355</c:v>
                </c:pt>
                <c:pt idx="15">
                  <c:v>0.87878787878787956</c:v>
                </c:pt>
                <c:pt idx="16">
                  <c:v>0.88011226662219355</c:v>
                </c:pt>
                <c:pt idx="17">
                  <c:v>0.88402754802166061</c:v>
                </c:pt>
                <c:pt idx="18">
                  <c:v>0.89036260640151854</c:v>
                </c:pt>
                <c:pt idx="19">
                  <c:v>0.8988405693115844</c:v>
                </c:pt>
                <c:pt idx="20">
                  <c:v>0.90909090909090884</c:v>
                </c:pt>
                <c:pt idx="21">
                  <c:v>0.92066563670454837</c:v>
                </c:pt>
                <c:pt idx="22">
                  <c:v>0.93305888101408196</c:v>
                </c:pt>
                <c:pt idx="23">
                  <c:v>0.94572899777379793</c:v>
                </c:pt>
                <c:pt idx="24">
                  <c:v>0.95812224208333086</c:v>
                </c:pt>
                <c:pt idx="25">
                  <c:v>0.9696969696969705</c:v>
                </c:pt>
                <c:pt idx="26">
                  <c:v>0.97994730947629483</c:v>
                </c:pt>
                <c:pt idx="27">
                  <c:v>0.98842527238636135</c:v>
                </c:pt>
                <c:pt idx="28">
                  <c:v>0.99476033076621795</c:v>
                </c:pt>
                <c:pt idx="29">
                  <c:v>0.99867561216568568</c:v>
                </c:pt>
                <c:pt idx="30">
                  <c:v>1.0000000000000002</c:v>
                </c:pt>
                <c:pt idx="31">
                  <c:v>-3.3102167120705207E-6</c:v>
                </c:pt>
                <c:pt idx="32">
                  <c:v>-3.1126372021952692E-6</c:v>
                </c:pt>
                <c:pt idx="33">
                  <c:v>-2.9322334891282568E-6</c:v>
                </c:pt>
                <c:pt idx="34">
                  <c:v>-2.7670709499181644E-6</c:v>
                </c:pt>
                <c:pt idx="35">
                  <c:v>-2.6154798715554085E-6</c:v>
                </c:pt>
                <c:pt idx="36">
                  <c:v>-2.4760130855488151E-6</c:v>
                </c:pt>
                <c:pt idx="37">
                  <c:v>-2.3474112972108756E-6</c:v>
                </c:pt>
                <c:pt idx="38">
                  <c:v>-2.2285745643021487E-6</c:v>
                </c:pt>
                <c:pt idx="39">
                  <c:v>-2.1185386952084552E-6</c:v>
                </c:pt>
                <c:pt idx="40">
                  <c:v>-2.0164556298547163E-6</c:v>
                </c:pt>
                <c:pt idx="41">
                  <c:v>-1.9215770473672157E-6</c:v>
                </c:pt>
                <c:pt idx="42">
                  <c:v>-1.8332406247986744E-6</c:v>
                </c:pt>
                <c:pt idx="43">
                  <c:v>-1.7508584260380729E-6</c:v>
                </c:pt>
                <c:pt idx="44">
                  <c:v>-1.6739071175005394E-6</c:v>
                </c:pt>
                <c:pt idx="45">
                  <c:v>-1.6019196186420974E-6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C2-4F52-AE05-448482BB0B7A}"/>
            </c:ext>
          </c:extLst>
        </c:ser>
        <c:ser>
          <c:idx val="2"/>
          <c:order val="2"/>
          <c:tx>
            <c:strRef>
              <c:f>ChartQ!$R$17</c:f>
              <c:strCache>
                <c:ptCount val="1"/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pPr>
              <a:solidFill>
                <a:srgbClr val="9BBB59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ChartQ!$C$3:$C$48</c:f>
              <c:numCache>
                <c:formatCode>General</c:formatCode>
                <c:ptCount val="46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</c:numCache>
            </c:numRef>
          </c:xVal>
          <c:yVal>
            <c:numRef>
              <c:f>ChartQ!$F$3:$F$48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3.2680132038904444E-4</c:v>
                </c:pt>
                <c:pt idx="32">
                  <c:v>3.168982500734502E-4</c:v>
                </c:pt>
                <c:pt idx="33">
                  <c:v>3.0757771330679835E-4</c:v>
                </c:pt>
                <c:pt idx="34">
                  <c:v>2.9878977864133971E-4</c:v>
                </c:pt>
                <c:pt idx="35">
                  <c:v>2.9049006256804343E-4</c:v>
                </c:pt>
                <c:pt idx="36">
                  <c:v>2.8263897979604078E-4</c:v>
                </c:pt>
                <c:pt idx="37">
                  <c:v>2.7520111190693661E-4</c:v>
                </c:pt>
                <c:pt idx="38">
                  <c:v>2.68144673138852E-4</c:v>
                </c:pt>
                <c:pt idx="39">
                  <c:v>2.6144105631065336E-4</c:v>
                </c:pt>
                <c:pt idx="40">
                  <c:v>2.5506444518128148E-4</c:v>
                </c:pt>
                <c:pt idx="41">
                  <c:v>2.489914822008739E-4</c:v>
                </c:pt>
                <c:pt idx="42">
                  <c:v>2.4320098261476774E-4</c:v>
                </c:pt>
                <c:pt idx="43">
                  <c:v>2.3767368755521273E-4</c:v>
                </c:pt>
                <c:pt idx="44">
                  <c:v>2.3239205005446103E-4</c:v>
                </c:pt>
                <c:pt idx="45">
                  <c:v>2.2734004896581995E-4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C2-4F52-AE05-448482BB0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2760"/>
        <c:axId val="1"/>
      </c:scatterChart>
      <c:valAx>
        <c:axId val="790182760"/>
        <c:scaling>
          <c:orientation val="minMax"/>
          <c:max val="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numFmt formatCode="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8276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3118756936736957"/>
          <c:y val="0.4457627118644068"/>
          <c:w val="5.8823529411764719E-2"/>
          <c:h val="0.1033898305084745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2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B00-000000000000}">
  <sheetPr codeName="Chart17"/>
  <sheetViews>
    <sheetView zoomScale="132" workbookViewId="0"/>
  </sheetViews>
  <pageMargins left="0.75" right="0.75" top="1" bottom="1" header="0.3" footer="0.3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1.png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26" Type="http://schemas.openxmlformats.org/officeDocument/2006/relationships/chart" Target="../charts/chart49.xml"/><Relationship Id="rId39" Type="http://schemas.openxmlformats.org/officeDocument/2006/relationships/chart" Target="../charts/chart62.xml"/><Relationship Id="rId21" Type="http://schemas.openxmlformats.org/officeDocument/2006/relationships/chart" Target="../charts/chart44.xml"/><Relationship Id="rId34" Type="http://schemas.openxmlformats.org/officeDocument/2006/relationships/chart" Target="../charts/chart57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29" Type="http://schemas.openxmlformats.org/officeDocument/2006/relationships/chart" Target="../charts/chart52.xml"/><Relationship Id="rId41" Type="http://schemas.openxmlformats.org/officeDocument/2006/relationships/chart" Target="../charts/chart64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24" Type="http://schemas.openxmlformats.org/officeDocument/2006/relationships/chart" Target="../charts/chart47.xml"/><Relationship Id="rId32" Type="http://schemas.openxmlformats.org/officeDocument/2006/relationships/chart" Target="../charts/chart55.xml"/><Relationship Id="rId37" Type="http://schemas.openxmlformats.org/officeDocument/2006/relationships/chart" Target="../charts/chart60.xml"/><Relationship Id="rId40" Type="http://schemas.openxmlformats.org/officeDocument/2006/relationships/chart" Target="../charts/chart63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28" Type="http://schemas.openxmlformats.org/officeDocument/2006/relationships/chart" Target="../charts/chart51.xml"/><Relationship Id="rId36" Type="http://schemas.openxmlformats.org/officeDocument/2006/relationships/chart" Target="../charts/chart59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31" Type="http://schemas.openxmlformats.org/officeDocument/2006/relationships/chart" Target="../charts/chart54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Relationship Id="rId27" Type="http://schemas.openxmlformats.org/officeDocument/2006/relationships/chart" Target="../charts/chart50.xml"/><Relationship Id="rId30" Type="http://schemas.openxmlformats.org/officeDocument/2006/relationships/chart" Target="../charts/chart53.xml"/><Relationship Id="rId35" Type="http://schemas.openxmlformats.org/officeDocument/2006/relationships/chart" Target="../charts/chart58.xml"/><Relationship Id="rId8" Type="http://schemas.openxmlformats.org/officeDocument/2006/relationships/chart" Target="../charts/chart31.xml"/><Relationship Id="rId3" Type="http://schemas.openxmlformats.org/officeDocument/2006/relationships/chart" Target="../charts/chart26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5" Type="http://schemas.openxmlformats.org/officeDocument/2006/relationships/chart" Target="../charts/chart48.xml"/><Relationship Id="rId33" Type="http://schemas.openxmlformats.org/officeDocument/2006/relationships/chart" Target="../charts/chart56.xml"/><Relationship Id="rId38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106680</xdr:rowOff>
        </xdr:from>
        <xdr:to>
          <xdr:col>10</xdr:col>
          <xdr:colOff>0</xdr:colOff>
          <xdr:row>0</xdr:row>
          <xdr:rowOff>381000</xdr:rowOff>
        </xdr:to>
        <xdr:sp macro="" textlink="">
          <xdr:nvSpPr>
            <xdr:cNvPr id="7169" name="Button 1025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0</xdr:row>
          <xdr:rowOff>83820</xdr:rowOff>
        </xdr:from>
        <xdr:to>
          <xdr:col>7</xdr:col>
          <xdr:colOff>419100</xdr:colOff>
          <xdr:row>0</xdr:row>
          <xdr:rowOff>381000</xdr:rowOff>
        </xdr:to>
        <xdr:sp macro="" textlink="">
          <xdr:nvSpPr>
            <xdr:cNvPr id="7170" name="Button 1026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114300</xdr:rowOff>
        </xdr:from>
        <xdr:to>
          <xdr:col>12</xdr:col>
          <xdr:colOff>487680</xdr:colOff>
          <xdr:row>0</xdr:row>
          <xdr:rowOff>373380</xdr:rowOff>
        </xdr:to>
        <xdr:sp macro="" textlink="">
          <xdr:nvSpPr>
            <xdr:cNvPr id="7171" name="Button 1027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0</xdr:row>
          <xdr:rowOff>114300</xdr:rowOff>
        </xdr:from>
        <xdr:to>
          <xdr:col>13</xdr:col>
          <xdr:colOff>266700</xdr:colOff>
          <xdr:row>0</xdr:row>
          <xdr:rowOff>373380</xdr:rowOff>
        </xdr:to>
        <xdr:sp macro="" textlink="">
          <xdr:nvSpPr>
            <xdr:cNvPr id="7172" name="Button 1028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182880</xdr:colOff>
          <xdr:row>0</xdr:row>
          <xdr:rowOff>114300</xdr:rowOff>
        </xdr:from>
        <xdr:to>
          <xdr:col>16</xdr:col>
          <xdr:colOff>274320</xdr:colOff>
          <xdr:row>0</xdr:row>
          <xdr:rowOff>373380</xdr:rowOff>
        </xdr:to>
        <xdr:sp macro="" textlink="">
          <xdr:nvSpPr>
            <xdr:cNvPr id="7174" name="Button 1030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142875</xdr:colOff>
      <xdr:row>296</xdr:row>
      <xdr:rowOff>161925</xdr:rowOff>
    </xdr:from>
    <xdr:to>
      <xdr:col>36</xdr:col>
      <xdr:colOff>161925</xdr:colOff>
      <xdr:row>310</xdr:row>
      <xdr:rowOff>66675</xdr:rowOff>
    </xdr:to>
    <xdr:graphicFrame macro="">
      <xdr:nvGraphicFramePr>
        <xdr:cNvPr id="41916197" name="Chart 1">
          <a:extLst>
            <a:ext uri="{FF2B5EF4-FFF2-40B4-BE49-F238E27FC236}">
              <a16:creationId xmlns:a16="http://schemas.microsoft.com/office/drawing/2014/main" id="{00000000-0008-0000-0100-000025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76200</xdr:colOff>
      <xdr:row>268</xdr:row>
      <xdr:rowOff>123825</xdr:rowOff>
    </xdr:from>
    <xdr:to>
      <xdr:col>38</xdr:col>
      <xdr:colOff>85725</xdr:colOff>
      <xdr:row>282</xdr:row>
      <xdr:rowOff>28575</xdr:rowOff>
    </xdr:to>
    <xdr:graphicFrame macro="">
      <xdr:nvGraphicFramePr>
        <xdr:cNvPr id="41916198" name="Chart 4">
          <a:extLst>
            <a:ext uri="{FF2B5EF4-FFF2-40B4-BE49-F238E27FC236}">
              <a16:creationId xmlns:a16="http://schemas.microsoft.com/office/drawing/2014/main" id="{00000000-0008-0000-0100-000026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76200</xdr:colOff>
      <xdr:row>281</xdr:row>
      <xdr:rowOff>190500</xdr:rowOff>
    </xdr:from>
    <xdr:to>
      <xdr:col>38</xdr:col>
      <xdr:colOff>85725</xdr:colOff>
      <xdr:row>295</xdr:row>
      <xdr:rowOff>85725</xdr:rowOff>
    </xdr:to>
    <xdr:graphicFrame macro="">
      <xdr:nvGraphicFramePr>
        <xdr:cNvPr id="41916199" name="Chart 5">
          <a:extLst>
            <a:ext uri="{FF2B5EF4-FFF2-40B4-BE49-F238E27FC236}">
              <a16:creationId xmlns:a16="http://schemas.microsoft.com/office/drawing/2014/main" id="{00000000-0008-0000-0100-000027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600075</xdr:colOff>
      <xdr:row>281</xdr:row>
      <xdr:rowOff>152400</xdr:rowOff>
    </xdr:from>
    <xdr:to>
      <xdr:col>37</xdr:col>
      <xdr:colOff>600075</xdr:colOff>
      <xdr:row>295</xdr:row>
      <xdr:rowOff>47625</xdr:rowOff>
    </xdr:to>
    <xdr:graphicFrame macro="">
      <xdr:nvGraphicFramePr>
        <xdr:cNvPr id="41916200" name="Chart 6">
          <a:extLst>
            <a:ext uri="{FF2B5EF4-FFF2-40B4-BE49-F238E27FC236}">
              <a16:creationId xmlns:a16="http://schemas.microsoft.com/office/drawing/2014/main" id="{00000000-0008-0000-0100-000028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619125</xdr:colOff>
      <xdr:row>254</xdr:row>
      <xdr:rowOff>123825</xdr:rowOff>
    </xdr:from>
    <xdr:to>
      <xdr:col>36</xdr:col>
      <xdr:colOff>657225</xdr:colOff>
      <xdr:row>268</xdr:row>
      <xdr:rowOff>28575</xdr:rowOff>
    </xdr:to>
    <xdr:graphicFrame macro="">
      <xdr:nvGraphicFramePr>
        <xdr:cNvPr id="41916201" name="Chart 8">
          <a:extLst>
            <a:ext uri="{FF2B5EF4-FFF2-40B4-BE49-F238E27FC236}">
              <a16:creationId xmlns:a16="http://schemas.microsoft.com/office/drawing/2014/main" id="{00000000-0008-0000-0100-000029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47625</xdr:colOff>
      <xdr:row>267</xdr:row>
      <xdr:rowOff>200025</xdr:rowOff>
    </xdr:from>
    <xdr:to>
      <xdr:col>38</xdr:col>
      <xdr:colOff>76200</xdr:colOff>
      <xdr:row>281</xdr:row>
      <xdr:rowOff>104775</xdr:rowOff>
    </xdr:to>
    <xdr:graphicFrame macro="">
      <xdr:nvGraphicFramePr>
        <xdr:cNvPr id="41916202" name="Chart 9">
          <a:extLst>
            <a:ext uri="{FF2B5EF4-FFF2-40B4-BE49-F238E27FC236}">
              <a16:creationId xmlns:a16="http://schemas.microsoft.com/office/drawing/2014/main" id="{00000000-0008-0000-0100-00002A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76200</xdr:colOff>
      <xdr:row>311</xdr:row>
      <xdr:rowOff>114300</xdr:rowOff>
    </xdr:from>
    <xdr:to>
      <xdr:col>38</xdr:col>
      <xdr:colOff>114300</xdr:colOff>
      <xdr:row>325</xdr:row>
      <xdr:rowOff>9525</xdr:rowOff>
    </xdr:to>
    <xdr:graphicFrame macro="">
      <xdr:nvGraphicFramePr>
        <xdr:cNvPr id="41916203" name="Chart 12">
          <a:extLst>
            <a:ext uri="{FF2B5EF4-FFF2-40B4-BE49-F238E27FC236}">
              <a16:creationId xmlns:a16="http://schemas.microsoft.com/office/drawing/2014/main" id="{00000000-0008-0000-0100-00002B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266700</xdr:colOff>
      <xdr:row>439</xdr:row>
      <xdr:rowOff>133350</xdr:rowOff>
    </xdr:from>
    <xdr:to>
      <xdr:col>29</xdr:col>
      <xdr:colOff>133350</xdr:colOff>
      <xdr:row>453</xdr:row>
      <xdr:rowOff>38100</xdr:rowOff>
    </xdr:to>
    <xdr:graphicFrame macro="">
      <xdr:nvGraphicFramePr>
        <xdr:cNvPr id="41916204" name="Chart 6">
          <a:extLst>
            <a:ext uri="{FF2B5EF4-FFF2-40B4-BE49-F238E27FC236}">
              <a16:creationId xmlns:a16="http://schemas.microsoft.com/office/drawing/2014/main" id="{00000000-0008-0000-0100-00002C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161925</xdr:colOff>
      <xdr:row>455</xdr:row>
      <xdr:rowOff>104775</xdr:rowOff>
    </xdr:from>
    <xdr:to>
      <xdr:col>29</xdr:col>
      <xdr:colOff>0</xdr:colOff>
      <xdr:row>469</xdr:row>
      <xdr:rowOff>0</xdr:rowOff>
    </xdr:to>
    <xdr:graphicFrame macro="">
      <xdr:nvGraphicFramePr>
        <xdr:cNvPr id="41916205" name="Chart 7">
          <a:extLst>
            <a:ext uri="{FF2B5EF4-FFF2-40B4-BE49-F238E27FC236}">
              <a16:creationId xmlns:a16="http://schemas.microsoft.com/office/drawing/2014/main" id="{00000000-0008-0000-0100-00002D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95250</xdr:colOff>
      <xdr:row>83</xdr:row>
      <xdr:rowOff>133350</xdr:rowOff>
    </xdr:from>
    <xdr:to>
      <xdr:col>34</xdr:col>
      <xdr:colOff>628650</xdr:colOff>
      <xdr:row>97</xdr:row>
      <xdr:rowOff>66675</xdr:rowOff>
    </xdr:to>
    <xdr:graphicFrame macro="">
      <xdr:nvGraphicFramePr>
        <xdr:cNvPr id="41916206" name="Chart 1">
          <a:extLst>
            <a:ext uri="{FF2B5EF4-FFF2-40B4-BE49-F238E27FC236}">
              <a16:creationId xmlns:a16="http://schemas.microsoft.com/office/drawing/2014/main" id="{00000000-0008-0000-0100-00002E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160020</xdr:colOff>
      <xdr:row>81</xdr:row>
      <xdr:rowOff>184785</xdr:rowOff>
    </xdr:from>
    <xdr:to>
      <xdr:col>6</xdr:col>
      <xdr:colOff>420561</xdr:colOff>
      <xdr:row>86</xdr:row>
      <xdr:rowOff>120014</xdr:rowOff>
    </xdr:to>
    <xdr:pic>
      <xdr:nvPicPr>
        <xdr:cNvPr id="41916207" name="Image 58">
          <a:extLst>
            <a:ext uri="{FF2B5EF4-FFF2-40B4-BE49-F238E27FC236}">
              <a16:creationId xmlns:a16="http://schemas.microsoft.com/office/drawing/2014/main" id="{00000000-0008-0000-0100-00002F977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8460" y="16880205"/>
          <a:ext cx="1540701" cy="9258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224790</xdr:colOff>
      <xdr:row>87</xdr:row>
      <xdr:rowOff>161925</xdr:rowOff>
    </xdr:from>
    <xdr:to>
      <xdr:col>13</xdr:col>
      <xdr:colOff>355677</xdr:colOff>
      <xdr:row>91</xdr:row>
      <xdr:rowOff>144780</xdr:rowOff>
    </xdr:to>
    <xdr:pic>
      <xdr:nvPicPr>
        <xdr:cNvPr id="41916208" name="Image 60">
          <a:extLst>
            <a:ext uri="{FF2B5EF4-FFF2-40B4-BE49-F238E27FC236}">
              <a16:creationId xmlns:a16="http://schemas.microsoft.com/office/drawing/2014/main" id="{00000000-0008-0000-0100-000030977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8"/>
        <a:stretch>
          <a:fillRect/>
        </a:stretch>
      </xdr:blipFill>
      <xdr:spPr bwMode="auto">
        <a:xfrm>
          <a:off x="2983230" y="18046065"/>
          <a:ext cx="4885767" cy="7753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31</xdr:row>
      <xdr:rowOff>133350</xdr:rowOff>
    </xdr:from>
    <xdr:to>
      <xdr:col>9</xdr:col>
      <xdr:colOff>762000</xdr:colOff>
      <xdr:row>35</xdr:row>
      <xdr:rowOff>161925</xdr:rowOff>
    </xdr:to>
    <xdr:pic>
      <xdr:nvPicPr>
        <xdr:cNvPr id="81441" name="Image 1">
          <a:extLst>
            <a:ext uri="{FF2B5EF4-FFF2-40B4-BE49-F238E27FC236}">
              <a16:creationId xmlns:a16="http://schemas.microsoft.com/office/drawing/2014/main" id="{00000000-0008-0000-0200-000021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6038850"/>
          <a:ext cx="6029325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495300</xdr:colOff>
      <xdr:row>24</xdr:row>
      <xdr:rowOff>95250</xdr:rowOff>
    </xdr:from>
    <xdr:to>
      <xdr:col>5</xdr:col>
      <xdr:colOff>647700</xdr:colOff>
      <xdr:row>30</xdr:row>
      <xdr:rowOff>152400</xdr:rowOff>
    </xdr:to>
    <xdr:pic>
      <xdr:nvPicPr>
        <xdr:cNvPr id="81442" name="Image 2">
          <a:extLst>
            <a:ext uri="{FF2B5EF4-FFF2-40B4-BE49-F238E27FC236}">
              <a16:creationId xmlns:a16="http://schemas.microsoft.com/office/drawing/2014/main" id="{00000000-0008-0000-0200-000022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0950" y="4667250"/>
          <a:ext cx="2133600" cy="1200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800100</xdr:colOff>
      <xdr:row>24</xdr:row>
      <xdr:rowOff>38100</xdr:rowOff>
    </xdr:from>
    <xdr:to>
      <xdr:col>7</xdr:col>
      <xdr:colOff>828675</xdr:colOff>
      <xdr:row>31</xdr:row>
      <xdr:rowOff>95250</xdr:rowOff>
    </xdr:to>
    <xdr:pic>
      <xdr:nvPicPr>
        <xdr:cNvPr id="81443" name="Image 3">
          <a:extLst>
            <a:ext uri="{FF2B5EF4-FFF2-40B4-BE49-F238E27FC236}">
              <a16:creationId xmlns:a16="http://schemas.microsoft.com/office/drawing/2014/main" id="{00000000-0008-0000-0200-000023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6950" y="4610100"/>
          <a:ext cx="2009775" cy="1390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38</xdr:row>
      <xdr:rowOff>0</xdr:rowOff>
    </xdr:from>
    <xdr:to>
      <xdr:col>9</xdr:col>
      <xdr:colOff>485775</xdr:colOff>
      <xdr:row>45</xdr:row>
      <xdr:rowOff>171450</xdr:rowOff>
    </xdr:to>
    <xdr:pic>
      <xdr:nvPicPr>
        <xdr:cNvPr id="81444" name="Image 4">
          <a:extLst>
            <a:ext uri="{FF2B5EF4-FFF2-40B4-BE49-F238E27FC236}">
              <a16:creationId xmlns:a16="http://schemas.microsoft.com/office/drawing/2014/main" id="{00000000-0008-0000-0200-000024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7239000"/>
          <a:ext cx="5438775" cy="1504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8</xdr:col>
      <xdr:colOff>85725</xdr:colOff>
      <xdr:row>52</xdr:row>
      <xdr:rowOff>19050</xdr:rowOff>
    </xdr:to>
    <xdr:pic>
      <xdr:nvPicPr>
        <xdr:cNvPr id="81445" name="Image 5">
          <a:extLst>
            <a:ext uri="{FF2B5EF4-FFF2-40B4-BE49-F238E27FC236}">
              <a16:creationId xmlns:a16="http://schemas.microsoft.com/office/drawing/2014/main" id="{00000000-0008-0000-0200-000025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8953500"/>
          <a:ext cx="4048125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10</xdr:col>
      <xdr:colOff>571500</xdr:colOff>
      <xdr:row>59</xdr:row>
      <xdr:rowOff>57150</xdr:rowOff>
    </xdr:to>
    <xdr:pic>
      <xdr:nvPicPr>
        <xdr:cNvPr id="81446" name="Image 6">
          <a:extLst>
            <a:ext uri="{FF2B5EF4-FFF2-40B4-BE49-F238E27FC236}">
              <a16:creationId xmlns:a16="http://schemas.microsoft.com/office/drawing/2014/main" id="{00000000-0008-0000-0200-000026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8953500"/>
          <a:ext cx="6515100" cy="2343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47625</xdr:colOff>
      <xdr:row>60</xdr:row>
      <xdr:rowOff>85725</xdr:rowOff>
    </xdr:from>
    <xdr:to>
      <xdr:col>11</xdr:col>
      <xdr:colOff>476250</xdr:colOff>
      <xdr:row>65</xdr:row>
      <xdr:rowOff>161925</xdr:rowOff>
    </xdr:to>
    <xdr:pic>
      <xdr:nvPicPr>
        <xdr:cNvPr id="81447" name="Image 7">
          <a:extLst>
            <a:ext uri="{FF2B5EF4-FFF2-40B4-BE49-F238E27FC236}">
              <a16:creationId xmlns:a16="http://schemas.microsoft.com/office/drawing/2014/main" id="{00000000-0008-0000-0200-000027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3875" y="11515725"/>
          <a:ext cx="736282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762000</xdr:colOff>
      <xdr:row>38</xdr:row>
      <xdr:rowOff>0</xdr:rowOff>
    </xdr:from>
    <xdr:to>
      <xdr:col>13</xdr:col>
      <xdr:colOff>933450</xdr:colOff>
      <xdr:row>44</xdr:row>
      <xdr:rowOff>171450</xdr:rowOff>
    </xdr:to>
    <xdr:pic>
      <xdr:nvPicPr>
        <xdr:cNvPr id="81448" name="Image 8">
          <a:extLst>
            <a:ext uri="{FF2B5EF4-FFF2-40B4-BE49-F238E27FC236}">
              <a16:creationId xmlns:a16="http://schemas.microsoft.com/office/drawing/2014/main" id="{00000000-0008-0000-0200-000028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0" y="7239000"/>
          <a:ext cx="4133850" cy="131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fr-FR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fr-FR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fr-FR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en-US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en-US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fr-FR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fr-FR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</xdr:col>
      <xdr:colOff>60960</xdr:colOff>
      <xdr:row>26</xdr:row>
      <xdr:rowOff>7620</xdr:rowOff>
    </xdr:to>
    <xdr:sp macro="" textlink="">
      <xdr:nvSpPr>
        <xdr:cNvPr id="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2DEB40A7-E833-2AA4-C90E-50E8C59FF8A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91440" tIns="73152" rIns="91440" bIns="73152" anchor="ctr" upright="1"/>
        <a:lstStyle/>
        <a:p>
          <a:pPr algn="ctr" rtl="0">
            <a:defRPr sz="1000"/>
          </a:pPr>
          <a:r>
            <a:rPr lang="tr-TR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tr-T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tr-T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tr-T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tr-TR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5</xdr:col>
          <xdr:colOff>60960</xdr:colOff>
          <xdr:row>26</xdr:row>
          <xdr:rowOff>7620</xdr:rowOff>
        </xdr:to>
        <xdr:sp macro="" textlink="">
          <xdr:nvSpPr>
            <xdr:cNvPr id="8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DC62C35A-18CE-88DE-6E5E-80C3800E5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tr-TR" sz="36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MIC-MAC</a:t>
              </a:r>
              <a:endParaRPr lang="tr-TR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tr-TR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tr-TR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tr-TR" sz="1800" b="1" i="0" u="none" strike="noStrike" baseline="0">
                  <a:solidFill>
                    <a:srgbClr val="006411"/>
                  </a:solidFill>
                  <a:latin typeface="Arial"/>
                  <a:cs typeface="Arial"/>
                </a:rPr>
                <a:t>PLEASE CLICK ANYWHERE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0</xdr:row>
          <xdr:rowOff>106680</xdr:rowOff>
        </xdr:from>
        <xdr:to>
          <xdr:col>6</xdr:col>
          <xdr:colOff>373380</xdr:colOff>
          <xdr:row>0</xdr:row>
          <xdr:rowOff>388620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617220</xdr:colOff>
          <xdr:row>0</xdr:row>
          <xdr:rowOff>121920</xdr:rowOff>
        </xdr:from>
        <xdr:to>
          <xdr:col>8</xdr:col>
          <xdr:colOff>426720</xdr:colOff>
          <xdr:row>0</xdr:row>
          <xdr:rowOff>388620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312420</xdr:colOff>
          <xdr:row>0</xdr:row>
          <xdr:rowOff>144780</xdr:rowOff>
        </xdr:from>
        <xdr:to>
          <xdr:col>10</xdr:col>
          <xdr:colOff>426720</xdr:colOff>
          <xdr:row>0</xdr:row>
          <xdr:rowOff>388620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121920</xdr:rowOff>
        </xdr:from>
        <xdr:to>
          <xdr:col>12</xdr:col>
          <xdr:colOff>381000</xdr:colOff>
          <xdr:row>0</xdr:row>
          <xdr:rowOff>381000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342900</xdr:colOff>
          <xdr:row>0</xdr:row>
          <xdr:rowOff>114300</xdr:rowOff>
        </xdr:from>
        <xdr:to>
          <xdr:col>16</xdr:col>
          <xdr:colOff>518160</xdr:colOff>
          <xdr:row>0</xdr:row>
          <xdr:rowOff>350520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342900</xdr:colOff>
      <xdr:row>49</xdr:row>
      <xdr:rowOff>104775</xdr:rowOff>
    </xdr:from>
    <xdr:to>
      <xdr:col>17</xdr:col>
      <xdr:colOff>57150</xdr:colOff>
      <xdr:row>62</xdr:row>
      <xdr:rowOff>200025</xdr:rowOff>
    </xdr:to>
    <xdr:graphicFrame macro="">
      <xdr:nvGraphicFramePr>
        <xdr:cNvPr id="971626" name="Chart 3">
          <a:extLst>
            <a:ext uri="{FF2B5EF4-FFF2-40B4-BE49-F238E27FC236}">
              <a16:creationId xmlns:a16="http://schemas.microsoft.com/office/drawing/2014/main" id="{00000000-0008-0000-0500-00006AD30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114300</xdr:rowOff>
        </xdr:from>
        <xdr:to>
          <xdr:col>6</xdr:col>
          <xdr:colOff>335280</xdr:colOff>
          <xdr:row>0</xdr:row>
          <xdr:rowOff>388620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114300</xdr:rowOff>
        </xdr:from>
        <xdr:to>
          <xdr:col>9</xdr:col>
          <xdr:colOff>0</xdr:colOff>
          <xdr:row>0</xdr:row>
          <xdr:rowOff>419100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6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121920</xdr:rowOff>
        </xdr:from>
        <xdr:to>
          <xdr:col>11</xdr:col>
          <xdr:colOff>228600</xdr:colOff>
          <xdr:row>0</xdr:row>
          <xdr:rowOff>388620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6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144780</xdr:rowOff>
        </xdr:from>
        <xdr:to>
          <xdr:col>13</xdr:col>
          <xdr:colOff>236220</xdr:colOff>
          <xdr:row>0</xdr:row>
          <xdr:rowOff>381000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6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259080</xdr:colOff>
          <xdr:row>0</xdr:row>
          <xdr:rowOff>114300</xdr:rowOff>
        </xdr:from>
        <xdr:to>
          <xdr:col>18</xdr:col>
          <xdr:colOff>495300</xdr:colOff>
          <xdr:row>0</xdr:row>
          <xdr:rowOff>373380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6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83820</xdr:rowOff>
        </xdr:from>
        <xdr:to>
          <xdr:col>6</xdr:col>
          <xdr:colOff>304800</xdr:colOff>
          <xdr:row>0</xdr:row>
          <xdr:rowOff>373380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106680</xdr:rowOff>
        </xdr:from>
        <xdr:to>
          <xdr:col>8</xdr:col>
          <xdr:colOff>525780</xdr:colOff>
          <xdr:row>0</xdr:row>
          <xdr:rowOff>381000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502920</xdr:colOff>
          <xdr:row>0</xdr:row>
          <xdr:rowOff>114300</xdr:rowOff>
        </xdr:from>
        <xdr:to>
          <xdr:col>13</xdr:col>
          <xdr:colOff>350520</xdr:colOff>
          <xdr:row>0</xdr:row>
          <xdr:rowOff>388620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99060</xdr:colOff>
          <xdr:row>0</xdr:row>
          <xdr:rowOff>121920</xdr:rowOff>
        </xdr:from>
        <xdr:to>
          <xdr:col>15</xdr:col>
          <xdr:colOff>419100</xdr:colOff>
          <xdr:row>0</xdr:row>
          <xdr:rowOff>381000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198120</xdr:colOff>
          <xdr:row>0</xdr:row>
          <xdr:rowOff>114300</xdr:rowOff>
        </xdr:from>
        <xdr:to>
          <xdr:col>19</xdr:col>
          <xdr:colOff>441960</xdr:colOff>
          <xdr:row>0</xdr:row>
          <xdr:rowOff>350520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0</xdr:row>
          <xdr:rowOff>83820</xdr:rowOff>
        </xdr:from>
        <xdr:to>
          <xdr:col>6</xdr:col>
          <xdr:colOff>480060</xdr:colOff>
          <xdr:row>0</xdr:row>
          <xdr:rowOff>350520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0</xdr:row>
          <xdr:rowOff>83820</xdr:rowOff>
        </xdr:from>
        <xdr:to>
          <xdr:col>9</xdr:col>
          <xdr:colOff>45720</xdr:colOff>
          <xdr:row>0</xdr:row>
          <xdr:rowOff>342900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655320</xdr:colOff>
          <xdr:row>0</xdr:row>
          <xdr:rowOff>106680</xdr:rowOff>
        </xdr:from>
        <xdr:to>
          <xdr:col>10</xdr:col>
          <xdr:colOff>617220</xdr:colOff>
          <xdr:row>0</xdr:row>
          <xdr:rowOff>350520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114300</xdr:rowOff>
        </xdr:from>
        <xdr:to>
          <xdr:col>12</xdr:col>
          <xdr:colOff>114300</xdr:colOff>
          <xdr:row>0</xdr:row>
          <xdr:rowOff>350520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0</xdr:row>
          <xdr:rowOff>114300</xdr:rowOff>
        </xdr:from>
        <xdr:to>
          <xdr:col>15</xdr:col>
          <xdr:colOff>464820</xdr:colOff>
          <xdr:row>0</xdr:row>
          <xdr:rowOff>350520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428625</xdr:colOff>
      <xdr:row>67</xdr:row>
      <xdr:rowOff>123825</xdr:rowOff>
    </xdr:from>
    <xdr:to>
      <xdr:col>16</xdr:col>
      <xdr:colOff>342900</xdr:colOff>
      <xdr:row>81</xdr:row>
      <xdr:rowOff>76200</xdr:rowOff>
    </xdr:to>
    <xdr:graphicFrame macro="">
      <xdr:nvGraphicFramePr>
        <xdr:cNvPr id="1115859" name="Chart 3">
          <a:extLst>
            <a:ext uri="{FF2B5EF4-FFF2-40B4-BE49-F238E27FC236}">
              <a16:creationId xmlns:a16="http://schemas.microsoft.com/office/drawing/2014/main" id="{00000000-0008-0000-0800-0000D306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323850</xdr:colOff>
      <xdr:row>49</xdr:row>
      <xdr:rowOff>104775</xdr:rowOff>
    </xdr:from>
    <xdr:to>
      <xdr:col>26</xdr:col>
      <xdr:colOff>190500</xdr:colOff>
      <xdr:row>63</xdr:row>
      <xdr:rowOff>47625</xdr:rowOff>
    </xdr:to>
    <xdr:graphicFrame macro="">
      <xdr:nvGraphicFramePr>
        <xdr:cNvPr id="1115860" name="Chart 7">
          <a:extLst>
            <a:ext uri="{FF2B5EF4-FFF2-40B4-BE49-F238E27FC236}">
              <a16:creationId xmlns:a16="http://schemas.microsoft.com/office/drawing/2014/main" id="{00000000-0008-0000-0800-0000D406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0</xdr:row>
          <xdr:rowOff>83820</xdr:rowOff>
        </xdr:from>
        <xdr:to>
          <xdr:col>7</xdr:col>
          <xdr:colOff>426720</xdr:colOff>
          <xdr:row>0</xdr:row>
          <xdr:rowOff>350520</xdr:rowOff>
        </xdr:to>
        <xdr:sp macro="" textlink="">
          <xdr:nvSpPr>
            <xdr:cNvPr id="3153920" name="Button 46080" hidden="1">
              <a:extLst>
                <a:ext uri="{63B3BB69-23CF-44E3-9099-C40C66FF867C}">
                  <a14:compatExt spid="_x0000_s3153920"/>
                </a:ext>
                <a:ext uri="{FF2B5EF4-FFF2-40B4-BE49-F238E27FC236}">
                  <a16:creationId xmlns:a16="http://schemas.microsoft.com/office/drawing/2014/main" id="{00000000-0008-0000-0900-00000020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0</xdr:row>
          <xdr:rowOff>83820</xdr:rowOff>
        </xdr:from>
        <xdr:to>
          <xdr:col>9</xdr:col>
          <xdr:colOff>601980</xdr:colOff>
          <xdr:row>0</xdr:row>
          <xdr:rowOff>350520</xdr:rowOff>
        </xdr:to>
        <xdr:sp macro="" textlink="">
          <xdr:nvSpPr>
            <xdr:cNvPr id="3153921" name="Button 46081" hidden="1">
              <a:extLst>
                <a:ext uri="{63B3BB69-23CF-44E3-9099-C40C66FF867C}">
                  <a14:compatExt spid="_x0000_s3153921"/>
                </a:ext>
                <a:ext uri="{FF2B5EF4-FFF2-40B4-BE49-F238E27FC236}">
                  <a16:creationId xmlns:a16="http://schemas.microsoft.com/office/drawing/2014/main" id="{00000000-0008-0000-0900-00000120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106680</xdr:rowOff>
        </xdr:from>
        <xdr:to>
          <xdr:col>13</xdr:col>
          <xdr:colOff>312420</xdr:colOff>
          <xdr:row>0</xdr:row>
          <xdr:rowOff>350520</xdr:rowOff>
        </xdr:to>
        <xdr:sp macro="" textlink="">
          <xdr:nvSpPr>
            <xdr:cNvPr id="3153922" name="Button 46082" hidden="1">
              <a:extLst>
                <a:ext uri="{63B3BB69-23CF-44E3-9099-C40C66FF867C}">
                  <a14:compatExt spid="_x0000_s3153922"/>
                </a:ext>
                <a:ext uri="{FF2B5EF4-FFF2-40B4-BE49-F238E27FC236}">
                  <a16:creationId xmlns:a16="http://schemas.microsoft.com/office/drawing/2014/main" id="{00000000-0008-0000-0900-00000220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632460</xdr:colOff>
          <xdr:row>0</xdr:row>
          <xdr:rowOff>114300</xdr:rowOff>
        </xdr:from>
        <xdr:to>
          <xdr:col>12</xdr:col>
          <xdr:colOff>60960</xdr:colOff>
          <xdr:row>0</xdr:row>
          <xdr:rowOff>350520</xdr:rowOff>
        </xdr:to>
        <xdr:sp macro="" textlink="">
          <xdr:nvSpPr>
            <xdr:cNvPr id="3153923" name="Button 46083" hidden="1">
              <a:extLst>
                <a:ext uri="{63B3BB69-23CF-44E3-9099-C40C66FF867C}">
                  <a14:compatExt spid="_x0000_s3153923"/>
                </a:ext>
                <a:ext uri="{FF2B5EF4-FFF2-40B4-BE49-F238E27FC236}">
                  <a16:creationId xmlns:a16="http://schemas.microsoft.com/office/drawing/2014/main" id="{00000000-0008-0000-0900-00000320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495300</xdr:colOff>
          <xdr:row>0</xdr:row>
          <xdr:rowOff>114300</xdr:rowOff>
        </xdr:from>
        <xdr:to>
          <xdr:col>16</xdr:col>
          <xdr:colOff>579120</xdr:colOff>
          <xdr:row>0</xdr:row>
          <xdr:rowOff>350520</xdr:rowOff>
        </xdr:to>
        <xdr:sp macro="" textlink="">
          <xdr:nvSpPr>
            <xdr:cNvPr id="3153924" name="Button 46084" hidden="1">
              <a:extLst>
                <a:ext uri="{63B3BB69-23CF-44E3-9099-C40C66FF867C}">
                  <a14:compatExt spid="_x0000_s3153924"/>
                </a:ext>
                <a:ext uri="{FF2B5EF4-FFF2-40B4-BE49-F238E27FC236}">
                  <a16:creationId xmlns:a16="http://schemas.microsoft.com/office/drawing/2014/main" id="{00000000-0008-0000-0900-00000420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</xdr:colOff>
          <xdr:row>0</xdr:row>
          <xdr:rowOff>76200</xdr:rowOff>
        </xdr:from>
        <xdr:to>
          <xdr:col>6</xdr:col>
          <xdr:colOff>571500</xdr:colOff>
          <xdr:row>0</xdr:row>
          <xdr:rowOff>342900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0</xdr:row>
          <xdr:rowOff>83820</xdr:rowOff>
        </xdr:from>
        <xdr:to>
          <xdr:col>9</xdr:col>
          <xdr:colOff>541020</xdr:colOff>
          <xdr:row>0</xdr:row>
          <xdr:rowOff>350520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106680</xdr:rowOff>
        </xdr:from>
        <xdr:to>
          <xdr:col>11</xdr:col>
          <xdr:colOff>175260</xdr:colOff>
          <xdr:row>0</xdr:row>
          <xdr:rowOff>342900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556260</xdr:colOff>
          <xdr:row>0</xdr:row>
          <xdr:rowOff>106680</xdr:rowOff>
        </xdr:from>
        <xdr:to>
          <xdr:col>12</xdr:col>
          <xdr:colOff>579120</xdr:colOff>
          <xdr:row>0</xdr:row>
          <xdr:rowOff>350520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A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114300</xdr:rowOff>
        </xdr:from>
        <xdr:to>
          <xdr:col>15</xdr:col>
          <xdr:colOff>76200</xdr:colOff>
          <xdr:row>0</xdr:row>
          <xdr:rowOff>373380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A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0</xdr:row>
          <xdr:rowOff>38100</xdr:rowOff>
        </xdr:from>
        <xdr:to>
          <xdr:col>6</xdr:col>
          <xdr:colOff>175260</xdr:colOff>
          <xdr:row>0</xdr:row>
          <xdr:rowOff>335280</xdr:rowOff>
        </xdr:to>
        <xdr:sp macro="" textlink="">
          <xdr:nvSpPr>
            <xdr:cNvPr id="3372032" name="Button 46080" hidden="1">
              <a:extLst>
                <a:ext uri="{63B3BB69-23CF-44E3-9099-C40C66FF867C}">
                  <a14:compatExt spid="_x0000_s3372032"/>
                </a:ext>
                <a:ext uri="{FF2B5EF4-FFF2-40B4-BE49-F238E27FC236}">
                  <a16:creationId xmlns:a16="http://schemas.microsoft.com/office/drawing/2014/main" id="{00000000-0008-0000-0B00-00000074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236220</xdr:colOff>
          <xdr:row>0</xdr:row>
          <xdr:rowOff>38100</xdr:rowOff>
        </xdr:from>
        <xdr:to>
          <xdr:col>8</xdr:col>
          <xdr:colOff>449580</xdr:colOff>
          <xdr:row>0</xdr:row>
          <xdr:rowOff>335280</xdr:rowOff>
        </xdr:to>
        <xdr:sp macro="" textlink="">
          <xdr:nvSpPr>
            <xdr:cNvPr id="3372033" name="Button 46081" hidden="1">
              <a:extLst>
                <a:ext uri="{63B3BB69-23CF-44E3-9099-C40C66FF867C}">
                  <a14:compatExt spid="_x0000_s3372033"/>
                </a:ext>
                <a:ext uri="{FF2B5EF4-FFF2-40B4-BE49-F238E27FC236}">
                  <a16:creationId xmlns:a16="http://schemas.microsoft.com/office/drawing/2014/main" id="{00000000-0008-0000-0B00-00000174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0</xdr:row>
          <xdr:rowOff>30480</xdr:rowOff>
        </xdr:from>
        <xdr:to>
          <xdr:col>7</xdr:col>
          <xdr:colOff>76200</xdr:colOff>
          <xdr:row>0</xdr:row>
          <xdr:rowOff>304800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</xdr:colOff>
          <xdr:row>0</xdr:row>
          <xdr:rowOff>30480</xdr:rowOff>
        </xdr:from>
        <xdr:to>
          <xdr:col>9</xdr:col>
          <xdr:colOff>350520</xdr:colOff>
          <xdr:row>0</xdr:row>
          <xdr:rowOff>304800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0</xdr:row>
          <xdr:rowOff>38100</xdr:rowOff>
        </xdr:from>
        <xdr:to>
          <xdr:col>6</xdr:col>
          <xdr:colOff>495300</xdr:colOff>
          <xdr:row>0</xdr:row>
          <xdr:rowOff>304800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7620</xdr:rowOff>
        </xdr:from>
        <xdr:to>
          <xdr:col>8</xdr:col>
          <xdr:colOff>617220</xdr:colOff>
          <xdr:row>0</xdr:row>
          <xdr:rowOff>304800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0</xdr:row>
          <xdr:rowOff>45720</xdr:rowOff>
        </xdr:from>
        <xdr:to>
          <xdr:col>7</xdr:col>
          <xdr:colOff>480060</xdr:colOff>
          <xdr:row>2</xdr:row>
          <xdr:rowOff>7620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Shear</a:t>
              </a:r>
            </a:p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670560</xdr:colOff>
          <xdr:row>0</xdr:row>
          <xdr:rowOff>0</xdr:rowOff>
        </xdr:from>
        <xdr:to>
          <xdr:col>4</xdr:col>
          <xdr:colOff>335280</xdr:colOff>
          <xdr:row>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E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21505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01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21506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02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21507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03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21508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04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21509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05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21510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06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21511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07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3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6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7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8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9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10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11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13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14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15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16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17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18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20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21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22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23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24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25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27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28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29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30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31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21504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00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21512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08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21513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09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21514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0A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21515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0B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3</xdr:col>
      <xdr:colOff>175260</xdr:colOff>
      <xdr:row>17</xdr:row>
      <xdr:rowOff>7620</xdr:rowOff>
    </xdr:from>
    <xdr:to>
      <xdr:col>5</xdr:col>
      <xdr:colOff>152400</xdr:colOff>
      <xdr:row>19</xdr:row>
      <xdr:rowOff>121920</xdr:rowOff>
    </xdr:to>
    <xdr:sp macro="" textlink="">
      <xdr:nvSpPr>
        <xdr:cNvPr id="32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47AB8EB2-EE09-C243-7D16-D68D719CD7C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tr-T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tr-T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121920</xdr:colOff>
      <xdr:row>17</xdr:row>
      <xdr:rowOff>30480</xdr:rowOff>
    </xdr:from>
    <xdr:to>
      <xdr:col>3</xdr:col>
      <xdr:colOff>106680</xdr:colOff>
      <xdr:row>19</xdr:row>
      <xdr:rowOff>121920</xdr:rowOff>
    </xdr:to>
    <xdr:sp macro="" textlink="">
      <xdr:nvSpPr>
        <xdr:cNvPr id="33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A46847EE-801F-4557-8482-CE7A75AC931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tr-T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tr-T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7620</xdr:colOff>
      <xdr:row>3</xdr:row>
      <xdr:rowOff>15240</xdr:rowOff>
    </xdr:from>
    <xdr:to>
      <xdr:col>3</xdr:col>
      <xdr:colOff>190500</xdr:colOff>
      <xdr:row>4</xdr:row>
      <xdr:rowOff>99060</xdr:rowOff>
    </xdr:to>
    <xdr:sp macro="" textlink="">
      <xdr:nvSpPr>
        <xdr:cNvPr id="34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F8CBDC86-9A7E-0509-0248-CF142C27827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tr-T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7620</xdr:colOff>
      <xdr:row>5</xdr:row>
      <xdr:rowOff>15240</xdr:rowOff>
    </xdr:from>
    <xdr:to>
      <xdr:col>3</xdr:col>
      <xdr:colOff>190500</xdr:colOff>
      <xdr:row>6</xdr:row>
      <xdr:rowOff>99060</xdr:rowOff>
    </xdr:to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CAB50D53-CAD9-3E5E-995E-B96A336B2F9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tr-T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7620</xdr:colOff>
      <xdr:row>7</xdr:row>
      <xdr:rowOff>15240</xdr:rowOff>
    </xdr:from>
    <xdr:to>
      <xdr:col>3</xdr:col>
      <xdr:colOff>190500</xdr:colOff>
      <xdr:row>8</xdr:row>
      <xdr:rowOff>99060</xdr:rowOff>
    </xdr:to>
    <xdr:sp macro="" textlink="">
      <xdr:nvSpPr>
        <xdr:cNvPr id="36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F40785B5-2E7D-4749-5BDE-825EF9E0CDB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tr-T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7620</xdr:colOff>
      <xdr:row>9</xdr:row>
      <xdr:rowOff>15240</xdr:rowOff>
    </xdr:from>
    <xdr:to>
      <xdr:col>3</xdr:col>
      <xdr:colOff>190500</xdr:colOff>
      <xdr:row>10</xdr:row>
      <xdr:rowOff>99060</xdr:rowOff>
    </xdr:to>
    <xdr:sp macro="" textlink="">
      <xdr:nvSpPr>
        <xdr:cNvPr id="37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B6FA8B05-56AB-9EEC-2328-CD2C35E451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tr-T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68580</xdr:rowOff>
    </xdr:from>
    <xdr:to>
      <xdr:col>2</xdr:col>
      <xdr:colOff>106680</xdr:colOff>
      <xdr:row>0</xdr:row>
      <xdr:rowOff>266700</xdr:rowOff>
    </xdr:to>
    <xdr:sp macro="" textlink="">
      <xdr:nvSpPr>
        <xdr:cNvPr id="38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380D1DFB-BB9D-22B7-08C3-EA9DB9B1EEA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tr-T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175260</xdr:colOff>
          <xdr:row>17</xdr:row>
          <xdr:rowOff>7620</xdr:rowOff>
        </xdr:from>
        <xdr:to>
          <xdr:col>5</xdr:col>
          <xdr:colOff>152400</xdr:colOff>
          <xdr:row>19</xdr:row>
          <xdr:rowOff>121920</xdr:rowOff>
        </xdr:to>
        <xdr:sp macro="" textlink="">
          <xdr:nvSpPr>
            <xdr:cNvPr id="39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B8632361-7BB5-9FEC-D77D-BCC0710E2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Strength</a:t>
              </a:r>
            </a:p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17</xdr:row>
          <xdr:rowOff>30480</xdr:rowOff>
        </xdr:from>
        <xdr:to>
          <xdr:col>3</xdr:col>
          <xdr:colOff>106680</xdr:colOff>
          <xdr:row>19</xdr:row>
          <xdr:rowOff>121920</xdr:rowOff>
        </xdr:to>
        <xdr:sp macro="" textlink="">
          <xdr:nvSpPr>
            <xdr:cNvPr id="40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5CC9EF2C-C832-DD7C-F527-634EEC7B0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Failure</a:t>
              </a:r>
            </a:p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Envelope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3</xdr:row>
          <xdr:rowOff>15240</xdr:rowOff>
        </xdr:from>
        <xdr:to>
          <xdr:col>3</xdr:col>
          <xdr:colOff>190500</xdr:colOff>
          <xdr:row>4</xdr:row>
          <xdr:rowOff>99060</xdr:rowOff>
        </xdr:to>
        <xdr:sp macro="" textlink="">
          <xdr:nvSpPr>
            <xdr:cNvPr id="41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7D8A9341-BE20-CA6D-72DB-15FD39B81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Arial"/>
                  <a:cs typeface="Arial"/>
                </a:rPr>
                <a:t>1-2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5</xdr:row>
          <xdr:rowOff>15240</xdr:rowOff>
        </xdr:from>
        <xdr:to>
          <xdr:col>3</xdr:col>
          <xdr:colOff>190500</xdr:colOff>
          <xdr:row>6</xdr:row>
          <xdr:rowOff>99060</xdr:rowOff>
        </xdr:to>
        <xdr:sp macro="" textlink="">
          <xdr:nvSpPr>
            <xdr:cNvPr id="42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DDF88556-6160-DE55-BD4E-6575FD5EE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Arial"/>
                  <a:cs typeface="Arial"/>
                </a:rPr>
                <a:t>3-4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7</xdr:row>
          <xdr:rowOff>15240</xdr:rowOff>
        </xdr:from>
        <xdr:to>
          <xdr:col>3</xdr:col>
          <xdr:colOff>190500</xdr:colOff>
          <xdr:row>8</xdr:row>
          <xdr:rowOff>99060</xdr:rowOff>
        </xdr:to>
        <xdr:sp macro="" textlink="">
          <xdr:nvSpPr>
            <xdr:cNvPr id="43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D7BAF49D-332C-3A1A-70A4-BFD63E36F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Arial"/>
                  <a:cs typeface="Arial"/>
                </a:rPr>
                <a:t>5-6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9</xdr:row>
          <xdr:rowOff>15240</xdr:rowOff>
        </xdr:from>
        <xdr:to>
          <xdr:col>3</xdr:col>
          <xdr:colOff>190500</xdr:colOff>
          <xdr:row>10</xdr:row>
          <xdr:rowOff>99060</xdr:rowOff>
        </xdr:to>
        <xdr:sp macro="" textlink="">
          <xdr:nvSpPr>
            <xdr:cNvPr id="44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33434211-867B-9E2C-0F66-0711A867B0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Arial"/>
                  <a:cs typeface="Arial"/>
                </a:rPr>
                <a:t>7-8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68580</xdr:rowOff>
        </xdr:from>
        <xdr:to>
          <xdr:col>2</xdr:col>
          <xdr:colOff>106680</xdr:colOff>
          <xdr:row>0</xdr:row>
          <xdr:rowOff>266700</xdr:rowOff>
        </xdr:to>
        <xdr:sp macro="" textlink="">
          <xdr:nvSpPr>
            <xdr:cNvPr id="45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9F4387C4-FE18-C2D5-8F16-3FC232614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47625</xdr:rowOff>
    </xdr:from>
    <xdr:to>
      <xdr:col>3</xdr:col>
      <xdr:colOff>685800</xdr:colOff>
      <xdr:row>20</xdr:row>
      <xdr:rowOff>133350</xdr:rowOff>
    </xdr:to>
    <xdr:graphicFrame macro="">
      <xdr:nvGraphicFramePr>
        <xdr:cNvPr id="34395774" name="Chart 1">
          <a:extLst>
            <a:ext uri="{FF2B5EF4-FFF2-40B4-BE49-F238E27FC236}">
              <a16:creationId xmlns:a16="http://schemas.microsoft.com/office/drawing/2014/main" id="{00000000-0008-0000-1000-00007ED60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23</xdr:row>
      <xdr:rowOff>28575</xdr:rowOff>
    </xdr:from>
    <xdr:to>
      <xdr:col>3</xdr:col>
      <xdr:colOff>695325</xdr:colOff>
      <xdr:row>42</xdr:row>
      <xdr:rowOff>104775</xdr:rowOff>
    </xdr:to>
    <xdr:graphicFrame macro="">
      <xdr:nvGraphicFramePr>
        <xdr:cNvPr id="34395775" name="Chart 2">
          <a:extLst>
            <a:ext uri="{FF2B5EF4-FFF2-40B4-BE49-F238E27FC236}">
              <a16:creationId xmlns:a16="http://schemas.microsoft.com/office/drawing/2014/main" id="{00000000-0008-0000-1000-00007FD60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47625</xdr:colOff>
      <xdr:row>23</xdr:row>
      <xdr:rowOff>0</xdr:rowOff>
    </xdr:from>
    <xdr:to>
      <xdr:col>7</xdr:col>
      <xdr:colOff>666750</xdr:colOff>
      <xdr:row>42</xdr:row>
      <xdr:rowOff>85725</xdr:rowOff>
    </xdr:to>
    <xdr:graphicFrame macro="">
      <xdr:nvGraphicFramePr>
        <xdr:cNvPr id="34395776" name="Chart 3">
          <a:extLst>
            <a:ext uri="{FF2B5EF4-FFF2-40B4-BE49-F238E27FC236}">
              <a16:creationId xmlns:a16="http://schemas.microsoft.com/office/drawing/2014/main" id="{00000000-0008-0000-1000-000080D60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23</xdr:row>
      <xdr:rowOff>0</xdr:rowOff>
    </xdr:from>
    <xdr:to>
      <xdr:col>11</xdr:col>
      <xdr:colOff>666750</xdr:colOff>
      <xdr:row>42</xdr:row>
      <xdr:rowOff>85725</xdr:rowOff>
    </xdr:to>
    <xdr:graphicFrame macro="">
      <xdr:nvGraphicFramePr>
        <xdr:cNvPr id="34395777" name="Chart 4">
          <a:extLst>
            <a:ext uri="{FF2B5EF4-FFF2-40B4-BE49-F238E27FC236}">
              <a16:creationId xmlns:a16="http://schemas.microsoft.com/office/drawing/2014/main" id="{00000000-0008-0000-1000-000081D60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0.49932</cdr:x>
      <cdr:y>0.49879</cdr:y>
    </cdr:from>
    <cdr:to>
      <cdr:x>0.54268</cdr:x>
      <cdr:y>0.51973</cdr:y>
    </cdr:to>
    <cdr:sp macro="" textlink="">
      <cdr:nvSpPr>
        <cdr:cNvPr id="2457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75499" y="1860550"/>
          <a:ext cx="215023" cy="7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225" b="0" i="0" strike="noStrike">
              <a:solidFill>
                <a:srgbClr val="000000"/>
              </a:solidFill>
              <a:latin typeface="Arial"/>
              <a:cs typeface="Arial"/>
            </a:rPr>
            <a:t>sigma-2 (Mpa,ksi)</a:t>
          </a:r>
        </a:p>
      </cdr:txBody>
    </cdr:sp>
  </cdr:relSizeAnchor>
  <cdr:relSizeAnchor xmlns:cdr="http://schemas.openxmlformats.org/drawingml/2006/chartDrawing">
    <cdr:from>
      <cdr:x>0.49932</cdr:x>
      <cdr:y>0.49879</cdr:y>
    </cdr:from>
    <cdr:to>
      <cdr:x>0.54268</cdr:x>
      <cdr:y>0.51973</cdr:y>
    </cdr:to>
    <cdr:sp macro="" textlink="">
      <cdr:nvSpPr>
        <cdr:cNvPr id="2457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75499" y="1860550"/>
          <a:ext cx="215023" cy="7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225" b="0" i="0" strike="noStrike">
              <a:solidFill>
                <a:srgbClr val="000000"/>
              </a:solidFill>
              <a:latin typeface="Arial"/>
              <a:cs typeface="Arial"/>
            </a:rPr>
            <a:t>sigma-2 (Mpa,ksi)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1007617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01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1007618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02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1007619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03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1007620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04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1007621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05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1007622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06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1007623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07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1007624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08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1007625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09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1007626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0A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1007627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0B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2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3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4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5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6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7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8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9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10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11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12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13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14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15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16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17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18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19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20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21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22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23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24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25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26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27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28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29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30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31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1007616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00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1007628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0C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1007629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0D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1007630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0E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1007631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0F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1007632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10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1007633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11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1007634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12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1007635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13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1007636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14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1007637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15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1007638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16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1007639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17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1007640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18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1007641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19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1007642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1A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1007643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1B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1007644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1C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1007645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1D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1007646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1E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1007647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1F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1007648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20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1007649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21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1007650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22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1007651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23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5</xdr:col>
      <xdr:colOff>30480</xdr:colOff>
      <xdr:row>21</xdr:row>
      <xdr:rowOff>38100</xdr:rowOff>
    </xdr:from>
    <xdr:to>
      <xdr:col>6</xdr:col>
      <xdr:colOff>129540</xdr:colOff>
      <xdr:row>24</xdr:row>
      <xdr:rowOff>60960</xdr:rowOff>
    </xdr:to>
    <xdr:sp macro="" textlink="">
      <xdr:nvSpPr>
        <xdr:cNvPr id="32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98B1B9B3-9688-A840-D6F7-A2289102BD6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tr-TR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tr-TR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30480</xdr:colOff>
      <xdr:row>25</xdr:row>
      <xdr:rowOff>68580</xdr:rowOff>
    </xdr:from>
    <xdr:to>
      <xdr:col>6</xdr:col>
      <xdr:colOff>137160</xdr:colOff>
      <xdr:row>28</xdr:row>
      <xdr:rowOff>22860</xdr:rowOff>
    </xdr:to>
    <xdr:sp macro="" textlink="">
      <xdr:nvSpPr>
        <xdr:cNvPr id="33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B1644044-2036-8B9B-ACD9-3849E7E4411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tr-TR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tr-TR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30480</xdr:colOff>
      <xdr:row>3</xdr:row>
      <xdr:rowOff>22860</xdr:rowOff>
    </xdr:from>
    <xdr:to>
      <xdr:col>3</xdr:col>
      <xdr:colOff>205740</xdr:colOff>
      <xdr:row>4</xdr:row>
      <xdr:rowOff>91440</xdr:rowOff>
    </xdr:to>
    <xdr:sp macro="" textlink="">
      <xdr:nvSpPr>
        <xdr:cNvPr id="34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1E910CC5-CD49-8A72-26E1-5BA6528FC88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tr-T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30480</xdr:colOff>
      <xdr:row>5</xdr:row>
      <xdr:rowOff>22860</xdr:rowOff>
    </xdr:from>
    <xdr:to>
      <xdr:col>3</xdr:col>
      <xdr:colOff>205740</xdr:colOff>
      <xdr:row>6</xdr:row>
      <xdr:rowOff>83820</xdr:rowOff>
    </xdr:to>
    <xdr:sp macro="" textlink="">
      <xdr:nvSpPr>
        <xdr:cNvPr id="35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9AF27F08-58C5-0E19-3B77-AFD2BEB8B8B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tr-TR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30480</xdr:colOff>
      <xdr:row>7</xdr:row>
      <xdr:rowOff>22860</xdr:rowOff>
    </xdr:from>
    <xdr:to>
      <xdr:col>3</xdr:col>
      <xdr:colOff>205740</xdr:colOff>
      <xdr:row>8</xdr:row>
      <xdr:rowOff>83820</xdr:rowOff>
    </xdr:to>
    <xdr:sp macro="" textlink="">
      <xdr:nvSpPr>
        <xdr:cNvPr id="36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8102A146-841F-4715-7115-031EBD63CD2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tr-T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30480</xdr:colOff>
      <xdr:row>8</xdr:row>
      <xdr:rowOff>152400</xdr:rowOff>
    </xdr:from>
    <xdr:to>
      <xdr:col>3</xdr:col>
      <xdr:colOff>205740</xdr:colOff>
      <xdr:row>10</xdr:row>
      <xdr:rowOff>53340</xdr:rowOff>
    </xdr:to>
    <xdr:sp macro="" textlink="">
      <xdr:nvSpPr>
        <xdr:cNvPr id="37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F2747DD3-4463-DD53-1EBA-071EE7638A5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tr-T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30480</xdr:colOff>
      <xdr:row>17</xdr:row>
      <xdr:rowOff>30480</xdr:rowOff>
    </xdr:from>
    <xdr:to>
      <xdr:col>3</xdr:col>
      <xdr:colOff>213360</xdr:colOff>
      <xdr:row>18</xdr:row>
      <xdr:rowOff>91440</xdr:rowOff>
    </xdr:to>
    <xdr:sp macro="" textlink="">
      <xdr:nvSpPr>
        <xdr:cNvPr id="38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D633160A-1387-98C8-9474-F5294D32051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tr-T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30480</xdr:colOff>
      <xdr:row>19</xdr:row>
      <xdr:rowOff>22860</xdr:rowOff>
    </xdr:from>
    <xdr:to>
      <xdr:col>3</xdr:col>
      <xdr:colOff>213360</xdr:colOff>
      <xdr:row>20</xdr:row>
      <xdr:rowOff>83820</xdr:rowOff>
    </xdr:to>
    <xdr:sp macro="" textlink="">
      <xdr:nvSpPr>
        <xdr:cNvPr id="39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D99B4929-65FA-3D1B-EF2A-443454B3A38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tr-T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30480</xdr:colOff>
      <xdr:row>13</xdr:row>
      <xdr:rowOff>38100</xdr:rowOff>
    </xdr:from>
    <xdr:to>
      <xdr:col>3</xdr:col>
      <xdr:colOff>213360</xdr:colOff>
      <xdr:row>14</xdr:row>
      <xdr:rowOff>121920</xdr:rowOff>
    </xdr:to>
    <xdr:sp macro="" textlink="">
      <xdr:nvSpPr>
        <xdr:cNvPr id="40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5481C0EB-3813-D601-A667-A2E94BB683C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tr-T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30480</xdr:colOff>
      <xdr:row>15</xdr:row>
      <xdr:rowOff>53340</xdr:rowOff>
    </xdr:from>
    <xdr:to>
      <xdr:col>3</xdr:col>
      <xdr:colOff>213360</xdr:colOff>
      <xdr:row>16</xdr:row>
      <xdr:rowOff>144780</xdr:rowOff>
    </xdr:to>
    <xdr:sp macro="" textlink="">
      <xdr:nvSpPr>
        <xdr:cNvPr id="41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5B3BA7FF-624E-3D26-B1B6-45A7289C475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tr-TR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7620</xdr:colOff>
      <xdr:row>0</xdr:row>
      <xdr:rowOff>91440</xdr:rowOff>
    </xdr:from>
    <xdr:to>
      <xdr:col>2</xdr:col>
      <xdr:colOff>76200</xdr:colOff>
      <xdr:row>0</xdr:row>
      <xdr:rowOff>274320</xdr:rowOff>
    </xdr:to>
    <xdr:sp macro="" textlink="">
      <xdr:nvSpPr>
        <xdr:cNvPr id="42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23F4E2FD-948E-90AB-ECD5-D49960C021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tr-T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21</xdr:row>
          <xdr:rowOff>38100</xdr:rowOff>
        </xdr:from>
        <xdr:to>
          <xdr:col>6</xdr:col>
          <xdr:colOff>129540</xdr:colOff>
          <xdr:row>24</xdr:row>
          <xdr:rowOff>60960</xdr:rowOff>
        </xdr:to>
        <xdr:sp macro="" textlink="">
          <xdr:nvSpPr>
            <xdr:cNvPr id="43" name="Button 25601" hidden="1">
              <a:extLst>
                <a:ext uri="{63B3BB69-23CF-44E3-9099-C40C66FF867C}">
                  <a14:compatExt spid="_x0000_s1007617"/>
                </a:ext>
                <a:ext uri="{FF2B5EF4-FFF2-40B4-BE49-F238E27FC236}">
                  <a16:creationId xmlns:a16="http://schemas.microsoft.com/office/drawing/2014/main" id="{2D5BA5FC-CC46-90E6-FC03-69CEFA344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Helv"/>
                </a:rPr>
                <a:t>Strength</a:t>
              </a:r>
            </a:p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Helv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25</xdr:row>
          <xdr:rowOff>68580</xdr:rowOff>
        </xdr:from>
        <xdr:to>
          <xdr:col>6</xdr:col>
          <xdr:colOff>137160</xdr:colOff>
          <xdr:row>28</xdr:row>
          <xdr:rowOff>22860</xdr:rowOff>
        </xdr:to>
        <xdr:sp macro="" textlink="">
          <xdr:nvSpPr>
            <xdr:cNvPr id="44" name="Button 25602" hidden="1">
              <a:extLst>
                <a:ext uri="{63B3BB69-23CF-44E3-9099-C40C66FF867C}">
                  <a14:compatExt spid="_x0000_s1007618"/>
                </a:ext>
                <a:ext uri="{FF2B5EF4-FFF2-40B4-BE49-F238E27FC236}">
                  <a16:creationId xmlns:a16="http://schemas.microsoft.com/office/drawing/2014/main" id="{33AD8836-016E-0B7F-B0E0-3337D889B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Helv"/>
                </a:rPr>
                <a:t>Failure</a:t>
              </a:r>
            </a:p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Helv"/>
                </a:rPr>
                <a:t>Envelope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22860</xdr:rowOff>
        </xdr:from>
        <xdr:to>
          <xdr:col>3</xdr:col>
          <xdr:colOff>205740</xdr:colOff>
          <xdr:row>4</xdr:row>
          <xdr:rowOff>91440</xdr:rowOff>
        </xdr:to>
        <xdr:sp macro="" textlink="">
          <xdr:nvSpPr>
            <xdr:cNvPr id="45" name="Button 25603" hidden="1">
              <a:extLst>
                <a:ext uri="{63B3BB69-23CF-44E3-9099-C40C66FF867C}">
                  <a14:compatExt spid="_x0000_s1007619"/>
                </a:ext>
                <a:ext uri="{FF2B5EF4-FFF2-40B4-BE49-F238E27FC236}">
                  <a16:creationId xmlns:a16="http://schemas.microsoft.com/office/drawing/2014/main" id="{6DEEDEA7-5651-4078-14A6-CF5907DF4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1" i="0" u="none" strike="noStrike" baseline="0">
                  <a:solidFill>
                    <a:srgbClr val="0000D4"/>
                  </a:solidFill>
                  <a:latin typeface="Helv"/>
                </a:rPr>
                <a:t>1-2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5</xdr:row>
          <xdr:rowOff>22860</xdr:rowOff>
        </xdr:from>
        <xdr:to>
          <xdr:col>3</xdr:col>
          <xdr:colOff>205740</xdr:colOff>
          <xdr:row>6</xdr:row>
          <xdr:rowOff>83820</xdr:rowOff>
        </xdr:to>
        <xdr:sp macro="" textlink="">
          <xdr:nvSpPr>
            <xdr:cNvPr id="46" name="Button 25604" hidden="1">
              <a:extLst>
                <a:ext uri="{63B3BB69-23CF-44E3-9099-C40C66FF867C}">
                  <a14:compatExt spid="_x0000_s1007620"/>
                </a:ext>
                <a:ext uri="{FF2B5EF4-FFF2-40B4-BE49-F238E27FC236}">
                  <a16:creationId xmlns:a16="http://schemas.microsoft.com/office/drawing/2014/main" id="{30305CB9-F324-9ECB-5F20-3EDB1AD96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1" i="0" u="none" strike="noStrike" baseline="0">
                  <a:solidFill>
                    <a:srgbClr val="0000D4"/>
                  </a:solidFill>
                  <a:latin typeface="Helv"/>
                </a:rPr>
                <a:t>3-4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7</xdr:row>
          <xdr:rowOff>22860</xdr:rowOff>
        </xdr:from>
        <xdr:to>
          <xdr:col>3</xdr:col>
          <xdr:colOff>205740</xdr:colOff>
          <xdr:row>8</xdr:row>
          <xdr:rowOff>83820</xdr:rowOff>
        </xdr:to>
        <xdr:sp macro="" textlink="">
          <xdr:nvSpPr>
            <xdr:cNvPr id="47" name="Button 25605" hidden="1">
              <a:extLst>
                <a:ext uri="{63B3BB69-23CF-44E3-9099-C40C66FF867C}">
                  <a14:compatExt spid="_x0000_s1007621"/>
                </a:ext>
                <a:ext uri="{FF2B5EF4-FFF2-40B4-BE49-F238E27FC236}">
                  <a16:creationId xmlns:a16="http://schemas.microsoft.com/office/drawing/2014/main" id="{8776712C-B6C7-4C10-D592-38F2B0F35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1" i="0" u="none" strike="noStrike" baseline="0">
                  <a:solidFill>
                    <a:srgbClr val="0000D4"/>
                  </a:solidFill>
                  <a:latin typeface="Helv"/>
                </a:rPr>
                <a:t>5-6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152400</xdr:rowOff>
        </xdr:from>
        <xdr:to>
          <xdr:col>3</xdr:col>
          <xdr:colOff>205740</xdr:colOff>
          <xdr:row>10</xdr:row>
          <xdr:rowOff>53340</xdr:rowOff>
        </xdr:to>
        <xdr:sp macro="" textlink="">
          <xdr:nvSpPr>
            <xdr:cNvPr id="48" name="Button 25606" hidden="1">
              <a:extLst>
                <a:ext uri="{63B3BB69-23CF-44E3-9099-C40C66FF867C}">
                  <a14:compatExt spid="_x0000_s1007622"/>
                </a:ext>
                <a:ext uri="{FF2B5EF4-FFF2-40B4-BE49-F238E27FC236}">
                  <a16:creationId xmlns:a16="http://schemas.microsoft.com/office/drawing/2014/main" id="{165DB958-7696-25DB-66F2-AE64B97009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1" i="0" u="none" strike="noStrike" baseline="0">
                  <a:solidFill>
                    <a:srgbClr val="0000D4"/>
                  </a:solidFill>
                  <a:latin typeface="Helv"/>
                </a:rPr>
                <a:t>7-8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17</xdr:row>
          <xdr:rowOff>30480</xdr:rowOff>
        </xdr:from>
        <xdr:to>
          <xdr:col>3</xdr:col>
          <xdr:colOff>213360</xdr:colOff>
          <xdr:row>18</xdr:row>
          <xdr:rowOff>91440</xdr:rowOff>
        </xdr:to>
        <xdr:sp macro="" textlink="">
          <xdr:nvSpPr>
            <xdr:cNvPr id="49" name="Button 25607" hidden="1">
              <a:extLst>
                <a:ext uri="{63B3BB69-23CF-44E3-9099-C40C66FF867C}">
                  <a14:compatExt spid="_x0000_s1007623"/>
                </a:ext>
                <a:ext uri="{FF2B5EF4-FFF2-40B4-BE49-F238E27FC236}">
                  <a16:creationId xmlns:a16="http://schemas.microsoft.com/office/drawing/2014/main" id="{FD0B4E6A-2918-B601-4E4B-99AA9EFCA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1" i="0" u="none" strike="noStrike" baseline="0">
                  <a:solidFill>
                    <a:srgbClr val="0000D4"/>
                  </a:solidFill>
                  <a:latin typeface="Helv"/>
                </a:rPr>
                <a:t>5-6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19</xdr:row>
          <xdr:rowOff>22860</xdr:rowOff>
        </xdr:from>
        <xdr:to>
          <xdr:col>3</xdr:col>
          <xdr:colOff>213360</xdr:colOff>
          <xdr:row>20</xdr:row>
          <xdr:rowOff>83820</xdr:rowOff>
        </xdr:to>
        <xdr:sp macro="" textlink="">
          <xdr:nvSpPr>
            <xdr:cNvPr id="50" name="Button 25608" hidden="1">
              <a:extLst>
                <a:ext uri="{63B3BB69-23CF-44E3-9099-C40C66FF867C}">
                  <a14:compatExt spid="_x0000_s1007624"/>
                </a:ext>
                <a:ext uri="{FF2B5EF4-FFF2-40B4-BE49-F238E27FC236}">
                  <a16:creationId xmlns:a16="http://schemas.microsoft.com/office/drawing/2014/main" id="{4334EFD3-C7C7-EBC1-F85E-90F8E4BFAB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1" i="0" u="none" strike="noStrike" baseline="0">
                  <a:solidFill>
                    <a:srgbClr val="0000D4"/>
                  </a:solidFill>
                  <a:latin typeface="Helv"/>
                </a:rPr>
                <a:t>7-8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13</xdr:row>
          <xdr:rowOff>38100</xdr:rowOff>
        </xdr:from>
        <xdr:to>
          <xdr:col>3</xdr:col>
          <xdr:colOff>213360</xdr:colOff>
          <xdr:row>14</xdr:row>
          <xdr:rowOff>121920</xdr:rowOff>
        </xdr:to>
        <xdr:sp macro="" textlink="">
          <xdr:nvSpPr>
            <xdr:cNvPr id="51" name="Button 25609" hidden="1">
              <a:extLst>
                <a:ext uri="{63B3BB69-23CF-44E3-9099-C40C66FF867C}">
                  <a14:compatExt spid="_x0000_s1007625"/>
                </a:ext>
                <a:ext uri="{FF2B5EF4-FFF2-40B4-BE49-F238E27FC236}">
                  <a16:creationId xmlns:a16="http://schemas.microsoft.com/office/drawing/2014/main" id="{741D02C7-3042-AC05-A2B2-EC63A4107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1" i="0" u="none" strike="noStrike" baseline="0">
                  <a:solidFill>
                    <a:srgbClr val="0000D4"/>
                  </a:solidFill>
                  <a:latin typeface="Helv"/>
                </a:rPr>
                <a:t>1-2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15</xdr:row>
          <xdr:rowOff>53340</xdr:rowOff>
        </xdr:from>
        <xdr:to>
          <xdr:col>3</xdr:col>
          <xdr:colOff>213360</xdr:colOff>
          <xdr:row>16</xdr:row>
          <xdr:rowOff>144780</xdr:rowOff>
        </xdr:to>
        <xdr:sp macro="" textlink="">
          <xdr:nvSpPr>
            <xdr:cNvPr id="52" name="Button 25610" hidden="1">
              <a:extLst>
                <a:ext uri="{63B3BB69-23CF-44E3-9099-C40C66FF867C}">
                  <a14:compatExt spid="_x0000_s1007626"/>
                </a:ext>
                <a:ext uri="{FF2B5EF4-FFF2-40B4-BE49-F238E27FC236}">
                  <a16:creationId xmlns:a16="http://schemas.microsoft.com/office/drawing/2014/main" id="{DE386668-1300-793B-99A0-46ED3E729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1" i="0" u="none" strike="noStrike" baseline="0">
                  <a:solidFill>
                    <a:srgbClr val="0000D4"/>
                  </a:solidFill>
                  <a:latin typeface="Helv"/>
                </a:rPr>
                <a:t>3-4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91440</xdr:rowOff>
        </xdr:from>
        <xdr:to>
          <xdr:col>2</xdr:col>
          <xdr:colOff>76200</xdr:colOff>
          <xdr:row>0</xdr:row>
          <xdr:rowOff>274320</xdr:rowOff>
        </xdr:to>
        <xdr:sp macro="" textlink="">
          <xdr:nvSpPr>
            <xdr:cNvPr id="53" name="Button 25611" hidden="1">
              <a:extLst>
                <a:ext uri="{63B3BB69-23CF-44E3-9099-C40C66FF867C}">
                  <a14:compatExt spid="_x0000_s1007627"/>
                </a:ext>
                <a:ext uri="{FF2B5EF4-FFF2-40B4-BE49-F238E27FC236}">
                  <a16:creationId xmlns:a16="http://schemas.microsoft.com/office/drawing/2014/main" id="{F1059C5A-1643-BBFD-C235-D1C86791A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47625</xdr:rowOff>
    </xdr:from>
    <xdr:to>
      <xdr:col>3</xdr:col>
      <xdr:colOff>685800</xdr:colOff>
      <xdr:row>20</xdr:row>
      <xdr:rowOff>133350</xdr:rowOff>
    </xdr:to>
    <xdr:graphicFrame macro="">
      <xdr:nvGraphicFramePr>
        <xdr:cNvPr id="12328418" name="Chart 1">
          <a:extLst>
            <a:ext uri="{FF2B5EF4-FFF2-40B4-BE49-F238E27FC236}">
              <a16:creationId xmlns:a16="http://schemas.microsoft.com/office/drawing/2014/main" id="{00000000-0008-0000-1300-0000E21DB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23</xdr:row>
      <xdr:rowOff>28575</xdr:rowOff>
    </xdr:from>
    <xdr:to>
      <xdr:col>7</xdr:col>
      <xdr:colOff>9525</xdr:colOff>
      <xdr:row>42</xdr:row>
      <xdr:rowOff>104775</xdr:rowOff>
    </xdr:to>
    <xdr:graphicFrame macro="">
      <xdr:nvGraphicFramePr>
        <xdr:cNvPr id="12328419" name="Chart 2">
          <a:extLst>
            <a:ext uri="{FF2B5EF4-FFF2-40B4-BE49-F238E27FC236}">
              <a16:creationId xmlns:a16="http://schemas.microsoft.com/office/drawing/2014/main" id="{00000000-0008-0000-1300-0000E31DB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276225</xdr:colOff>
      <xdr:row>23</xdr:row>
      <xdr:rowOff>28575</xdr:rowOff>
    </xdr:from>
    <xdr:to>
      <xdr:col>14</xdr:col>
      <xdr:colOff>0</xdr:colOff>
      <xdr:row>42</xdr:row>
      <xdr:rowOff>104775</xdr:rowOff>
    </xdr:to>
    <xdr:graphicFrame macro="">
      <xdr:nvGraphicFramePr>
        <xdr:cNvPr id="12328420" name="Chart 3">
          <a:extLst>
            <a:ext uri="{FF2B5EF4-FFF2-40B4-BE49-F238E27FC236}">
              <a16:creationId xmlns:a16="http://schemas.microsoft.com/office/drawing/2014/main" id="{00000000-0008-0000-1300-0000E41DB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0</xdr:row>
          <xdr:rowOff>152400</xdr:rowOff>
        </xdr:from>
        <xdr:to>
          <xdr:col>7</xdr:col>
          <xdr:colOff>502920</xdr:colOff>
          <xdr:row>0</xdr:row>
          <xdr:rowOff>411480</xdr:rowOff>
        </xdr:to>
        <xdr:sp macro="" textlink="">
          <xdr:nvSpPr>
            <xdr:cNvPr id="3373056" name="Button 46080" hidden="1">
              <a:extLst>
                <a:ext uri="{63B3BB69-23CF-44E3-9099-C40C66FF867C}">
                  <a14:compatExt spid="_x0000_s3373056"/>
                </a:ext>
                <a:ext uri="{FF2B5EF4-FFF2-40B4-BE49-F238E27FC236}">
                  <a16:creationId xmlns:a16="http://schemas.microsoft.com/office/drawing/2014/main" id="{00000000-0008-0000-1800-00000078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0</xdr:row>
          <xdr:rowOff>160020</xdr:rowOff>
        </xdr:from>
        <xdr:to>
          <xdr:col>10</xdr:col>
          <xdr:colOff>411480</xdr:colOff>
          <xdr:row>0</xdr:row>
          <xdr:rowOff>426720</xdr:rowOff>
        </xdr:to>
        <xdr:sp macro="" textlink="">
          <xdr:nvSpPr>
            <xdr:cNvPr id="3373057" name="Button 46081" hidden="1">
              <a:extLst>
                <a:ext uri="{63B3BB69-23CF-44E3-9099-C40C66FF867C}">
                  <a14:compatExt spid="_x0000_s3373057"/>
                </a:ext>
                <a:ext uri="{FF2B5EF4-FFF2-40B4-BE49-F238E27FC236}">
                  <a16:creationId xmlns:a16="http://schemas.microsoft.com/office/drawing/2014/main" id="{00000000-0008-0000-1800-00000178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792480</xdr:colOff>
          <xdr:row>0</xdr:row>
          <xdr:rowOff>160020</xdr:rowOff>
        </xdr:from>
        <xdr:to>
          <xdr:col>12</xdr:col>
          <xdr:colOff>198120</xdr:colOff>
          <xdr:row>0</xdr:row>
          <xdr:rowOff>411480</xdr:rowOff>
        </xdr:to>
        <xdr:sp macro="" textlink="">
          <xdr:nvSpPr>
            <xdr:cNvPr id="3373058" name="Button 46082" hidden="1">
              <a:extLst>
                <a:ext uri="{63B3BB69-23CF-44E3-9099-C40C66FF867C}">
                  <a14:compatExt spid="_x0000_s3373058"/>
                </a:ext>
                <a:ext uri="{FF2B5EF4-FFF2-40B4-BE49-F238E27FC236}">
                  <a16:creationId xmlns:a16="http://schemas.microsoft.com/office/drawing/2014/main" id="{00000000-0008-0000-1800-00000278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655320</xdr:colOff>
          <xdr:row>0</xdr:row>
          <xdr:rowOff>160020</xdr:rowOff>
        </xdr:from>
        <xdr:to>
          <xdr:col>13</xdr:col>
          <xdr:colOff>678180</xdr:colOff>
          <xdr:row>0</xdr:row>
          <xdr:rowOff>419100</xdr:rowOff>
        </xdr:to>
        <xdr:sp macro="" textlink="">
          <xdr:nvSpPr>
            <xdr:cNvPr id="3373059" name="Button 46083" hidden="1">
              <a:extLst>
                <a:ext uri="{63B3BB69-23CF-44E3-9099-C40C66FF867C}">
                  <a14:compatExt spid="_x0000_s3373059"/>
                </a:ext>
                <a:ext uri="{FF2B5EF4-FFF2-40B4-BE49-F238E27FC236}">
                  <a16:creationId xmlns:a16="http://schemas.microsoft.com/office/drawing/2014/main" id="{00000000-0008-0000-1800-00000378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83820</xdr:colOff>
          <xdr:row>0</xdr:row>
          <xdr:rowOff>144780</xdr:rowOff>
        </xdr:from>
        <xdr:to>
          <xdr:col>16</xdr:col>
          <xdr:colOff>106680</xdr:colOff>
          <xdr:row>0</xdr:row>
          <xdr:rowOff>388620</xdr:rowOff>
        </xdr:to>
        <xdr:sp macro="" textlink="">
          <xdr:nvSpPr>
            <xdr:cNvPr id="3373060" name="Button 46084" hidden="1">
              <a:extLst>
                <a:ext uri="{63B3BB69-23CF-44E3-9099-C40C66FF867C}">
                  <a14:compatExt spid="_x0000_s3373060"/>
                </a:ext>
                <a:ext uri="{FF2B5EF4-FFF2-40B4-BE49-F238E27FC236}">
                  <a16:creationId xmlns:a16="http://schemas.microsoft.com/office/drawing/2014/main" id="{00000000-0008-0000-1800-00000478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  <xdr:twoCellAnchor>
    <xdr:from>
      <xdr:col>65</xdr:col>
      <xdr:colOff>342900</xdr:colOff>
      <xdr:row>34</xdr:row>
      <xdr:rowOff>9525</xdr:rowOff>
    </xdr:from>
    <xdr:to>
      <xdr:col>80</xdr:col>
      <xdr:colOff>76200</xdr:colOff>
      <xdr:row>47</xdr:row>
      <xdr:rowOff>171450</xdr:rowOff>
    </xdr:to>
    <xdr:graphicFrame macro="">
      <xdr:nvGraphicFramePr>
        <xdr:cNvPr id="4801688" name="Chart 2">
          <a:extLst>
            <a:ext uri="{FF2B5EF4-FFF2-40B4-BE49-F238E27FC236}">
              <a16:creationId xmlns:a16="http://schemas.microsoft.com/office/drawing/2014/main" id="{00000000-0008-0000-1800-000098444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106</xdr:col>
      <xdr:colOff>285750</xdr:colOff>
      <xdr:row>30</xdr:row>
      <xdr:rowOff>171450</xdr:rowOff>
    </xdr:from>
    <xdr:to>
      <xdr:col>114</xdr:col>
      <xdr:colOff>85725</xdr:colOff>
      <xdr:row>44</xdr:row>
      <xdr:rowOff>85725</xdr:rowOff>
    </xdr:to>
    <xdr:graphicFrame macro="">
      <xdr:nvGraphicFramePr>
        <xdr:cNvPr id="4801689" name="Chart 21">
          <a:extLst>
            <a:ext uri="{FF2B5EF4-FFF2-40B4-BE49-F238E27FC236}">
              <a16:creationId xmlns:a16="http://schemas.microsoft.com/office/drawing/2014/main" id="{00000000-0008-0000-1800-000099444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151</xdr:col>
      <xdr:colOff>428625</xdr:colOff>
      <xdr:row>0</xdr:row>
      <xdr:rowOff>723900</xdr:rowOff>
    </xdr:from>
    <xdr:to>
      <xdr:col>156</xdr:col>
      <xdr:colOff>114300</xdr:colOff>
      <xdr:row>14</xdr:row>
      <xdr:rowOff>28575</xdr:rowOff>
    </xdr:to>
    <xdr:graphicFrame macro="">
      <xdr:nvGraphicFramePr>
        <xdr:cNvPr id="4801690" name="Chart 2">
          <a:extLst>
            <a:ext uri="{FF2B5EF4-FFF2-40B4-BE49-F238E27FC236}">
              <a16:creationId xmlns:a16="http://schemas.microsoft.com/office/drawing/2014/main" id="{00000000-0008-0000-1800-00009A444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533400</xdr:colOff>
      <xdr:row>82</xdr:row>
      <xdr:rowOff>104775</xdr:rowOff>
    </xdr:from>
    <xdr:to>
      <xdr:col>8</xdr:col>
      <xdr:colOff>190500</xdr:colOff>
      <xdr:row>88</xdr:row>
      <xdr:rowOff>133350</xdr:rowOff>
    </xdr:to>
    <xdr:pic>
      <xdr:nvPicPr>
        <xdr:cNvPr id="4801691" name="Image 1">
          <a:extLst>
            <a:ext uri="{FF2B5EF4-FFF2-40B4-BE49-F238E27FC236}">
              <a16:creationId xmlns:a16="http://schemas.microsoft.com/office/drawing/2014/main" id="{00000000-0008-0000-1800-00009B44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5" y="17173575"/>
          <a:ext cx="2047875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438150</xdr:colOff>
      <xdr:row>81</xdr:row>
      <xdr:rowOff>200025</xdr:rowOff>
    </xdr:from>
    <xdr:to>
      <xdr:col>12</xdr:col>
      <xdr:colOff>85725</xdr:colOff>
      <xdr:row>89</xdr:row>
      <xdr:rowOff>47625</xdr:rowOff>
    </xdr:to>
    <xdr:pic>
      <xdr:nvPicPr>
        <xdr:cNvPr id="4801692" name="Image 2">
          <a:extLst>
            <a:ext uri="{FF2B5EF4-FFF2-40B4-BE49-F238E27FC236}">
              <a16:creationId xmlns:a16="http://schemas.microsoft.com/office/drawing/2014/main" id="{00000000-0008-0000-1800-00009C44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737"/>
        <a:stretch>
          <a:fillRect/>
        </a:stretch>
      </xdr:blipFill>
      <xdr:spPr bwMode="auto">
        <a:xfrm>
          <a:off x="6076950" y="17068800"/>
          <a:ext cx="2066925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485775</xdr:colOff>
      <xdr:row>91</xdr:row>
      <xdr:rowOff>190500</xdr:rowOff>
    </xdr:from>
    <xdr:to>
      <xdr:col>15</xdr:col>
      <xdr:colOff>38100</xdr:colOff>
      <xdr:row>97</xdr:row>
      <xdr:rowOff>171450</xdr:rowOff>
    </xdr:to>
    <xdr:pic>
      <xdr:nvPicPr>
        <xdr:cNvPr id="4801693" name="Image 12">
          <a:extLst>
            <a:ext uri="{FF2B5EF4-FFF2-40B4-BE49-F238E27FC236}">
              <a16:creationId xmlns:a16="http://schemas.microsoft.com/office/drawing/2014/main" id="{00000000-0008-0000-1800-00009D44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" y="19059525"/>
          <a:ext cx="6048375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495300</xdr:colOff>
      <xdr:row>94</xdr:row>
      <xdr:rowOff>123825</xdr:rowOff>
    </xdr:from>
    <xdr:to>
      <xdr:col>20</xdr:col>
      <xdr:colOff>638175</xdr:colOff>
      <xdr:row>108</xdr:row>
      <xdr:rowOff>28575</xdr:rowOff>
    </xdr:to>
    <xdr:graphicFrame macro="">
      <xdr:nvGraphicFramePr>
        <xdr:cNvPr id="39343491" name="Chart 10">
          <a:extLst>
            <a:ext uri="{FF2B5EF4-FFF2-40B4-BE49-F238E27FC236}">
              <a16:creationId xmlns:a16="http://schemas.microsoft.com/office/drawing/2014/main" id="{00000000-0008-0000-1A00-000083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257175</xdr:colOff>
      <xdr:row>114</xdr:row>
      <xdr:rowOff>180975</xdr:rowOff>
    </xdr:from>
    <xdr:to>
      <xdr:col>15</xdr:col>
      <xdr:colOff>152400</xdr:colOff>
      <xdr:row>132</xdr:row>
      <xdr:rowOff>114300</xdr:rowOff>
    </xdr:to>
    <xdr:graphicFrame macro="">
      <xdr:nvGraphicFramePr>
        <xdr:cNvPr id="39343492" name="Chart 11">
          <a:extLst>
            <a:ext uri="{FF2B5EF4-FFF2-40B4-BE49-F238E27FC236}">
              <a16:creationId xmlns:a16="http://schemas.microsoft.com/office/drawing/2014/main" id="{00000000-0008-0000-1A00-000084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552450</xdr:colOff>
      <xdr:row>0</xdr:row>
      <xdr:rowOff>180975</xdr:rowOff>
    </xdr:from>
    <xdr:to>
      <xdr:col>30</xdr:col>
      <xdr:colOff>695325</xdr:colOff>
      <xdr:row>14</xdr:row>
      <xdr:rowOff>76200</xdr:rowOff>
    </xdr:to>
    <xdr:graphicFrame macro="">
      <xdr:nvGraphicFramePr>
        <xdr:cNvPr id="39343493" name="Chart 3">
          <a:extLst>
            <a:ext uri="{FF2B5EF4-FFF2-40B4-BE49-F238E27FC236}">
              <a16:creationId xmlns:a16="http://schemas.microsoft.com/office/drawing/2014/main" id="{00000000-0008-0000-1A00-000085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95250</xdr:colOff>
      <xdr:row>15</xdr:row>
      <xdr:rowOff>0</xdr:rowOff>
    </xdr:from>
    <xdr:to>
      <xdr:col>31</xdr:col>
      <xdr:colOff>247650</xdr:colOff>
      <xdr:row>28</xdr:row>
      <xdr:rowOff>76200</xdr:rowOff>
    </xdr:to>
    <xdr:graphicFrame macro="">
      <xdr:nvGraphicFramePr>
        <xdr:cNvPr id="39343494" name="Chart 4">
          <a:extLst>
            <a:ext uri="{FF2B5EF4-FFF2-40B4-BE49-F238E27FC236}">
              <a16:creationId xmlns:a16="http://schemas.microsoft.com/office/drawing/2014/main" id="{00000000-0008-0000-1A00-000086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495300</xdr:colOff>
      <xdr:row>29</xdr:row>
      <xdr:rowOff>28575</xdr:rowOff>
    </xdr:from>
    <xdr:to>
      <xdr:col>30</xdr:col>
      <xdr:colOff>647700</xdr:colOff>
      <xdr:row>42</xdr:row>
      <xdr:rowOff>114300</xdr:rowOff>
    </xdr:to>
    <xdr:graphicFrame macro="">
      <xdr:nvGraphicFramePr>
        <xdr:cNvPr id="39343495" name="Chart 1">
          <a:extLst>
            <a:ext uri="{FF2B5EF4-FFF2-40B4-BE49-F238E27FC236}">
              <a16:creationId xmlns:a16="http://schemas.microsoft.com/office/drawing/2014/main" id="{00000000-0008-0000-1A00-000087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361950</xdr:colOff>
      <xdr:row>8</xdr:row>
      <xdr:rowOff>161925</xdr:rowOff>
    </xdr:from>
    <xdr:to>
      <xdr:col>28</xdr:col>
      <xdr:colOff>581025</xdr:colOff>
      <xdr:row>22</xdr:row>
      <xdr:rowOff>47625</xdr:rowOff>
    </xdr:to>
    <xdr:graphicFrame macro="">
      <xdr:nvGraphicFramePr>
        <xdr:cNvPr id="39343496" name="Chart 4">
          <a:extLst>
            <a:ext uri="{FF2B5EF4-FFF2-40B4-BE49-F238E27FC236}">
              <a16:creationId xmlns:a16="http://schemas.microsoft.com/office/drawing/2014/main" id="{00000000-0008-0000-1A00-000088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361950</xdr:colOff>
      <xdr:row>39</xdr:row>
      <xdr:rowOff>76200</xdr:rowOff>
    </xdr:from>
    <xdr:to>
      <xdr:col>25</xdr:col>
      <xdr:colOff>552450</xdr:colOff>
      <xdr:row>52</xdr:row>
      <xdr:rowOff>180975</xdr:rowOff>
    </xdr:to>
    <xdr:graphicFrame macro="">
      <xdr:nvGraphicFramePr>
        <xdr:cNvPr id="39343497" name="Chart 2">
          <a:extLst>
            <a:ext uri="{FF2B5EF4-FFF2-40B4-BE49-F238E27FC236}">
              <a16:creationId xmlns:a16="http://schemas.microsoft.com/office/drawing/2014/main" id="{00000000-0008-0000-1A00-000089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180975</xdr:colOff>
      <xdr:row>45</xdr:row>
      <xdr:rowOff>47625</xdr:rowOff>
    </xdr:from>
    <xdr:to>
      <xdr:col>29</xdr:col>
      <xdr:colOff>581025</xdr:colOff>
      <xdr:row>58</xdr:row>
      <xdr:rowOff>152400</xdr:rowOff>
    </xdr:to>
    <xdr:graphicFrame macro="">
      <xdr:nvGraphicFramePr>
        <xdr:cNvPr id="39343498" name="Chart 4">
          <a:extLst>
            <a:ext uri="{FF2B5EF4-FFF2-40B4-BE49-F238E27FC236}">
              <a16:creationId xmlns:a16="http://schemas.microsoft.com/office/drawing/2014/main" id="{00000000-0008-0000-1A00-00008A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180975</xdr:colOff>
      <xdr:row>24</xdr:row>
      <xdr:rowOff>142875</xdr:rowOff>
    </xdr:from>
    <xdr:to>
      <xdr:col>29</xdr:col>
      <xdr:colOff>581025</xdr:colOff>
      <xdr:row>38</xdr:row>
      <xdr:rowOff>38100</xdr:rowOff>
    </xdr:to>
    <xdr:graphicFrame macro="">
      <xdr:nvGraphicFramePr>
        <xdr:cNvPr id="39343499" name="Chart 1">
          <a:extLst>
            <a:ext uri="{FF2B5EF4-FFF2-40B4-BE49-F238E27FC236}">
              <a16:creationId xmlns:a16="http://schemas.microsoft.com/office/drawing/2014/main" id="{00000000-0008-0000-1A00-00008B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352425</xdr:colOff>
      <xdr:row>28</xdr:row>
      <xdr:rowOff>114300</xdr:rowOff>
    </xdr:from>
    <xdr:to>
      <xdr:col>30</xdr:col>
      <xdr:colOff>9525</xdr:colOff>
      <xdr:row>42</xdr:row>
      <xdr:rowOff>9525</xdr:rowOff>
    </xdr:to>
    <xdr:graphicFrame macro="">
      <xdr:nvGraphicFramePr>
        <xdr:cNvPr id="39343500" name="Chart 1">
          <a:extLst>
            <a:ext uri="{FF2B5EF4-FFF2-40B4-BE49-F238E27FC236}">
              <a16:creationId xmlns:a16="http://schemas.microsoft.com/office/drawing/2014/main" id="{00000000-0008-0000-1A00-00008C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352425</xdr:colOff>
      <xdr:row>56</xdr:row>
      <xdr:rowOff>47625</xdr:rowOff>
    </xdr:from>
    <xdr:to>
      <xdr:col>30</xdr:col>
      <xdr:colOff>9525</xdr:colOff>
      <xdr:row>69</xdr:row>
      <xdr:rowOff>152400</xdr:rowOff>
    </xdr:to>
    <xdr:graphicFrame macro="">
      <xdr:nvGraphicFramePr>
        <xdr:cNvPr id="39343501" name="Chart 2">
          <a:extLst>
            <a:ext uri="{FF2B5EF4-FFF2-40B4-BE49-F238E27FC236}">
              <a16:creationId xmlns:a16="http://schemas.microsoft.com/office/drawing/2014/main" id="{00000000-0008-0000-1A00-00008D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371475</xdr:colOff>
      <xdr:row>74</xdr:row>
      <xdr:rowOff>180975</xdr:rowOff>
    </xdr:from>
    <xdr:to>
      <xdr:col>24</xdr:col>
      <xdr:colOff>85725</xdr:colOff>
      <xdr:row>88</xdr:row>
      <xdr:rowOff>76200</xdr:rowOff>
    </xdr:to>
    <xdr:graphicFrame macro="">
      <xdr:nvGraphicFramePr>
        <xdr:cNvPr id="39343502" name="Chart 1">
          <a:extLst>
            <a:ext uri="{FF2B5EF4-FFF2-40B4-BE49-F238E27FC236}">
              <a16:creationId xmlns:a16="http://schemas.microsoft.com/office/drawing/2014/main" id="{00000000-0008-0000-1A00-00008E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9525</xdr:colOff>
      <xdr:row>41</xdr:row>
      <xdr:rowOff>114300</xdr:rowOff>
    </xdr:from>
    <xdr:to>
      <xdr:col>26</xdr:col>
      <xdr:colOff>381000</xdr:colOff>
      <xdr:row>55</xdr:row>
      <xdr:rowOff>9525</xdr:rowOff>
    </xdr:to>
    <xdr:graphicFrame macro="">
      <xdr:nvGraphicFramePr>
        <xdr:cNvPr id="39343503" name="Chart 2">
          <a:extLst>
            <a:ext uri="{FF2B5EF4-FFF2-40B4-BE49-F238E27FC236}">
              <a16:creationId xmlns:a16="http://schemas.microsoft.com/office/drawing/2014/main" id="{00000000-0008-0000-1A00-00008F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9525</xdr:colOff>
      <xdr:row>40</xdr:row>
      <xdr:rowOff>114300</xdr:rowOff>
    </xdr:from>
    <xdr:to>
      <xdr:col>26</xdr:col>
      <xdr:colOff>381000</xdr:colOff>
      <xdr:row>54</xdr:row>
      <xdr:rowOff>9525</xdr:rowOff>
    </xdr:to>
    <xdr:graphicFrame macro="">
      <xdr:nvGraphicFramePr>
        <xdr:cNvPr id="39343504" name="Chart 4">
          <a:extLst>
            <a:ext uri="{FF2B5EF4-FFF2-40B4-BE49-F238E27FC236}">
              <a16:creationId xmlns:a16="http://schemas.microsoft.com/office/drawing/2014/main" id="{00000000-0008-0000-1A00-000090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180975</xdr:colOff>
      <xdr:row>41</xdr:row>
      <xdr:rowOff>190500</xdr:rowOff>
    </xdr:from>
    <xdr:to>
      <xdr:col>22</xdr:col>
      <xdr:colOff>381000</xdr:colOff>
      <xdr:row>55</xdr:row>
      <xdr:rowOff>85725</xdr:rowOff>
    </xdr:to>
    <xdr:graphicFrame macro="">
      <xdr:nvGraphicFramePr>
        <xdr:cNvPr id="39343505" name="Chart 1">
          <a:extLst>
            <a:ext uri="{FF2B5EF4-FFF2-40B4-BE49-F238E27FC236}">
              <a16:creationId xmlns:a16="http://schemas.microsoft.com/office/drawing/2014/main" id="{00000000-0008-0000-1A00-000091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390525</xdr:colOff>
      <xdr:row>42</xdr:row>
      <xdr:rowOff>104775</xdr:rowOff>
    </xdr:from>
    <xdr:to>
      <xdr:col>25</xdr:col>
      <xdr:colOff>76200</xdr:colOff>
      <xdr:row>56</xdr:row>
      <xdr:rowOff>0</xdr:rowOff>
    </xdr:to>
    <xdr:graphicFrame macro="">
      <xdr:nvGraphicFramePr>
        <xdr:cNvPr id="39343506" name="Chart 6">
          <a:extLst>
            <a:ext uri="{FF2B5EF4-FFF2-40B4-BE49-F238E27FC236}">
              <a16:creationId xmlns:a16="http://schemas.microsoft.com/office/drawing/2014/main" id="{00000000-0008-0000-1A00-000092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219075</xdr:colOff>
      <xdr:row>29</xdr:row>
      <xdr:rowOff>114300</xdr:rowOff>
    </xdr:from>
    <xdr:to>
      <xdr:col>23</xdr:col>
      <xdr:colOff>361950</xdr:colOff>
      <xdr:row>43</xdr:row>
      <xdr:rowOff>9525</xdr:rowOff>
    </xdr:to>
    <xdr:graphicFrame macro="">
      <xdr:nvGraphicFramePr>
        <xdr:cNvPr id="39343507" name="Chart 7">
          <a:extLst>
            <a:ext uri="{FF2B5EF4-FFF2-40B4-BE49-F238E27FC236}">
              <a16:creationId xmlns:a16="http://schemas.microsoft.com/office/drawing/2014/main" id="{00000000-0008-0000-1A00-000093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171450</xdr:colOff>
      <xdr:row>52</xdr:row>
      <xdr:rowOff>38100</xdr:rowOff>
    </xdr:from>
    <xdr:to>
      <xdr:col>20</xdr:col>
      <xdr:colOff>342900</xdr:colOff>
      <xdr:row>65</xdr:row>
      <xdr:rowOff>142875</xdr:rowOff>
    </xdr:to>
    <xdr:graphicFrame macro="">
      <xdr:nvGraphicFramePr>
        <xdr:cNvPr id="39343508" name="Chart 9">
          <a:extLst>
            <a:ext uri="{FF2B5EF4-FFF2-40B4-BE49-F238E27FC236}">
              <a16:creationId xmlns:a16="http://schemas.microsoft.com/office/drawing/2014/main" id="{00000000-0008-0000-1A00-000094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304800</xdr:colOff>
      <xdr:row>31</xdr:row>
      <xdr:rowOff>9525</xdr:rowOff>
    </xdr:from>
    <xdr:to>
      <xdr:col>28</xdr:col>
      <xdr:colOff>114300</xdr:colOff>
      <xdr:row>44</xdr:row>
      <xdr:rowOff>114300</xdr:rowOff>
    </xdr:to>
    <xdr:graphicFrame macro="">
      <xdr:nvGraphicFramePr>
        <xdr:cNvPr id="39343509" name="Chart 10">
          <a:extLst>
            <a:ext uri="{FF2B5EF4-FFF2-40B4-BE49-F238E27FC236}">
              <a16:creationId xmlns:a16="http://schemas.microsoft.com/office/drawing/2014/main" id="{00000000-0008-0000-1A00-000095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21</xdr:col>
      <xdr:colOff>304800</xdr:colOff>
      <xdr:row>31</xdr:row>
      <xdr:rowOff>9525</xdr:rowOff>
    </xdr:from>
    <xdr:to>
      <xdr:col>28</xdr:col>
      <xdr:colOff>114300</xdr:colOff>
      <xdr:row>44</xdr:row>
      <xdr:rowOff>114300</xdr:rowOff>
    </xdr:to>
    <xdr:graphicFrame macro="">
      <xdr:nvGraphicFramePr>
        <xdr:cNvPr id="39343510" name="Chart 11">
          <a:extLst>
            <a:ext uri="{FF2B5EF4-FFF2-40B4-BE49-F238E27FC236}">
              <a16:creationId xmlns:a16="http://schemas.microsoft.com/office/drawing/2014/main" id="{00000000-0008-0000-1A00-000096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457200</xdr:colOff>
      <xdr:row>53</xdr:row>
      <xdr:rowOff>47625</xdr:rowOff>
    </xdr:from>
    <xdr:to>
      <xdr:col>13</xdr:col>
      <xdr:colOff>428625</xdr:colOff>
      <xdr:row>66</xdr:row>
      <xdr:rowOff>152400</xdr:rowOff>
    </xdr:to>
    <xdr:graphicFrame macro="">
      <xdr:nvGraphicFramePr>
        <xdr:cNvPr id="39343511" name="Chart 2">
          <a:extLst>
            <a:ext uri="{FF2B5EF4-FFF2-40B4-BE49-F238E27FC236}">
              <a16:creationId xmlns:a16="http://schemas.microsoft.com/office/drawing/2014/main" id="{00000000-0008-0000-1A00-000097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36</xdr:col>
      <xdr:colOff>95250</xdr:colOff>
      <xdr:row>7</xdr:row>
      <xdr:rowOff>28575</xdr:rowOff>
    </xdr:from>
    <xdr:to>
      <xdr:col>43</xdr:col>
      <xdr:colOff>0</xdr:colOff>
      <xdr:row>20</xdr:row>
      <xdr:rowOff>161925</xdr:rowOff>
    </xdr:to>
    <xdr:graphicFrame macro="">
      <xdr:nvGraphicFramePr>
        <xdr:cNvPr id="39343512" name="Chart 1">
          <a:extLst>
            <a:ext uri="{FF2B5EF4-FFF2-40B4-BE49-F238E27FC236}">
              <a16:creationId xmlns:a16="http://schemas.microsoft.com/office/drawing/2014/main" id="{00000000-0008-0000-1A00-000098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45</xdr:col>
      <xdr:colOff>381000</xdr:colOff>
      <xdr:row>6</xdr:row>
      <xdr:rowOff>66675</xdr:rowOff>
    </xdr:from>
    <xdr:to>
      <xdr:col>51</xdr:col>
      <xdr:colOff>304800</xdr:colOff>
      <xdr:row>19</xdr:row>
      <xdr:rowOff>190500</xdr:rowOff>
    </xdr:to>
    <xdr:graphicFrame macro="">
      <xdr:nvGraphicFramePr>
        <xdr:cNvPr id="39343513" name="Chart 2">
          <a:extLst>
            <a:ext uri="{FF2B5EF4-FFF2-40B4-BE49-F238E27FC236}">
              <a16:creationId xmlns:a16="http://schemas.microsoft.com/office/drawing/2014/main" id="{00000000-0008-0000-1A00-000099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23</xdr:col>
      <xdr:colOff>171450</xdr:colOff>
      <xdr:row>17</xdr:row>
      <xdr:rowOff>152400</xdr:rowOff>
    </xdr:from>
    <xdr:to>
      <xdr:col>30</xdr:col>
      <xdr:colOff>600075</xdr:colOff>
      <xdr:row>31</xdr:row>
      <xdr:rowOff>38100</xdr:rowOff>
    </xdr:to>
    <xdr:graphicFrame macro="">
      <xdr:nvGraphicFramePr>
        <xdr:cNvPr id="39343514" name="Chart 2">
          <a:extLst>
            <a:ext uri="{FF2B5EF4-FFF2-40B4-BE49-F238E27FC236}">
              <a16:creationId xmlns:a16="http://schemas.microsoft.com/office/drawing/2014/main" id="{00000000-0008-0000-1A00-00009A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</xdr:col>
      <xdr:colOff>409575</xdr:colOff>
      <xdr:row>25</xdr:row>
      <xdr:rowOff>66675</xdr:rowOff>
    </xdr:from>
    <xdr:to>
      <xdr:col>21</xdr:col>
      <xdr:colOff>85725</xdr:colOff>
      <xdr:row>38</xdr:row>
      <xdr:rowOff>9525</xdr:rowOff>
    </xdr:to>
    <xdr:graphicFrame macro="">
      <xdr:nvGraphicFramePr>
        <xdr:cNvPr id="39343515" name="Chart 1">
          <a:extLst>
            <a:ext uri="{FF2B5EF4-FFF2-40B4-BE49-F238E27FC236}">
              <a16:creationId xmlns:a16="http://schemas.microsoft.com/office/drawing/2014/main" id="{00000000-0008-0000-1A00-00009B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</xdr:col>
      <xdr:colOff>152400</xdr:colOff>
      <xdr:row>39</xdr:row>
      <xdr:rowOff>161925</xdr:rowOff>
    </xdr:from>
    <xdr:to>
      <xdr:col>17</xdr:col>
      <xdr:colOff>114300</xdr:colOff>
      <xdr:row>53</xdr:row>
      <xdr:rowOff>114300</xdr:rowOff>
    </xdr:to>
    <xdr:graphicFrame macro="">
      <xdr:nvGraphicFramePr>
        <xdr:cNvPr id="39343516" name="Chart 4">
          <a:extLst>
            <a:ext uri="{FF2B5EF4-FFF2-40B4-BE49-F238E27FC236}">
              <a16:creationId xmlns:a16="http://schemas.microsoft.com/office/drawing/2014/main" id="{00000000-0008-0000-1A00-00009C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514350</xdr:colOff>
      <xdr:row>39</xdr:row>
      <xdr:rowOff>200025</xdr:rowOff>
    </xdr:from>
    <xdr:to>
      <xdr:col>16</xdr:col>
      <xdr:colOff>266700</xdr:colOff>
      <xdr:row>53</xdr:row>
      <xdr:rowOff>123825</xdr:rowOff>
    </xdr:to>
    <xdr:graphicFrame macro="">
      <xdr:nvGraphicFramePr>
        <xdr:cNvPr id="39343517" name="Chart 2">
          <a:extLst>
            <a:ext uri="{FF2B5EF4-FFF2-40B4-BE49-F238E27FC236}">
              <a16:creationId xmlns:a16="http://schemas.microsoft.com/office/drawing/2014/main" id="{00000000-0008-0000-1A00-00009D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14</xdr:col>
      <xdr:colOff>323850</xdr:colOff>
      <xdr:row>41</xdr:row>
      <xdr:rowOff>76200</xdr:rowOff>
    </xdr:from>
    <xdr:to>
      <xdr:col>25</xdr:col>
      <xdr:colOff>47625</xdr:colOff>
      <xdr:row>55</xdr:row>
      <xdr:rowOff>0</xdr:rowOff>
    </xdr:to>
    <xdr:graphicFrame macro="">
      <xdr:nvGraphicFramePr>
        <xdr:cNvPr id="39343518" name="Chart 4">
          <a:extLst>
            <a:ext uri="{FF2B5EF4-FFF2-40B4-BE49-F238E27FC236}">
              <a16:creationId xmlns:a16="http://schemas.microsoft.com/office/drawing/2014/main" id="{00000000-0008-0000-1A00-00009E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20</xdr:col>
      <xdr:colOff>247650</xdr:colOff>
      <xdr:row>9</xdr:row>
      <xdr:rowOff>28575</xdr:rowOff>
    </xdr:from>
    <xdr:to>
      <xdr:col>28</xdr:col>
      <xdr:colOff>95250</xdr:colOff>
      <xdr:row>22</xdr:row>
      <xdr:rowOff>142875</xdr:rowOff>
    </xdr:to>
    <xdr:graphicFrame macro="">
      <xdr:nvGraphicFramePr>
        <xdr:cNvPr id="39343519" name="Chart 2">
          <a:extLst>
            <a:ext uri="{FF2B5EF4-FFF2-40B4-BE49-F238E27FC236}">
              <a16:creationId xmlns:a16="http://schemas.microsoft.com/office/drawing/2014/main" id="{00000000-0008-0000-1A00-00009F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21</xdr:col>
      <xdr:colOff>247650</xdr:colOff>
      <xdr:row>3</xdr:row>
      <xdr:rowOff>152400</xdr:rowOff>
    </xdr:from>
    <xdr:to>
      <xdr:col>29</xdr:col>
      <xdr:colOff>571500</xdr:colOff>
      <xdr:row>17</xdr:row>
      <xdr:rowOff>76200</xdr:rowOff>
    </xdr:to>
    <xdr:graphicFrame macro="">
      <xdr:nvGraphicFramePr>
        <xdr:cNvPr id="39343520" name="Chart 1">
          <a:extLst>
            <a:ext uri="{FF2B5EF4-FFF2-40B4-BE49-F238E27FC236}">
              <a16:creationId xmlns:a16="http://schemas.microsoft.com/office/drawing/2014/main" id="{00000000-0008-0000-1A00-0000A0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20</xdr:col>
      <xdr:colOff>85725</xdr:colOff>
      <xdr:row>2</xdr:row>
      <xdr:rowOff>85725</xdr:rowOff>
    </xdr:from>
    <xdr:to>
      <xdr:col>28</xdr:col>
      <xdr:colOff>695325</xdr:colOff>
      <xdr:row>16</xdr:row>
      <xdr:rowOff>9525</xdr:rowOff>
    </xdr:to>
    <xdr:graphicFrame macro="">
      <xdr:nvGraphicFramePr>
        <xdr:cNvPr id="39343521" name="Chart 1">
          <a:extLst>
            <a:ext uri="{FF2B5EF4-FFF2-40B4-BE49-F238E27FC236}">
              <a16:creationId xmlns:a16="http://schemas.microsoft.com/office/drawing/2014/main" id="{00000000-0008-0000-1A00-0000A1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19</xdr:col>
      <xdr:colOff>476250</xdr:colOff>
      <xdr:row>4</xdr:row>
      <xdr:rowOff>28575</xdr:rowOff>
    </xdr:from>
    <xdr:to>
      <xdr:col>28</xdr:col>
      <xdr:colOff>571500</xdr:colOff>
      <xdr:row>17</xdr:row>
      <xdr:rowOff>152400</xdr:rowOff>
    </xdr:to>
    <xdr:graphicFrame macro="">
      <xdr:nvGraphicFramePr>
        <xdr:cNvPr id="39343522" name="Chart 3">
          <a:extLst>
            <a:ext uri="{FF2B5EF4-FFF2-40B4-BE49-F238E27FC236}">
              <a16:creationId xmlns:a16="http://schemas.microsoft.com/office/drawing/2014/main" id="{00000000-0008-0000-1A00-0000A2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21</xdr:col>
      <xdr:colOff>342900</xdr:colOff>
      <xdr:row>13</xdr:row>
      <xdr:rowOff>66675</xdr:rowOff>
    </xdr:from>
    <xdr:to>
      <xdr:col>29</xdr:col>
      <xdr:colOff>666750</xdr:colOff>
      <xdr:row>26</xdr:row>
      <xdr:rowOff>180975</xdr:rowOff>
    </xdr:to>
    <xdr:graphicFrame macro="">
      <xdr:nvGraphicFramePr>
        <xdr:cNvPr id="39343523" name="Chart 4">
          <a:extLst>
            <a:ext uri="{FF2B5EF4-FFF2-40B4-BE49-F238E27FC236}">
              <a16:creationId xmlns:a16="http://schemas.microsoft.com/office/drawing/2014/main" id="{00000000-0008-0000-1A00-0000A3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20</xdr:col>
      <xdr:colOff>371475</xdr:colOff>
      <xdr:row>10</xdr:row>
      <xdr:rowOff>152400</xdr:rowOff>
    </xdr:from>
    <xdr:to>
      <xdr:col>29</xdr:col>
      <xdr:colOff>142875</xdr:colOff>
      <xdr:row>24</xdr:row>
      <xdr:rowOff>9525</xdr:rowOff>
    </xdr:to>
    <xdr:graphicFrame macro="">
      <xdr:nvGraphicFramePr>
        <xdr:cNvPr id="39343524" name="Chart 5">
          <a:extLst>
            <a:ext uri="{FF2B5EF4-FFF2-40B4-BE49-F238E27FC236}">
              <a16:creationId xmlns:a16="http://schemas.microsoft.com/office/drawing/2014/main" id="{00000000-0008-0000-1A00-0000A4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52</xdr:col>
      <xdr:colOff>400050</xdr:colOff>
      <xdr:row>13</xdr:row>
      <xdr:rowOff>47625</xdr:rowOff>
    </xdr:from>
    <xdr:to>
      <xdr:col>58</xdr:col>
      <xdr:colOff>342900</xdr:colOff>
      <xdr:row>26</xdr:row>
      <xdr:rowOff>161925</xdr:rowOff>
    </xdr:to>
    <xdr:graphicFrame macro="">
      <xdr:nvGraphicFramePr>
        <xdr:cNvPr id="39343525" name="Chart 1">
          <a:extLst>
            <a:ext uri="{FF2B5EF4-FFF2-40B4-BE49-F238E27FC236}">
              <a16:creationId xmlns:a16="http://schemas.microsoft.com/office/drawing/2014/main" id="{00000000-0008-0000-1A00-0000A5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23</xdr:col>
      <xdr:colOff>361950</xdr:colOff>
      <xdr:row>18</xdr:row>
      <xdr:rowOff>152400</xdr:rowOff>
    </xdr:from>
    <xdr:to>
      <xdr:col>30</xdr:col>
      <xdr:colOff>47625</xdr:colOff>
      <xdr:row>32</xdr:row>
      <xdr:rowOff>66675</xdr:rowOff>
    </xdr:to>
    <xdr:graphicFrame macro="">
      <xdr:nvGraphicFramePr>
        <xdr:cNvPr id="39343526" name="Chart 1">
          <a:extLst>
            <a:ext uri="{FF2B5EF4-FFF2-40B4-BE49-F238E27FC236}">
              <a16:creationId xmlns:a16="http://schemas.microsoft.com/office/drawing/2014/main" id="{00000000-0008-0000-1A00-0000A6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14</xdr:col>
      <xdr:colOff>9525</xdr:colOff>
      <xdr:row>6</xdr:row>
      <xdr:rowOff>76200</xdr:rowOff>
    </xdr:from>
    <xdr:to>
      <xdr:col>24</xdr:col>
      <xdr:colOff>104775</xdr:colOff>
      <xdr:row>20</xdr:row>
      <xdr:rowOff>0</xdr:rowOff>
    </xdr:to>
    <xdr:graphicFrame macro="">
      <xdr:nvGraphicFramePr>
        <xdr:cNvPr id="39343527" name="Chart 3">
          <a:extLst>
            <a:ext uri="{FF2B5EF4-FFF2-40B4-BE49-F238E27FC236}">
              <a16:creationId xmlns:a16="http://schemas.microsoft.com/office/drawing/2014/main" id="{00000000-0008-0000-1A00-0000A7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16</xdr:col>
      <xdr:colOff>333375</xdr:colOff>
      <xdr:row>5</xdr:row>
      <xdr:rowOff>38100</xdr:rowOff>
    </xdr:from>
    <xdr:to>
      <xdr:col>25</xdr:col>
      <xdr:colOff>733425</xdr:colOff>
      <xdr:row>18</xdr:row>
      <xdr:rowOff>161925</xdr:rowOff>
    </xdr:to>
    <xdr:graphicFrame macro="">
      <xdr:nvGraphicFramePr>
        <xdr:cNvPr id="39343528" name="Chart 4">
          <a:extLst>
            <a:ext uri="{FF2B5EF4-FFF2-40B4-BE49-F238E27FC236}">
              <a16:creationId xmlns:a16="http://schemas.microsoft.com/office/drawing/2014/main" id="{00000000-0008-0000-1A00-0000A8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6</xdr:col>
      <xdr:colOff>171450</xdr:colOff>
      <xdr:row>8</xdr:row>
      <xdr:rowOff>180975</xdr:rowOff>
    </xdr:from>
    <xdr:to>
      <xdr:col>16</xdr:col>
      <xdr:colOff>371475</xdr:colOff>
      <xdr:row>22</xdr:row>
      <xdr:rowOff>85725</xdr:rowOff>
    </xdr:to>
    <xdr:graphicFrame macro="">
      <xdr:nvGraphicFramePr>
        <xdr:cNvPr id="39343529" name="Chart 6">
          <a:extLst>
            <a:ext uri="{FF2B5EF4-FFF2-40B4-BE49-F238E27FC236}">
              <a16:creationId xmlns:a16="http://schemas.microsoft.com/office/drawing/2014/main" id="{00000000-0008-0000-1A00-0000A9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6</xdr:col>
      <xdr:colOff>171450</xdr:colOff>
      <xdr:row>8</xdr:row>
      <xdr:rowOff>180975</xdr:rowOff>
    </xdr:from>
    <xdr:to>
      <xdr:col>16</xdr:col>
      <xdr:colOff>371475</xdr:colOff>
      <xdr:row>22</xdr:row>
      <xdr:rowOff>85725</xdr:rowOff>
    </xdr:to>
    <xdr:graphicFrame macro="">
      <xdr:nvGraphicFramePr>
        <xdr:cNvPr id="39343530" name="Chart 7">
          <a:extLst>
            <a:ext uri="{FF2B5EF4-FFF2-40B4-BE49-F238E27FC236}">
              <a16:creationId xmlns:a16="http://schemas.microsoft.com/office/drawing/2014/main" id="{00000000-0008-0000-1A00-0000AA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5</xdr:col>
      <xdr:colOff>514350</xdr:colOff>
      <xdr:row>9</xdr:row>
      <xdr:rowOff>9525</xdr:rowOff>
    </xdr:from>
    <xdr:to>
      <xdr:col>16</xdr:col>
      <xdr:colOff>38100</xdr:colOff>
      <xdr:row>25</xdr:row>
      <xdr:rowOff>76200</xdr:rowOff>
    </xdr:to>
    <xdr:graphicFrame macro="">
      <xdr:nvGraphicFramePr>
        <xdr:cNvPr id="39343531" name="Chart 1">
          <a:extLst>
            <a:ext uri="{FF2B5EF4-FFF2-40B4-BE49-F238E27FC236}">
              <a16:creationId xmlns:a16="http://schemas.microsoft.com/office/drawing/2014/main" id="{00000000-0008-0000-1A00-0000AB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61975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er/Downloads/MicMac/CHART.XL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KUOSHIH/MICMAC20/CHARTLAM.XL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er/Downloads/MicMac/MAT.XL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er/Downloads/MicMac/CORE/PDFLEX23/PDMIX.XL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KUOSHIH/MICMAC20/MAT.XL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</sheetNames>
    <definedNames>
      <definedName name="CHART" refersTo="='CHART'!$A$1:$A$109"/>
    </definedNames>
    <sheetDataSet>
      <sheetData sheetId="0">
        <row r="1">
          <cell r="A1" t="str">
            <v>C.....SIMPLIFIED CHART PLOTTING UTILITY - FOR TSAI MIC-MACS : DEVELOPED BY DAN MOLLIGAN 2/19/87 ;</v>
          </cell>
        </row>
        <row r="2">
          <cell r="A2" t="str">
            <v>C.....TIME TO INITIALIZE THE VARIABLES FOR INCREMENTING AND STORAGE OF DATA RESULTS</v>
          </cell>
        </row>
        <row r="4">
          <cell r="A4" t="str">
            <v>cont</v>
          </cell>
        </row>
        <row r="5">
          <cell r="A5" t="b">
            <v>1</v>
          </cell>
        </row>
        <row r="6">
          <cell r="A6" t="b">
            <v>1</v>
          </cell>
        </row>
        <row r="7">
          <cell r="A7" t="b">
            <v>1</v>
          </cell>
        </row>
        <row r="8">
          <cell r="A8" t="b">
            <v>1</v>
          </cell>
        </row>
        <row r="9">
          <cell r="A9" t="b">
            <v>1</v>
          </cell>
        </row>
        <row r="10">
          <cell r="A10" t="b">
            <v>1</v>
          </cell>
        </row>
        <row r="11">
          <cell r="A11" t="b">
            <v>1</v>
          </cell>
        </row>
        <row r="12">
          <cell r="A12" t="e">
            <v>#N/A</v>
          </cell>
        </row>
        <row r="13">
          <cell r="A13" t="b">
            <v>1</v>
          </cell>
        </row>
        <row r="14">
          <cell r="A14" t="b">
            <v>1</v>
          </cell>
        </row>
        <row r="15">
          <cell r="A15" t="b">
            <v>0</v>
          </cell>
        </row>
        <row r="16">
          <cell r="A16" t="b">
            <v>1</v>
          </cell>
        </row>
        <row r="17">
          <cell r="A17" t="b">
            <v>1</v>
          </cell>
        </row>
        <row r="18">
          <cell r="A18" t="b">
            <v>1</v>
          </cell>
        </row>
        <row r="19">
          <cell r="A19" t="b">
            <v>1</v>
          </cell>
        </row>
        <row r="20">
          <cell r="A20" t="b">
            <v>1</v>
          </cell>
        </row>
        <row r="21">
          <cell r="A21" t="str">
            <v>....HOW MANY CURVES DO WE WANT TO PLOT</v>
          </cell>
        </row>
        <row r="22">
          <cell r="A22" t="b">
            <v>1</v>
          </cell>
        </row>
        <row r="23">
          <cell r="A23" t="b">
            <v>1</v>
          </cell>
        </row>
        <row r="24">
          <cell r="A24" t="b">
            <v>1</v>
          </cell>
        </row>
        <row r="25">
          <cell r="A25" t="str">
            <v>then</v>
          </cell>
        </row>
        <row r="26">
          <cell r="A26" t="b">
            <v>1</v>
          </cell>
        </row>
        <row r="27">
          <cell r="A27" t="b">
            <v>1</v>
          </cell>
        </row>
        <row r="28">
          <cell r="A28" t="b">
            <v>1</v>
          </cell>
        </row>
        <row r="29">
          <cell r="A29" t="b">
            <v>1</v>
          </cell>
        </row>
        <row r="30">
          <cell r="A30" t="str">
            <v>els3</v>
          </cell>
        </row>
        <row r="31">
          <cell r="A31" t="b">
            <v>0</v>
          </cell>
        </row>
        <row r="32">
          <cell r="A32" t="str">
            <v>then</v>
          </cell>
        </row>
        <row r="33">
          <cell r="A33" t="b">
            <v>1</v>
          </cell>
        </row>
        <row r="34">
          <cell r="A34" t="b">
            <v>1</v>
          </cell>
        </row>
        <row r="35">
          <cell r="A35" t="b">
            <v>1</v>
          </cell>
        </row>
        <row r="36">
          <cell r="A36" t="b">
            <v>1</v>
          </cell>
        </row>
        <row r="37">
          <cell r="A37" t="b">
            <v>1</v>
          </cell>
        </row>
        <row r="38">
          <cell r="A38" t="b">
            <v>1</v>
          </cell>
        </row>
        <row r="39">
          <cell r="A39" t="str">
            <v>els4</v>
          </cell>
        </row>
        <row r="40">
          <cell r="A40" t="b">
            <v>0</v>
          </cell>
        </row>
        <row r="41">
          <cell r="A41" t="str">
            <v>then</v>
          </cell>
        </row>
        <row r="42">
          <cell r="A42" t="b">
            <v>1</v>
          </cell>
        </row>
        <row r="43">
          <cell r="A43" t="b">
            <v>1</v>
          </cell>
        </row>
        <row r="44">
          <cell r="A44" t="b">
            <v>1</v>
          </cell>
        </row>
        <row r="45">
          <cell r="A45" t="b">
            <v>1</v>
          </cell>
        </row>
        <row r="46">
          <cell r="A46" t="b">
            <v>1</v>
          </cell>
        </row>
        <row r="47">
          <cell r="A47" t="b">
            <v>1</v>
          </cell>
        </row>
        <row r="48">
          <cell r="A48" t="b">
            <v>1</v>
          </cell>
        </row>
        <row r="49">
          <cell r="A49" t="b">
            <v>1</v>
          </cell>
        </row>
        <row r="50">
          <cell r="A50" t="str">
            <v>els5</v>
          </cell>
        </row>
        <row r="51">
          <cell r="A51" t="b">
            <v>1</v>
          </cell>
        </row>
        <row r="52">
          <cell r="A52" t="b">
            <v>1</v>
          </cell>
        </row>
        <row r="53">
          <cell r="A53" t="b">
            <v>1</v>
          </cell>
        </row>
        <row r="54">
          <cell r="A54" t="str">
            <v>continu2</v>
          </cell>
        </row>
        <row r="55">
          <cell r="A55">
            <v>0.8</v>
          </cell>
        </row>
        <row r="56">
          <cell r="A56" t="b">
            <v>1</v>
          </cell>
        </row>
        <row r="57">
          <cell r="A57" t="b">
            <v>1</v>
          </cell>
        </row>
        <row r="58">
          <cell r="A58" t="b">
            <v>1</v>
          </cell>
        </row>
        <row r="59">
          <cell r="A59" t="b">
            <v>1</v>
          </cell>
        </row>
        <row r="60">
          <cell r="A60" t="b">
            <v>1</v>
          </cell>
        </row>
        <row r="61">
          <cell r="A61" t="b">
            <v>1</v>
          </cell>
        </row>
        <row r="62">
          <cell r="A62" t="b">
            <v>0</v>
          </cell>
        </row>
        <row r="63">
          <cell r="A63" t="b">
            <v>1</v>
          </cell>
        </row>
        <row r="64">
          <cell r="A64" t="b">
            <v>0</v>
          </cell>
        </row>
        <row r="65">
          <cell r="A65" t="b">
            <v>1</v>
          </cell>
        </row>
        <row r="66">
          <cell r="A66" t="b">
            <v>1</v>
          </cell>
        </row>
        <row r="67">
          <cell r="A67" t="b">
            <v>1</v>
          </cell>
        </row>
        <row r="68">
          <cell r="A68" t="b">
            <v>1</v>
          </cell>
        </row>
        <row r="69">
          <cell r="A69" t="b">
            <v>1</v>
          </cell>
        </row>
        <row r="70">
          <cell r="A70" t="b">
            <v>1</v>
          </cell>
        </row>
        <row r="71">
          <cell r="A71" t="b">
            <v>1</v>
          </cell>
        </row>
        <row r="72">
          <cell r="A72" t="b">
            <v>0</v>
          </cell>
        </row>
        <row r="73">
          <cell r="A73" t="b">
            <v>1</v>
          </cell>
        </row>
        <row r="74">
          <cell r="A74" t="str">
            <v>=R[5]C[10]</v>
          </cell>
        </row>
        <row r="75">
          <cell r="A75" t="b">
            <v>1</v>
          </cell>
        </row>
        <row r="76">
          <cell r="A76" t="b">
            <v>1</v>
          </cell>
        </row>
        <row r="77">
          <cell r="A77" t="b">
            <v>1</v>
          </cell>
        </row>
        <row r="78">
          <cell r="A78" t="str">
            <v>then</v>
          </cell>
        </row>
        <row r="79">
          <cell r="A79" t="b">
            <v>1</v>
          </cell>
        </row>
        <row r="80">
          <cell r="A80" t="b">
            <v>1</v>
          </cell>
        </row>
        <row r="81">
          <cell r="A81" t="b">
            <v>1</v>
          </cell>
        </row>
        <row r="82">
          <cell r="A82" t="b">
            <v>1</v>
          </cell>
        </row>
        <row r="83">
          <cell r="A83" t="b">
            <v>1</v>
          </cell>
        </row>
        <row r="84">
          <cell r="A84" t="b">
            <v>0</v>
          </cell>
        </row>
        <row r="85">
          <cell r="A85" t="str">
            <v>then</v>
          </cell>
        </row>
        <row r="86">
          <cell r="A86" t="b">
            <v>1</v>
          </cell>
        </row>
        <row r="87">
          <cell r="A87" t="b">
            <v>1</v>
          </cell>
        </row>
        <row r="88">
          <cell r="A88" t="b">
            <v>1</v>
          </cell>
        </row>
        <row r="89">
          <cell r="A89" t="b">
            <v>1</v>
          </cell>
        </row>
        <row r="90">
          <cell r="A90" t="b">
            <v>1</v>
          </cell>
        </row>
        <row r="91">
          <cell r="A91" t="b">
            <v>1</v>
          </cell>
        </row>
        <row r="93">
          <cell r="A93" t="b">
            <v>1</v>
          </cell>
        </row>
        <row r="94">
          <cell r="A94" t="b">
            <v>1</v>
          </cell>
        </row>
        <row r="95">
          <cell r="A95" t="b">
            <v>1</v>
          </cell>
        </row>
        <row r="96">
          <cell r="A96" t="b">
            <v>1</v>
          </cell>
        </row>
        <row r="97">
          <cell r="A97" t="b">
            <v>1</v>
          </cell>
        </row>
        <row r="98">
          <cell r="A98" t="b">
            <v>1</v>
          </cell>
        </row>
        <row r="99">
          <cell r="A99" t="b">
            <v>1</v>
          </cell>
        </row>
        <row r="101">
          <cell r="A101" t="b">
            <v>1</v>
          </cell>
        </row>
        <row r="102">
          <cell r="A102" t="b">
            <v>1</v>
          </cell>
        </row>
        <row r="103">
          <cell r="A103" t="b">
            <v>1</v>
          </cell>
        </row>
        <row r="104">
          <cell r="A104" t="b">
            <v>1</v>
          </cell>
        </row>
        <row r="105">
          <cell r="A105" t="b">
            <v>0</v>
          </cell>
        </row>
        <row r="106">
          <cell r="A106" t="b">
            <v>1</v>
          </cell>
        </row>
        <row r="109">
          <cell r="A109" t="b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LAM"/>
      <sheetName val="CHARTLAM.XLM"/>
    </sheetNames>
    <definedNames>
      <definedName name="CHART" refersTo="='CHARTLAM'!$A$1:$A$91"/>
    </definedNames>
    <sheetDataSet>
      <sheetData sheetId="0">
        <row r="1">
          <cell r="A1" t="str">
            <v>C.....SIMPLIFIED CHART PLOTTING UTILITY - FOR TSAI MIC-MACS : DEVELOPED BY DAN MOLLIGAN 2/19/87 ;</v>
          </cell>
        </row>
        <row r="2">
          <cell r="A2" t="str">
            <v>C.....TIME TO INITIALIZE THE VARIABLES FOR INCREMENTING AND STORAGE OF DATA RESULTS</v>
          </cell>
        </row>
        <row r="4">
          <cell r="A4" t="str">
            <v>cont</v>
          </cell>
        </row>
        <row r="5">
          <cell r="A5" t="b">
            <v>1</v>
          </cell>
        </row>
        <row r="6">
          <cell r="A6" t="b">
            <v>1</v>
          </cell>
        </row>
        <row r="7">
          <cell r="A7" t="b">
            <v>1</v>
          </cell>
        </row>
        <row r="8">
          <cell r="A8" t="b">
            <v>1</v>
          </cell>
        </row>
        <row r="9">
          <cell r="A9" t="b">
            <v>1</v>
          </cell>
        </row>
        <row r="10">
          <cell r="A10" t="b">
            <v>1</v>
          </cell>
        </row>
        <row r="11">
          <cell r="A11" t="b">
            <v>1</v>
          </cell>
        </row>
        <row r="12">
          <cell r="A12" t="e">
            <v>#N/A</v>
          </cell>
        </row>
        <row r="13">
          <cell r="A13" t="b">
            <v>1</v>
          </cell>
        </row>
        <row r="14">
          <cell r="A14" t="b">
            <v>1</v>
          </cell>
        </row>
        <row r="15">
          <cell r="A15" t="b">
            <v>1</v>
          </cell>
        </row>
        <row r="16">
          <cell r="A16" t="str">
            <v>....HOW MANY CURVES DO WE WANT TO PLOT</v>
          </cell>
        </row>
        <row r="17">
          <cell r="A17" t="b">
            <v>1</v>
          </cell>
        </row>
        <row r="18">
          <cell r="A18" t="b">
            <v>1</v>
          </cell>
        </row>
        <row r="19">
          <cell r="A19" t="str">
            <v>then</v>
          </cell>
        </row>
        <row r="20">
          <cell r="A20" t="b">
            <v>1</v>
          </cell>
        </row>
        <row r="21">
          <cell r="A21" t="b">
            <v>1</v>
          </cell>
        </row>
        <row r="22">
          <cell r="A22" t="b">
            <v>1</v>
          </cell>
        </row>
        <row r="23">
          <cell r="A23" t="str">
            <v>els3</v>
          </cell>
        </row>
        <row r="24">
          <cell r="A24" t="b">
            <v>1</v>
          </cell>
        </row>
        <row r="25">
          <cell r="A25" t="str">
            <v>then</v>
          </cell>
        </row>
        <row r="26">
          <cell r="A26" t="b">
            <v>1</v>
          </cell>
        </row>
        <row r="27">
          <cell r="A27" t="b">
            <v>1</v>
          </cell>
        </row>
        <row r="28">
          <cell r="A28" t="b">
            <v>1</v>
          </cell>
        </row>
        <row r="29">
          <cell r="A29" t="b">
            <v>1</v>
          </cell>
        </row>
        <row r="30">
          <cell r="A30" t="b">
            <v>1</v>
          </cell>
        </row>
        <row r="31">
          <cell r="A31" t="str">
            <v>els4</v>
          </cell>
        </row>
        <row r="32">
          <cell r="A32" t="b">
            <v>0</v>
          </cell>
        </row>
        <row r="33">
          <cell r="A33" t="str">
            <v>then</v>
          </cell>
        </row>
        <row r="34">
          <cell r="A34" t="b">
            <v>1</v>
          </cell>
        </row>
        <row r="35">
          <cell r="A35" t="b">
            <v>1</v>
          </cell>
        </row>
        <row r="36">
          <cell r="A36" t="b">
            <v>1</v>
          </cell>
        </row>
        <row r="37">
          <cell r="A37" t="b">
            <v>1</v>
          </cell>
        </row>
        <row r="38">
          <cell r="A38" t="b">
            <v>1</v>
          </cell>
        </row>
        <row r="39">
          <cell r="A39" t="b">
            <v>1</v>
          </cell>
        </row>
        <row r="40">
          <cell r="A40" t="b">
            <v>1</v>
          </cell>
        </row>
        <row r="41">
          <cell r="A41" t="str">
            <v>els5</v>
          </cell>
        </row>
        <row r="42">
          <cell r="A42" t="b">
            <v>1</v>
          </cell>
        </row>
        <row r="43">
          <cell r="A43" t="b">
            <v>1</v>
          </cell>
        </row>
        <row r="44">
          <cell r="A44" t="str">
            <v>continu2</v>
          </cell>
        </row>
        <row r="45">
          <cell r="A45">
            <v>90</v>
          </cell>
        </row>
        <row r="46">
          <cell r="A46" t="b">
            <v>1</v>
          </cell>
        </row>
        <row r="47">
          <cell r="A47" t="b">
            <v>1</v>
          </cell>
        </row>
        <row r="48">
          <cell r="A48" t="b">
            <v>1</v>
          </cell>
        </row>
        <row r="49">
          <cell r="A49" t="b">
            <v>1</v>
          </cell>
        </row>
        <row r="50">
          <cell r="A50" t="b">
            <v>1</v>
          </cell>
        </row>
        <row r="51">
          <cell r="A51" t="b">
            <v>1</v>
          </cell>
        </row>
        <row r="52">
          <cell r="A52" t="b">
            <v>1</v>
          </cell>
        </row>
        <row r="53">
          <cell r="A53" t="b">
            <v>0</v>
          </cell>
        </row>
        <row r="54">
          <cell r="A54" t="b">
            <v>1</v>
          </cell>
        </row>
        <row r="55">
          <cell r="A55" t="b">
            <v>0</v>
          </cell>
        </row>
        <row r="56">
          <cell r="A56" t="b">
            <v>1</v>
          </cell>
        </row>
        <row r="57">
          <cell r="A57" t="b">
            <v>1</v>
          </cell>
        </row>
        <row r="58">
          <cell r="A58" t="b">
            <v>1</v>
          </cell>
        </row>
        <row r="59">
          <cell r="A59" t="b">
            <v>0</v>
          </cell>
        </row>
        <row r="60">
          <cell r="A60" t="str">
            <v>=R[5]C[10]</v>
          </cell>
        </row>
        <row r="61">
          <cell r="A61" t="b">
            <v>1</v>
          </cell>
        </row>
        <row r="62">
          <cell r="A62" t="b">
            <v>1</v>
          </cell>
        </row>
        <row r="63">
          <cell r="A63" t="str">
            <v>then</v>
          </cell>
        </row>
        <row r="64">
          <cell r="A64" t="b">
            <v>1</v>
          </cell>
        </row>
        <row r="65">
          <cell r="A65" t="b">
            <v>1</v>
          </cell>
        </row>
        <row r="66">
          <cell r="A66" t="b">
            <v>1</v>
          </cell>
        </row>
        <row r="67">
          <cell r="A67" t="b">
            <v>1</v>
          </cell>
        </row>
        <row r="68">
          <cell r="A68" t="b">
            <v>1</v>
          </cell>
        </row>
        <row r="69">
          <cell r="A69" t="str">
            <v>then</v>
          </cell>
        </row>
        <row r="70">
          <cell r="A70" t="b">
            <v>1</v>
          </cell>
        </row>
        <row r="71">
          <cell r="A71" t="b">
            <v>1</v>
          </cell>
        </row>
        <row r="72">
          <cell r="A72" t="b">
            <v>1</v>
          </cell>
        </row>
        <row r="73">
          <cell r="A73" t="b">
            <v>1</v>
          </cell>
        </row>
        <row r="74">
          <cell r="A74" t="b">
            <v>1</v>
          </cell>
        </row>
        <row r="75">
          <cell r="A75" t="b">
            <v>1</v>
          </cell>
        </row>
        <row r="76">
          <cell r="A76" t="e">
            <v>#REF!</v>
          </cell>
        </row>
        <row r="77">
          <cell r="A77" t="b">
            <v>1</v>
          </cell>
        </row>
        <row r="78">
          <cell r="A78" t="b">
            <v>1</v>
          </cell>
        </row>
        <row r="79">
          <cell r="A79" t="b">
            <v>1</v>
          </cell>
        </row>
        <row r="80">
          <cell r="A80" t="b">
            <v>1</v>
          </cell>
        </row>
        <row r="81">
          <cell r="A81" t="b">
            <v>1</v>
          </cell>
        </row>
        <row r="82">
          <cell r="A82" t="b">
            <v>1</v>
          </cell>
        </row>
        <row r="83">
          <cell r="A83" t="b">
            <v>1</v>
          </cell>
        </row>
        <row r="84">
          <cell r="A84" t="b">
            <v>1</v>
          </cell>
        </row>
        <row r="85">
          <cell r="A85" t="b">
            <v>1</v>
          </cell>
        </row>
        <row r="86">
          <cell r="A86" t="b">
            <v>1</v>
          </cell>
        </row>
        <row r="87">
          <cell r="A87" t="b">
            <v>0</v>
          </cell>
        </row>
        <row r="88">
          <cell r="A88" t="b">
            <v>1</v>
          </cell>
        </row>
        <row r="91">
          <cell r="A91" t="b">
            <v>1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"/>
    </sheetNames>
    <definedNames>
      <definedName name="Mat"/>
      <definedName name="MatDu" refersTo="='MAT'!$C$5"/>
      <definedName name="MatHy" refersTo="='MAT'!$C$1"/>
    </definedNames>
    <sheetDataSet>
      <sheetData sheetId="0">
        <row r="1">
          <cell r="C1" t="str">
            <v>Mat-Hybrid</v>
          </cell>
        </row>
        <row r="5">
          <cell r="C5" t="str">
            <v>Mat-Duplex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DMIX"/>
    </sheetNames>
    <definedNames>
      <definedName name="Material_help2" refersTo="='PDMIX'!$AP$6"/>
    </definedNames>
    <sheetDataSet>
      <sheetData sheetId="0">
        <row r="6">
          <cell r="AP6" t="str">
            <v>Material_help2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"/>
      <sheetName val="MAT.XLM"/>
    </sheetNames>
    <definedNames>
      <definedName name="Mat"/>
    </definedNames>
    <sheetDataSet>
      <sheetData sheetId="0"/>
      <sheetData sheetId="1"/>
    </sheetDataSet>
  </externalBook>
</externalLink>
</file>

<file path=xl/macro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macro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macro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300-000000000000}">
  <dimension ref="G1:AM84"/>
  <sheetViews>
    <sheetView showFormulas="1" workbookViewId="0"/>
  </sheetViews>
  <sheetFormatPr defaultColWidth="7.08984375" defaultRowHeight="12.6" outlineLevelCol="2"/>
  <cols>
    <col min="1" max="6" width="7.08984375" style="84" customWidth="1"/>
    <col min="7" max="11" width="4.90625" style="84" customWidth="1"/>
    <col min="12" max="12" width="7.08984375" style="84" customWidth="1"/>
    <col min="13" max="13" width="21.08984375" style="84" customWidth="1" outlineLevel="2"/>
    <col min="14" max="18" width="1.36328125" style="84" customWidth="1" outlineLevel="2"/>
    <col min="19" max="19" width="8.36328125" style="84" customWidth="1" outlineLevel="2"/>
    <col min="20" max="20" width="1.08984375" style="84" customWidth="1" outlineLevel="2"/>
    <col min="21" max="21" width="0.90625" style="84" customWidth="1" outlineLevel="2"/>
    <col min="22" max="28" width="1.6328125" style="84" customWidth="1" outlineLevel="2"/>
    <col min="29" max="29" width="0.6328125" style="84" customWidth="1" outlineLevel="2"/>
    <col min="30" max="34" width="1.453125" style="84" customWidth="1" outlineLevel="2"/>
    <col min="35" max="35" width="3.453125" style="84" customWidth="1" outlineLevel="2"/>
    <col min="36" max="36" width="1.453125" style="84" customWidth="1" outlineLevel="2"/>
    <col min="37" max="37" width="7.08984375" style="84" customWidth="1" outlineLevel="2"/>
    <col min="38" max="38" width="2.6328125" style="84" customWidth="1" outlineLevel="2"/>
    <col min="39" max="39" width="7.08984375" style="84" customWidth="1" outlineLevel="2"/>
    <col min="40" max="16384" width="7.08984375" style="84"/>
  </cols>
  <sheetData>
    <row r="1" spans="13:38" ht="13.2" thickBot="1">
      <c r="M1" s="83"/>
      <c r="N1" s="83" t="s">
        <v>1201</v>
      </c>
      <c r="V1" s="83" t="s">
        <v>1202</v>
      </c>
      <c r="AD1" s="83" t="s">
        <v>1203</v>
      </c>
      <c r="AL1" s="84" t="s">
        <v>1204</v>
      </c>
    </row>
    <row r="2" spans="13:38">
      <c r="M2" s="83"/>
      <c r="N2" s="85"/>
      <c r="O2" s="86"/>
      <c r="P2" s="86"/>
      <c r="Q2" s="86">
        <v>652</v>
      </c>
      <c r="R2" s="86">
        <v>387</v>
      </c>
      <c r="S2" s="86"/>
      <c r="T2" s="87"/>
      <c r="V2" s="85"/>
      <c r="W2" s="86"/>
      <c r="X2" s="86"/>
      <c r="Y2" s="86">
        <v>660</v>
      </c>
      <c r="Z2" s="86">
        <v>374</v>
      </c>
      <c r="AA2" s="86"/>
      <c r="AB2" s="87"/>
      <c r="AD2" s="85"/>
      <c r="AE2" s="86"/>
      <c r="AF2" s="86"/>
      <c r="AG2" s="86">
        <v>660</v>
      </c>
      <c r="AH2" s="86">
        <v>374</v>
      </c>
      <c r="AI2" s="86"/>
      <c r="AJ2" s="87"/>
      <c r="AL2" s="88" t="s">
        <v>1205</v>
      </c>
    </row>
    <row r="3" spans="13:38">
      <c r="N3" s="89">
        <v>14</v>
      </c>
      <c r="O3" s="84">
        <v>18</v>
      </c>
      <c r="P3" s="84">
        <v>10</v>
      </c>
      <c r="Q3" s="84">
        <v>627</v>
      </c>
      <c r="R3" s="84">
        <v>361</v>
      </c>
      <c r="S3" s="84" t="s">
        <v>1206</v>
      </c>
      <c r="T3" s="90"/>
      <c r="V3" s="89">
        <v>5</v>
      </c>
      <c r="W3" s="84">
        <v>231</v>
      </c>
      <c r="X3" s="84">
        <v>17</v>
      </c>
      <c r="AA3" s="84" t="s">
        <v>1207</v>
      </c>
      <c r="AB3" s="90"/>
      <c r="AD3" s="89">
        <v>5</v>
      </c>
      <c r="AE3" s="84">
        <v>199</v>
      </c>
      <c r="AF3" s="84">
        <v>22</v>
      </c>
      <c r="AI3" s="84" t="s">
        <v>1208</v>
      </c>
      <c r="AJ3" s="90"/>
      <c r="AL3" s="91" t="s">
        <v>1209</v>
      </c>
    </row>
    <row r="4" spans="13:38">
      <c r="M4" s="83"/>
      <c r="N4" s="89">
        <v>13</v>
      </c>
      <c r="O4" s="84">
        <v>62</v>
      </c>
      <c r="P4" s="84">
        <v>293</v>
      </c>
      <c r="S4" s="84" t="s">
        <v>1688</v>
      </c>
      <c r="T4" s="90" t="b">
        <v>0</v>
      </c>
      <c r="V4" s="89">
        <v>5</v>
      </c>
      <c r="W4" s="84">
        <v>24</v>
      </c>
      <c r="X4" s="84">
        <v>50</v>
      </c>
      <c r="AA4" s="84" t="s">
        <v>1210</v>
      </c>
      <c r="AB4" s="90"/>
      <c r="AD4" s="89">
        <v>1</v>
      </c>
      <c r="AE4" s="84">
        <v>484</v>
      </c>
      <c r="AF4" s="84">
        <v>304</v>
      </c>
      <c r="AG4" s="84">
        <v>95</v>
      </c>
      <c r="AH4" s="84">
        <v>25</v>
      </c>
      <c r="AI4" s="84" t="s">
        <v>1211</v>
      </c>
      <c r="AJ4" s="90"/>
      <c r="AL4" s="91" t="s">
        <v>1212</v>
      </c>
    </row>
    <row r="5" spans="13:38">
      <c r="N5" s="89">
        <v>11</v>
      </c>
      <c r="T5" s="90">
        <v>1</v>
      </c>
      <c r="V5" s="89">
        <v>6</v>
      </c>
      <c r="W5" s="84">
        <v>80</v>
      </c>
      <c r="X5" s="84">
        <v>47</v>
      </c>
      <c r="Y5" s="84">
        <v>180</v>
      </c>
      <c r="AB5" s="90" t="s">
        <v>1693</v>
      </c>
      <c r="AD5" s="89">
        <v>2</v>
      </c>
      <c r="AE5" s="84">
        <v>326</v>
      </c>
      <c r="AF5" s="84">
        <v>304</v>
      </c>
      <c r="AG5" s="84">
        <v>95</v>
      </c>
      <c r="AH5" s="84">
        <v>25</v>
      </c>
      <c r="AI5" s="84" t="s">
        <v>464</v>
      </c>
      <c r="AJ5" s="90"/>
      <c r="AL5" s="91" t="s">
        <v>1213</v>
      </c>
    </row>
    <row r="6" spans="13:38">
      <c r="N6" s="89">
        <v>12</v>
      </c>
      <c r="O6" s="84">
        <v>62</v>
      </c>
      <c r="P6" s="84">
        <v>32</v>
      </c>
      <c r="S6" s="84" t="s">
        <v>2174</v>
      </c>
      <c r="T6" s="90"/>
      <c r="V6" s="89">
        <v>8</v>
      </c>
      <c r="W6" s="84">
        <v>110</v>
      </c>
      <c r="X6" s="84">
        <v>97</v>
      </c>
      <c r="Y6" s="84">
        <v>100</v>
      </c>
      <c r="AB6" s="90"/>
      <c r="AD6" s="89">
        <v>8</v>
      </c>
      <c r="AE6" s="84">
        <v>97</v>
      </c>
      <c r="AF6" s="84">
        <v>95</v>
      </c>
      <c r="AG6" s="84">
        <v>100</v>
      </c>
      <c r="AJ6" s="90">
        <v>26.27</v>
      </c>
      <c r="AL6" s="91" t="s">
        <v>1214</v>
      </c>
    </row>
    <row r="7" spans="13:38">
      <c r="N7" s="89">
        <v>12</v>
      </c>
      <c r="S7" s="84" t="s">
        <v>1215</v>
      </c>
      <c r="T7" s="90"/>
      <c r="V7" s="89">
        <v>8</v>
      </c>
      <c r="W7" s="84">
        <v>110</v>
      </c>
      <c r="X7" s="84">
        <v>127</v>
      </c>
      <c r="Y7" s="84">
        <v>100</v>
      </c>
      <c r="AB7" s="90"/>
      <c r="AD7" s="89">
        <v>8</v>
      </c>
      <c r="AE7" s="84">
        <v>97</v>
      </c>
      <c r="AF7" s="84">
        <v>125</v>
      </c>
      <c r="AG7" s="84">
        <v>100</v>
      </c>
      <c r="AJ7" s="90">
        <v>1.49</v>
      </c>
      <c r="AL7" s="91" t="s">
        <v>1216</v>
      </c>
    </row>
    <row r="8" spans="13:38">
      <c r="N8" s="89">
        <v>12</v>
      </c>
      <c r="S8" s="84" t="s">
        <v>1226</v>
      </c>
      <c r="T8" s="90"/>
      <c r="V8" s="89">
        <v>8</v>
      </c>
      <c r="W8" s="84">
        <v>110</v>
      </c>
      <c r="X8" s="84">
        <v>187</v>
      </c>
      <c r="Y8" s="84">
        <v>100</v>
      </c>
      <c r="AB8" s="90"/>
      <c r="AD8" s="89">
        <v>8</v>
      </c>
      <c r="AE8" s="84">
        <v>97</v>
      </c>
      <c r="AF8" s="84">
        <v>185</v>
      </c>
      <c r="AG8" s="84">
        <v>100</v>
      </c>
      <c r="AJ8" s="90">
        <v>0.28000000000000003</v>
      </c>
      <c r="AL8" s="91" t="s">
        <v>1218</v>
      </c>
    </row>
    <row r="9" spans="13:38">
      <c r="N9" s="89">
        <v>12</v>
      </c>
      <c r="S9" s="84" t="s">
        <v>1222</v>
      </c>
      <c r="T9" s="90"/>
      <c r="V9" s="89">
        <v>8</v>
      </c>
      <c r="W9" s="84">
        <v>110</v>
      </c>
      <c r="X9" s="84">
        <v>157</v>
      </c>
      <c r="Y9" s="84">
        <v>100</v>
      </c>
      <c r="AB9" s="90"/>
      <c r="AD9" s="89">
        <v>8</v>
      </c>
      <c r="AE9" s="84">
        <v>97</v>
      </c>
      <c r="AF9" s="84">
        <v>155</v>
      </c>
      <c r="AG9" s="84">
        <v>100</v>
      </c>
      <c r="AJ9" s="90">
        <v>1.04</v>
      </c>
      <c r="AL9" s="91" t="s">
        <v>1219</v>
      </c>
    </row>
    <row r="10" spans="13:38">
      <c r="N10" s="89">
        <v>12</v>
      </c>
      <c r="S10" s="84" t="s">
        <v>1217</v>
      </c>
      <c r="T10" s="90"/>
      <c r="V10" s="89">
        <v>8</v>
      </c>
      <c r="W10" s="84">
        <v>110</v>
      </c>
      <c r="X10" s="84">
        <v>217</v>
      </c>
      <c r="Y10" s="84">
        <v>100</v>
      </c>
      <c r="AB10" s="90"/>
      <c r="AD10" s="89">
        <v>8</v>
      </c>
      <c r="AE10" s="84">
        <v>97</v>
      </c>
      <c r="AF10" s="84">
        <v>215</v>
      </c>
      <c r="AG10" s="84">
        <v>100</v>
      </c>
      <c r="AJ10" s="90">
        <v>0.49349999999999999</v>
      </c>
      <c r="AL10" s="91" t="s">
        <v>1220</v>
      </c>
    </row>
    <row r="11" spans="13:38">
      <c r="N11" s="89">
        <v>12</v>
      </c>
      <c r="S11" s="84" t="s">
        <v>2187</v>
      </c>
      <c r="T11" s="90"/>
      <c r="V11" s="89">
        <v>8</v>
      </c>
      <c r="W11" s="84">
        <v>547</v>
      </c>
      <c r="X11" s="84">
        <v>188</v>
      </c>
      <c r="Y11" s="84">
        <v>100</v>
      </c>
      <c r="AB11" s="90"/>
      <c r="AD11" s="89">
        <v>8</v>
      </c>
      <c r="AE11" s="84">
        <v>546</v>
      </c>
      <c r="AF11" s="84">
        <v>184</v>
      </c>
      <c r="AG11" s="84">
        <v>100</v>
      </c>
      <c r="AJ11" s="90">
        <v>251.6</v>
      </c>
      <c r="AL11" s="91" t="s">
        <v>1221</v>
      </c>
    </row>
    <row r="12" spans="13:38">
      <c r="N12" s="89">
        <v>12</v>
      </c>
      <c r="S12" s="84" t="s">
        <v>1686</v>
      </c>
      <c r="T12" s="90"/>
      <c r="V12" s="89">
        <v>8</v>
      </c>
      <c r="W12" s="84">
        <v>547</v>
      </c>
      <c r="X12" s="84">
        <v>218</v>
      </c>
      <c r="Y12" s="84">
        <v>100</v>
      </c>
      <c r="AB12" s="90"/>
      <c r="AD12" s="89">
        <v>8</v>
      </c>
      <c r="AE12" s="84">
        <v>546</v>
      </c>
      <c r="AF12" s="84">
        <v>214</v>
      </c>
      <c r="AG12" s="84">
        <v>100</v>
      </c>
      <c r="AJ12" s="90">
        <v>320</v>
      </c>
      <c r="AL12" s="91" t="s">
        <v>1223</v>
      </c>
    </row>
    <row r="13" spans="13:38">
      <c r="N13" s="89">
        <v>12</v>
      </c>
      <c r="S13" s="84" t="s">
        <v>1687</v>
      </c>
      <c r="T13" s="90"/>
      <c r="V13" s="89">
        <v>8</v>
      </c>
      <c r="W13" s="84">
        <v>316</v>
      </c>
      <c r="X13" s="84">
        <v>95</v>
      </c>
      <c r="Y13" s="84">
        <v>100</v>
      </c>
      <c r="AB13" s="90"/>
      <c r="AD13" s="89">
        <v>8</v>
      </c>
      <c r="AE13" s="84">
        <v>316</v>
      </c>
      <c r="AF13" s="84">
        <v>94</v>
      </c>
      <c r="AG13" s="84">
        <v>100</v>
      </c>
      <c r="AJ13" s="90">
        <v>217.71</v>
      </c>
      <c r="AL13" s="91" t="s">
        <v>1224</v>
      </c>
    </row>
    <row r="14" spans="13:38">
      <c r="N14" s="89">
        <v>12</v>
      </c>
      <c r="S14" s="84" t="s">
        <v>1697</v>
      </c>
      <c r="T14" s="90"/>
      <c r="V14" s="89">
        <v>8</v>
      </c>
      <c r="W14" s="84">
        <v>316</v>
      </c>
      <c r="X14" s="84">
        <v>125</v>
      </c>
      <c r="Y14" s="84">
        <v>100</v>
      </c>
      <c r="AB14" s="90"/>
      <c r="AD14" s="89">
        <v>8</v>
      </c>
      <c r="AE14" s="84">
        <v>316</v>
      </c>
      <c r="AF14" s="84">
        <v>124</v>
      </c>
      <c r="AG14" s="84">
        <v>100</v>
      </c>
      <c r="AJ14" s="90">
        <v>217.71</v>
      </c>
      <c r="AL14" s="91" t="s">
        <v>1225</v>
      </c>
    </row>
    <row r="15" spans="13:38">
      <c r="N15" s="89">
        <v>12</v>
      </c>
      <c r="S15" s="84" t="s">
        <v>1694</v>
      </c>
      <c r="T15" s="90"/>
      <c r="V15" s="89">
        <v>8</v>
      </c>
      <c r="W15" s="84">
        <v>316</v>
      </c>
      <c r="X15" s="84">
        <v>155</v>
      </c>
      <c r="Y15" s="84">
        <v>100</v>
      </c>
      <c r="AB15" s="90"/>
      <c r="AD15" s="89">
        <v>8</v>
      </c>
      <c r="AE15" s="84">
        <v>316</v>
      </c>
      <c r="AF15" s="84">
        <v>154</v>
      </c>
      <c r="AG15" s="84">
        <v>100</v>
      </c>
      <c r="AJ15" s="90">
        <v>5.81</v>
      </c>
      <c r="AL15" s="91" t="s">
        <v>1227</v>
      </c>
    </row>
    <row r="16" spans="13:38">
      <c r="N16" s="89">
        <v>12</v>
      </c>
      <c r="S16" s="84" t="s">
        <v>1702</v>
      </c>
      <c r="T16" s="90"/>
      <c r="V16" s="89">
        <v>8</v>
      </c>
      <c r="W16" s="84">
        <v>316</v>
      </c>
      <c r="X16" s="84">
        <v>185</v>
      </c>
      <c r="Y16" s="84">
        <v>100</v>
      </c>
      <c r="AB16" s="90"/>
      <c r="AD16" s="89">
        <v>8</v>
      </c>
      <c r="AE16" s="84">
        <v>316</v>
      </c>
      <c r="AF16" s="84">
        <v>184</v>
      </c>
      <c r="AG16" s="84">
        <v>100</v>
      </c>
      <c r="AJ16" s="90">
        <v>35.700000000000003</v>
      </c>
      <c r="AL16" s="91" t="s">
        <v>1228</v>
      </c>
    </row>
    <row r="17" spans="8:38">
      <c r="N17" s="89">
        <v>0</v>
      </c>
      <c r="T17" s="90"/>
      <c r="V17" s="89">
        <v>8</v>
      </c>
      <c r="W17" s="84">
        <v>316</v>
      </c>
      <c r="X17" s="84">
        <v>215</v>
      </c>
      <c r="Y17" s="84">
        <v>100</v>
      </c>
      <c r="AB17" s="90"/>
      <c r="AD17" s="89">
        <v>8</v>
      </c>
      <c r="AE17" s="84">
        <v>316</v>
      </c>
      <c r="AF17" s="84">
        <v>214</v>
      </c>
      <c r="AG17" s="84">
        <v>100</v>
      </c>
      <c r="AJ17" s="90">
        <v>9.8699999999999992</v>
      </c>
      <c r="AL17" s="91" t="s">
        <v>1229</v>
      </c>
    </row>
    <row r="18" spans="8:38">
      <c r="N18" s="89">
        <v>0</v>
      </c>
      <c r="T18" s="90"/>
      <c r="V18" s="89">
        <v>8</v>
      </c>
      <c r="W18" s="84">
        <v>547</v>
      </c>
      <c r="X18" s="84">
        <v>95</v>
      </c>
      <c r="Y18" s="84">
        <v>100</v>
      </c>
      <c r="AB18" s="90"/>
      <c r="AD18" s="89">
        <v>8</v>
      </c>
      <c r="AE18" s="84">
        <v>546</v>
      </c>
      <c r="AF18" s="84">
        <v>94</v>
      </c>
      <c r="AG18" s="84">
        <v>100</v>
      </c>
      <c r="AJ18" s="90">
        <v>1.2</v>
      </c>
      <c r="AL18" s="91" t="s">
        <v>1230</v>
      </c>
    </row>
    <row r="19" spans="8:38">
      <c r="N19" s="89">
        <v>0</v>
      </c>
      <c r="T19" s="90"/>
      <c r="V19" s="89">
        <v>8</v>
      </c>
      <c r="W19" s="84">
        <v>547</v>
      </c>
      <c r="X19" s="84">
        <v>158</v>
      </c>
      <c r="Y19" s="84">
        <v>100</v>
      </c>
      <c r="AB19" s="90"/>
      <c r="AD19" s="89">
        <v>8</v>
      </c>
      <c r="AE19" s="84">
        <v>546</v>
      </c>
      <c r="AF19" s="84">
        <v>154</v>
      </c>
      <c r="AG19" s="84">
        <v>100</v>
      </c>
      <c r="AJ19" s="90">
        <v>71.599999999999994</v>
      </c>
      <c r="AL19" s="91" t="s">
        <v>1231</v>
      </c>
    </row>
    <row r="20" spans="8:38">
      <c r="H20" s="1228"/>
      <c r="I20" s="1228"/>
      <c r="N20" s="89">
        <v>1</v>
      </c>
      <c r="O20" s="84">
        <v>533</v>
      </c>
      <c r="P20" s="84">
        <v>323</v>
      </c>
      <c r="Q20" s="84">
        <v>88</v>
      </c>
      <c r="S20" s="84" t="s">
        <v>462</v>
      </c>
      <c r="T20" s="90"/>
      <c r="V20" s="89">
        <v>8</v>
      </c>
      <c r="W20" s="84">
        <v>547</v>
      </c>
      <c r="X20" s="84">
        <v>125</v>
      </c>
      <c r="Y20" s="84">
        <v>100</v>
      </c>
      <c r="AB20" s="90"/>
      <c r="AD20" s="89">
        <v>8</v>
      </c>
      <c r="AE20" s="84">
        <v>546</v>
      </c>
      <c r="AF20" s="84">
        <v>124</v>
      </c>
      <c r="AG20" s="84">
        <v>100</v>
      </c>
      <c r="AJ20" s="90">
        <v>5.0000000000000001E-3</v>
      </c>
      <c r="AL20" s="91" t="s">
        <v>1232</v>
      </c>
    </row>
    <row r="21" spans="8:38">
      <c r="H21" s="1228"/>
      <c r="I21" s="1228"/>
      <c r="N21" s="89">
        <v>2</v>
      </c>
      <c r="O21" s="84">
        <v>408</v>
      </c>
      <c r="P21" s="84">
        <v>323</v>
      </c>
      <c r="Q21" s="84">
        <v>88</v>
      </c>
      <c r="S21" s="84" t="s">
        <v>464</v>
      </c>
      <c r="T21" s="90"/>
      <c r="V21" s="89">
        <v>5</v>
      </c>
      <c r="W21" s="84">
        <v>30</v>
      </c>
      <c r="X21" s="84">
        <v>99</v>
      </c>
      <c r="AA21" s="84" t="s">
        <v>1233</v>
      </c>
      <c r="AB21" s="90"/>
      <c r="AD21" s="89">
        <v>5</v>
      </c>
      <c r="AE21" s="84">
        <v>17</v>
      </c>
      <c r="AF21" s="84">
        <v>97</v>
      </c>
      <c r="AI21" s="84" t="s">
        <v>1234</v>
      </c>
      <c r="AJ21" s="90"/>
      <c r="AL21" s="91" t="s">
        <v>1235</v>
      </c>
    </row>
    <row r="22" spans="8:38">
      <c r="H22" s="1228"/>
      <c r="I22" s="1228"/>
      <c r="N22" s="89">
        <v>2</v>
      </c>
      <c r="O22" s="84">
        <v>408</v>
      </c>
      <c r="P22" s="84">
        <v>323</v>
      </c>
      <c r="Q22" s="84">
        <v>88</v>
      </c>
      <c r="S22" s="84" t="s">
        <v>464</v>
      </c>
      <c r="T22" s="90"/>
      <c r="V22" s="89">
        <v>5</v>
      </c>
      <c r="W22" s="84">
        <v>30</v>
      </c>
      <c r="X22" s="84">
        <v>129</v>
      </c>
      <c r="AA22" s="84" t="s">
        <v>1237</v>
      </c>
      <c r="AB22" s="90"/>
      <c r="AD22" s="89">
        <v>5</v>
      </c>
      <c r="AE22" s="84">
        <v>17</v>
      </c>
      <c r="AF22" s="84">
        <v>127</v>
      </c>
      <c r="AI22" s="84" t="s">
        <v>1238</v>
      </c>
      <c r="AJ22" s="90"/>
      <c r="AL22" s="91" t="s">
        <v>1239</v>
      </c>
    </row>
    <row r="23" spans="8:38" ht="13.2" thickBot="1">
      <c r="N23" s="92">
        <v>0</v>
      </c>
      <c r="O23" s="93">
        <v>289</v>
      </c>
      <c r="P23" s="93">
        <v>323</v>
      </c>
      <c r="Q23" s="93">
        <v>88</v>
      </c>
      <c r="R23" s="93"/>
      <c r="S23" s="93" t="s">
        <v>1236</v>
      </c>
      <c r="T23" s="94"/>
      <c r="V23" s="89">
        <v>5</v>
      </c>
      <c r="W23" s="84">
        <v>30</v>
      </c>
      <c r="X23" s="84">
        <v>189</v>
      </c>
      <c r="AA23" s="84" t="s">
        <v>1241</v>
      </c>
      <c r="AB23" s="90"/>
      <c r="AD23" s="89">
        <v>5</v>
      </c>
      <c r="AE23" s="84">
        <v>17</v>
      </c>
      <c r="AF23" s="84">
        <v>187</v>
      </c>
      <c r="AI23" s="84" t="s">
        <v>1241</v>
      </c>
      <c r="AJ23" s="90"/>
      <c r="AL23" s="91" t="s">
        <v>1242</v>
      </c>
    </row>
    <row r="24" spans="8:38" ht="13.2" thickBot="1">
      <c r="H24" s="1228"/>
      <c r="I24" s="1228"/>
      <c r="N24" s="83" t="s">
        <v>1240</v>
      </c>
      <c r="V24" s="89">
        <v>5</v>
      </c>
      <c r="W24" s="84">
        <v>30</v>
      </c>
      <c r="X24" s="84">
        <v>159</v>
      </c>
      <c r="AA24" s="84" t="s">
        <v>1243</v>
      </c>
      <c r="AB24" s="90"/>
      <c r="AD24" s="89">
        <v>5</v>
      </c>
      <c r="AE24" s="84">
        <v>17</v>
      </c>
      <c r="AF24" s="84">
        <v>157</v>
      </c>
      <c r="AI24" s="84" t="s">
        <v>1244</v>
      </c>
      <c r="AJ24" s="90"/>
      <c r="AL24" s="91" t="s">
        <v>1245</v>
      </c>
    </row>
    <row r="25" spans="8:38" ht="13.2" thickBot="1">
      <c r="N25" s="85"/>
      <c r="O25" s="86"/>
      <c r="P25" s="86"/>
      <c r="Q25" s="86">
        <v>482</v>
      </c>
      <c r="R25" s="86">
        <v>310</v>
      </c>
      <c r="S25" s="86"/>
      <c r="T25" s="87"/>
      <c r="V25" s="89">
        <v>5</v>
      </c>
      <c r="W25" s="84">
        <v>30</v>
      </c>
      <c r="X25" s="84">
        <v>219</v>
      </c>
      <c r="AA25" s="84" t="s">
        <v>1247</v>
      </c>
      <c r="AB25" s="90"/>
      <c r="AD25" s="89">
        <v>5</v>
      </c>
      <c r="AE25" s="84">
        <v>17</v>
      </c>
      <c r="AF25" s="84">
        <v>217</v>
      </c>
      <c r="AI25" s="84" t="s">
        <v>1248</v>
      </c>
      <c r="AJ25" s="90"/>
      <c r="AL25" s="95" t="s">
        <v>1249</v>
      </c>
    </row>
    <row r="26" spans="8:38">
      <c r="N26" s="89">
        <v>5</v>
      </c>
      <c r="O26" s="84">
        <v>161</v>
      </c>
      <c r="P26" s="84">
        <v>17</v>
      </c>
      <c r="S26" s="84" t="s">
        <v>1246</v>
      </c>
      <c r="T26" s="90"/>
      <c r="V26" s="89">
        <v>5</v>
      </c>
      <c r="W26" s="84">
        <v>457</v>
      </c>
      <c r="X26" s="84">
        <v>190</v>
      </c>
      <c r="AA26" s="84" t="s">
        <v>1251</v>
      </c>
      <c r="AB26" s="90"/>
      <c r="AD26" s="89">
        <v>5</v>
      </c>
      <c r="AE26" s="84">
        <v>456</v>
      </c>
      <c r="AF26" s="84">
        <v>186</v>
      </c>
      <c r="AI26" s="84" t="s">
        <v>1251</v>
      </c>
      <c r="AJ26" s="90"/>
    </row>
    <row r="27" spans="8:38">
      <c r="N27" s="89">
        <v>5</v>
      </c>
      <c r="O27" s="84">
        <v>85</v>
      </c>
      <c r="P27" s="84">
        <v>45</v>
      </c>
      <c r="S27" s="84" t="s">
        <v>1250</v>
      </c>
      <c r="T27" s="90"/>
      <c r="V27" s="89">
        <v>5</v>
      </c>
      <c r="W27" s="84">
        <v>457</v>
      </c>
      <c r="X27" s="84">
        <v>220</v>
      </c>
      <c r="AA27" s="84" t="s">
        <v>1252</v>
      </c>
      <c r="AB27" s="90"/>
      <c r="AD27" s="89">
        <v>5</v>
      </c>
      <c r="AE27" s="84">
        <v>456</v>
      </c>
      <c r="AF27" s="84">
        <v>216</v>
      </c>
      <c r="AI27" s="84" t="s">
        <v>1252</v>
      </c>
      <c r="AJ27" s="90"/>
    </row>
    <row r="28" spans="8:38">
      <c r="N28" s="89">
        <v>13</v>
      </c>
      <c r="O28" s="84">
        <v>30</v>
      </c>
      <c r="P28" s="84">
        <v>80</v>
      </c>
      <c r="S28" s="84" t="s">
        <v>436</v>
      </c>
      <c r="T28" s="90" t="b">
        <v>1</v>
      </c>
      <c r="V28" s="89">
        <v>5</v>
      </c>
      <c r="W28" s="84">
        <v>246</v>
      </c>
      <c r="X28" s="84">
        <v>97</v>
      </c>
      <c r="AA28" s="84" t="s">
        <v>1253</v>
      </c>
      <c r="AB28" s="90"/>
      <c r="AD28" s="89">
        <v>5</v>
      </c>
      <c r="AE28" s="84">
        <v>246</v>
      </c>
      <c r="AF28" s="84">
        <v>96</v>
      </c>
      <c r="AI28" s="84" t="s">
        <v>1254</v>
      </c>
      <c r="AJ28" s="90"/>
    </row>
    <row r="29" spans="8:38">
      <c r="N29" s="89">
        <v>13</v>
      </c>
      <c r="S29" s="84" t="s">
        <v>437</v>
      </c>
      <c r="T29" s="90" t="b">
        <v>1</v>
      </c>
      <c r="V29" s="89">
        <v>5</v>
      </c>
      <c r="W29" s="84">
        <v>246</v>
      </c>
      <c r="X29" s="84">
        <v>127</v>
      </c>
      <c r="AA29" s="84" t="s">
        <v>1255</v>
      </c>
      <c r="AB29" s="90"/>
      <c r="AD29" s="89">
        <v>5</v>
      </c>
      <c r="AE29" s="84">
        <v>246</v>
      </c>
      <c r="AF29" s="84">
        <v>126</v>
      </c>
      <c r="AI29" s="84" t="s">
        <v>1256</v>
      </c>
      <c r="AJ29" s="90"/>
    </row>
    <row r="30" spans="8:38">
      <c r="N30" s="89">
        <v>13</v>
      </c>
      <c r="S30" s="84" t="s">
        <v>439</v>
      </c>
      <c r="T30" s="90" t="b">
        <v>0</v>
      </c>
      <c r="V30" s="89">
        <v>5</v>
      </c>
      <c r="W30" s="84">
        <v>246</v>
      </c>
      <c r="X30" s="84">
        <v>157</v>
      </c>
      <c r="AA30" s="84" t="s">
        <v>1257</v>
      </c>
      <c r="AB30" s="90"/>
      <c r="AD30" s="89">
        <v>5</v>
      </c>
      <c r="AE30" s="84">
        <v>246</v>
      </c>
      <c r="AF30" s="84">
        <v>156</v>
      </c>
      <c r="AI30" s="84" t="s">
        <v>1258</v>
      </c>
      <c r="AJ30" s="90"/>
    </row>
    <row r="31" spans="8:38">
      <c r="N31" s="89">
        <v>13</v>
      </c>
      <c r="S31" s="84" t="s">
        <v>440</v>
      </c>
      <c r="T31" s="90" t="b">
        <v>0</v>
      </c>
      <c r="V31" s="89">
        <v>5</v>
      </c>
      <c r="W31" s="84">
        <v>246</v>
      </c>
      <c r="X31" s="84">
        <v>187</v>
      </c>
      <c r="AA31" s="84" t="s">
        <v>1259</v>
      </c>
      <c r="AB31" s="90"/>
      <c r="AD31" s="89">
        <v>5</v>
      </c>
      <c r="AE31" s="84">
        <v>246</v>
      </c>
      <c r="AF31" s="84">
        <v>186</v>
      </c>
      <c r="AI31" s="84" t="s">
        <v>1260</v>
      </c>
      <c r="AJ31" s="90"/>
    </row>
    <row r="32" spans="8:38">
      <c r="N32" s="89">
        <v>13</v>
      </c>
      <c r="S32" s="84" t="s">
        <v>441</v>
      </c>
      <c r="T32" s="90" t="b">
        <v>0</v>
      </c>
      <c r="V32" s="89">
        <v>5</v>
      </c>
      <c r="W32" s="84">
        <v>246</v>
      </c>
      <c r="X32" s="84">
        <v>217</v>
      </c>
      <c r="AA32" s="84" t="s">
        <v>1261</v>
      </c>
      <c r="AB32" s="90"/>
      <c r="AD32" s="89">
        <v>5</v>
      </c>
      <c r="AE32" s="84">
        <v>246</v>
      </c>
      <c r="AF32" s="84">
        <v>216</v>
      </c>
      <c r="AI32" s="84" t="s">
        <v>1262</v>
      </c>
      <c r="AJ32" s="90"/>
    </row>
    <row r="33" spans="14:36">
      <c r="N33" s="89">
        <v>13</v>
      </c>
      <c r="S33" s="84" t="s">
        <v>442</v>
      </c>
      <c r="T33" s="90" t="b">
        <v>0</v>
      </c>
      <c r="V33" s="89">
        <v>5</v>
      </c>
      <c r="W33" s="84">
        <v>457</v>
      </c>
      <c r="X33" s="84">
        <v>97</v>
      </c>
      <c r="AA33" s="84" t="s">
        <v>1263</v>
      </c>
      <c r="AB33" s="90"/>
      <c r="AD33" s="89">
        <v>5</v>
      </c>
      <c r="AE33" s="84">
        <v>456</v>
      </c>
      <c r="AF33" s="84">
        <v>96</v>
      </c>
      <c r="AI33" s="84" t="s">
        <v>1263</v>
      </c>
      <c r="AJ33" s="90"/>
    </row>
    <row r="34" spans="14:36">
      <c r="N34" s="89">
        <v>13</v>
      </c>
      <c r="S34" s="84" t="s">
        <v>443</v>
      </c>
      <c r="T34" s="90" t="b">
        <v>0</v>
      </c>
      <c r="V34" s="89">
        <v>5</v>
      </c>
      <c r="W34" s="84">
        <v>457</v>
      </c>
      <c r="X34" s="84">
        <v>157</v>
      </c>
      <c r="AA34" s="84" t="s">
        <v>1264</v>
      </c>
      <c r="AB34" s="90"/>
      <c r="AD34" s="89">
        <v>5</v>
      </c>
      <c r="AE34" s="84">
        <v>456</v>
      </c>
      <c r="AF34" s="84">
        <v>156</v>
      </c>
      <c r="AI34" s="84" t="s">
        <v>1264</v>
      </c>
      <c r="AJ34" s="90"/>
    </row>
    <row r="35" spans="14:36" ht="13.2" thickBot="1">
      <c r="N35" s="89">
        <v>13</v>
      </c>
      <c r="S35" s="84" t="s">
        <v>444</v>
      </c>
      <c r="T35" s="90" t="b">
        <v>0</v>
      </c>
      <c r="V35" s="89">
        <v>5</v>
      </c>
      <c r="W35" s="84">
        <v>457</v>
      </c>
      <c r="X35" s="84">
        <v>127</v>
      </c>
      <c r="AA35" s="84" t="s">
        <v>1265</v>
      </c>
      <c r="AB35" s="90"/>
      <c r="AD35" s="92">
        <v>5</v>
      </c>
      <c r="AE35" s="93">
        <v>456</v>
      </c>
      <c r="AF35" s="93">
        <v>126</v>
      </c>
      <c r="AG35" s="93"/>
      <c r="AH35" s="93"/>
      <c r="AI35" s="93" t="s">
        <v>1265</v>
      </c>
      <c r="AJ35" s="94"/>
    </row>
    <row r="36" spans="14:36">
      <c r="N36" s="89">
        <v>13</v>
      </c>
      <c r="O36" s="84">
        <v>180</v>
      </c>
      <c r="P36" s="84">
        <v>80</v>
      </c>
      <c r="S36" s="84" t="s">
        <v>445</v>
      </c>
      <c r="T36" s="90" t="b">
        <v>0</v>
      </c>
      <c r="V36" s="89">
        <v>1</v>
      </c>
      <c r="W36" s="84">
        <v>484</v>
      </c>
      <c r="X36" s="84">
        <v>304</v>
      </c>
      <c r="Y36" s="84">
        <v>95</v>
      </c>
      <c r="Z36" s="84">
        <v>25</v>
      </c>
      <c r="AA36" s="84" t="s">
        <v>1211</v>
      </c>
      <c r="AB36" s="90"/>
    </row>
    <row r="37" spans="14:36" ht="13.2" thickBot="1">
      <c r="N37" s="89">
        <v>13</v>
      </c>
      <c r="S37" s="84" t="s">
        <v>446</v>
      </c>
      <c r="T37" s="90" t="b">
        <v>0</v>
      </c>
      <c r="V37" s="92">
        <v>2</v>
      </c>
      <c r="W37" s="93">
        <v>326</v>
      </c>
      <c r="X37" s="93">
        <v>304</v>
      </c>
      <c r="Y37" s="93">
        <v>95</v>
      </c>
      <c r="Z37" s="93">
        <v>25</v>
      </c>
      <c r="AA37" s="93" t="s">
        <v>464</v>
      </c>
      <c r="AB37" s="94"/>
    </row>
    <row r="38" spans="14:36" ht="13.2" thickBot="1">
      <c r="N38" s="89">
        <v>13</v>
      </c>
      <c r="S38" s="84" t="s">
        <v>1692</v>
      </c>
      <c r="T38" s="90" t="b">
        <v>0</v>
      </c>
      <c r="V38" s="83" t="s">
        <v>1266</v>
      </c>
      <c r="AD38" s="83" t="s">
        <v>1267</v>
      </c>
    </row>
    <row r="39" spans="14:36">
      <c r="N39" s="89">
        <v>13</v>
      </c>
      <c r="S39" s="84" t="s">
        <v>447</v>
      </c>
      <c r="T39" s="90" t="b">
        <v>0</v>
      </c>
      <c r="V39" s="85"/>
      <c r="W39" s="86"/>
      <c r="X39" s="86"/>
      <c r="Y39" s="86">
        <v>660</v>
      </c>
      <c r="Z39" s="86">
        <v>374</v>
      </c>
      <c r="AA39" s="86"/>
      <c r="AB39" s="87"/>
      <c r="AD39" s="85"/>
      <c r="AE39" s="86"/>
      <c r="AF39" s="86"/>
      <c r="AG39" s="86">
        <v>660</v>
      </c>
      <c r="AH39" s="86">
        <v>374</v>
      </c>
      <c r="AI39" s="86"/>
      <c r="AJ39" s="87"/>
    </row>
    <row r="40" spans="14:36">
      <c r="N40" s="89">
        <v>13</v>
      </c>
      <c r="S40" s="84" t="s">
        <v>1689</v>
      </c>
      <c r="T40" s="90" t="b">
        <v>0</v>
      </c>
      <c r="V40" s="89">
        <v>5</v>
      </c>
      <c r="W40" s="84">
        <v>191</v>
      </c>
      <c r="X40" s="84">
        <v>25</v>
      </c>
      <c r="AA40" s="84" t="s">
        <v>1268</v>
      </c>
      <c r="AB40" s="90"/>
      <c r="AD40" s="89">
        <v>5</v>
      </c>
      <c r="AE40" s="84">
        <v>194</v>
      </c>
      <c r="AF40" s="84">
        <v>30</v>
      </c>
      <c r="AI40" s="84" t="s">
        <v>1269</v>
      </c>
      <c r="AJ40" s="90"/>
    </row>
    <row r="41" spans="14:36">
      <c r="N41" s="89">
        <v>13</v>
      </c>
      <c r="S41" s="84" t="s">
        <v>1689</v>
      </c>
      <c r="T41" s="90" t="b">
        <v>0</v>
      </c>
      <c r="V41" s="89">
        <v>8</v>
      </c>
      <c r="W41" s="84">
        <v>327</v>
      </c>
      <c r="X41" s="84">
        <v>151</v>
      </c>
      <c r="Y41" s="84">
        <v>79</v>
      </c>
      <c r="AB41" s="90">
        <v>-0.5</v>
      </c>
      <c r="AD41" s="89">
        <v>8</v>
      </c>
      <c r="AE41" s="84">
        <v>326</v>
      </c>
      <c r="AF41" s="84">
        <v>151</v>
      </c>
      <c r="AG41" s="84">
        <v>77</v>
      </c>
      <c r="AJ41" s="90">
        <v>-0.5</v>
      </c>
    </row>
    <row r="42" spans="14:36">
      <c r="N42" s="89">
        <v>13</v>
      </c>
      <c r="S42" s="84" t="s">
        <v>1690</v>
      </c>
      <c r="T42" s="90" t="b">
        <v>0</v>
      </c>
      <c r="V42" s="89">
        <v>8</v>
      </c>
      <c r="W42" s="84">
        <v>120</v>
      </c>
      <c r="X42" s="84">
        <v>91</v>
      </c>
      <c r="Y42" s="84">
        <v>79</v>
      </c>
      <c r="AB42" s="90"/>
      <c r="AD42" s="89">
        <v>8</v>
      </c>
      <c r="AE42" s="84">
        <v>122</v>
      </c>
      <c r="AF42" s="84">
        <v>95</v>
      </c>
      <c r="AG42" s="84">
        <v>77</v>
      </c>
      <c r="AJ42" s="90">
        <v>4925</v>
      </c>
    </row>
    <row r="43" spans="14:36">
      <c r="N43" s="89">
        <v>13</v>
      </c>
      <c r="S43" s="84" t="s">
        <v>1691</v>
      </c>
      <c r="T43" s="90" t="b">
        <v>0</v>
      </c>
      <c r="V43" s="89">
        <v>8</v>
      </c>
      <c r="W43" s="84">
        <v>327</v>
      </c>
      <c r="X43" s="84">
        <v>121</v>
      </c>
      <c r="Y43" s="84">
        <v>79</v>
      </c>
      <c r="AB43" s="90">
        <v>0.7</v>
      </c>
      <c r="AD43" s="89">
        <v>8</v>
      </c>
      <c r="AE43" s="84">
        <v>326</v>
      </c>
      <c r="AF43" s="84">
        <v>121</v>
      </c>
      <c r="AG43" s="84">
        <v>77</v>
      </c>
      <c r="AJ43" s="90">
        <v>0.7</v>
      </c>
    </row>
    <row r="44" spans="14:36">
      <c r="N44" s="89">
        <v>13</v>
      </c>
      <c r="O44" s="84">
        <v>350</v>
      </c>
      <c r="P44" s="84">
        <v>80</v>
      </c>
      <c r="S44" s="84" t="s">
        <v>1611</v>
      </c>
      <c r="T44" s="90" t="b">
        <v>0</v>
      </c>
      <c r="V44" s="89">
        <v>8</v>
      </c>
      <c r="W44" s="84">
        <v>551</v>
      </c>
      <c r="X44" s="84">
        <v>91</v>
      </c>
      <c r="Y44" s="84">
        <v>79</v>
      </c>
      <c r="AB44" s="90">
        <v>1.6</v>
      </c>
      <c r="AD44" s="89">
        <v>8</v>
      </c>
      <c r="AE44" s="84">
        <v>561</v>
      </c>
      <c r="AF44" s="84">
        <v>91</v>
      </c>
      <c r="AG44" s="84">
        <v>77</v>
      </c>
      <c r="AJ44" s="90">
        <v>1.6</v>
      </c>
    </row>
    <row r="45" spans="14:36">
      <c r="N45" s="89">
        <v>13</v>
      </c>
      <c r="S45" s="84" t="s">
        <v>1612</v>
      </c>
      <c r="T45" s="90" t="b">
        <v>0</v>
      </c>
      <c r="V45" s="89">
        <v>8</v>
      </c>
      <c r="W45" s="84">
        <v>120</v>
      </c>
      <c r="X45" s="84">
        <v>241</v>
      </c>
      <c r="Y45" s="84">
        <v>79</v>
      </c>
      <c r="AB45" s="90">
        <v>0.51600000000000001</v>
      </c>
      <c r="AD45" s="89">
        <v>8</v>
      </c>
      <c r="AE45" s="84">
        <v>122</v>
      </c>
      <c r="AF45" s="84">
        <v>245</v>
      </c>
      <c r="AG45" s="84">
        <v>77</v>
      </c>
      <c r="AJ45" s="90">
        <v>0.51600000000000001</v>
      </c>
    </row>
    <row r="46" spans="14:36">
      <c r="N46" s="89">
        <v>13</v>
      </c>
      <c r="S46" s="84" t="s">
        <v>1460</v>
      </c>
      <c r="T46" s="90" t="b">
        <v>0</v>
      </c>
      <c r="V46" s="89">
        <v>8</v>
      </c>
      <c r="W46" s="84">
        <v>551</v>
      </c>
      <c r="X46" s="84">
        <v>121</v>
      </c>
      <c r="Y46" s="84">
        <v>79</v>
      </c>
      <c r="AB46" s="90">
        <v>0.5</v>
      </c>
      <c r="AD46" s="89">
        <v>8</v>
      </c>
      <c r="AE46" s="84">
        <v>561</v>
      </c>
      <c r="AF46" s="84">
        <v>121</v>
      </c>
      <c r="AG46" s="84">
        <v>77</v>
      </c>
      <c r="AJ46" s="90">
        <v>0.5</v>
      </c>
    </row>
    <row r="47" spans="14:36">
      <c r="N47" s="89">
        <v>13</v>
      </c>
      <c r="S47" s="84" t="s">
        <v>1700</v>
      </c>
      <c r="T47" s="90" t="b">
        <v>0</v>
      </c>
      <c r="V47" s="89">
        <v>8</v>
      </c>
      <c r="W47" s="84">
        <v>551</v>
      </c>
      <c r="X47" s="84">
        <v>151</v>
      </c>
      <c r="Y47" s="84">
        <v>79</v>
      </c>
      <c r="AB47" s="90">
        <v>0.2</v>
      </c>
      <c r="AD47" s="89">
        <v>8</v>
      </c>
      <c r="AE47" s="84">
        <v>561</v>
      </c>
      <c r="AF47" s="84">
        <v>151</v>
      </c>
      <c r="AG47" s="84">
        <v>77</v>
      </c>
      <c r="AJ47" s="90">
        <v>0.2</v>
      </c>
    </row>
    <row r="48" spans="14:36">
      <c r="N48" s="89">
        <v>13</v>
      </c>
      <c r="S48" s="84" t="s">
        <v>458</v>
      </c>
      <c r="T48" s="90" t="b">
        <v>0</v>
      </c>
      <c r="V48" s="89">
        <v>8</v>
      </c>
      <c r="W48" s="84">
        <v>551</v>
      </c>
      <c r="X48" s="84">
        <v>181</v>
      </c>
      <c r="Y48" s="84">
        <v>79</v>
      </c>
      <c r="AB48" s="90">
        <v>0.9</v>
      </c>
      <c r="AD48" s="89">
        <v>8</v>
      </c>
      <c r="AE48" s="84">
        <v>561</v>
      </c>
      <c r="AF48" s="84">
        <v>181</v>
      </c>
      <c r="AG48" s="84">
        <v>77</v>
      </c>
      <c r="AJ48" s="90">
        <v>0.9</v>
      </c>
    </row>
    <row r="49" spans="7:36">
      <c r="N49" s="89">
        <v>13</v>
      </c>
      <c r="S49" s="84" t="s">
        <v>459</v>
      </c>
      <c r="T49" s="90" t="b">
        <v>0</v>
      </c>
      <c r="V49" s="89">
        <v>8</v>
      </c>
      <c r="W49" s="84">
        <v>120</v>
      </c>
      <c r="X49" s="84">
        <v>121</v>
      </c>
      <c r="Y49" s="84">
        <v>79</v>
      </c>
      <c r="AB49" s="90"/>
      <c r="AD49" s="89">
        <v>8</v>
      </c>
      <c r="AE49" s="84">
        <v>122</v>
      </c>
      <c r="AF49" s="84">
        <v>125</v>
      </c>
      <c r="AG49" s="84">
        <v>77</v>
      </c>
      <c r="AJ49" s="90">
        <v>0.01</v>
      </c>
    </row>
    <row r="50" spans="7:36">
      <c r="N50" s="89">
        <v>13</v>
      </c>
      <c r="S50" s="84" t="s">
        <v>460</v>
      </c>
      <c r="T50" s="90" t="b">
        <v>0</v>
      </c>
      <c r="V50" s="89">
        <v>8</v>
      </c>
      <c r="W50" s="84">
        <v>120</v>
      </c>
      <c r="X50" s="84">
        <v>151</v>
      </c>
      <c r="Y50" s="84">
        <v>79</v>
      </c>
      <c r="AB50" s="90"/>
      <c r="AD50" s="89">
        <v>8</v>
      </c>
      <c r="AE50" s="84">
        <v>122</v>
      </c>
      <c r="AF50" s="84">
        <v>155</v>
      </c>
      <c r="AG50" s="84">
        <v>77</v>
      </c>
      <c r="AJ50" s="90">
        <v>12.5</v>
      </c>
    </row>
    <row r="51" spans="7:36">
      <c r="N51" s="89">
        <v>13</v>
      </c>
      <c r="S51" s="84" t="s">
        <v>461</v>
      </c>
      <c r="T51" s="90" t="b">
        <v>0</v>
      </c>
      <c r="V51" s="89">
        <v>8</v>
      </c>
      <c r="W51" s="84">
        <v>120</v>
      </c>
      <c r="X51" s="84">
        <v>181</v>
      </c>
      <c r="Y51" s="84">
        <v>79</v>
      </c>
      <c r="AB51" s="90"/>
      <c r="AD51" s="89">
        <v>8</v>
      </c>
      <c r="AE51" s="84">
        <v>122</v>
      </c>
      <c r="AF51" s="84">
        <v>185</v>
      </c>
      <c r="AG51" s="84">
        <v>77</v>
      </c>
      <c r="AJ51" s="90"/>
    </row>
    <row r="52" spans="7:36">
      <c r="N52" s="89">
        <v>1</v>
      </c>
      <c r="O52" s="84">
        <v>300</v>
      </c>
      <c r="P52" s="84">
        <v>263</v>
      </c>
      <c r="Q52" s="84">
        <v>88</v>
      </c>
      <c r="S52" s="84" t="s">
        <v>462</v>
      </c>
      <c r="T52" s="90"/>
      <c r="V52" s="89">
        <v>8</v>
      </c>
      <c r="W52" s="84">
        <v>120</v>
      </c>
      <c r="X52" s="84">
        <v>211</v>
      </c>
      <c r="Y52" s="84">
        <v>79</v>
      </c>
      <c r="AB52" s="90">
        <v>0.6</v>
      </c>
      <c r="AD52" s="89">
        <v>8</v>
      </c>
      <c r="AE52" s="84">
        <v>122</v>
      </c>
      <c r="AF52" s="84">
        <v>215</v>
      </c>
      <c r="AG52" s="84">
        <v>77</v>
      </c>
      <c r="AJ52" s="90">
        <v>0.6</v>
      </c>
    </row>
    <row r="53" spans="7:36" ht="13.2" thickBot="1">
      <c r="N53" s="92">
        <v>2</v>
      </c>
      <c r="O53" s="93">
        <v>145</v>
      </c>
      <c r="P53" s="93">
        <v>263</v>
      </c>
      <c r="Q53" s="93">
        <v>88</v>
      </c>
      <c r="R53" s="93"/>
      <c r="S53" s="93" t="s">
        <v>464</v>
      </c>
      <c r="T53" s="94"/>
      <c r="V53" s="89">
        <v>8</v>
      </c>
      <c r="W53" s="84">
        <v>120</v>
      </c>
      <c r="X53" s="84">
        <v>271</v>
      </c>
      <c r="Y53" s="84">
        <v>79</v>
      </c>
      <c r="AB53" s="90">
        <v>0.316</v>
      </c>
      <c r="AD53" s="89">
        <v>8</v>
      </c>
      <c r="AE53" s="84">
        <v>122</v>
      </c>
      <c r="AF53" s="84">
        <v>272</v>
      </c>
      <c r="AG53" s="84">
        <v>77</v>
      </c>
      <c r="AJ53" s="90">
        <v>0.316</v>
      </c>
    </row>
    <row r="54" spans="7:36">
      <c r="V54" s="89">
        <v>8</v>
      </c>
      <c r="W54" s="84">
        <v>551</v>
      </c>
      <c r="X54" s="84">
        <v>211</v>
      </c>
      <c r="Y54" s="84">
        <v>79</v>
      </c>
      <c r="AB54" s="90">
        <v>4.0000000000000001E-3</v>
      </c>
      <c r="AD54" s="89">
        <v>8</v>
      </c>
      <c r="AE54" s="84">
        <v>561</v>
      </c>
      <c r="AF54" s="84">
        <v>211</v>
      </c>
      <c r="AG54" s="84">
        <v>77</v>
      </c>
      <c r="AJ54" s="90">
        <v>4.0000000000000001E-3</v>
      </c>
    </row>
    <row r="55" spans="7:36">
      <c r="V55" s="89">
        <v>8</v>
      </c>
      <c r="W55" s="84">
        <v>551</v>
      </c>
      <c r="X55" s="84">
        <v>241</v>
      </c>
      <c r="Y55" s="84">
        <v>79</v>
      </c>
      <c r="AB55" s="90">
        <v>4.0000000000000001E-3</v>
      </c>
      <c r="AD55" s="89">
        <v>8</v>
      </c>
      <c r="AE55" s="84">
        <v>561</v>
      </c>
      <c r="AF55" s="84">
        <v>241</v>
      </c>
      <c r="AG55" s="84">
        <v>77</v>
      </c>
      <c r="AJ55" s="90">
        <v>4.0000000000000001E-3</v>
      </c>
    </row>
    <row r="56" spans="7:36">
      <c r="V56" s="89">
        <v>8</v>
      </c>
      <c r="W56" s="84">
        <v>327</v>
      </c>
      <c r="X56" s="84">
        <v>91</v>
      </c>
      <c r="Y56" s="84">
        <v>79</v>
      </c>
      <c r="AB56" s="90">
        <v>2000</v>
      </c>
      <c r="AD56" s="89">
        <v>8</v>
      </c>
      <c r="AE56" s="84">
        <v>326</v>
      </c>
      <c r="AF56" s="84">
        <v>91</v>
      </c>
      <c r="AG56" s="84">
        <v>77</v>
      </c>
      <c r="AJ56" s="90">
        <v>3600</v>
      </c>
    </row>
    <row r="57" spans="7:36">
      <c r="V57" s="89">
        <v>8</v>
      </c>
      <c r="W57" s="84">
        <v>327</v>
      </c>
      <c r="X57" s="84">
        <v>181</v>
      </c>
      <c r="Y57" s="84">
        <v>79</v>
      </c>
      <c r="AB57" s="90">
        <v>0.15</v>
      </c>
      <c r="AD57" s="89">
        <v>8</v>
      </c>
      <c r="AE57" s="84">
        <v>326</v>
      </c>
      <c r="AF57" s="84">
        <v>181</v>
      </c>
      <c r="AG57" s="84">
        <v>77</v>
      </c>
      <c r="AJ57" s="90">
        <v>0.15</v>
      </c>
    </row>
    <row r="58" spans="7:36">
      <c r="V58" s="89">
        <v>8</v>
      </c>
      <c r="W58" s="84">
        <v>327</v>
      </c>
      <c r="X58" s="84">
        <v>211</v>
      </c>
      <c r="Y58" s="84">
        <v>79</v>
      </c>
      <c r="AB58" s="90">
        <v>0.01</v>
      </c>
      <c r="AD58" s="89">
        <v>8</v>
      </c>
      <c r="AE58" s="84">
        <v>326</v>
      </c>
      <c r="AF58" s="84">
        <v>211</v>
      </c>
      <c r="AG58" s="84">
        <v>77</v>
      </c>
      <c r="AJ58" s="90">
        <v>0.01</v>
      </c>
    </row>
    <row r="59" spans="7:36">
      <c r="V59" s="89">
        <v>8</v>
      </c>
      <c r="W59" s="84">
        <v>327</v>
      </c>
      <c r="X59" s="84">
        <v>241</v>
      </c>
      <c r="Y59" s="84">
        <v>79</v>
      </c>
      <c r="AB59" s="90">
        <v>1</v>
      </c>
      <c r="AD59" s="89">
        <v>8</v>
      </c>
      <c r="AE59" s="84">
        <v>326</v>
      </c>
      <c r="AF59" s="84">
        <v>241</v>
      </c>
      <c r="AG59" s="84">
        <v>77</v>
      </c>
      <c r="AJ59" s="90">
        <v>1</v>
      </c>
    </row>
    <row r="60" spans="7:36">
      <c r="V60" s="89">
        <v>8</v>
      </c>
      <c r="W60" s="84">
        <v>327</v>
      </c>
      <c r="X60" s="84">
        <v>271</v>
      </c>
      <c r="Y60" s="84">
        <v>79</v>
      </c>
      <c r="AB60" s="90">
        <v>1</v>
      </c>
      <c r="AD60" s="89">
        <v>8</v>
      </c>
      <c r="AE60" s="84">
        <v>326</v>
      </c>
      <c r="AF60" s="84">
        <v>271</v>
      </c>
      <c r="AG60" s="84">
        <v>77</v>
      </c>
      <c r="AJ60" s="90">
        <v>1</v>
      </c>
    </row>
    <row r="61" spans="7:36">
      <c r="G61" s="1228"/>
      <c r="V61" s="89">
        <v>8</v>
      </c>
      <c r="W61" s="84">
        <v>551</v>
      </c>
      <c r="X61" s="84">
        <v>271</v>
      </c>
      <c r="Y61" s="84">
        <v>79</v>
      </c>
      <c r="AB61" s="90">
        <v>0.1</v>
      </c>
      <c r="AD61" s="89">
        <v>8</v>
      </c>
      <c r="AE61" s="84">
        <v>561</v>
      </c>
      <c r="AF61" s="84">
        <v>271</v>
      </c>
      <c r="AG61" s="84">
        <v>77</v>
      </c>
      <c r="AJ61" s="90">
        <v>0.1</v>
      </c>
    </row>
    <row r="62" spans="7:36">
      <c r="G62" s="1228"/>
      <c r="V62" s="89">
        <v>5</v>
      </c>
      <c r="W62" s="84">
        <v>247</v>
      </c>
      <c r="X62" s="84">
        <v>153</v>
      </c>
      <c r="AA62" s="84" t="s">
        <v>1568</v>
      </c>
      <c r="AB62" s="90"/>
      <c r="AD62" s="89">
        <v>5</v>
      </c>
      <c r="AE62" s="84">
        <v>246</v>
      </c>
      <c r="AF62" s="84">
        <v>153</v>
      </c>
      <c r="AI62" s="84" t="s">
        <v>1568</v>
      </c>
      <c r="AJ62" s="90"/>
    </row>
    <row r="63" spans="7:36">
      <c r="G63" s="1228"/>
      <c r="V63" s="89">
        <v>5</v>
      </c>
      <c r="W63" s="84">
        <v>10</v>
      </c>
      <c r="X63" s="84">
        <v>93</v>
      </c>
      <c r="AA63" s="84" t="s">
        <v>1270</v>
      </c>
      <c r="AB63" s="90"/>
      <c r="AD63" s="89">
        <v>5</v>
      </c>
      <c r="AE63" s="84">
        <v>12</v>
      </c>
      <c r="AF63" s="84">
        <v>94</v>
      </c>
      <c r="AI63" s="84" t="s">
        <v>1271</v>
      </c>
      <c r="AJ63" s="90"/>
    </row>
    <row r="64" spans="7:36">
      <c r="G64" s="1228"/>
      <c r="V64" s="89">
        <v>5</v>
      </c>
      <c r="W64" s="84">
        <v>247</v>
      </c>
      <c r="X64" s="84">
        <v>123</v>
      </c>
      <c r="AA64" s="84" t="s">
        <v>1272</v>
      </c>
      <c r="AB64" s="90"/>
      <c r="AD64" s="89">
        <v>5</v>
      </c>
      <c r="AE64" s="84">
        <v>246</v>
      </c>
      <c r="AF64" s="84">
        <v>123</v>
      </c>
      <c r="AI64" s="84" t="s">
        <v>1272</v>
      </c>
      <c r="AJ64" s="90"/>
    </row>
    <row r="65" spans="7:36">
      <c r="G65" s="1228"/>
      <c r="V65" s="89">
        <v>5</v>
      </c>
      <c r="W65" s="84">
        <v>456</v>
      </c>
      <c r="X65" s="84">
        <v>93</v>
      </c>
      <c r="AA65" s="84" t="s">
        <v>1273</v>
      </c>
      <c r="AB65" s="90"/>
      <c r="AD65" s="89">
        <v>5</v>
      </c>
      <c r="AE65" s="84">
        <v>466</v>
      </c>
      <c r="AF65" s="84">
        <v>93</v>
      </c>
      <c r="AI65" s="84" t="s">
        <v>1273</v>
      </c>
      <c r="AJ65" s="90"/>
    </row>
    <row r="66" spans="7:36">
      <c r="G66" s="1228"/>
      <c r="V66" s="89">
        <v>5</v>
      </c>
      <c r="W66" s="84">
        <v>10</v>
      </c>
      <c r="X66" s="84">
        <v>243</v>
      </c>
      <c r="AA66" s="84" t="s">
        <v>1274</v>
      </c>
      <c r="AB66" s="90"/>
      <c r="AD66" s="89">
        <v>5</v>
      </c>
      <c r="AE66" s="84">
        <v>12</v>
      </c>
      <c r="AF66" s="84">
        <v>244</v>
      </c>
      <c r="AI66" s="84" t="s">
        <v>1274</v>
      </c>
      <c r="AJ66" s="90"/>
    </row>
    <row r="67" spans="7:36">
      <c r="G67" s="1228"/>
      <c r="V67" s="89">
        <v>5</v>
      </c>
      <c r="W67" s="84">
        <v>456</v>
      </c>
      <c r="X67" s="84">
        <v>123</v>
      </c>
      <c r="AA67" s="84" t="s">
        <v>1275</v>
      </c>
      <c r="AB67" s="90"/>
      <c r="AD67" s="89">
        <v>5</v>
      </c>
      <c r="AE67" s="84">
        <v>466</v>
      </c>
      <c r="AF67" s="84">
        <v>123</v>
      </c>
      <c r="AI67" s="84" t="s">
        <v>1275</v>
      </c>
      <c r="AJ67" s="90"/>
    </row>
    <row r="68" spans="7:36">
      <c r="G68" s="1228"/>
      <c r="V68" s="89">
        <v>5</v>
      </c>
      <c r="W68" s="84">
        <v>456</v>
      </c>
      <c r="X68" s="84">
        <v>153</v>
      </c>
      <c r="AA68" s="84" t="s">
        <v>1276</v>
      </c>
      <c r="AB68" s="90"/>
      <c r="AD68" s="89">
        <v>5</v>
      </c>
      <c r="AE68" s="84">
        <v>466</v>
      </c>
      <c r="AF68" s="84">
        <v>153</v>
      </c>
      <c r="AI68" s="84" t="s">
        <v>1276</v>
      </c>
      <c r="AJ68" s="90"/>
    </row>
    <row r="69" spans="7:36">
      <c r="G69" s="1228"/>
      <c r="V69" s="89">
        <v>5</v>
      </c>
      <c r="W69" s="84">
        <v>456</v>
      </c>
      <c r="X69" s="84">
        <v>183</v>
      </c>
      <c r="AA69" s="84" t="s">
        <v>1277</v>
      </c>
      <c r="AB69" s="90"/>
      <c r="AD69" s="89">
        <v>5</v>
      </c>
      <c r="AE69" s="84">
        <v>466</v>
      </c>
      <c r="AF69" s="84">
        <v>183</v>
      </c>
      <c r="AI69" s="84" t="s">
        <v>1277</v>
      </c>
      <c r="AJ69" s="90"/>
    </row>
    <row r="70" spans="7:36">
      <c r="G70" s="1228"/>
      <c r="V70" s="89">
        <v>5</v>
      </c>
      <c r="W70" s="84">
        <v>10</v>
      </c>
      <c r="X70" s="84">
        <v>123</v>
      </c>
      <c r="AA70" s="84" t="s">
        <v>1278</v>
      </c>
      <c r="AB70" s="90"/>
      <c r="AD70" s="89">
        <v>5</v>
      </c>
      <c r="AE70" s="84">
        <v>12</v>
      </c>
      <c r="AF70" s="84">
        <v>124</v>
      </c>
      <c r="AI70" s="84" t="s">
        <v>1278</v>
      </c>
      <c r="AJ70" s="90"/>
    </row>
    <row r="71" spans="7:36">
      <c r="G71" s="1228"/>
      <c r="V71" s="89">
        <v>5</v>
      </c>
      <c r="W71" s="84">
        <v>11</v>
      </c>
      <c r="X71" s="84">
        <v>153</v>
      </c>
      <c r="AA71" s="84" t="s">
        <v>1279</v>
      </c>
      <c r="AB71" s="90"/>
      <c r="AD71" s="89">
        <v>5</v>
      </c>
      <c r="AE71" s="84">
        <v>13</v>
      </c>
      <c r="AF71" s="84">
        <v>154</v>
      </c>
      <c r="AI71" s="84" t="s">
        <v>1279</v>
      </c>
      <c r="AJ71" s="90"/>
    </row>
    <row r="72" spans="7:36">
      <c r="V72" s="89">
        <v>5</v>
      </c>
      <c r="W72" s="84">
        <v>10</v>
      </c>
      <c r="X72" s="84">
        <v>183</v>
      </c>
      <c r="AA72" s="84" t="s">
        <v>1280</v>
      </c>
      <c r="AB72" s="90"/>
      <c r="AD72" s="89">
        <v>5</v>
      </c>
      <c r="AE72" s="84">
        <v>12</v>
      </c>
      <c r="AF72" s="84">
        <v>184</v>
      </c>
      <c r="AI72" s="84" t="s">
        <v>1280</v>
      </c>
      <c r="AJ72" s="90"/>
    </row>
    <row r="73" spans="7:36">
      <c r="V73" s="89">
        <v>5</v>
      </c>
      <c r="W73" s="84">
        <v>10</v>
      </c>
      <c r="X73" s="84">
        <v>213</v>
      </c>
      <c r="AA73" s="84" t="s">
        <v>1281</v>
      </c>
      <c r="AB73" s="90"/>
      <c r="AD73" s="89">
        <v>5</v>
      </c>
      <c r="AE73" s="84">
        <v>12</v>
      </c>
      <c r="AF73" s="84">
        <v>214</v>
      </c>
      <c r="AI73" s="84" t="s">
        <v>1281</v>
      </c>
      <c r="AJ73" s="90"/>
    </row>
    <row r="74" spans="7:36">
      <c r="V74" s="89">
        <v>5</v>
      </c>
      <c r="W74" s="84">
        <v>10</v>
      </c>
      <c r="X74" s="84">
        <v>273</v>
      </c>
      <c r="AA74" s="84" t="s">
        <v>1282</v>
      </c>
      <c r="AB74" s="90"/>
      <c r="AD74" s="89">
        <v>5</v>
      </c>
      <c r="AE74" s="84">
        <v>12</v>
      </c>
      <c r="AF74" s="84">
        <v>274</v>
      </c>
      <c r="AI74" s="84" t="s">
        <v>1282</v>
      </c>
      <c r="AJ74" s="90"/>
    </row>
    <row r="75" spans="7:36">
      <c r="V75" s="89">
        <v>5</v>
      </c>
      <c r="W75" s="84">
        <v>456</v>
      </c>
      <c r="X75" s="84">
        <v>213</v>
      </c>
      <c r="AA75" s="84" t="s">
        <v>1283</v>
      </c>
      <c r="AB75" s="90"/>
      <c r="AD75" s="89">
        <v>5</v>
      </c>
      <c r="AE75" s="84">
        <v>466</v>
      </c>
      <c r="AF75" s="84">
        <v>213</v>
      </c>
      <c r="AI75" s="84" t="s">
        <v>1283</v>
      </c>
      <c r="AJ75" s="90"/>
    </row>
    <row r="76" spans="7:36">
      <c r="V76" s="89">
        <v>5</v>
      </c>
      <c r="W76" s="84">
        <v>456</v>
      </c>
      <c r="X76" s="84">
        <v>243</v>
      </c>
      <c r="AA76" s="84" t="s">
        <v>1284</v>
      </c>
      <c r="AB76" s="90"/>
      <c r="AD76" s="89">
        <v>5</v>
      </c>
      <c r="AE76" s="84">
        <v>466</v>
      </c>
      <c r="AF76" s="84">
        <v>243</v>
      </c>
      <c r="AI76" s="84" t="s">
        <v>1284</v>
      </c>
      <c r="AJ76" s="90"/>
    </row>
    <row r="77" spans="7:36">
      <c r="V77" s="89">
        <v>5</v>
      </c>
      <c r="W77" s="84">
        <v>247</v>
      </c>
      <c r="X77" s="84">
        <v>93</v>
      </c>
      <c r="AA77" s="84" t="s">
        <v>1285</v>
      </c>
      <c r="AB77" s="90"/>
      <c r="AD77" s="89">
        <v>5</v>
      </c>
      <c r="AE77" s="84">
        <v>246</v>
      </c>
      <c r="AF77" s="84">
        <v>93</v>
      </c>
      <c r="AI77" s="84" t="s">
        <v>1285</v>
      </c>
      <c r="AJ77" s="90"/>
    </row>
    <row r="78" spans="7:36">
      <c r="V78" s="89">
        <v>5</v>
      </c>
      <c r="W78" s="84">
        <v>247</v>
      </c>
      <c r="X78" s="84">
        <v>183</v>
      </c>
      <c r="AA78" s="84" t="s">
        <v>1286</v>
      </c>
      <c r="AB78" s="90"/>
      <c r="AD78" s="89">
        <v>5</v>
      </c>
      <c r="AE78" s="84">
        <v>246</v>
      </c>
      <c r="AF78" s="84">
        <v>183</v>
      </c>
      <c r="AI78" s="84" t="s">
        <v>1286</v>
      </c>
      <c r="AJ78" s="90"/>
    </row>
    <row r="79" spans="7:36">
      <c r="V79" s="89">
        <v>5</v>
      </c>
      <c r="W79" s="84">
        <v>247</v>
      </c>
      <c r="X79" s="84">
        <v>213</v>
      </c>
      <c r="AA79" s="84" t="s">
        <v>1287</v>
      </c>
      <c r="AB79" s="90"/>
      <c r="AD79" s="89">
        <v>5</v>
      </c>
      <c r="AE79" s="84">
        <v>246</v>
      </c>
      <c r="AF79" s="84">
        <v>213</v>
      </c>
      <c r="AI79" s="84" t="s">
        <v>1287</v>
      </c>
      <c r="AJ79" s="90"/>
    </row>
    <row r="80" spans="7:36">
      <c r="V80" s="89">
        <v>5</v>
      </c>
      <c r="W80" s="84">
        <v>247</v>
      </c>
      <c r="X80" s="84">
        <v>243</v>
      </c>
      <c r="AA80" s="84" t="s">
        <v>1288</v>
      </c>
      <c r="AB80" s="90"/>
      <c r="AD80" s="89">
        <v>5</v>
      </c>
      <c r="AE80" s="84">
        <v>246</v>
      </c>
      <c r="AF80" s="84">
        <v>243</v>
      </c>
      <c r="AI80" s="84" t="s">
        <v>1288</v>
      </c>
      <c r="AJ80" s="90"/>
    </row>
    <row r="81" spans="22:36">
      <c r="V81" s="89">
        <v>5</v>
      </c>
      <c r="W81" s="84">
        <v>247</v>
      </c>
      <c r="X81" s="84">
        <v>273</v>
      </c>
      <c r="AA81" s="84" t="s">
        <v>1289</v>
      </c>
      <c r="AB81" s="90"/>
      <c r="AD81" s="89">
        <v>5</v>
      </c>
      <c r="AE81" s="84">
        <v>246</v>
      </c>
      <c r="AF81" s="84">
        <v>273</v>
      </c>
      <c r="AI81" s="84" t="s">
        <v>1289</v>
      </c>
      <c r="AJ81" s="90"/>
    </row>
    <row r="82" spans="22:36">
      <c r="V82" s="89">
        <v>5</v>
      </c>
      <c r="W82" s="84">
        <v>456</v>
      </c>
      <c r="X82" s="84">
        <v>273</v>
      </c>
      <c r="AA82" s="84" t="s">
        <v>1290</v>
      </c>
      <c r="AB82" s="90"/>
      <c r="AD82" s="89">
        <v>5</v>
      </c>
      <c r="AE82" s="84">
        <v>466</v>
      </c>
      <c r="AF82" s="84">
        <v>273</v>
      </c>
      <c r="AI82" s="84" t="s">
        <v>1290</v>
      </c>
      <c r="AJ82" s="90"/>
    </row>
    <row r="83" spans="22:36">
      <c r="V83" s="89">
        <v>1</v>
      </c>
      <c r="W83" s="84">
        <v>484</v>
      </c>
      <c r="X83" s="84">
        <v>304</v>
      </c>
      <c r="Y83" s="84">
        <v>95</v>
      </c>
      <c r="Z83" s="84">
        <v>25</v>
      </c>
      <c r="AA83" s="84" t="s">
        <v>1291</v>
      </c>
      <c r="AB83" s="90"/>
      <c r="AD83" s="89">
        <v>1</v>
      </c>
      <c r="AE83" s="84">
        <v>484</v>
      </c>
      <c r="AF83" s="84">
        <v>304</v>
      </c>
      <c r="AG83" s="84">
        <v>95</v>
      </c>
      <c r="AH83" s="84">
        <v>25</v>
      </c>
      <c r="AI83" s="84" t="s">
        <v>462</v>
      </c>
      <c r="AJ83" s="90"/>
    </row>
    <row r="84" spans="22:36" ht="13.2" thickBot="1">
      <c r="V84" s="92">
        <v>2</v>
      </c>
      <c r="W84" s="93">
        <v>326</v>
      </c>
      <c r="X84" s="93">
        <v>304</v>
      </c>
      <c r="Y84" s="93">
        <v>95</v>
      </c>
      <c r="Z84" s="93">
        <v>25</v>
      </c>
      <c r="AA84" s="93" t="s">
        <v>464</v>
      </c>
      <c r="AB84" s="94"/>
      <c r="AD84" s="92">
        <v>2</v>
      </c>
      <c r="AE84" s="93">
        <v>326</v>
      </c>
      <c r="AF84" s="93">
        <v>304</v>
      </c>
      <c r="AG84" s="93">
        <v>95</v>
      </c>
      <c r="AH84" s="93">
        <v>25</v>
      </c>
      <c r="AI84" s="93" t="s">
        <v>464</v>
      </c>
      <c r="AJ84" s="94"/>
    </row>
  </sheetData>
  <phoneticPr fontId="13" type="noConversion"/>
  <printOptions gridLines="1" gridLinesSet="0"/>
  <pageMargins left="0.75" right="0.75" top="1" bottom="1" header="0.5" footer="0.5"/>
  <pageSetup orientation="portrait" horizontalDpi="300" verticalDpi="4294967292"/>
  <headerFooter alignWithMargins="0">
    <oddHeader>&amp;F</oddHeader>
    <oddFooter>Page &amp;P</oddFooter>
  </headerFooter>
  <drawing r:id="rId1"/>
  <legacyDrawing r:id="rId2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E00-000000000000}">
  <sheetPr>
    <pageSetUpPr fitToPage="1"/>
  </sheetPr>
  <dimension ref="B1:BD249"/>
  <sheetViews>
    <sheetView showFormulas="1" zoomScale="125" zoomScaleNormal="125" zoomScalePageLayoutView="125" workbookViewId="0"/>
  </sheetViews>
  <sheetFormatPr defaultColWidth="7.08984375" defaultRowHeight="13.2"/>
  <cols>
    <col min="1" max="1" width="1.90625" style="230" customWidth="1"/>
    <col min="2" max="2" width="2.6328125" style="230" customWidth="1"/>
    <col min="3" max="4" width="2.90625" style="230" customWidth="1"/>
    <col min="5" max="5" width="2.6328125" style="230" customWidth="1"/>
    <col min="6" max="6" width="2.90625" style="230" customWidth="1"/>
    <col min="7" max="7" width="3.453125" style="230" customWidth="1"/>
    <col min="8" max="15" width="1.90625" style="230" customWidth="1"/>
    <col min="16" max="17" width="2.453125" style="230" customWidth="1"/>
    <col min="18" max="18" width="3.36328125" style="230" customWidth="1"/>
    <col min="19" max="23" width="2.453125" style="230" customWidth="1"/>
    <col min="24" max="32" width="1.6328125" style="230" customWidth="1"/>
    <col min="33" max="35" width="6.08984375" style="230" customWidth="1"/>
    <col min="36" max="40" width="2.08984375" style="230" customWidth="1"/>
    <col min="41" max="42" width="3.36328125" style="230" customWidth="1"/>
    <col min="43" max="43" width="4.36328125" style="230" customWidth="1"/>
    <col min="44" max="44" width="3.453125" style="230" customWidth="1"/>
    <col min="45" max="246" width="6.08984375" style="230" customWidth="1"/>
    <col min="247" max="16384" width="7.08984375" style="230"/>
  </cols>
  <sheetData>
    <row r="1" spans="2:34" ht="33" customHeight="1" thickBot="1">
      <c r="W1" s="231"/>
      <c r="AF1" s="231"/>
      <c r="AG1" s="231"/>
      <c r="AH1" s="231" t="s">
        <v>991</v>
      </c>
    </row>
    <row r="2" spans="2:34">
      <c r="B2" s="232" t="s">
        <v>992</v>
      </c>
      <c r="C2" s="233"/>
      <c r="D2" s="233"/>
      <c r="E2" s="234" t="s">
        <v>993</v>
      </c>
      <c r="F2" s="235"/>
      <c r="G2" s="231"/>
      <c r="H2" s="236" t="s">
        <v>994</v>
      </c>
      <c r="I2" s="236" t="s">
        <v>995</v>
      </c>
      <c r="J2" s="236" t="s">
        <v>996</v>
      </c>
      <c r="K2" s="236" t="s">
        <v>997</v>
      </c>
      <c r="L2" s="236" t="s">
        <v>998</v>
      </c>
      <c r="M2" s="236" t="s">
        <v>999</v>
      </c>
      <c r="N2" s="236" t="s">
        <v>1000</v>
      </c>
      <c r="O2" s="237" t="s">
        <v>786</v>
      </c>
      <c r="P2" s="238" t="s">
        <v>791</v>
      </c>
      <c r="Q2" s="236" t="s">
        <v>808</v>
      </c>
      <c r="R2" s="231"/>
      <c r="S2" s="236" t="s">
        <v>1001</v>
      </c>
      <c r="T2" s="236" t="s">
        <v>1002</v>
      </c>
      <c r="U2" s="236" t="s">
        <v>1003</v>
      </c>
      <c r="V2" s="236" t="s">
        <v>1004</v>
      </c>
      <c r="X2" s="239" t="s">
        <v>1005</v>
      </c>
      <c r="Y2" s="240"/>
      <c r="Z2" s="241"/>
      <c r="AA2" s="239" t="s">
        <v>1006</v>
      </c>
      <c r="AB2" s="241"/>
      <c r="AC2" s="242" t="s">
        <v>1007</v>
      </c>
      <c r="AD2" s="243" t="s">
        <v>1008</v>
      </c>
      <c r="AE2" s="244"/>
      <c r="AF2" s="244"/>
      <c r="AH2" s="230" t="b">
        <f>DIALOG.BOX(__MAT12)</f>
        <v>0</v>
      </c>
    </row>
    <row r="3" spans="2:34">
      <c r="B3" s="245" t="s">
        <v>1009</v>
      </c>
      <c r="C3" s="246" t="s">
        <v>1010</v>
      </c>
      <c r="D3" s="246" t="s">
        <v>1011</v>
      </c>
      <c r="E3" s="246" t="s">
        <v>1012</v>
      </c>
      <c r="F3" s="247" t="s">
        <v>1013</v>
      </c>
      <c r="G3" s="248"/>
      <c r="H3" s="249">
        <v>0</v>
      </c>
      <c r="I3" s="249">
        <v>0</v>
      </c>
      <c r="J3" s="249">
        <v>0</v>
      </c>
      <c r="K3" s="249">
        <v>0</v>
      </c>
      <c r="L3" s="249">
        <v>0</v>
      </c>
      <c r="M3" s="249">
        <v>0</v>
      </c>
      <c r="N3" s="249">
        <v>0</v>
      </c>
      <c r="O3" s="249">
        <v>0</v>
      </c>
      <c r="P3" s="249">
        <v>0</v>
      </c>
      <c r="Q3" s="249">
        <v>0</v>
      </c>
      <c r="S3" s="249">
        <v>543.42501949558402</v>
      </c>
      <c r="T3" s="249">
        <v>0</v>
      </c>
      <c r="U3" s="249">
        <v>325.23286297077135</v>
      </c>
      <c r="V3" s="249">
        <v>0</v>
      </c>
      <c r="X3" s="250" t="s">
        <v>1014</v>
      </c>
      <c r="Y3" s="251"/>
      <c r="Z3" s="252">
        <v>4</v>
      </c>
      <c r="AA3" s="253" t="s">
        <v>1015</v>
      </c>
      <c r="AB3" s="254" t="s">
        <v>1016</v>
      </c>
      <c r="AC3" s="255" t="s">
        <v>1017</v>
      </c>
      <c r="AD3" s="256">
        <v>-2336.9193219024883</v>
      </c>
      <c r="AE3" s="257">
        <v>-2336.9193219024883</v>
      </c>
      <c r="AF3" s="244"/>
      <c r="AH3" s="230" t="b">
        <f>RETURN()</f>
        <v>1</v>
      </c>
    </row>
    <row r="4" spans="2:34">
      <c r="B4" s="562">
        <v>0</v>
      </c>
      <c r="C4" s="563">
        <v>1</v>
      </c>
      <c r="D4" s="258"/>
      <c r="E4" s="259"/>
      <c r="F4" s="260"/>
      <c r="G4" s="261"/>
      <c r="H4" s="249">
        <v>4.6004533828805974</v>
      </c>
      <c r="I4" s="249">
        <v>285.5284860183948</v>
      </c>
      <c r="J4" s="249">
        <v>-2.9105544592890196</v>
      </c>
      <c r="K4" s="249">
        <v>-118.26977135267599</v>
      </c>
      <c r="L4" s="249">
        <v>2.2133466552898548E-16</v>
      </c>
      <c r="M4" s="249">
        <v>0</v>
      </c>
      <c r="N4" s="262">
        <v>0.61810761245521295</v>
      </c>
      <c r="O4" s="249">
        <v>69.675740916648152</v>
      </c>
      <c r="P4" s="249">
        <v>69.675740916648138</v>
      </c>
      <c r="Q4" s="262">
        <v>26.880431085692376</v>
      </c>
      <c r="R4" s="263"/>
      <c r="S4" s="249">
        <v>589.27087262741043</v>
      </c>
      <c r="T4" s="249">
        <v>244.08398735370204</v>
      </c>
      <c r="U4" s="249">
        <v>355.6508828020032</v>
      </c>
      <c r="V4" s="249">
        <v>147.31541912655388</v>
      </c>
      <c r="X4" s="264" t="s">
        <v>1018</v>
      </c>
      <c r="Y4" s="265">
        <v>1</v>
      </c>
      <c r="Z4" s="266">
        <v>3</v>
      </c>
      <c r="AA4" s="253" t="s">
        <v>1019</v>
      </c>
      <c r="AB4" s="254" t="s">
        <v>1020</v>
      </c>
      <c r="AC4" s="267" t="s">
        <v>1021</v>
      </c>
      <c r="AD4" s="268">
        <v>754.32749732274885</v>
      </c>
      <c r="AE4" s="269">
        <v>754.32749732274885</v>
      </c>
      <c r="AF4" s="244"/>
    </row>
    <row r="5" spans="2:34">
      <c r="B5" s="562">
        <v>90</v>
      </c>
      <c r="C5" s="563">
        <v>1</v>
      </c>
      <c r="D5" s="270"/>
      <c r="E5" s="259"/>
      <c r="F5" s="260"/>
      <c r="G5" s="261"/>
      <c r="H5" s="249">
        <v>5.4191874993235558</v>
      </c>
      <c r="I5" s="249">
        <v>329.78597945934547</v>
      </c>
      <c r="J5" s="249">
        <v>-3.3523018064255963</v>
      </c>
      <c r="K5" s="249">
        <v>-136.60182537255611</v>
      </c>
      <c r="L5" s="249">
        <v>4.0694471459722024E-16</v>
      </c>
      <c r="M5" s="249">
        <v>0</v>
      </c>
      <c r="N5" s="262">
        <v>0.71391554386516665</v>
      </c>
      <c r="O5" s="249">
        <v>68.106104270065245</v>
      </c>
      <c r="P5" s="249">
        <v>69.715333167726072</v>
      </c>
      <c r="Q5" s="262">
        <v>25.457639368141518</v>
      </c>
      <c r="R5" s="263"/>
      <c r="S5" s="249">
        <v>628.60624776895736</v>
      </c>
      <c r="T5" s="249">
        <v>628.60624776895725</v>
      </c>
      <c r="U5" s="249">
        <v>347.60587579877301</v>
      </c>
      <c r="V5" s="249">
        <v>347.60587579877296</v>
      </c>
      <c r="X5" s="264" t="s">
        <v>1022</v>
      </c>
      <c r="Y5" s="265">
        <v>2</v>
      </c>
      <c r="Z5" s="266">
        <v>5</v>
      </c>
      <c r="AA5" s="253" t="s">
        <v>1023</v>
      </c>
      <c r="AB5" s="254" t="s">
        <v>1024</v>
      </c>
      <c r="AC5" s="271" t="s">
        <v>1025</v>
      </c>
      <c r="AD5" s="244"/>
      <c r="AE5" s="244"/>
      <c r="AF5" s="244"/>
      <c r="AH5" s="231" t="s">
        <v>1026</v>
      </c>
    </row>
    <row r="6" spans="2:34">
      <c r="B6" s="562">
        <v>45</v>
      </c>
      <c r="C6" s="563">
        <v>1</v>
      </c>
      <c r="D6" s="270"/>
      <c r="E6" s="259"/>
      <c r="F6" s="260"/>
      <c r="G6" s="261"/>
      <c r="H6" s="249">
        <v>8.1834069438720469</v>
      </c>
      <c r="I6" s="249">
        <v>450.72713002610544</v>
      </c>
      <c r="J6" s="249">
        <v>-5.2377727060788786</v>
      </c>
      <c r="K6" s="249">
        <v>-186.69729018631469</v>
      </c>
      <c r="L6" s="249">
        <v>6.4558293637716753E-16</v>
      </c>
      <c r="M6" s="249">
        <v>0</v>
      </c>
      <c r="N6" s="262">
        <v>0.97572706000086473</v>
      </c>
      <c r="O6" s="249">
        <v>62.40511284325985</v>
      </c>
      <c r="P6" s="249">
        <v>63.977346472680274</v>
      </c>
      <c r="Q6" s="262">
        <v>25.074798521108747</v>
      </c>
      <c r="R6" s="263"/>
      <c r="S6" s="249">
        <v>244.08398735370204</v>
      </c>
      <c r="T6" s="249">
        <v>589.27087262741031</v>
      </c>
      <c r="U6" s="249">
        <v>147.31541912655391</v>
      </c>
      <c r="V6" s="249">
        <v>355.6508828020032</v>
      </c>
      <c r="X6" s="264" t="s">
        <v>1027</v>
      </c>
      <c r="Y6" s="265">
        <v>2</v>
      </c>
      <c r="Z6" s="266">
        <v>5</v>
      </c>
      <c r="AA6" s="253" t="s">
        <v>1028</v>
      </c>
      <c r="AB6" s="254" t="s">
        <v>1029</v>
      </c>
      <c r="AC6" s="244"/>
      <c r="AD6" s="244"/>
      <c r="AE6" s="244"/>
      <c r="AH6" s="230">
        <f>DIALOG.BOX(__MAT34)</f>
        <v>53</v>
      </c>
    </row>
    <row r="7" spans="2:34">
      <c r="B7" s="562">
        <v>-45</v>
      </c>
      <c r="C7" s="563">
        <v>1</v>
      </c>
      <c r="D7" s="270"/>
      <c r="E7" s="259"/>
      <c r="F7" s="260"/>
      <c r="G7" s="261"/>
      <c r="H7" s="249">
        <v>8.4705816413054862</v>
      </c>
      <c r="I7" s="249">
        <v>309.14491025956227</v>
      </c>
      <c r="J7" s="249">
        <v>-12.057135397641906</v>
      </c>
      <c r="K7" s="249">
        <v>-128.05201456812429</v>
      </c>
      <c r="L7" s="249">
        <v>6.6405956762346746E-18</v>
      </c>
      <c r="M7" s="249">
        <v>0</v>
      </c>
      <c r="N7" s="262">
        <v>0.66923207925008477</v>
      </c>
      <c r="O7" s="249">
        <v>49.469155908210666</v>
      </c>
      <c r="P7" s="249">
        <v>19.128354300765228</v>
      </c>
      <c r="Q7" s="262">
        <v>24.708787321484103</v>
      </c>
      <c r="R7" s="263"/>
      <c r="S7" s="249">
        <v>0</v>
      </c>
      <c r="T7" s="249">
        <v>543.42501949558402</v>
      </c>
      <c r="U7" s="249">
        <v>0</v>
      </c>
      <c r="V7" s="249">
        <v>325.23286297077129</v>
      </c>
      <c r="X7" s="264" t="s">
        <v>1030</v>
      </c>
      <c r="Y7" s="265">
        <v>2</v>
      </c>
      <c r="Z7" s="266">
        <v>5</v>
      </c>
      <c r="AA7" s="253" t="s">
        <v>1031</v>
      </c>
      <c r="AB7" s="254" t="s">
        <v>1032</v>
      </c>
      <c r="AD7" s="244"/>
      <c r="AH7" s="230" t="b">
        <f>RETURN()</f>
        <v>1</v>
      </c>
    </row>
    <row r="8" spans="2:34">
      <c r="B8" s="562">
        <v>-45</v>
      </c>
      <c r="C8" s="564">
        <v>1</v>
      </c>
      <c r="D8" s="267"/>
      <c r="E8" s="259"/>
      <c r="F8" s="260"/>
      <c r="G8" s="261"/>
      <c r="H8" s="249">
        <v>23.655698810999255</v>
      </c>
      <c r="I8" s="249">
        <v>64.012436593011316</v>
      </c>
      <c r="J8" s="249">
        <v>-22.83778279976945</v>
      </c>
      <c r="K8" s="249">
        <v>-26.514819397373131</v>
      </c>
      <c r="L8" s="249">
        <v>1.3539924716509737E-17</v>
      </c>
      <c r="M8" s="249">
        <v>0</v>
      </c>
      <c r="N8" s="262">
        <v>0.13857312417997378</v>
      </c>
      <c r="O8" s="249">
        <v>3.7361625679484041</v>
      </c>
      <c r="P8" s="249">
        <v>3.7391750057968305</v>
      </c>
      <c r="Q8" s="262">
        <v>22.934212321484093</v>
      </c>
      <c r="R8" s="263"/>
      <c r="S8" s="249">
        <v>-186.69729018631449</v>
      </c>
      <c r="T8" s="249">
        <v>450.72713002610578</v>
      </c>
      <c r="U8" s="249">
        <v>-118.26977135267582</v>
      </c>
      <c r="V8" s="249">
        <v>285.52848601839491</v>
      </c>
      <c r="X8" s="264" t="s">
        <v>1033</v>
      </c>
      <c r="Y8" s="265">
        <v>2</v>
      </c>
      <c r="Z8" s="266">
        <v>5</v>
      </c>
      <c r="AA8" s="253" t="s">
        <v>1034</v>
      </c>
      <c r="AB8" s="254" t="s">
        <v>1035</v>
      </c>
      <c r="AC8" s="261"/>
      <c r="AD8" s="244"/>
      <c r="AE8" s="261"/>
    </row>
    <row r="9" spans="2:34">
      <c r="B9" s="562">
        <v>45</v>
      </c>
      <c r="C9" s="564">
        <v>1</v>
      </c>
      <c r="D9" s="267"/>
      <c r="E9" s="259"/>
      <c r="F9" s="260"/>
      <c r="G9" s="261"/>
      <c r="H9" s="249"/>
      <c r="I9" s="249"/>
      <c r="J9" s="249"/>
      <c r="K9" s="249"/>
      <c r="L9" s="249"/>
      <c r="M9" s="249"/>
      <c r="N9" s="262"/>
      <c r="O9" s="249"/>
      <c r="P9" s="249"/>
      <c r="Q9" s="262"/>
      <c r="R9" s="263"/>
      <c r="S9" s="249">
        <v>-283.58342895070399</v>
      </c>
      <c r="T9" s="249">
        <v>283.58342895070405</v>
      </c>
      <c r="U9" s="249">
        <v>-235.27443926176196</v>
      </c>
      <c r="V9" s="249">
        <v>235.27443926176201</v>
      </c>
      <c r="X9" s="264" t="s">
        <v>316</v>
      </c>
      <c r="Y9" s="265">
        <v>1</v>
      </c>
      <c r="Z9" s="266">
        <v>3</v>
      </c>
      <c r="AA9" s="253" t="s">
        <v>317</v>
      </c>
      <c r="AB9" s="254" t="s">
        <v>318</v>
      </c>
      <c r="AC9" s="244"/>
      <c r="AD9" s="244"/>
      <c r="AE9" s="272"/>
      <c r="AH9" s="231" t="s">
        <v>319</v>
      </c>
    </row>
    <row r="10" spans="2:34">
      <c r="B10" s="562">
        <v>90</v>
      </c>
      <c r="C10" s="564">
        <v>1</v>
      </c>
      <c r="D10" s="267"/>
      <c r="E10" s="259"/>
      <c r="F10" s="260"/>
      <c r="G10" s="261"/>
      <c r="H10" s="249"/>
      <c r="I10" s="249"/>
      <c r="J10" s="249"/>
      <c r="K10" s="249"/>
      <c r="L10" s="249"/>
      <c r="M10" s="249"/>
      <c r="N10" s="262"/>
      <c r="O10" s="249"/>
      <c r="P10" s="249"/>
      <c r="Q10" s="262"/>
      <c r="R10" s="263"/>
      <c r="S10" s="249">
        <v>-398.21236926228977</v>
      </c>
      <c r="T10" s="249">
        <v>164.94496405316346</v>
      </c>
      <c r="U10" s="249">
        <v>-382.59940880391247</v>
      </c>
      <c r="V10" s="249">
        <v>158.47786408250875</v>
      </c>
      <c r="X10" s="273" t="s">
        <v>320</v>
      </c>
      <c r="Y10" s="274"/>
      <c r="Z10" s="275">
        <v>4</v>
      </c>
      <c r="AA10" s="253" t="s">
        <v>321</v>
      </c>
      <c r="AB10" s="254" t="s">
        <v>322</v>
      </c>
      <c r="AC10" s="244"/>
      <c r="AD10" s="244"/>
      <c r="AH10" s="230">
        <f>DIALOG.BOX(__MAT56)</f>
        <v>53</v>
      </c>
    </row>
    <row r="11" spans="2:34">
      <c r="B11" s="562">
        <v>0</v>
      </c>
      <c r="C11" s="565">
        <v>1</v>
      </c>
      <c r="D11" s="271"/>
      <c r="E11" s="259"/>
      <c r="F11" s="260"/>
      <c r="G11" s="261"/>
      <c r="H11" s="249"/>
      <c r="I11" s="249"/>
      <c r="J11" s="249"/>
      <c r="K11" s="249"/>
      <c r="L11" s="249"/>
      <c r="M11" s="249"/>
      <c r="N11" s="262"/>
      <c r="O11" s="249"/>
      <c r="P11" s="249"/>
      <c r="Q11" s="262"/>
      <c r="R11" s="263"/>
      <c r="S11" s="249">
        <v>-629.01872552425311</v>
      </c>
      <c r="T11" s="249">
        <v>0</v>
      </c>
      <c r="U11" s="249">
        <v>-629.01872552425311</v>
      </c>
      <c r="V11" s="249">
        <v>0</v>
      </c>
      <c r="AA11" s="253" t="s">
        <v>323</v>
      </c>
      <c r="AB11" s="254" t="s">
        <v>324</v>
      </c>
      <c r="AC11" s="244"/>
      <c r="AD11" s="244"/>
      <c r="AH11" s="230" t="b">
        <f>RETURN()</f>
        <v>1</v>
      </c>
    </row>
    <row r="12" spans="2:34">
      <c r="B12" s="568" t="s">
        <v>325</v>
      </c>
      <c r="C12" s="569" t="s">
        <v>326</v>
      </c>
      <c r="D12" s="276"/>
      <c r="E12" s="277"/>
      <c r="F12" s="278"/>
      <c r="G12" s="272"/>
      <c r="H12" s="249"/>
      <c r="I12" s="249"/>
      <c r="J12" s="249"/>
      <c r="K12" s="249"/>
      <c r="L12" s="249"/>
      <c r="M12" s="249"/>
      <c r="N12" s="262"/>
      <c r="O12" s="249"/>
      <c r="P12" s="249"/>
      <c r="Q12" s="262"/>
      <c r="R12" s="263"/>
      <c r="S12" s="249">
        <v>-1186.0670320986219</v>
      </c>
      <c r="T12" s="249">
        <v>-491.28505057885417</v>
      </c>
      <c r="U12" s="249">
        <v>-1186.0670320986219</v>
      </c>
      <c r="V12" s="249">
        <v>-491.28505057885417</v>
      </c>
      <c r="AA12" s="253" t="s">
        <v>327</v>
      </c>
      <c r="AB12" s="254" t="s">
        <v>328</v>
      </c>
      <c r="AC12" s="244"/>
      <c r="AD12" s="244"/>
    </row>
    <row r="13" spans="2:34">
      <c r="B13" s="570">
        <v>1</v>
      </c>
      <c r="C13" s="566">
        <v>0.92387953251128652</v>
      </c>
      <c r="D13" s="279"/>
      <c r="E13" s="280" t="s">
        <v>329</v>
      </c>
      <c r="F13" s="572">
        <v>16</v>
      </c>
      <c r="G13" s="281"/>
      <c r="H13" s="249"/>
      <c r="I13" s="249"/>
      <c r="J13" s="249"/>
      <c r="K13" s="249"/>
      <c r="L13" s="249"/>
      <c r="M13" s="249"/>
      <c r="N13" s="262"/>
      <c r="O13" s="249"/>
      <c r="P13" s="249"/>
      <c r="Q13" s="262"/>
      <c r="R13" s="263"/>
      <c r="S13" s="249">
        <v>-1947.4327682520736</v>
      </c>
      <c r="T13" s="249">
        <v>-1947.4327682520729</v>
      </c>
      <c r="U13" s="249">
        <v>-1947.4327682520736</v>
      </c>
      <c r="V13" s="249">
        <v>-1947.4327682520729</v>
      </c>
      <c r="AA13" s="253" t="s">
        <v>330</v>
      </c>
      <c r="AB13" s="254" t="s">
        <v>331</v>
      </c>
      <c r="AC13" s="244"/>
      <c r="AD13" s="244"/>
      <c r="AE13" s="261"/>
      <c r="AH13" s="231" t="s">
        <v>332</v>
      </c>
    </row>
    <row r="14" spans="2:34">
      <c r="B14" s="570">
        <v>2</v>
      </c>
      <c r="C14" s="566">
        <v>-0.38268343236509039</v>
      </c>
      <c r="D14" s="279"/>
      <c r="E14" s="282" t="s">
        <v>333</v>
      </c>
      <c r="F14" s="283">
        <v>16</v>
      </c>
      <c r="G14" s="281"/>
      <c r="H14" s="249"/>
      <c r="I14" s="249"/>
      <c r="J14" s="249"/>
      <c r="K14" s="249"/>
      <c r="L14" s="249"/>
      <c r="M14" s="249"/>
      <c r="N14" s="262"/>
      <c r="O14" s="249"/>
      <c r="P14" s="249"/>
      <c r="Q14" s="262"/>
      <c r="R14" s="263"/>
      <c r="S14" s="249">
        <v>-491.28505057885565</v>
      </c>
      <c r="T14" s="249">
        <v>-1186.0670320986233</v>
      </c>
      <c r="U14" s="249">
        <v>-491.28505057885565</v>
      </c>
      <c r="V14" s="249">
        <v>-1186.0670320986233</v>
      </c>
      <c r="AA14" s="253" t="s">
        <v>334</v>
      </c>
      <c r="AB14" s="254" t="s">
        <v>335</v>
      </c>
      <c r="AC14" s="244"/>
      <c r="AD14" s="244"/>
      <c r="AE14" s="261"/>
      <c r="AH14" s="230">
        <f>DIALOG.BOX(__MAT78)</f>
        <v>53</v>
      </c>
    </row>
    <row r="15" spans="2:34" ht="13.8" thickBot="1">
      <c r="B15" s="571">
        <v>6</v>
      </c>
      <c r="C15" s="567">
        <v>0</v>
      </c>
      <c r="D15" s="284"/>
      <c r="E15" s="285"/>
      <c r="F15" s="286"/>
      <c r="H15" s="249"/>
      <c r="I15" s="249"/>
      <c r="J15" s="249"/>
      <c r="K15" s="249"/>
      <c r="L15" s="249"/>
      <c r="M15" s="249"/>
      <c r="N15" s="262"/>
      <c r="O15" s="249"/>
      <c r="P15" s="249"/>
      <c r="Q15" s="262"/>
      <c r="R15" s="263"/>
      <c r="S15" s="249">
        <v>0</v>
      </c>
      <c r="T15" s="249">
        <v>-629.01872552425289</v>
      </c>
      <c r="U15" s="249">
        <v>0</v>
      </c>
      <c r="V15" s="249">
        <v>-629.01872552425289</v>
      </c>
      <c r="AA15" s="253" t="s">
        <v>336</v>
      </c>
      <c r="AB15" s="254" t="s">
        <v>337</v>
      </c>
      <c r="AC15" s="244"/>
      <c r="AD15" s="244"/>
      <c r="AE15" s="261"/>
      <c r="AH15" s="230" t="b">
        <f>RETURN()</f>
        <v>1</v>
      </c>
    </row>
    <row r="16" spans="2:34">
      <c r="H16" s="249"/>
      <c r="I16" s="249"/>
      <c r="J16" s="249"/>
      <c r="K16" s="249"/>
      <c r="L16" s="249"/>
      <c r="M16" s="249"/>
      <c r="N16" s="262"/>
      <c r="O16" s="249"/>
      <c r="P16" s="249"/>
      <c r="Q16" s="262"/>
      <c r="R16" s="263"/>
      <c r="S16" s="249">
        <v>164.94496405316352</v>
      </c>
      <c r="T16" s="249">
        <v>-398.21236926228971</v>
      </c>
      <c r="U16" s="249">
        <v>158.47786408250877</v>
      </c>
      <c r="V16" s="249">
        <v>-382.59940880391241</v>
      </c>
      <c r="AA16" s="253" t="s">
        <v>338</v>
      </c>
      <c r="AB16" s="254" t="s">
        <v>339</v>
      </c>
      <c r="AC16" s="244"/>
      <c r="AD16" s="244"/>
      <c r="AE16" s="244"/>
      <c r="AF16" s="244"/>
    </row>
    <row r="17" spans="2:56">
      <c r="B17" s="287"/>
      <c r="C17" s="287"/>
      <c r="D17" s="287"/>
      <c r="H17" s="249"/>
      <c r="I17" s="249"/>
      <c r="J17" s="249"/>
      <c r="K17" s="249"/>
      <c r="L17" s="249"/>
      <c r="M17" s="249"/>
      <c r="N17" s="262"/>
      <c r="O17" s="249"/>
      <c r="P17" s="249"/>
      <c r="Q17" s="262"/>
      <c r="R17" s="263"/>
      <c r="S17" s="249">
        <v>283.58342895070388</v>
      </c>
      <c r="T17" s="249">
        <v>-283.58342895070399</v>
      </c>
      <c r="U17" s="249">
        <v>235.27443926176201</v>
      </c>
      <c r="V17" s="249">
        <v>-235.27443926176213</v>
      </c>
      <c r="AA17" s="253" t="s">
        <v>340</v>
      </c>
      <c r="AB17" s="254" t="s">
        <v>341</v>
      </c>
      <c r="AC17" s="244"/>
      <c r="AD17" s="244"/>
      <c r="AE17" s="244"/>
      <c r="AF17" s="244"/>
    </row>
    <row r="18" spans="2:56">
      <c r="H18" s="249"/>
      <c r="I18" s="249"/>
      <c r="J18" s="249"/>
      <c r="K18" s="249"/>
      <c r="L18" s="249"/>
      <c r="M18" s="249"/>
      <c r="N18" s="262"/>
      <c r="O18" s="249"/>
      <c r="P18" s="249"/>
      <c r="Q18" s="262"/>
      <c r="R18" s="263"/>
      <c r="S18" s="249">
        <v>450.72713002610544</v>
      </c>
      <c r="T18" s="249">
        <v>-186.69729018631469</v>
      </c>
      <c r="U18" s="249">
        <v>285.5284860183948</v>
      </c>
      <c r="V18" s="249">
        <v>-118.26977135267599</v>
      </c>
      <c r="AA18" s="288" t="s">
        <v>342</v>
      </c>
      <c r="AB18" s="269" t="s">
        <v>343</v>
      </c>
      <c r="AC18" s="261"/>
      <c r="AD18" s="244"/>
      <c r="AE18" s="261"/>
    </row>
    <row r="19" spans="2:56">
      <c r="H19" s="249"/>
      <c r="I19" s="249"/>
      <c r="J19" s="249"/>
      <c r="K19" s="249"/>
      <c r="L19" s="249"/>
      <c r="M19" s="249"/>
      <c r="N19" s="262"/>
      <c r="O19" s="249"/>
      <c r="P19" s="249"/>
      <c r="Q19" s="262"/>
      <c r="R19" s="263"/>
      <c r="S19" s="249">
        <v>543.42501949558402</v>
      </c>
      <c r="T19" s="249">
        <v>0</v>
      </c>
      <c r="U19" s="249">
        <v>325.23286297077135</v>
      </c>
      <c r="V19" s="249">
        <v>0</v>
      </c>
      <c r="BD19" s="231"/>
    </row>
    <row r="20" spans="2:56">
      <c r="H20" s="249"/>
      <c r="I20" s="249"/>
      <c r="J20" s="249"/>
      <c r="K20" s="249"/>
      <c r="L20" s="249"/>
      <c r="M20" s="249"/>
      <c r="N20" s="262"/>
      <c r="O20" s="249"/>
      <c r="P20" s="249"/>
      <c r="Q20" s="262"/>
      <c r="R20" s="263"/>
      <c r="S20" s="249"/>
      <c r="T20" s="249"/>
      <c r="U20" s="249"/>
      <c r="V20" s="249"/>
    </row>
    <row r="21" spans="2:56" ht="13.8" thickBot="1">
      <c r="H21" s="244"/>
      <c r="I21" s="244"/>
      <c r="J21" s="244"/>
      <c r="K21" s="244"/>
      <c r="L21" s="244"/>
      <c r="M21" s="244"/>
      <c r="N21" s="244"/>
      <c r="O21" s="244"/>
      <c r="P21" s="244"/>
      <c r="S21" s="249"/>
      <c r="T21" s="249"/>
      <c r="U21" s="249"/>
      <c r="V21" s="249"/>
      <c r="X21" s="231" t="s">
        <v>344</v>
      </c>
    </row>
    <row r="22" spans="2:56">
      <c r="H22" s="244"/>
      <c r="I22" s="244"/>
      <c r="J22" s="244"/>
      <c r="K22" s="244"/>
      <c r="L22" s="244"/>
      <c r="M22" s="244"/>
      <c r="N22" s="244"/>
      <c r="O22" s="244"/>
      <c r="P22" s="244"/>
      <c r="S22" s="249"/>
      <c r="T22" s="249"/>
      <c r="U22" s="249"/>
      <c r="V22" s="249"/>
      <c r="X22" s="289"/>
      <c r="Y22" s="290"/>
      <c r="Z22" s="290"/>
      <c r="AA22" s="290">
        <v>646</v>
      </c>
      <c r="AB22" s="290">
        <v>376</v>
      </c>
      <c r="AC22" s="290"/>
      <c r="AD22" s="291"/>
    </row>
    <row r="23" spans="2:56">
      <c r="P23" s="244"/>
      <c r="Q23" s="263"/>
      <c r="R23" s="263"/>
      <c r="S23" s="249"/>
      <c r="T23" s="249"/>
      <c r="U23" s="249"/>
      <c r="V23" s="249"/>
      <c r="X23" s="292">
        <v>14</v>
      </c>
      <c r="Y23" s="249">
        <v>15</v>
      </c>
      <c r="Z23" s="249">
        <v>38</v>
      </c>
      <c r="AA23" s="249">
        <v>280</v>
      </c>
      <c r="AB23" s="249">
        <v>260</v>
      </c>
      <c r="AC23" s="249" t="s">
        <v>345</v>
      </c>
      <c r="AD23" s="293"/>
      <c r="AG23" s="244"/>
    </row>
    <row r="24" spans="2:56">
      <c r="J24" s="231"/>
      <c r="S24" s="249"/>
      <c r="T24" s="249"/>
      <c r="U24" s="249"/>
      <c r="V24" s="249"/>
      <c r="X24" s="292">
        <v>11</v>
      </c>
      <c r="Y24" s="249"/>
      <c r="Z24" s="249"/>
      <c r="AA24" s="249"/>
      <c r="AB24" s="249"/>
      <c r="AC24" s="249"/>
      <c r="AD24" s="293">
        <v>11</v>
      </c>
      <c r="AG24" s="244"/>
    </row>
    <row r="25" spans="2:56">
      <c r="K25" s="231"/>
      <c r="L25" s="231"/>
      <c r="S25" s="249"/>
      <c r="T25" s="249"/>
      <c r="U25" s="249"/>
      <c r="V25" s="249"/>
      <c r="X25" s="292">
        <v>12</v>
      </c>
      <c r="Y25" s="249">
        <v>40</v>
      </c>
      <c r="Z25" s="249">
        <v>65</v>
      </c>
      <c r="AA25" s="249"/>
      <c r="AB25" s="249"/>
      <c r="AC25" s="249" t="s">
        <v>436</v>
      </c>
      <c r="AD25" s="293"/>
      <c r="AG25" s="244"/>
    </row>
    <row r="26" spans="2:56">
      <c r="K26" s="231"/>
      <c r="L26" s="231"/>
      <c r="S26" s="249"/>
      <c r="T26" s="249"/>
      <c r="U26" s="249"/>
      <c r="V26" s="249"/>
      <c r="X26" s="292">
        <v>12</v>
      </c>
      <c r="Y26" s="249"/>
      <c r="Z26" s="249"/>
      <c r="AA26" s="249"/>
      <c r="AB26" s="249"/>
      <c r="AC26" s="249" t="s">
        <v>437</v>
      </c>
      <c r="AD26" s="293"/>
      <c r="AG26" s="244"/>
    </row>
    <row r="27" spans="2:56">
      <c r="K27" s="231"/>
      <c r="L27" s="231"/>
      <c r="S27" s="249"/>
      <c r="T27" s="249"/>
      <c r="U27" s="249"/>
      <c r="V27" s="249"/>
      <c r="X27" s="292">
        <v>12</v>
      </c>
      <c r="Y27" s="249"/>
      <c r="Z27" s="249"/>
      <c r="AA27" s="249"/>
      <c r="AB27" s="249"/>
      <c r="AC27" s="249" t="s">
        <v>439</v>
      </c>
      <c r="AD27" s="293"/>
      <c r="AG27" s="244"/>
    </row>
    <row r="28" spans="2:56">
      <c r="S28" s="249"/>
      <c r="T28" s="249"/>
      <c r="U28" s="249"/>
      <c r="V28" s="249"/>
      <c r="X28" s="292">
        <v>12</v>
      </c>
      <c r="Y28" s="249"/>
      <c r="Z28" s="249"/>
      <c r="AA28" s="249"/>
      <c r="AB28" s="249"/>
      <c r="AC28" s="249" t="s">
        <v>440</v>
      </c>
      <c r="AD28" s="293"/>
    </row>
    <row r="29" spans="2:56">
      <c r="S29" s="249"/>
      <c r="T29" s="249"/>
      <c r="U29" s="249"/>
      <c r="V29" s="249"/>
      <c r="X29" s="292">
        <v>12</v>
      </c>
      <c r="Y29" s="249"/>
      <c r="Z29" s="249"/>
      <c r="AA29" s="249"/>
      <c r="AB29" s="249"/>
      <c r="AC29" s="249" t="s">
        <v>441</v>
      </c>
      <c r="AD29" s="293"/>
      <c r="BD29" s="231"/>
    </row>
    <row r="30" spans="2:56">
      <c r="S30" s="249"/>
      <c r="T30" s="249"/>
      <c r="U30" s="249"/>
      <c r="V30" s="249"/>
      <c r="X30" s="292">
        <v>12</v>
      </c>
      <c r="Y30" s="249"/>
      <c r="Z30" s="249"/>
      <c r="AA30" s="249"/>
      <c r="AB30" s="249"/>
      <c r="AC30" s="249" t="s">
        <v>442</v>
      </c>
      <c r="AD30" s="293"/>
    </row>
    <row r="31" spans="2:56">
      <c r="S31" s="249"/>
      <c r="T31" s="249"/>
      <c r="U31" s="249"/>
      <c r="V31" s="249"/>
      <c r="X31" s="292">
        <v>12</v>
      </c>
      <c r="Y31" s="249"/>
      <c r="Z31" s="249"/>
      <c r="AA31" s="249"/>
      <c r="AB31" s="249"/>
      <c r="AC31" s="249" t="s">
        <v>443</v>
      </c>
      <c r="AD31" s="293"/>
      <c r="AH31" s="231"/>
    </row>
    <row r="32" spans="2:56">
      <c r="S32" s="249"/>
      <c r="T32" s="249"/>
      <c r="U32" s="249"/>
      <c r="V32" s="249"/>
      <c r="X32" s="292">
        <v>12</v>
      </c>
      <c r="Y32" s="249"/>
      <c r="Z32" s="249"/>
      <c r="AA32" s="249"/>
      <c r="AB32" s="249"/>
      <c r="AC32" s="249" t="s">
        <v>444</v>
      </c>
      <c r="AD32" s="293"/>
    </row>
    <row r="33" spans="19:56">
      <c r="S33" s="249"/>
      <c r="T33" s="249"/>
      <c r="U33" s="249"/>
      <c r="V33" s="249"/>
      <c r="X33" s="292">
        <v>12</v>
      </c>
      <c r="Y33" s="249"/>
      <c r="Z33" s="249"/>
      <c r="AA33" s="249"/>
      <c r="AB33" s="249"/>
      <c r="AC33" s="249" t="s">
        <v>445</v>
      </c>
      <c r="AD33" s="293"/>
    </row>
    <row r="34" spans="19:56">
      <c r="S34" s="249"/>
      <c r="T34" s="249"/>
      <c r="U34" s="249"/>
      <c r="V34" s="249"/>
      <c r="X34" s="292">
        <v>12</v>
      </c>
      <c r="Y34" s="249"/>
      <c r="Z34" s="249"/>
      <c r="AA34" s="249"/>
      <c r="AB34" s="249"/>
      <c r="AC34" s="249" t="s">
        <v>446</v>
      </c>
      <c r="AD34" s="293"/>
    </row>
    <row r="35" spans="19:56">
      <c r="S35" s="249"/>
      <c r="T35" s="249"/>
      <c r="U35" s="249"/>
      <c r="V35" s="249"/>
      <c r="X35" s="292">
        <v>12</v>
      </c>
      <c r="Y35" s="249"/>
      <c r="Z35" s="249"/>
      <c r="AA35" s="249"/>
      <c r="AB35" s="249"/>
      <c r="AC35" s="249" t="s">
        <v>1713</v>
      </c>
      <c r="AD35" s="293"/>
    </row>
    <row r="36" spans="19:56">
      <c r="S36" s="249"/>
      <c r="T36" s="249"/>
      <c r="U36" s="249"/>
      <c r="V36" s="249"/>
      <c r="X36" s="292">
        <v>12</v>
      </c>
      <c r="Y36" s="249"/>
      <c r="Z36" s="249"/>
      <c r="AA36" s="249"/>
      <c r="AB36" s="249"/>
      <c r="AC36" s="249" t="s">
        <v>448</v>
      </c>
      <c r="AD36" s="293"/>
    </row>
    <row r="37" spans="19:56">
      <c r="S37" s="249"/>
      <c r="T37" s="249"/>
      <c r="U37" s="249"/>
      <c r="V37" s="249"/>
      <c r="X37" s="292">
        <v>12</v>
      </c>
      <c r="Y37" s="249">
        <v>170</v>
      </c>
      <c r="Z37" s="249">
        <v>65</v>
      </c>
      <c r="AA37" s="249"/>
      <c r="AB37" s="249"/>
      <c r="AC37" s="249" t="s">
        <v>449</v>
      </c>
      <c r="AD37" s="293"/>
    </row>
    <row r="38" spans="19:56">
      <c r="S38" s="249"/>
      <c r="T38" s="249"/>
      <c r="U38" s="249"/>
      <c r="V38" s="249"/>
      <c r="X38" s="292">
        <v>12</v>
      </c>
      <c r="Y38" s="249"/>
      <c r="Z38" s="249"/>
      <c r="AA38" s="249"/>
      <c r="AB38" s="249"/>
      <c r="AC38" s="249" t="s">
        <v>451</v>
      </c>
      <c r="AD38" s="293"/>
    </row>
    <row r="39" spans="19:56">
      <c r="S39" s="249"/>
      <c r="T39" s="249"/>
      <c r="U39" s="249"/>
      <c r="V39" s="249"/>
      <c r="X39" s="292">
        <v>12</v>
      </c>
      <c r="Y39" s="249"/>
      <c r="Z39" s="249"/>
      <c r="AA39" s="249"/>
      <c r="AB39" s="249"/>
      <c r="AC39" s="249" t="s">
        <v>452</v>
      </c>
      <c r="AD39" s="293"/>
      <c r="BD39" s="231"/>
    </row>
    <row r="40" spans="19:56">
      <c r="S40" s="249"/>
      <c r="T40" s="249"/>
      <c r="U40" s="249"/>
      <c r="V40" s="249"/>
      <c r="X40" s="292">
        <v>12</v>
      </c>
      <c r="Y40" s="249"/>
      <c r="Z40" s="249"/>
      <c r="AA40" s="249"/>
      <c r="AB40" s="249"/>
      <c r="AC40" s="249" t="s">
        <v>453</v>
      </c>
      <c r="AD40" s="293"/>
    </row>
    <row r="41" spans="19:56">
      <c r="S41" s="249"/>
      <c r="T41" s="249"/>
      <c r="U41" s="249"/>
      <c r="V41" s="249"/>
      <c r="X41" s="292">
        <v>12</v>
      </c>
      <c r="Y41" s="249"/>
      <c r="Z41" s="249"/>
      <c r="AA41" s="249"/>
      <c r="AB41" s="249"/>
      <c r="AC41" s="249" t="s">
        <v>454</v>
      </c>
      <c r="AD41" s="293"/>
    </row>
    <row r="42" spans="19:56">
      <c r="S42" s="249"/>
      <c r="T42" s="249"/>
      <c r="U42" s="249"/>
      <c r="V42" s="249"/>
      <c r="X42" s="292">
        <v>12</v>
      </c>
      <c r="Y42" s="249"/>
      <c r="Z42" s="249"/>
      <c r="AA42" s="249"/>
      <c r="AB42" s="249"/>
      <c r="AC42" s="249" t="s">
        <v>455</v>
      </c>
      <c r="AD42" s="293"/>
    </row>
    <row r="43" spans="19:56">
      <c r="S43" s="249"/>
      <c r="T43" s="249"/>
      <c r="U43" s="249"/>
      <c r="V43" s="249"/>
      <c r="X43" s="292">
        <v>12</v>
      </c>
      <c r="Y43" s="249"/>
      <c r="Z43" s="249"/>
      <c r="AA43" s="249"/>
      <c r="AB43" s="249"/>
      <c r="AC43" s="249" t="s">
        <v>456</v>
      </c>
      <c r="AD43" s="293"/>
    </row>
    <row r="44" spans="19:56">
      <c r="S44" s="249"/>
      <c r="T44" s="249"/>
      <c r="U44" s="249"/>
      <c r="V44" s="249"/>
      <c r="X44" s="292">
        <v>12</v>
      </c>
      <c r="Y44" s="249"/>
      <c r="Z44" s="249"/>
      <c r="AA44" s="249"/>
      <c r="AB44" s="249"/>
      <c r="AC44" s="249" t="s">
        <v>1693</v>
      </c>
      <c r="AD44" s="293"/>
    </row>
    <row r="45" spans="19:56">
      <c r="S45" s="249"/>
      <c r="T45" s="249"/>
      <c r="U45" s="249"/>
      <c r="V45" s="249"/>
      <c r="X45" s="292">
        <v>12</v>
      </c>
      <c r="Y45" s="249"/>
      <c r="Z45" s="249"/>
      <c r="AA45" s="249"/>
      <c r="AB45" s="249"/>
      <c r="AC45" s="249" t="s">
        <v>1705</v>
      </c>
      <c r="AD45" s="293"/>
    </row>
    <row r="46" spans="19:56">
      <c r="S46" s="249"/>
      <c r="T46" s="249"/>
      <c r="U46" s="249"/>
      <c r="V46" s="249"/>
      <c r="X46" s="292">
        <v>12</v>
      </c>
      <c r="Y46" s="249"/>
      <c r="Z46" s="249"/>
      <c r="AA46" s="249"/>
      <c r="AB46" s="249"/>
      <c r="AC46" s="249" t="s">
        <v>459</v>
      </c>
      <c r="AD46" s="293"/>
    </row>
    <row r="47" spans="19:56">
      <c r="S47" s="249"/>
      <c r="T47" s="249"/>
      <c r="U47" s="249"/>
      <c r="V47" s="249"/>
      <c r="X47" s="292">
        <v>12</v>
      </c>
      <c r="Y47" s="249"/>
      <c r="Z47" s="249"/>
      <c r="AA47" s="249"/>
      <c r="AB47" s="249"/>
      <c r="AC47" s="249" t="s">
        <v>460</v>
      </c>
      <c r="AD47" s="293"/>
    </row>
    <row r="48" spans="19:56">
      <c r="S48" s="249"/>
      <c r="T48" s="249"/>
      <c r="U48" s="249"/>
      <c r="V48" s="249"/>
      <c r="X48" s="292">
        <v>12</v>
      </c>
      <c r="Y48" s="249"/>
      <c r="Z48" s="249"/>
      <c r="AA48" s="249"/>
      <c r="AB48" s="249"/>
      <c r="AC48" s="249" t="s">
        <v>461</v>
      </c>
      <c r="AD48" s="293"/>
    </row>
    <row r="49" spans="19:56">
      <c r="S49" s="249"/>
      <c r="T49" s="249"/>
      <c r="U49" s="249"/>
      <c r="V49" s="249"/>
      <c r="X49" s="292">
        <v>14</v>
      </c>
      <c r="Y49" s="249">
        <v>330</v>
      </c>
      <c r="Z49" s="249">
        <v>38</v>
      </c>
      <c r="AA49" s="249">
        <v>280</v>
      </c>
      <c r="AB49" s="249">
        <v>260</v>
      </c>
      <c r="AC49" s="249" t="s">
        <v>346</v>
      </c>
      <c r="AD49" s="293"/>
    </row>
    <row r="50" spans="19:56">
      <c r="S50" s="249"/>
      <c r="T50" s="249"/>
      <c r="U50" s="249"/>
      <c r="V50" s="249"/>
      <c r="X50" s="292">
        <v>11</v>
      </c>
      <c r="Y50" s="249"/>
      <c r="Z50" s="249"/>
      <c r="AA50" s="249"/>
      <c r="AB50" s="249"/>
      <c r="AC50" s="249"/>
      <c r="AD50" s="293">
        <v>11</v>
      </c>
    </row>
    <row r="51" spans="19:56">
      <c r="S51" s="249"/>
      <c r="T51" s="249"/>
      <c r="U51" s="249"/>
      <c r="V51" s="249"/>
      <c r="X51" s="292">
        <v>12</v>
      </c>
      <c r="Y51" s="249">
        <v>360</v>
      </c>
      <c r="Z51" s="249">
        <v>65</v>
      </c>
      <c r="AA51" s="249"/>
      <c r="AB51" s="249"/>
      <c r="AC51" s="249" t="s">
        <v>436</v>
      </c>
      <c r="AD51" s="293"/>
    </row>
    <row r="52" spans="19:56">
      <c r="S52" s="249"/>
      <c r="T52" s="249"/>
      <c r="U52" s="249"/>
      <c r="V52" s="249"/>
      <c r="X52" s="292">
        <v>12</v>
      </c>
      <c r="Y52" s="249"/>
      <c r="Z52" s="249"/>
      <c r="AA52" s="249"/>
      <c r="AB52" s="249"/>
      <c r="AC52" s="249" t="s">
        <v>437</v>
      </c>
      <c r="AD52" s="293"/>
    </row>
    <row r="53" spans="19:56">
      <c r="S53" s="249"/>
      <c r="T53" s="249"/>
      <c r="U53" s="249"/>
      <c r="V53" s="249"/>
      <c r="X53" s="292">
        <v>12</v>
      </c>
      <c r="Y53" s="249"/>
      <c r="Z53" s="249"/>
      <c r="AA53" s="249"/>
      <c r="AB53" s="249"/>
      <c r="AC53" s="249" t="s">
        <v>439</v>
      </c>
      <c r="AD53" s="293"/>
    </row>
    <row r="54" spans="19:56">
      <c r="S54" s="249"/>
      <c r="T54" s="249"/>
      <c r="U54" s="249"/>
      <c r="V54" s="249"/>
      <c r="X54" s="292">
        <v>12</v>
      </c>
      <c r="Y54" s="249"/>
      <c r="Z54" s="249"/>
      <c r="AA54" s="249"/>
      <c r="AB54" s="249"/>
      <c r="AC54" s="249" t="s">
        <v>440</v>
      </c>
      <c r="AD54" s="293"/>
    </row>
    <row r="55" spans="19:56">
      <c r="S55" s="249"/>
      <c r="T55" s="249"/>
      <c r="U55" s="249"/>
      <c r="V55" s="249"/>
      <c r="X55" s="292">
        <v>12</v>
      </c>
      <c r="Y55" s="249"/>
      <c r="Z55" s="249"/>
      <c r="AA55" s="249"/>
      <c r="AB55" s="249"/>
      <c r="AC55" s="249" t="s">
        <v>441</v>
      </c>
      <c r="AD55" s="293"/>
    </row>
    <row r="56" spans="19:56">
      <c r="S56" s="249"/>
      <c r="T56" s="249"/>
      <c r="U56" s="249"/>
      <c r="V56" s="249"/>
      <c r="X56" s="292">
        <v>12</v>
      </c>
      <c r="Y56" s="249"/>
      <c r="Z56" s="249"/>
      <c r="AA56" s="249"/>
      <c r="AB56" s="249"/>
      <c r="AC56" s="249" t="s">
        <v>442</v>
      </c>
      <c r="AD56" s="293"/>
    </row>
    <row r="57" spans="19:56">
      <c r="S57" s="249"/>
      <c r="T57" s="249"/>
      <c r="U57" s="249"/>
      <c r="V57" s="249"/>
      <c r="X57" s="292">
        <v>12</v>
      </c>
      <c r="Y57" s="249"/>
      <c r="Z57" s="249"/>
      <c r="AA57" s="249"/>
      <c r="AB57" s="249"/>
      <c r="AC57" s="249" t="s">
        <v>443</v>
      </c>
      <c r="AD57" s="293"/>
    </row>
    <row r="58" spans="19:56">
      <c r="S58" s="249"/>
      <c r="T58" s="249"/>
      <c r="U58" s="249"/>
      <c r="V58" s="249"/>
      <c r="X58" s="292">
        <v>12</v>
      </c>
      <c r="Y58" s="249"/>
      <c r="Z58" s="249"/>
      <c r="AA58" s="249"/>
      <c r="AB58" s="249"/>
      <c r="AC58" s="249" t="s">
        <v>444</v>
      </c>
      <c r="AD58" s="293"/>
    </row>
    <row r="59" spans="19:56">
      <c r="S59" s="249"/>
      <c r="T59" s="249"/>
      <c r="U59" s="249"/>
      <c r="V59" s="249"/>
      <c r="X59" s="292">
        <v>12</v>
      </c>
      <c r="Y59" s="249"/>
      <c r="Z59" s="249"/>
      <c r="AA59" s="249"/>
      <c r="AB59" s="249"/>
      <c r="AC59" s="249" t="s">
        <v>445</v>
      </c>
      <c r="AD59" s="293"/>
    </row>
    <row r="60" spans="19:56">
      <c r="S60" s="249"/>
      <c r="T60" s="249"/>
      <c r="U60" s="249"/>
      <c r="V60" s="249"/>
      <c r="X60" s="292">
        <v>12</v>
      </c>
      <c r="Y60" s="249"/>
      <c r="Z60" s="249"/>
      <c r="AA60" s="249"/>
      <c r="AB60" s="249"/>
      <c r="AC60" s="249" t="s">
        <v>446</v>
      </c>
      <c r="AD60" s="293"/>
    </row>
    <row r="61" spans="19:56">
      <c r="S61" s="249"/>
      <c r="T61" s="249"/>
      <c r="U61" s="249"/>
      <c r="V61" s="249"/>
      <c r="X61" s="292">
        <v>12</v>
      </c>
      <c r="Y61" s="249"/>
      <c r="Z61" s="249"/>
      <c r="AA61" s="249"/>
      <c r="AB61" s="249"/>
      <c r="AC61" s="249" t="s">
        <v>1713</v>
      </c>
      <c r="AD61" s="293"/>
      <c r="BD61" s="231"/>
    </row>
    <row r="62" spans="19:56">
      <c r="S62" s="249"/>
      <c r="T62" s="249"/>
      <c r="U62" s="249"/>
      <c r="V62" s="249"/>
      <c r="X62" s="292">
        <v>12</v>
      </c>
      <c r="Y62" s="249"/>
      <c r="Z62" s="249"/>
      <c r="AA62" s="249"/>
      <c r="AB62" s="249"/>
      <c r="AC62" s="249" t="s">
        <v>448</v>
      </c>
      <c r="AD62" s="293"/>
    </row>
    <row r="63" spans="19:56">
      <c r="S63" s="249"/>
      <c r="T63" s="249"/>
      <c r="U63" s="249"/>
      <c r="V63" s="249"/>
      <c r="X63" s="292">
        <v>12</v>
      </c>
      <c r="Y63" s="249">
        <v>490</v>
      </c>
      <c r="Z63" s="249">
        <v>65</v>
      </c>
      <c r="AA63" s="249"/>
      <c r="AB63" s="249"/>
      <c r="AC63" s="249" t="s">
        <v>449</v>
      </c>
      <c r="AD63" s="293"/>
    </row>
    <row r="64" spans="19:56">
      <c r="S64" s="249"/>
      <c r="T64" s="249"/>
      <c r="U64" s="249"/>
      <c r="V64" s="249"/>
      <c r="X64" s="292">
        <v>12</v>
      </c>
      <c r="Y64" s="249"/>
      <c r="Z64" s="249"/>
      <c r="AA64" s="249"/>
      <c r="AB64" s="249"/>
      <c r="AC64" s="249" t="s">
        <v>451</v>
      </c>
      <c r="AD64" s="293"/>
    </row>
    <row r="65" spans="19:56">
      <c r="S65" s="249"/>
      <c r="T65" s="249"/>
      <c r="U65" s="249"/>
      <c r="V65" s="249"/>
      <c r="X65" s="292">
        <v>12</v>
      </c>
      <c r="Y65" s="249"/>
      <c r="Z65" s="249"/>
      <c r="AA65" s="249"/>
      <c r="AB65" s="249"/>
      <c r="AC65" s="249" t="s">
        <v>452</v>
      </c>
      <c r="AD65" s="293"/>
    </row>
    <row r="66" spans="19:56">
      <c r="S66" s="249"/>
      <c r="T66" s="249"/>
      <c r="U66" s="249"/>
      <c r="V66" s="249"/>
      <c r="X66" s="292">
        <v>12</v>
      </c>
      <c r="Y66" s="249"/>
      <c r="Z66" s="249"/>
      <c r="AA66" s="249"/>
      <c r="AB66" s="249"/>
      <c r="AC66" s="249" t="s">
        <v>453</v>
      </c>
      <c r="AD66" s="293"/>
    </row>
    <row r="67" spans="19:56">
      <c r="S67" s="249"/>
      <c r="T67" s="249"/>
      <c r="U67" s="249"/>
      <c r="V67" s="249"/>
      <c r="X67" s="292">
        <v>12</v>
      </c>
      <c r="Y67" s="249"/>
      <c r="Z67" s="249"/>
      <c r="AA67" s="249"/>
      <c r="AB67" s="249"/>
      <c r="AC67" s="249" t="s">
        <v>454</v>
      </c>
      <c r="AD67" s="293"/>
    </row>
    <row r="68" spans="19:56">
      <c r="S68" s="249"/>
      <c r="T68" s="249"/>
      <c r="U68" s="249"/>
      <c r="V68" s="249"/>
      <c r="X68" s="292">
        <v>12</v>
      </c>
      <c r="Y68" s="249"/>
      <c r="Z68" s="249"/>
      <c r="AA68" s="249"/>
      <c r="AB68" s="249"/>
      <c r="AC68" s="249" t="s">
        <v>455</v>
      </c>
      <c r="AD68" s="293"/>
    </row>
    <row r="69" spans="19:56">
      <c r="S69" s="249"/>
      <c r="T69" s="249"/>
      <c r="U69" s="249"/>
      <c r="V69" s="249"/>
      <c r="X69" s="292">
        <v>12</v>
      </c>
      <c r="Y69" s="249"/>
      <c r="Z69" s="249"/>
      <c r="AA69" s="249"/>
      <c r="AB69" s="249"/>
      <c r="AC69" s="249" t="s">
        <v>456</v>
      </c>
      <c r="AD69" s="293"/>
    </row>
    <row r="70" spans="19:56">
      <c r="S70" s="249"/>
      <c r="T70" s="249"/>
      <c r="U70" s="249"/>
      <c r="V70" s="249"/>
      <c r="X70" s="292">
        <v>12</v>
      </c>
      <c r="Y70" s="249"/>
      <c r="Z70" s="249"/>
      <c r="AA70" s="249"/>
      <c r="AB70" s="249"/>
      <c r="AC70" s="249" t="s">
        <v>1693</v>
      </c>
      <c r="AD70" s="293"/>
    </row>
    <row r="71" spans="19:56">
      <c r="S71" s="249"/>
      <c r="T71" s="249"/>
      <c r="U71" s="249"/>
      <c r="V71" s="249"/>
      <c r="X71" s="292">
        <v>12</v>
      </c>
      <c r="Y71" s="249"/>
      <c r="Z71" s="249"/>
      <c r="AA71" s="249"/>
      <c r="AB71" s="249"/>
      <c r="AC71" s="249" t="s">
        <v>1705</v>
      </c>
      <c r="AD71" s="293"/>
      <c r="BD71" s="231"/>
    </row>
    <row r="72" spans="19:56">
      <c r="S72" s="249"/>
      <c r="T72" s="249"/>
      <c r="U72" s="249"/>
      <c r="V72" s="249"/>
      <c r="X72" s="292">
        <v>12</v>
      </c>
      <c r="Y72" s="249"/>
      <c r="Z72" s="249"/>
      <c r="AA72" s="249"/>
      <c r="AB72" s="249"/>
      <c r="AC72" s="249" t="s">
        <v>459</v>
      </c>
      <c r="AD72" s="293"/>
    </row>
    <row r="73" spans="19:56">
      <c r="S73" s="249"/>
      <c r="T73" s="249"/>
      <c r="U73" s="249"/>
      <c r="V73" s="249"/>
      <c r="X73" s="292">
        <v>12</v>
      </c>
      <c r="Y73" s="249"/>
      <c r="Z73" s="249"/>
      <c r="AA73" s="249"/>
      <c r="AB73" s="249"/>
      <c r="AC73" s="249" t="s">
        <v>460</v>
      </c>
      <c r="AD73" s="293"/>
    </row>
    <row r="74" spans="19:56">
      <c r="S74" s="249"/>
      <c r="T74" s="249"/>
      <c r="U74" s="249"/>
      <c r="V74" s="249"/>
      <c r="X74" s="292">
        <v>12</v>
      </c>
      <c r="Y74" s="249"/>
      <c r="Z74" s="249"/>
      <c r="AA74" s="249"/>
      <c r="AB74" s="249"/>
      <c r="AC74" s="249" t="s">
        <v>461</v>
      </c>
      <c r="AD74" s="293"/>
    </row>
    <row r="75" spans="19:56">
      <c r="S75" s="249"/>
      <c r="T75" s="249"/>
      <c r="U75" s="249"/>
      <c r="V75" s="249"/>
      <c r="X75" s="292">
        <v>1</v>
      </c>
      <c r="Y75" s="249">
        <v>493</v>
      </c>
      <c r="Z75" s="249">
        <v>325</v>
      </c>
      <c r="AA75" s="249">
        <v>90</v>
      </c>
      <c r="AB75" s="249">
        <v>25</v>
      </c>
      <c r="AC75" s="249" t="s">
        <v>462</v>
      </c>
      <c r="AD75" s="293"/>
    </row>
    <row r="76" spans="19:56">
      <c r="S76" s="249"/>
      <c r="T76" s="249"/>
      <c r="U76" s="249"/>
      <c r="V76" s="249"/>
      <c r="X76" s="292">
        <v>2</v>
      </c>
      <c r="Y76" s="249">
        <v>370</v>
      </c>
      <c r="Z76" s="249">
        <v>328</v>
      </c>
      <c r="AA76" s="249">
        <v>88</v>
      </c>
      <c r="AB76" s="249">
        <v>25</v>
      </c>
      <c r="AC76" s="249" t="s">
        <v>464</v>
      </c>
      <c r="AD76" s="293"/>
    </row>
    <row r="77" spans="19:56">
      <c r="X77" s="292">
        <v>13</v>
      </c>
      <c r="Y77" s="249">
        <v>28</v>
      </c>
      <c r="Z77" s="249">
        <v>313</v>
      </c>
      <c r="AA77" s="249"/>
      <c r="AB77" s="249"/>
      <c r="AC77" s="249" t="s">
        <v>465</v>
      </c>
      <c r="AD77" s="293" t="b">
        <v>0</v>
      </c>
    </row>
    <row r="78" spans="19:56" ht="13.8" thickBot="1">
      <c r="X78" s="294">
        <v>5</v>
      </c>
      <c r="Y78" s="295">
        <v>232</v>
      </c>
      <c r="Z78" s="295">
        <v>13</v>
      </c>
      <c r="AA78" s="295"/>
      <c r="AB78" s="295"/>
      <c r="AC78" s="295" t="s">
        <v>347</v>
      </c>
      <c r="AD78" s="296"/>
    </row>
    <row r="79" spans="19:56" ht="13.8" thickBot="1">
      <c r="X79" s="231" t="s">
        <v>348</v>
      </c>
    </row>
    <row r="80" spans="19:56">
      <c r="X80" s="289"/>
      <c r="Y80" s="290"/>
      <c r="Z80" s="290"/>
      <c r="AA80" s="290">
        <v>646</v>
      </c>
      <c r="AB80" s="290">
        <v>376</v>
      </c>
      <c r="AC80" s="290"/>
      <c r="AD80" s="291"/>
    </row>
    <row r="81" spans="8:56">
      <c r="X81" s="292">
        <v>14</v>
      </c>
      <c r="Y81" s="249">
        <v>15</v>
      </c>
      <c r="Z81" s="249">
        <v>38</v>
      </c>
      <c r="AA81" s="249">
        <v>280</v>
      </c>
      <c r="AB81" s="249">
        <v>260</v>
      </c>
      <c r="AC81" s="249" t="s">
        <v>349</v>
      </c>
      <c r="AD81" s="293"/>
      <c r="BD81" s="231"/>
    </row>
    <row r="82" spans="8:56">
      <c r="X82" s="292">
        <v>11</v>
      </c>
      <c r="Y82" s="249"/>
      <c r="Z82" s="249"/>
      <c r="AA82" s="249"/>
      <c r="AB82" s="249"/>
      <c r="AC82" s="249"/>
      <c r="AD82" s="293">
        <v>11</v>
      </c>
    </row>
    <row r="83" spans="8:56">
      <c r="X83" s="292">
        <v>12</v>
      </c>
      <c r="Y83" s="249">
        <v>40</v>
      </c>
      <c r="Z83" s="249">
        <v>65</v>
      </c>
      <c r="AA83" s="249"/>
      <c r="AB83" s="249"/>
      <c r="AC83" s="249" t="s">
        <v>436</v>
      </c>
      <c r="AD83" s="293"/>
    </row>
    <row r="84" spans="8:56" ht="13.8" thickBot="1">
      <c r="H84" s="230" t="s">
        <v>350</v>
      </c>
      <c r="X84" s="292">
        <v>12</v>
      </c>
      <c r="Y84" s="249"/>
      <c r="Z84" s="249"/>
      <c r="AA84" s="249"/>
      <c r="AB84" s="249"/>
      <c r="AC84" s="249" t="s">
        <v>437</v>
      </c>
      <c r="AD84" s="293"/>
    </row>
    <row r="85" spans="8:56">
      <c r="H85" s="297"/>
      <c r="I85" s="298"/>
      <c r="J85" s="298"/>
      <c r="K85" s="298">
        <v>420</v>
      </c>
      <c r="L85" s="298">
        <v>186</v>
      </c>
      <c r="M85" s="298"/>
      <c r="N85" s="299"/>
      <c r="X85" s="292">
        <v>12</v>
      </c>
      <c r="Y85" s="249"/>
      <c r="Z85" s="249"/>
      <c r="AA85" s="249"/>
      <c r="AB85" s="249"/>
      <c r="AC85" s="249" t="s">
        <v>439</v>
      </c>
      <c r="AD85" s="293"/>
    </row>
    <row r="86" spans="8:56">
      <c r="H86" s="300">
        <v>5</v>
      </c>
      <c r="I86" s="230">
        <v>104</v>
      </c>
      <c r="J86" s="230">
        <v>15</v>
      </c>
      <c r="M86" s="230" t="s">
        <v>351</v>
      </c>
      <c r="N86" s="301"/>
      <c r="X86" s="292">
        <v>12</v>
      </c>
      <c r="Y86" s="249"/>
      <c r="Z86" s="249"/>
      <c r="AA86" s="249"/>
      <c r="AB86" s="249"/>
      <c r="AC86" s="249" t="s">
        <v>440</v>
      </c>
      <c r="AD86" s="293"/>
    </row>
    <row r="87" spans="8:56">
      <c r="H87" s="302">
        <v>14</v>
      </c>
      <c r="I87" s="244">
        <v>50</v>
      </c>
      <c r="J87" s="244">
        <v>40</v>
      </c>
      <c r="K87" s="244">
        <v>130</v>
      </c>
      <c r="L87" s="244">
        <v>75</v>
      </c>
      <c r="M87" s="244" t="s">
        <v>352</v>
      </c>
      <c r="N87" s="303"/>
      <c r="X87" s="292">
        <v>12</v>
      </c>
      <c r="Y87" s="249"/>
      <c r="Z87" s="249"/>
      <c r="AA87" s="249"/>
      <c r="AB87" s="249"/>
      <c r="AC87" s="249" t="s">
        <v>441</v>
      </c>
      <c r="AD87" s="293"/>
    </row>
    <row r="88" spans="8:56">
      <c r="H88" s="300">
        <v>11</v>
      </c>
      <c r="N88" s="301">
        <v>1</v>
      </c>
      <c r="X88" s="292">
        <v>12</v>
      </c>
      <c r="Y88" s="249"/>
      <c r="Z88" s="249"/>
      <c r="AA88" s="249"/>
      <c r="AB88" s="249"/>
      <c r="AC88" s="249" t="s">
        <v>442</v>
      </c>
      <c r="AD88" s="293"/>
    </row>
    <row r="89" spans="8:56">
      <c r="H89" s="300">
        <v>12</v>
      </c>
      <c r="M89" s="230" t="s">
        <v>353</v>
      </c>
      <c r="N89" s="301"/>
      <c r="X89" s="292">
        <v>12</v>
      </c>
      <c r="Y89" s="249"/>
      <c r="Z89" s="249"/>
      <c r="AA89" s="249"/>
      <c r="AB89" s="249"/>
      <c r="AC89" s="249" t="s">
        <v>443</v>
      </c>
      <c r="AD89" s="293"/>
    </row>
    <row r="90" spans="8:56">
      <c r="H90" s="300">
        <v>12</v>
      </c>
      <c r="M90" s="230" t="s">
        <v>354</v>
      </c>
      <c r="N90" s="301"/>
      <c r="X90" s="292">
        <v>12</v>
      </c>
      <c r="Y90" s="249"/>
      <c r="Z90" s="249"/>
      <c r="AA90" s="249"/>
      <c r="AB90" s="249"/>
      <c r="AC90" s="249" t="s">
        <v>444</v>
      </c>
      <c r="AD90" s="293"/>
    </row>
    <row r="91" spans="8:56">
      <c r="H91" s="300">
        <v>12</v>
      </c>
      <c r="M91" s="230" t="s">
        <v>355</v>
      </c>
      <c r="N91" s="301"/>
      <c r="X91" s="292">
        <v>12</v>
      </c>
      <c r="Y91" s="249"/>
      <c r="Z91" s="249"/>
      <c r="AA91" s="249"/>
      <c r="AB91" s="249"/>
      <c r="AC91" s="249" t="s">
        <v>445</v>
      </c>
      <c r="AD91" s="293"/>
      <c r="BD91" s="231"/>
    </row>
    <row r="92" spans="8:56">
      <c r="H92" s="302">
        <v>14</v>
      </c>
      <c r="I92" s="244">
        <v>240</v>
      </c>
      <c r="J92" s="244">
        <v>40</v>
      </c>
      <c r="K92" s="244">
        <v>130</v>
      </c>
      <c r="L92" s="244">
        <v>75</v>
      </c>
      <c r="M92" s="244" t="s">
        <v>356</v>
      </c>
      <c r="N92" s="303"/>
      <c r="X92" s="292">
        <v>12</v>
      </c>
      <c r="Y92" s="249"/>
      <c r="Z92" s="249"/>
      <c r="AA92" s="249"/>
      <c r="AB92" s="249"/>
      <c r="AC92" s="249" t="s">
        <v>446</v>
      </c>
      <c r="AD92" s="293"/>
    </row>
    <row r="93" spans="8:56">
      <c r="H93" s="302">
        <v>11</v>
      </c>
      <c r="I93" s="244"/>
      <c r="J93" s="244"/>
      <c r="K93" s="244"/>
      <c r="L93" s="244"/>
      <c r="M93" s="244"/>
      <c r="N93" s="303">
        <v>2</v>
      </c>
      <c r="V93" s="231"/>
      <c r="X93" s="292">
        <v>12</v>
      </c>
      <c r="Y93" s="249"/>
      <c r="Z93" s="249"/>
      <c r="AA93" s="249"/>
      <c r="AB93" s="249"/>
      <c r="AC93" s="249" t="s">
        <v>1713</v>
      </c>
      <c r="AD93" s="293"/>
    </row>
    <row r="94" spans="8:56">
      <c r="H94" s="302">
        <v>12</v>
      </c>
      <c r="I94" s="244"/>
      <c r="J94" s="244"/>
      <c r="K94" s="244"/>
      <c r="L94" s="244"/>
      <c r="M94" s="230" t="s">
        <v>353</v>
      </c>
      <c r="N94" s="303"/>
      <c r="X94" s="292">
        <v>12</v>
      </c>
      <c r="Y94" s="249"/>
      <c r="Z94" s="249"/>
      <c r="AA94" s="249"/>
      <c r="AB94" s="249"/>
      <c r="AC94" s="249" t="s">
        <v>448</v>
      </c>
      <c r="AD94" s="293"/>
    </row>
    <row r="95" spans="8:56">
      <c r="H95" s="302">
        <v>12</v>
      </c>
      <c r="I95" s="244"/>
      <c r="J95" s="244"/>
      <c r="K95" s="244"/>
      <c r="L95" s="244"/>
      <c r="M95" s="230" t="s">
        <v>354</v>
      </c>
      <c r="N95" s="303"/>
      <c r="V95" s="231"/>
      <c r="X95" s="292">
        <v>12</v>
      </c>
      <c r="Y95" s="249">
        <v>170</v>
      </c>
      <c r="Z95" s="249">
        <v>65</v>
      </c>
      <c r="AA95" s="249"/>
      <c r="AB95" s="249"/>
      <c r="AC95" s="249" t="s">
        <v>449</v>
      </c>
      <c r="AD95" s="293"/>
    </row>
    <row r="96" spans="8:56">
      <c r="H96" s="302">
        <v>12</v>
      </c>
      <c r="I96" s="244"/>
      <c r="J96" s="244"/>
      <c r="K96" s="244"/>
      <c r="L96" s="244"/>
      <c r="M96" s="230" t="s">
        <v>355</v>
      </c>
      <c r="N96" s="303"/>
      <c r="X96" s="292">
        <v>12</v>
      </c>
      <c r="Y96" s="249"/>
      <c r="Z96" s="249"/>
      <c r="AA96" s="249"/>
      <c r="AB96" s="249"/>
      <c r="AC96" s="249" t="s">
        <v>451</v>
      </c>
      <c r="AD96" s="293"/>
    </row>
    <row r="97" spans="8:30">
      <c r="H97" s="302">
        <v>1</v>
      </c>
      <c r="I97" s="244">
        <v>250</v>
      </c>
      <c r="J97" s="244">
        <v>140</v>
      </c>
      <c r="K97" s="244">
        <v>88</v>
      </c>
      <c r="L97" s="244"/>
      <c r="M97" s="244" t="s">
        <v>462</v>
      </c>
      <c r="N97" s="303"/>
      <c r="X97" s="292">
        <v>12</v>
      </c>
      <c r="Y97" s="249"/>
      <c r="Z97" s="249"/>
      <c r="AA97" s="249"/>
      <c r="AB97" s="249"/>
      <c r="AC97" s="249" t="s">
        <v>452</v>
      </c>
      <c r="AD97" s="293"/>
    </row>
    <row r="98" spans="8:30" ht="13.8" thickBot="1">
      <c r="H98" s="304">
        <v>2</v>
      </c>
      <c r="I98" s="305">
        <v>90</v>
      </c>
      <c r="J98" s="305">
        <v>140</v>
      </c>
      <c r="K98" s="305">
        <v>88</v>
      </c>
      <c r="L98" s="305"/>
      <c r="M98" s="305" t="s">
        <v>464</v>
      </c>
      <c r="N98" s="306"/>
      <c r="X98" s="292">
        <v>12</v>
      </c>
      <c r="Y98" s="249"/>
      <c r="Z98" s="249"/>
      <c r="AA98" s="249"/>
      <c r="AB98" s="249"/>
      <c r="AC98" s="249" t="s">
        <v>453</v>
      </c>
      <c r="AD98" s="293"/>
    </row>
    <row r="99" spans="8:30">
      <c r="O99" s="244"/>
      <c r="P99" s="244"/>
      <c r="Q99" s="244"/>
      <c r="R99" s="244"/>
      <c r="S99" s="244"/>
      <c r="T99" s="244"/>
      <c r="U99" s="244"/>
      <c r="X99" s="292">
        <v>12</v>
      </c>
      <c r="Y99" s="249"/>
      <c r="Z99" s="249"/>
      <c r="AA99" s="249"/>
      <c r="AB99" s="249"/>
      <c r="AC99" s="249" t="s">
        <v>454</v>
      </c>
      <c r="AD99" s="293"/>
    </row>
    <row r="100" spans="8:30">
      <c r="O100" s="244"/>
      <c r="P100" s="244"/>
      <c r="Q100" s="244"/>
      <c r="R100" s="244"/>
      <c r="S100" s="244"/>
      <c r="T100" s="244"/>
      <c r="U100" s="244"/>
      <c r="X100" s="292">
        <v>12</v>
      </c>
      <c r="Y100" s="249"/>
      <c r="Z100" s="249"/>
      <c r="AA100" s="249"/>
      <c r="AB100" s="249"/>
      <c r="AC100" s="249" t="s">
        <v>455</v>
      </c>
      <c r="AD100" s="293"/>
    </row>
    <row r="101" spans="8:30">
      <c r="N101" s="231"/>
      <c r="O101" s="244"/>
      <c r="P101" s="244"/>
      <c r="Q101" s="244"/>
      <c r="R101" s="244"/>
      <c r="S101" s="244"/>
      <c r="T101" s="244"/>
      <c r="U101" s="244"/>
      <c r="X101" s="292">
        <v>12</v>
      </c>
      <c r="Y101" s="249"/>
      <c r="Z101" s="249"/>
      <c r="AA101" s="249"/>
      <c r="AB101" s="249"/>
      <c r="AC101" s="249" t="s">
        <v>456</v>
      </c>
      <c r="AD101" s="293"/>
    </row>
    <row r="102" spans="8:30">
      <c r="O102" s="244"/>
      <c r="P102" s="244"/>
      <c r="Q102" s="244"/>
      <c r="R102" s="244"/>
      <c r="S102" s="244"/>
      <c r="T102" s="244"/>
      <c r="U102" s="244"/>
      <c r="X102" s="292">
        <v>12</v>
      </c>
      <c r="Y102" s="249"/>
      <c r="Z102" s="249"/>
      <c r="AA102" s="249"/>
      <c r="AB102" s="249"/>
      <c r="AC102" s="249" t="s">
        <v>1693</v>
      </c>
      <c r="AD102" s="293"/>
    </row>
    <row r="103" spans="8:30">
      <c r="O103" s="244"/>
      <c r="P103" s="244"/>
      <c r="Q103" s="244"/>
      <c r="R103" s="244"/>
      <c r="S103" s="244"/>
      <c r="T103" s="244"/>
      <c r="U103" s="244"/>
      <c r="X103" s="292">
        <v>12</v>
      </c>
      <c r="Y103" s="249"/>
      <c r="Z103" s="249"/>
      <c r="AA103" s="249"/>
      <c r="AB103" s="249"/>
      <c r="AC103" s="249" t="s">
        <v>1705</v>
      </c>
      <c r="AD103" s="293"/>
    </row>
    <row r="104" spans="8:30">
      <c r="N104" s="231"/>
      <c r="O104" s="244"/>
      <c r="P104" s="244"/>
      <c r="Q104" s="244"/>
      <c r="R104" s="244"/>
      <c r="S104" s="244"/>
      <c r="T104" s="244"/>
      <c r="U104" s="244"/>
      <c r="X104" s="292">
        <v>12</v>
      </c>
      <c r="Y104" s="249"/>
      <c r="Z104" s="249"/>
      <c r="AA104" s="249"/>
      <c r="AB104" s="249"/>
      <c r="AC104" s="249" t="s">
        <v>459</v>
      </c>
      <c r="AD104" s="293"/>
    </row>
    <row r="105" spans="8:30">
      <c r="O105" s="244"/>
      <c r="P105" s="244"/>
      <c r="Q105" s="244"/>
      <c r="R105" s="244"/>
      <c r="S105" s="244"/>
      <c r="T105" s="244"/>
      <c r="U105" s="244"/>
      <c r="X105" s="292">
        <v>12</v>
      </c>
      <c r="Y105" s="249"/>
      <c r="Z105" s="249"/>
      <c r="AA105" s="249"/>
      <c r="AB105" s="249"/>
      <c r="AC105" s="249" t="s">
        <v>460</v>
      </c>
      <c r="AD105" s="293"/>
    </row>
    <row r="106" spans="8:30">
      <c r="O106" s="244"/>
      <c r="P106" s="244"/>
      <c r="Q106" s="244"/>
      <c r="R106" s="244"/>
      <c r="S106" s="244"/>
      <c r="T106" s="244"/>
      <c r="U106" s="244"/>
      <c r="X106" s="292">
        <v>12</v>
      </c>
      <c r="Y106" s="249"/>
      <c r="Z106" s="249"/>
      <c r="AA106" s="249"/>
      <c r="AB106" s="249"/>
      <c r="AC106" s="249" t="s">
        <v>461</v>
      </c>
      <c r="AD106" s="293"/>
    </row>
    <row r="107" spans="8:30">
      <c r="O107" s="244"/>
      <c r="P107" s="244"/>
      <c r="Q107" s="244"/>
      <c r="R107" s="244"/>
      <c r="S107" s="244"/>
      <c r="T107" s="244"/>
      <c r="U107" s="244"/>
      <c r="X107" s="292">
        <v>14</v>
      </c>
      <c r="Y107" s="249">
        <v>330</v>
      </c>
      <c r="Z107" s="249">
        <v>38</v>
      </c>
      <c r="AA107" s="249">
        <v>280</v>
      </c>
      <c r="AB107" s="249">
        <v>260</v>
      </c>
      <c r="AC107" s="249" t="s">
        <v>357</v>
      </c>
      <c r="AD107" s="293"/>
    </row>
    <row r="108" spans="8:30">
      <c r="O108" s="244"/>
      <c r="P108" s="244"/>
      <c r="Q108" s="244"/>
      <c r="R108" s="244"/>
      <c r="S108" s="244"/>
      <c r="T108" s="244"/>
      <c r="U108" s="244"/>
      <c r="X108" s="292">
        <v>11</v>
      </c>
      <c r="Y108" s="249"/>
      <c r="Z108" s="249"/>
      <c r="AA108" s="249"/>
      <c r="AB108" s="249"/>
      <c r="AC108" s="249"/>
      <c r="AD108" s="293">
        <v>11</v>
      </c>
    </row>
    <row r="109" spans="8:30">
      <c r="O109" s="244"/>
      <c r="P109" s="244"/>
      <c r="Q109" s="244"/>
      <c r="R109" s="244"/>
      <c r="S109" s="244"/>
      <c r="T109" s="244"/>
      <c r="U109" s="244"/>
      <c r="X109" s="292">
        <v>12</v>
      </c>
      <c r="Y109" s="249">
        <v>360</v>
      </c>
      <c r="Z109" s="249">
        <v>65</v>
      </c>
      <c r="AA109" s="249"/>
      <c r="AB109" s="249"/>
      <c r="AC109" s="249" t="s">
        <v>436</v>
      </c>
      <c r="AD109" s="293"/>
    </row>
    <row r="110" spans="8:30">
      <c r="O110" s="244"/>
      <c r="P110" s="244"/>
      <c r="Q110" s="244"/>
      <c r="R110" s="244"/>
      <c r="S110" s="244"/>
      <c r="T110" s="244"/>
      <c r="U110" s="244"/>
      <c r="X110" s="292">
        <v>12</v>
      </c>
      <c r="Y110" s="249"/>
      <c r="Z110" s="249"/>
      <c r="AA110" s="249"/>
      <c r="AB110" s="249"/>
      <c r="AC110" s="249" t="s">
        <v>437</v>
      </c>
      <c r="AD110" s="293"/>
    </row>
    <row r="111" spans="8:30">
      <c r="O111" s="244"/>
      <c r="P111" s="244"/>
      <c r="Q111" s="244"/>
      <c r="R111" s="244"/>
      <c r="S111" s="244"/>
      <c r="T111" s="244"/>
      <c r="U111" s="244"/>
      <c r="X111" s="292">
        <v>12</v>
      </c>
      <c r="Y111" s="249"/>
      <c r="Z111" s="249"/>
      <c r="AA111" s="249"/>
      <c r="AB111" s="249"/>
      <c r="AC111" s="249" t="s">
        <v>439</v>
      </c>
      <c r="AD111" s="293"/>
    </row>
    <row r="112" spans="8:30">
      <c r="O112" s="244"/>
      <c r="P112" s="244"/>
      <c r="Q112" s="244"/>
      <c r="R112" s="244"/>
      <c r="S112" s="244"/>
      <c r="T112" s="244"/>
      <c r="U112" s="244"/>
      <c r="X112" s="292">
        <v>12</v>
      </c>
      <c r="Y112" s="249"/>
      <c r="Z112" s="249"/>
      <c r="AA112" s="249"/>
      <c r="AB112" s="249"/>
      <c r="AC112" s="249" t="s">
        <v>440</v>
      </c>
      <c r="AD112" s="293"/>
    </row>
    <row r="113" spans="14:30">
      <c r="O113" s="244"/>
      <c r="P113" s="244"/>
      <c r="Q113" s="244"/>
      <c r="R113" s="244"/>
      <c r="S113" s="244"/>
      <c r="T113" s="244"/>
      <c r="U113" s="244"/>
      <c r="X113" s="292">
        <v>12</v>
      </c>
      <c r="Y113" s="249"/>
      <c r="Z113" s="249"/>
      <c r="AA113" s="249"/>
      <c r="AB113" s="249"/>
      <c r="AC113" s="249" t="s">
        <v>441</v>
      </c>
      <c r="AD113" s="293"/>
    </row>
    <row r="114" spans="14:30">
      <c r="O114" s="244"/>
      <c r="P114" s="244"/>
      <c r="Q114" s="244"/>
      <c r="R114" s="244"/>
      <c r="S114" s="244"/>
      <c r="T114" s="244"/>
      <c r="U114" s="244"/>
      <c r="X114" s="292">
        <v>12</v>
      </c>
      <c r="Y114" s="249"/>
      <c r="Z114" s="249"/>
      <c r="AA114" s="249"/>
      <c r="AB114" s="249"/>
      <c r="AC114" s="249" t="s">
        <v>442</v>
      </c>
      <c r="AD114" s="293"/>
    </row>
    <row r="115" spans="14:30">
      <c r="O115" s="244"/>
      <c r="P115" s="244"/>
      <c r="Q115" s="244"/>
      <c r="R115" s="244"/>
      <c r="S115" s="244"/>
      <c r="T115" s="244"/>
      <c r="U115" s="244"/>
      <c r="X115" s="292">
        <v>12</v>
      </c>
      <c r="Y115" s="249"/>
      <c r="Z115" s="249"/>
      <c r="AA115" s="249"/>
      <c r="AB115" s="249"/>
      <c r="AC115" s="249" t="s">
        <v>443</v>
      </c>
      <c r="AD115" s="293"/>
    </row>
    <row r="116" spans="14:30">
      <c r="O116" s="244"/>
      <c r="P116" s="244"/>
      <c r="Q116" s="244"/>
      <c r="R116" s="244"/>
      <c r="S116" s="244"/>
      <c r="T116" s="244"/>
      <c r="U116" s="244"/>
      <c r="X116" s="292">
        <v>12</v>
      </c>
      <c r="Y116" s="249"/>
      <c r="Z116" s="249"/>
      <c r="AA116" s="249"/>
      <c r="AB116" s="249"/>
      <c r="AC116" s="249" t="s">
        <v>444</v>
      </c>
      <c r="AD116" s="293"/>
    </row>
    <row r="117" spans="14:30">
      <c r="N117" s="231"/>
      <c r="O117" s="244"/>
      <c r="P117" s="244"/>
      <c r="Q117" s="244"/>
      <c r="R117" s="244"/>
      <c r="S117" s="244"/>
      <c r="T117" s="244"/>
      <c r="U117" s="244"/>
      <c r="X117" s="292">
        <v>12</v>
      </c>
      <c r="Y117" s="249"/>
      <c r="Z117" s="249"/>
      <c r="AA117" s="249"/>
      <c r="AB117" s="249"/>
      <c r="AC117" s="249" t="s">
        <v>445</v>
      </c>
      <c r="AD117" s="293"/>
    </row>
    <row r="118" spans="14:30">
      <c r="O118" s="244"/>
      <c r="P118" s="244"/>
      <c r="Q118" s="244"/>
      <c r="R118" s="244"/>
      <c r="S118" s="244"/>
      <c r="T118" s="244"/>
      <c r="U118" s="244"/>
      <c r="X118" s="292">
        <v>12</v>
      </c>
      <c r="Y118" s="249"/>
      <c r="Z118" s="249"/>
      <c r="AA118" s="249"/>
      <c r="AB118" s="249"/>
      <c r="AC118" s="249" t="s">
        <v>446</v>
      </c>
      <c r="AD118" s="293"/>
    </row>
    <row r="119" spans="14:30">
      <c r="N119" s="231"/>
      <c r="O119" s="244"/>
      <c r="P119" s="244"/>
      <c r="Q119" s="244"/>
      <c r="R119" s="244"/>
      <c r="S119" s="244"/>
      <c r="T119" s="244"/>
      <c r="U119" s="244"/>
      <c r="X119" s="292">
        <v>12</v>
      </c>
      <c r="Y119" s="249"/>
      <c r="Z119" s="249"/>
      <c r="AA119" s="249"/>
      <c r="AB119" s="249"/>
      <c r="AC119" s="249" t="s">
        <v>1713</v>
      </c>
      <c r="AD119" s="293"/>
    </row>
    <row r="120" spans="14:30">
      <c r="X120" s="292">
        <v>12</v>
      </c>
      <c r="Y120" s="249"/>
      <c r="Z120" s="249"/>
      <c r="AA120" s="249"/>
      <c r="AB120" s="249"/>
      <c r="AC120" s="249" t="s">
        <v>448</v>
      </c>
      <c r="AD120" s="293"/>
    </row>
    <row r="121" spans="14:30">
      <c r="X121" s="292">
        <v>12</v>
      </c>
      <c r="Y121" s="249">
        <v>490</v>
      </c>
      <c r="Z121" s="249">
        <v>65</v>
      </c>
      <c r="AA121" s="249"/>
      <c r="AB121" s="249"/>
      <c r="AC121" s="249" t="s">
        <v>449</v>
      </c>
      <c r="AD121" s="293"/>
    </row>
    <row r="122" spans="14:30">
      <c r="X122" s="292">
        <v>12</v>
      </c>
      <c r="Y122" s="249"/>
      <c r="Z122" s="249"/>
      <c r="AA122" s="249"/>
      <c r="AB122" s="249"/>
      <c r="AC122" s="249" t="s">
        <v>451</v>
      </c>
      <c r="AD122" s="293"/>
    </row>
    <row r="123" spans="14:30">
      <c r="X123" s="292">
        <v>12</v>
      </c>
      <c r="Y123" s="249"/>
      <c r="Z123" s="249"/>
      <c r="AA123" s="249"/>
      <c r="AB123" s="249"/>
      <c r="AC123" s="249" t="s">
        <v>452</v>
      </c>
      <c r="AD123" s="293"/>
    </row>
    <row r="124" spans="14:30">
      <c r="X124" s="292">
        <v>12</v>
      </c>
      <c r="Y124" s="249"/>
      <c r="Z124" s="249"/>
      <c r="AA124" s="249"/>
      <c r="AB124" s="249"/>
      <c r="AC124" s="249" t="s">
        <v>453</v>
      </c>
      <c r="AD124" s="293"/>
    </row>
    <row r="125" spans="14:30">
      <c r="X125" s="292">
        <v>12</v>
      </c>
      <c r="Y125" s="249"/>
      <c r="Z125" s="249"/>
      <c r="AA125" s="249"/>
      <c r="AB125" s="249"/>
      <c r="AC125" s="249" t="s">
        <v>454</v>
      </c>
      <c r="AD125" s="293"/>
    </row>
    <row r="126" spans="14:30">
      <c r="X126" s="292">
        <v>12</v>
      </c>
      <c r="Y126" s="249"/>
      <c r="Z126" s="249"/>
      <c r="AA126" s="249"/>
      <c r="AB126" s="249"/>
      <c r="AC126" s="249" t="s">
        <v>455</v>
      </c>
      <c r="AD126" s="293"/>
    </row>
    <row r="127" spans="14:30">
      <c r="X127" s="292">
        <v>12</v>
      </c>
      <c r="Y127" s="249"/>
      <c r="Z127" s="249"/>
      <c r="AA127" s="249"/>
      <c r="AB127" s="249"/>
      <c r="AC127" s="249" t="s">
        <v>456</v>
      </c>
      <c r="AD127" s="293"/>
    </row>
    <row r="128" spans="14:30">
      <c r="X128" s="292">
        <v>12</v>
      </c>
      <c r="Y128" s="249"/>
      <c r="Z128" s="249"/>
      <c r="AA128" s="249"/>
      <c r="AB128" s="249"/>
      <c r="AC128" s="249" t="s">
        <v>1693</v>
      </c>
      <c r="AD128" s="293"/>
    </row>
    <row r="129" spans="14:30">
      <c r="N129" s="231"/>
      <c r="X129" s="292">
        <v>12</v>
      </c>
      <c r="Y129" s="249"/>
      <c r="Z129" s="249"/>
      <c r="AA129" s="249"/>
      <c r="AB129" s="249"/>
      <c r="AC129" s="249" t="s">
        <v>1705</v>
      </c>
      <c r="AD129" s="293"/>
    </row>
    <row r="130" spans="14:30">
      <c r="X130" s="292">
        <v>12</v>
      </c>
      <c r="Y130" s="249"/>
      <c r="Z130" s="249"/>
      <c r="AA130" s="249"/>
      <c r="AB130" s="249"/>
      <c r="AC130" s="249" t="s">
        <v>459</v>
      </c>
      <c r="AD130" s="293"/>
    </row>
    <row r="131" spans="14:30">
      <c r="X131" s="292">
        <v>12</v>
      </c>
      <c r="Y131" s="249"/>
      <c r="Z131" s="249"/>
      <c r="AA131" s="249"/>
      <c r="AB131" s="249"/>
      <c r="AC131" s="249" t="s">
        <v>460</v>
      </c>
      <c r="AD131" s="293"/>
    </row>
    <row r="132" spans="14:30">
      <c r="X132" s="292">
        <v>12</v>
      </c>
      <c r="Y132" s="249"/>
      <c r="Z132" s="249"/>
      <c r="AA132" s="249"/>
      <c r="AB132" s="249"/>
      <c r="AC132" s="249" t="s">
        <v>461</v>
      </c>
      <c r="AD132" s="293"/>
    </row>
    <row r="133" spans="14:30">
      <c r="X133" s="292">
        <v>1</v>
      </c>
      <c r="Y133" s="249">
        <v>493</v>
      </c>
      <c r="Z133" s="249">
        <v>325</v>
      </c>
      <c r="AA133" s="249">
        <v>90</v>
      </c>
      <c r="AB133" s="249">
        <v>25</v>
      </c>
      <c r="AC133" s="249" t="s">
        <v>462</v>
      </c>
      <c r="AD133" s="293"/>
    </row>
    <row r="134" spans="14:30">
      <c r="X134" s="292">
        <v>2</v>
      </c>
      <c r="Y134" s="249">
        <v>370</v>
      </c>
      <c r="Z134" s="249">
        <v>328</v>
      </c>
      <c r="AA134" s="249">
        <v>88</v>
      </c>
      <c r="AB134" s="249">
        <v>25</v>
      </c>
      <c r="AC134" s="249" t="s">
        <v>464</v>
      </c>
      <c r="AD134" s="293"/>
    </row>
    <row r="135" spans="14:30" ht="13.8" thickBot="1">
      <c r="X135" s="294">
        <v>5</v>
      </c>
      <c r="Y135" s="295">
        <v>232</v>
      </c>
      <c r="Z135" s="295">
        <v>13</v>
      </c>
      <c r="AA135" s="295"/>
      <c r="AB135" s="295"/>
      <c r="AC135" s="295" t="s">
        <v>358</v>
      </c>
      <c r="AD135" s="296"/>
    </row>
    <row r="136" spans="14:30" ht="13.8" thickBot="1">
      <c r="X136" s="231" t="s">
        <v>359</v>
      </c>
    </row>
    <row r="137" spans="14:30">
      <c r="X137" s="289"/>
      <c r="Y137" s="290"/>
      <c r="Z137" s="290"/>
      <c r="AA137" s="290">
        <v>646</v>
      </c>
      <c r="AB137" s="290">
        <v>376</v>
      </c>
      <c r="AC137" s="290"/>
      <c r="AD137" s="291"/>
    </row>
    <row r="138" spans="14:30">
      <c r="X138" s="292">
        <v>14</v>
      </c>
      <c r="Y138" s="249">
        <v>15</v>
      </c>
      <c r="Z138" s="249">
        <v>38</v>
      </c>
      <c r="AA138" s="249">
        <v>280</v>
      </c>
      <c r="AB138" s="249">
        <v>260</v>
      </c>
      <c r="AC138" s="249" t="s">
        <v>360</v>
      </c>
      <c r="AD138" s="293"/>
    </row>
    <row r="139" spans="14:30">
      <c r="X139" s="292">
        <v>11</v>
      </c>
      <c r="Y139" s="249"/>
      <c r="Z139" s="249"/>
      <c r="AA139" s="249"/>
      <c r="AB139" s="249"/>
      <c r="AC139" s="249"/>
      <c r="AD139" s="293">
        <v>11</v>
      </c>
    </row>
    <row r="140" spans="14:30">
      <c r="X140" s="292">
        <v>12</v>
      </c>
      <c r="Y140" s="249">
        <v>40</v>
      </c>
      <c r="Z140" s="249">
        <v>65</v>
      </c>
      <c r="AA140" s="249"/>
      <c r="AB140" s="249"/>
      <c r="AC140" s="249" t="s">
        <v>436</v>
      </c>
      <c r="AD140" s="293"/>
    </row>
    <row r="141" spans="14:30">
      <c r="X141" s="292">
        <v>12</v>
      </c>
      <c r="Y141" s="249"/>
      <c r="Z141" s="249"/>
      <c r="AA141" s="249"/>
      <c r="AB141" s="249"/>
      <c r="AC141" s="249" t="s">
        <v>437</v>
      </c>
      <c r="AD141" s="293"/>
    </row>
    <row r="142" spans="14:30">
      <c r="X142" s="292">
        <v>12</v>
      </c>
      <c r="Y142" s="249"/>
      <c r="Z142" s="249"/>
      <c r="AA142" s="249"/>
      <c r="AB142" s="249"/>
      <c r="AC142" s="249" t="s">
        <v>439</v>
      </c>
      <c r="AD142" s="293"/>
    </row>
    <row r="143" spans="14:30">
      <c r="X143" s="292">
        <v>12</v>
      </c>
      <c r="Y143" s="249"/>
      <c r="Z143" s="249"/>
      <c r="AA143" s="249"/>
      <c r="AB143" s="249"/>
      <c r="AC143" s="249" t="s">
        <v>440</v>
      </c>
      <c r="AD143" s="293"/>
    </row>
    <row r="144" spans="14:30">
      <c r="X144" s="292">
        <v>12</v>
      </c>
      <c r="Y144" s="249"/>
      <c r="Z144" s="249"/>
      <c r="AA144" s="249"/>
      <c r="AB144" s="249"/>
      <c r="AC144" s="249" t="s">
        <v>441</v>
      </c>
      <c r="AD144" s="293"/>
    </row>
    <row r="145" spans="24:30">
      <c r="X145" s="292">
        <v>12</v>
      </c>
      <c r="Y145" s="249"/>
      <c r="Z145" s="249"/>
      <c r="AA145" s="249"/>
      <c r="AB145" s="249"/>
      <c r="AC145" s="249" t="s">
        <v>442</v>
      </c>
      <c r="AD145" s="293"/>
    </row>
    <row r="146" spans="24:30">
      <c r="X146" s="292">
        <v>12</v>
      </c>
      <c r="Y146" s="249"/>
      <c r="Z146" s="249"/>
      <c r="AA146" s="249"/>
      <c r="AB146" s="249"/>
      <c r="AC146" s="249" t="s">
        <v>443</v>
      </c>
      <c r="AD146" s="293"/>
    </row>
    <row r="147" spans="24:30">
      <c r="X147" s="292">
        <v>12</v>
      </c>
      <c r="Y147" s="249"/>
      <c r="Z147" s="249"/>
      <c r="AA147" s="249"/>
      <c r="AB147" s="249"/>
      <c r="AC147" s="249" t="s">
        <v>444</v>
      </c>
      <c r="AD147" s="293"/>
    </row>
    <row r="148" spans="24:30">
      <c r="X148" s="292">
        <v>12</v>
      </c>
      <c r="Y148" s="249"/>
      <c r="Z148" s="249"/>
      <c r="AA148" s="249"/>
      <c r="AB148" s="249"/>
      <c r="AC148" s="249" t="s">
        <v>445</v>
      </c>
      <c r="AD148" s="293"/>
    </row>
    <row r="149" spans="24:30">
      <c r="X149" s="292">
        <v>12</v>
      </c>
      <c r="Y149" s="249"/>
      <c r="Z149" s="249"/>
      <c r="AA149" s="249"/>
      <c r="AB149" s="249"/>
      <c r="AC149" s="249" t="s">
        <v>446</v>
      </c>
      <c r="AD149" s="293"/>
    </row>
    <row r="150" spans="24:30">
      <c r="X150" s="292">
        <v>12</v>
      </c>
      <c r="Y150" s="249"/>
      <c r="Z150" s="249"/>
      <c r="AA150" s="249"/>
      <c r="AB150" s="249"/>
      <c r="AC150" s="249" t="s">
        <v>1713</v>
      </c>
      <c r="AD150" s="293"/>
    </row>
    <row r="151" spans="24:30">
      <c r="X151" s="292">
        <v>12</v>
      </c>
      <c r="Y151" s="249"/>
      <c r="Z151" s="249"/>
      <c r="AA151" s="249"/>
      <c r="AB151" s="249"/>
      <c r="AC151" s="249" t="s">
        <v>448</v>
      </c>
      <c r="AD151" s="293"/>
    </row>
    <row r="152" spans="24:30">
      <c r="X152" s="292">
        <v>12</v>
      </c>
      <c r="Y152" s="249">
        <v>170</v>
      </c>
      <c r="Z152" s="249">
        <v>65</v>
      </c>
      <c r="AA152" s="249"/>
      <c r="AB152" s="249"/>
      <c r="AC152" s="249" t="s">
        <v>449</v>
      </c>
      <c r="AD152" s="293"/>
    </row>
    <row r="153" spans="24:30">
      <c r="X153" s="292">
        <v>12</v>
      </c>
      <c r="Y153" s="249"/>
      <c r="Z153" s="249"/>
      <c r="AA153" s="249"/>
      <c r="AB153" s="249"/>
      <c r="AC153" s="249" t="s">
        <v>451</v>
      </c>
      <c r="AD153" s="293"/>
    </row>
    <row r="154" spans="24:30">
      <c r="X154" s="292">
        <v>12</v>
      </c>
      <c r="Y154" s="249"/>
      <c r="Z154" s="249"/>
      <c r="AA154" s="249"/>
      <c r="AB154" s="249"/>
      <c r="AC154" s="249" t="s">
        <v>452</v>
      </c>
      <c r="AD154" s="293"/>
    </row>
    <row r="155" spans="24:30">
      <c r="X155" s="292">
        <v>12</v>
      </c>
      <c r="Y155" s="249"/>
      <c r="Z155" s="249"/>
      <c r="AA155" s="249"/>
      <c r="AB155" s="249"/>
      <c r="AC155" s="249" t="s">
        <v>453</v>
      </c>
      <c r="AD155" s="293"/>
    </row>
    <row r="156" spans="24:30">
      <c r="X156" s="292">
        <v>12</v>
      </c>
      <c r="Y156" s="249"/>
      <c r="Z156" s="249"/>
      <c r="AA156" s="249"/>
      <c r="AB156" s="249"/>
      <c r="AC156" s="249" t="s">
        <v>454</v>
      </c>
      <c r="AD156" s="293"/>
    </row>
    <row r="157" spans="24:30">
      <c r="X157" s="292">
        <v>12</v>
      </c>
      <c r="Y157" s="249"/>
      <c r="Z157" s="249"/>
      <c r="AA157" s="249"/>
      <c r="AB157" s="249"/>
      <c r="AC157" s="249" t="s">
        <v>455</v>
      </c>
      <c r="AD157" s="293"/>
    </row>
    <row r="158" spans="24:30">
      <c r="X158" s="292">
        <v>12</v>
      </c>
      <c r="Y158" s="249"/>
      <c r="Z158" s="249"/>
      <c r="AA158" s="249"/>
      <c r="AB158" s="249"/>
      <c r="AC158" s="249" t="s">
        <v>456</v>
      </c>
      <c r="AD158" s="293"/>
    </row>
    <row r="159" spans="24:30">
      <c r="X159" s="292">
        <v>12</v>
      </c>
      <c r="Y159" s="249"/>
      <c r="Z159" s="249"/>
      <c r="AA159" s="249"/>
      <c r="AB159" s="249"/>
      <c r="AC159" s="249" t="s">
        <v>1693</v>
      </c>
      <c r="AD159" s="293"/>
    </row>
    <row r="160" spans="24:30">
      <c r="X160" s="292">
        <v>12</v>
      </c>
      <c r="Y160" s="249"/>
      <c r="Z160" s="249"/>
      <c r="AA160" s="249"/>
      <c r="AB160" s="249"/>
      <c r="AC160" s="249" t="s">
        <v>1705</v>
      </c>
      <c r="AD160" s="293"/>
    </row>
    <row r="161" spans="24:30">
      <c r="X161" s="292">
        <v>12</v>
      </c>
      <c r="Y161" s="249"/>
      <c r="Z161" s="249"/>
      <c r="AA161" s="249"/>
      <c r="AB161" s="249"/>
      <c r="AC161" s="249" t="s">
        <v>459</v>
      </c>
      <c r="AD161" s="293"/>
    </row>
    <row r="162" spans="24:30">
      <c r="X162" s="292">
        <v>12</v>
      </c>
      <c r="Y162" s="249"/>
      <c r="Z162" s="249"/>
      <c r="AA162" s="249"/>
      <c r="AB162" s="249"/>
      <c r="AC162" s="249" t="s">
        <v>460</v>
      </c>
      <c r="AD162" s="293"/>
    </row>
    <row r="163" spans="24:30">
      <c r="X163" s="292">
        <v>12</v>
      </c>
      <c r="Y163" s="249"/>
      <c r="Z163" s="249"/>
      <c r="AA163" s="249"/>
      <c r="AB163" s="249"/>
      <c r="AC163" s="249" t="s">
        <v>461</v>
      </c>
      <c r="AD163" s="293"/>
    </row>
    <row r="164" spans="24:30">
      <c r="X164" s="292">
        <v>14</v>
      </c>
      <c r="Y164" s="249">
        <v>330</v>
      </c>
      <c r="Z164" s="249">
        <v>38</v>
      </c>
      <c r="AA164" s="249">
        <v>280</v>
      </c>
      <c r="AB164" s="249">
        <v>260</v>
      </c>
      <c r="AC164" s="249" t="s">
        <v>361</v>
      </c>
      <c r="AD164" s="293"/>
    </row>
    <row r="165" spans="24:30">
      <c r="X165" s="292">
        <v>11</v>
      </c>
      <c r="Y165" s="249"/>
      <c r="Z165" s="249"/>
      <c r="AA165" s="249"/>
      <c r="AB165" s="249"/>
      <c r="AC165" s="249"/>
      <c r="AD165" s="293">
        <v>11</v>
      </c>
    </row>
    <row r="166" spans="24:30">
      <c r="X166" s="292">
        <v>12</v>
      </c>
      <c r="Y166" s="249">
        <v>360</v>
      </c>
      <c r="Z166" s="249">
        <v>65</v>
      </c>
      <c r="AA166" s="249"/>
      <c r="AB166" s="249"/>
      <c r="AC166" s="249" t="s">
        <v>436</v>
      </c>
      <c r="AD166" s="293"/>
    </row>
    <row r="167" spans="24:30">
      <c r="X167" s="292">
        <v>12</v>
      </c>
      <c r="Y167" s="249"/>
      <c r="Z167" s="249"/>
      <c r="AA167" s="249"/>
      <c r="AB167" s="249"/>
      <c r="AC167" s="249" t="s">
        <v>437</v>
      </c>
      <c r="AD167" s="293"/>
    </row>
    <row r="168" spans="24:30">
      <c r="X168" s="292">
        <v>12</v>
      </c>
      <c r="Y168" s="249"/>
      <c r="Z168" s="249"/>
      <c r="AA168" s="249"/>
      <c r="AB168" s="249"/>
      <c r="AC168" s="249" t="s">
        <v>439</v>
      </c>
      <c r="AD168" s="293"/>
    </row>
    <row r="169" spans="24:30">
      <c r="X169" s="292">
        <v>12</v>
      </c>
      <c r="Y169" s="249"/>
      <c r="Z169" s="249"/>
      <c r="AA169" s="249"/>
      <c r="AB169" s="249"/>
      <c r="AC169" s="249" t="s">
        <v>440</v>
      </c>
      <c r="AD169" s="293"/>
    </row>
    <row r="170" spans="24:30">
      <c r="X170" s="292">
        <v>12</v>
      </c>
      <c r="Y170" s="249"/>
      <c r="Z170" s="249"/>
      <c r="AA170" s="249"/>
      <c r="AB170" s="249"/>
      <c r="AC170" s="249" t="s">
        <v>441</v>
      </c>
      <c r="AD170" s="293"/>
    </row>
    <row r="171" spans="24:30">
      <c r="X171" s="292">
        <v>12</v>
      </c>
      <c r="Y171" s="249"/>
      <c r="Z171" s="249"/>
      <c r="AA171" s="249"/>
      <c r="AB171" s="249"/>
      <c r="AC171" s="249" t="s">
        <v>442</v>
      </c>
      <c r="AD171" s="293"/>
    </row>
    <row r="172" spans="24:30">
      <c r="X172" s="292">
        <v>12</v>
      </c>
      <c r="Y172" s="249"/>
      <c r="Z172" s="249"/>
      <c r="AA172" s="249"/>
      <c r="AB172" s="249"/>
      <c r="AC172" s="249" t="s">
        <v>443</v>
      </c>
      <c r="AD172" s="293"/>
    </row>
    <row r="173" spans="24:30">
      <c r="X173" s="292">
        <v>12</v>
      </c>
      <c r="Y173" s="249"/>
      <c r="Z173" s="249"/>
      <c r="AA173" s="249"/>
      <c r="AB173" s="249"/>
      <c r="AC173" s="249" t="s">
        <v>444</v>
      </c>
      <c r="AD173" s="293"/>
    </row>
    <row r="174" spans="24:30">
      <c r="X174" s="292">
        <v>12</v>
      </c>
      <c r="Y174" s="249"/>
      <c r="Z174" s="249"/>
      <c r="AA174" s="249"/>
      <c r="AB174" s="249"/>
      <c r="AC174" s="249" t="s">
        <v>445</v>
      </c>
      <c r="AD174" s="293"/>
    </row>
    <row r="175" spans="24:30">
      <c r="X175" s="292">
        <v>12</v>
      </c>
      <c r="Y175" s="249"/>
      <c r="Z175" s="249"/>
      <c r="AA175" s="249"/>
      <c r="AB175" s="249"/>
      <c r="AC175" s="249" t="s">
        <v>446</v>
      </c>
      <c r="AD175" s="293"/>
    </row>
    <row r="176" spans="24:30">
      <c r="X176" s="292">
        <v>12</v>
      </c>
      <c r="Y176" s="249"/>
      <c r="Z176" s="249"/>
      <c r="AA176" s="249"/>
      <c r="AB176" s="249"/>
      <c r="AC176" s="249" t="s">
        <v>1713</v>
      </c>
      <c r="AD176" s="293"/>
    </row>
    <row r="177" spans="24:30">
      <c r="X177" s="292">
        <v>12</v>
      </c>
      <c r="Y177" s="249"/>
      <c r="Z177" s="249"/>
      <c r="AA177" s="249"/>
      <c r="AB177" s="249"/>
      <c r="AC177" s="249" t="s">
        <v>448</v>
      </c>
      <c r="AD177" s="293"/>
    </row>
    <row r="178" spans="24:30">
      <c r="X178" s="292">
        <v>12</v>
      </c>
      <c r="Y178" s="249">
        <v>490</v>
      </c>
      <c r="Z178" s="249">
        <v>65</v>
      </c>
      <c r="AA178" s="249"/>
      <c r="AB178" s="249"/>
      <c r="AC178" s="249" t="s">
        <v>449</v>
      </c>
      <c r="AD178" s="293"/>
    </row>
    <row r="179" spans="24:30">
      <c r="X179" s="292">
        <v>12</v>
      </c>
      <c r="Y179" s="249"/>
      <c r="Z179" s="249"/>
      <c r="AA179" s="249"/>
      <c r="AB179" s="249"/>
      <c r="AC179" s="249" t="s">
        <v>451</v>
      </c>
      <c r="AD179" s="293"/>
    </row>
    <row r="180" spans="24:30">
      <c r="X180" s="292">
        <v>12</v>
      </c>
      <c r="Y180" s="249"/>
      <c r="Z180" s="249"/>
      <c r="AA180" s="249"/>
      <c r="AB180" s="249"/>
      <c r="AC180" s="249" t="s">
        <v>452</v>
      </c>
      <c r="AD180" s="293"/>
    </row>
    <row r="181" spans="24:30">
      <c r="X181" s="292">
        <v>12</v>
      </c>
      <c r="Y181" s="249"/>
      <c r="Z181" s="249"/>
      <c r="AA181" s="249"/>
      <c r="AB181" s="249"/>
      <c r="AC181" s="249" t="s">
        <v>453</v>
      </c>
      <c r="AD181" s="293"/>
    </row>
    <row r="182" spans="24:30">
      <c r="X182" s="292">
        <v>12</v>
      </c>
      <c r="Y182" s="249"/>
      <c r="Z182" s="249"/>
      <c r="AA182" s="249"/>
      <c r="AB182" s="249"/>
      <c r="AC182" s="249" t="s">
        <v>454</v>
      </c>
      <c r="AD182" s="293"/>
    </row>
    <row r="183" spans="24:30">
      <c r="X183" s="292">
        <v>12</v>
      </c>
      <c r="Y183" s="249"/>
      <c r="Z183" s="249"/>
      <c r="AA183" s="249"/>
      <c r="AB183" s="249"/>
      <c r="AC183" s="249" t="s">
        <v>455</v>
      </c>
      <c r="AD183" s="293"/>
    </row>
    <row r="184" spans="24:30">
      <c r="X184" s="292">
        <v>12</v>
      </c>
      <c r="Y184" s="249"/>
      <c r="Z184" s="249"/>
      <c r="AA184" s="249"/>
      <c r="AB184" s="249"/>
      <c r="AC184" s="249" t="s">
        <v>456</v>
      </c>
      <c r="AD184" s="293"/>
    </row>
    <row r="185" spans="24:30">
      <c r="X185" s="292">
        <v>12</v>
      </c>
      <c r="Y185" s="249"/>
      <c r="Z185" s="249"/>
      <c r="AA185" s="249"/>
      <c r="AB185" s="249"/>
      <c r="AC185" s="249" t="s">
        <v>1693</v>
      </c>
      <c r="AD185" s="293"/>
    </row>
    <row r="186" spans="24:30">
      <c r="X186" s="292">
        <v>12</v>
      </c>
      <c r="Y186" s="249"/>
      <c r="Z186" s="249"/>
      <c r="AA186" s="249"/>
      <c r="AB186" s="249"/>
      <c r="AC186" s="249" t="s">
        <v>1705</v>
      </c>
      <c r="AD186" s="293"/>
    </row>
    <row r="187" spans="24:30">
      <c r="X187" s="292">
        <v>12</v>
      </c>
      <c r="Y187" s="249"/>
      <c r="Z187" s="249"/>
      <c r="AA187" s="249"/>
      <c r="AB187" s="249"/>
      <c r="AC187" s="249" t="s">
        <v>459</v>
      </c>
      <c r="AD187" s="293"/>
    </row>
    <row r="188" spans="24:30">
      <c r="X188" s="292">
        <v>12</v>
      </c>
      <c r="Y188" s="249"/>
      <c r="Z188" s="249"/>
      <c r="AA188" s="249"/>
      <c r="AB188" s="249"/>
      <c r="AC188" s="249" t="s">
        <v>460</v>
      </c>
      <c r="AD188" s="293"/>
    </row>
    <row r="189" spans="24:30">
      <c r="X189" s="292">
        <v>12</v>
      </c>
      <c r="Y189" s="249"/>
      <c r="Z189" s="249"/>
      <c r="AA189" s="249"/>
      <c r="AB189" s="249"/>
      <c r="AC189" s="249" t="s">
        <v>461</v>
      </c>
      <c r="AD189" s="293"/>
    </row>
    <row r="190" spans="24:30">
      <c r="X190" s="292">
        <v>1</v>
      </c>
      <c r="Y190" s="249">
        <v>493</v>
      </c>
      <c r="Z190" s="249">
        <v>325</v>
      </c>
      <c r="AA190" s="249">
        <v>90</v>
      </c>
      <c r="AB190" s="249">
        <v>25</v>
      </c>
      <c r="AC190" s="249" t="s">
        <v>462</v>
      </c>
      <c r="AD190" s="293"/>
    </row>
    <row r="191" spans="24:30">
      <c r="X191" s="292">
        <v>2</v>
      </c>
      <c r="Y191" s="249">
        <v>370</v>
      </c>
      <c r="Z191" s="249">
        <v>328</v>
      </c>
      <c r="AA191" s="249">
        <v>88</v>
      </c>
      <c r="AB191" s="249">
        <v>25</v>
      </c>
      <c r="AC191" s="249" t="s">
        <v>464</v>
      </c>
      <c r="AD191" s="293"/>
    </row>
    <row r="192" spans="24:30" ht="13.8" thickBot="1">
      <c r="X192" s="294">
        <v>5</v>
      </c>
      <c r="Y192" s="295">
        <v>232</v>
      </c>
      <c r="Z192" s="295">
        <v>13</v>
      </c>
      <c r="AA192" s="295"/>
      <c r="AB192" s="295"/>
      <c r="AC192" s="295" t="s">
        <v>362</v>
      </c>
      <c r="AD192" s="296"/>
    </row>
    <row r="193" spans="24:30" ht="13.8" thickBot="1">
      <c r="X193" s="231" t="s">
        <v>363</v>
      </c>
    </row>
    <row r="194" spans="24:30">
      <c r="X194" s="289"/>
      <c r="Y194" s="290"/>
      <c r="Z194" s="290"/>
      <c r="AA194" s="290">
        <v>646</v>
      </c>
      <c r="AB194" s="290">
        <v>376</v>
      </c>
      <c r="AC194" s="290"/>
      <c r="AD194" s="291"/>
    </row>
    <row r="195" spans="24:30">
      <c r="X195" s="292">
        <v>14</v>
      </c>
      <c r="Y195" s="249">
        <v>15</v>
      </c>
      <c r="Z195" s="249">
        <v>38</v>
      </c>
      <c r="AA195" s="249">
        <v>280</v>
      </c>
      <c r="AB195" s="249">
        <v>260</v>
      </c>
      <c r="AC195" s="249" t="s">
        <v>364</v>
      </c>
      <c r="AD195" s="293"/>
    </row>
    <row r="196" spans="24:30">
      <c r="X196" s="292">
        <v>11</v>
      </c>
      <c r="Y196" s="249"/>
      <c r="Z196" s="249"/>
      <c r="AA196" s="249"/>
      <c r="AB196" s="249"/>
      <c r="AC196" s="249"/>
      <c r="AD196" s="293">
        <v>11</v>
      </c>
    </row>
    <row r="197" spans="24:30">
      <c r="X197" s="292">
        <v>12</v>
      </c>
      <c r="Y197" s="249">
        <v>40</v>
      </c>
      <c r="Z197" s="249">
        <v>65</v>
      </c>
      <c r="AA197" s="249"/>
      <c r="AB197" s="249"/>
      <c r="AC197" s="249" t="s">
        <v>436</v>
      </c>
      <c r="AD197" s="293"/>
    </row>
    <row r="198" spans="24:30">
      <c r="X198" s="292">
        <v>12</v>
      </c>
      <c r="Y198" s="249"/>
      <c r="Z198" s="249"/>
      <c r="AA198" s="249"/>
      <c r="AB198" s="249"/>
      <c r="AC198" s="249" t="s">
        <v>437</v>
      </c>
      <c r="AD198" s="293"/>
    </row>
    <row r="199" spans="24:30">
      <c r="X199" s="292">
        <v>12</v>
      </c>
      <c r="Y199" s="249"/>
      <c r="Z199" s="249"/>
      <c r="AA199" s="249"/>
      <c r="AB199" s="249"/>
      <c r="AC199" s="249" t="s">
        <v>439</v>
      </c>
      <c r="AD199" s="293"/>
    </row>
    <row r="200" spans="24:30">
      <c r="X200" s="292">
        <v>12</v>
      </c>
      <c r="Y200" s="249"/>
      <c r="Z200" s="249"/>
      <c r="AA200" s="249"/>
      <c r="AB200" s="249"/>
      <c r="AC200" s="249" t="s">
        <v>440</v>
      </c>
      <c r="AD200" s="293"/>
    </row>
    <row r="201" spans="24:30">
      <c r="X201" s="292">
        <v>12</v>
      </c>
      <c r="Y201" s="249"/>
      <c r="Z201" s="249"/>
      <c r="AA201" s="249"/>
      <c r="AB201" s="249"/>
      <c r="AC201" s="249" t="s">
        <v>441</v>
      </c>
      <c r="AD201" s="293"/>
    </row>
    <row r="202" spans="24:30">
      <c r="X202" s="292">
        <v>12</v>
      </c>
      <c r="Y202" s="249"/>
      <c r="Z202" s="249"/>
      <c r="AA202" s="249"/>
      <c r="AB202" s="249"/>
      <c r="AC202" s="249" t="s">
        <v>442</v>
      </c>
      <c r="AD202" s="293"/>
    </row>
    <row r="203" spans="24:30">
      <c r="X203" s="292">
        <v>12</v>
      </c>
      <c r="Y203" s="249"/>
      <c r="Z203" s="249"/>
      <c r="AA203" s="249"/>
      <c r="AB203" s="249"/>
      <c r="AC203" s="249" t="s">
        <v>443</v>
      </c>
      <c r="AD203" s="293"/>
    </row>
    <row r="204" spans="24:30">
      <c r="X204" s="292">
        <v>12</v>
      </c>
      <c r="Y204" s="249"/>
      <c r="Z204" s="249"/>
      <c r="AA204" s="249"/>
      <c r="AB204" s="249"/>
      <c r="AC204" s="249" t="s">
        <v>444</v>
      </c>
      <c r="AD204" s="293"/>
    </row>
    <row r="205" spans="24:30">
      <c r="X205" s="292">
        <v>12</v>
      </c>
      <c r="Y205" s="249"/>
      <c r="Z205" s="249"/>
      <c r="AA205" s="249"/>
      <c r="AB205" s="249"/>
      <c r="AC205" s="249" t="s">
        <v>445</v>
      </c>
      <c r="AD205" s="293"/>
    </row>
    <row r="206" spans="24:30">
      <c r="X206" s="292">
        <v>12</v>
      </c>
      <c r="Y206" s="249"/>
      <c r="Z206" s="249"/>
      <c r="AA206" s="249"/>
      <c r="AB206" s="249"/>
      <c r="AC206" s="249" t="s">
        <v>446</v>
      </c>
      <c r="AD206" s="293"/>
    </row>
    <row r="207" spans="24:30">
      <c r="X207" s="292">
        <v>12</v>
      </c>
      <c r="Y207" s="249"/>
      <c r="Z207" s="249"/>
      <c r="AA207" s="249"/>
      <c r="AB207" s="249"/>
      <c r="AC207" s="249" t="s">
        <v>1713</v>
      </c>
      <c r="AD207" s="293"/>
    </row>
    <row r="208" spans="24:30">
      <c r="X208" s="292">
        <v>12</v>
      </c>
      <c r="Y208" s="249"/>
      <c r="Z208" s="249"/>
      <c r="AA208" s="249"/>
      <c r="AB208" s="249"/>
      <c r="AC208" s="249" t="s">
        <v>448</v>
      </c>
      <c r="AD208" s="293"/>
    </row>
    <row r="209" spans="24:30">
      <c r="X209" s="292">
        <v>12</v>
      </c>
      <c r="Y209" s="249">
        <v>170</v>
      </c>
      <c r="Z209" s="249">
        <v>65</v>
      </c>
      <c r="AA209" s="249"/>
      <c r="AB209" s="249"/>
      <c r="AC209" s="249" t="s">
        <v>449</v>
      </c>
      <c r="AD209" s="293"/>
    </row>
    <row r="210" spans="24:30">
      <c r="X210" s="292">
        <v>12</v>
      </c>
      <c r="Y210" s="249"/>
      <c r="Z210" s="249"/>
      <c r="AA210" s="249"/>
      <c r="AB210" s="249"/>
      <c r="AC210" s="249" t="s">
        <v>451</v>
      </c>
      <c r="AD210" s="293"/>
    </row>
    <row r="211" spans="24:30">
      <c r="X211" s="292">
        <v>12</v>
      </c>
      <c r="Y211" s="249"/>
      <c r="Z211" s="249"/>
      <c r="AA211" s="249"/>
      <c r="AB211" s="249"/>
      <c r="AC211" s="249" t="s">
        <v>452</v>
      </c>
      <c r="AD211" s="293"/>
    </row>
    <row r="212" spans="24:30">
      <c r="X212" s="292">
        <v>12</v>
      </c>
      <c r="Y212" s="249"/>
      <c r="Z212" s="249"/>
      <c r="AA212" s="249"/>
      <c r="AB212" s="249"/>
      <c r="AC212" s="249" t="s">
        <v>453</v>
      </c>
      <c r="AD212" s="293"/>
    </row>
    <row r="213" spans="24:30">
      <c r="X213" s="292">
        <v>12</v>
      </c>
      <c r="Y213" s="249"/>
      <c r="Z213" s="249"/>
      <c r="AA213" s="249"/>
      <c r="AB213" s="249"/>
      <c r="AC213" s="249" t="s">
        <v>454</v>
      </c>
      <c r="AD213" s="293"/>
    </row>
    <row r="214" spans="24:30">
      <c r="X214" s="292">
        <v>12</v>
      </c>
      <c r="Y214" s="249"/>
      <c r="Z214" s="249"/>
      <c r="AA214" s="249"/>
      <c r="AB214" s="249"/>
      <c r="AC214" s="249" t="s">
        <v>455</v>
      </c>
      <c r="AD214" s="293"/>
    </row>
    <row r="215" spans="24:30">
      <c r="X215" s="292">
        <v>12</v>
      </c>
      <c r="Y215" s="249"/>
      <c r="Z215" s="249"/>
      <c r="AA215" s="249"/>
      <c r="AB215" s="249"/>
      <c r="AC215" s="249" t="s">
        <v>456</v>
      </c>
      <c r="AD215" s="293"/>
    </row>
    <row r="216" spans="24:30">
      <c r="X216" s="292">
        <v>12</v>
      </c>
      <c r="Y216" s="249"/>
      <c r="Z216" s="249"/>
      <c r="AA216" s="249"/>
      <c r="AB216" s="249"/>
      <c r="AC216" s="249" t="s">
        <v>1693</v>
      </c>
      <c r="AD216" s="293"/>
    </row>
    <row r="217" spans="24:30">
      <c r="X217" s="292">
        <v>12</v>
      </c>
      <c r="Y217" s="249"/>
      <c r="Z217" s="249"/>
      <c r="AA217" s="249"/>
      <c r="AB217" s="249"/>
      <c r="AC217" s="249" t="s">
        <v>1705</v>
      </c>
      <c r="AD217" s="293"/>
    </row>
    <row r="218" spans="24:30">
      <c r="X218" s="292">
        <v>12</v>
      </c>
      <c r="Y218" s="249"/>
      <c r="Z218" s="249"/>
      <c r="AA218" s="249"/>
      <c r="AB218" s="249"/>
      <c r="AC218" s="249" t="s">
        <v>459</v>
      </c>
      <c r="AD218" s="293"/>
    </row>
    <row r="219" spans="24:30">
      <c r="X219" s="292">
        <v>12</v>
      </c>
      <c r="Y219" s="249"/>
      <c r="Z219" s="249"/>
      <c r="AA219" s="249"/>
      <c r="AB219" s="249"/>
      <c r="AC219" s="249" t="s">
        <v>460</v>
      </c>
      <c r="AD219" s="293"/>
    </row>
    <row r="220" spans="24:30">
      <c r="X220" s="292">
        <v>12</v>
      </c>
      <c r="Y220" s="249"/>
      <c r="Z220" s="249"/>
      <c r="AA220" s="249"/>
      <c r="AB220" s="249"/>
      <c r="AC220" s="249" t="s">
        <v>461</v>
      </c>
      <c r="AD220" s="293"/>
    </row>
    <row r="221" spans="24:30">
      <c r="X221" s="292">
        <v>14</v>
      </c>
      <c r="Y221" s="249">
        <v>330</v>
      </c>
      <c r="Z221" s="249">
        <v>38</v>
      </c>
      <c r="AA221" s="249">
        <v>280</v>
      </c>
      <c r="AB221" s="249">
        <v>260</v>
      </c>
      <c r="AC221" s="249" t="s">
        <v>365</v>
      </c>
      <c r="AD221" s="293"/>
    </row>
    <row r="222" spans="24:30">
      <c r="X222" s="292">
        <v>11</v>
      </c>
      <c r="Y222" s="249"/>
      <c r="Z222" s="249"/>
      <c r="AA222" s="249"/>
      <c r="AB222" s="249"/>
      <c r="AC222" s="249"/>
      <c r="AD222" s="293">
        <v>11</v>
      </c>
    </row>
    <row r="223" spans="24:30">
      <c r="X223" s="292">
        <v>12</v>
      </c>
      <c r="Y223" s="249">
        <v>360</v>
      </c>
      <c r="Z223" s="249">
        <v>65</v>
      </c>
      <c r="AA223" s="249"/>
      <c r="AB223" s="249"/>
      <c r="AC223" s="249" t="s">
        <v>436</v>
      </c>
      <c r="AD223" s="293"/>
    </row>
    <row r="224" spans="24:30">
      <c r="X224" s="292">
        <v>12</v>
      </c>
      <c r="Y224" s="249"/>
      <c r="Z224" s="249"/>
      <c r="AA224" s="249"/>
      <c r="AB224" s="249"/>
      <c r="AC224" s="249" t="s">
        <v>437</v>
      </c>
      <c r="AD224" s="293"/>
    </row>
    <row r="225" spans="24:30">
      <c r="X225" s="292">
        <v>12</v>
      </c>
      <c r="Y225" s="249"/>
      <c r="Z225" s="249"/>
      <c r="AA225" s="249"/>
      <c r="AB225" s="249"/>
      <c r="AC225" s="249" t="s">
        <v>439</v>
      </c>
      <c r="AD225" s="293"/>
    </row>
    <row r="226" spans="24:30">
      <c r="X226" s="292">
        <v>12</v>
      </c>
      <c r="Y226" s="249"/>
      <c r="Z226" s="249"/>
      <c r="AA226" s="249"/>
      <c r="AB226" s="249"/>
      <c r="AC226" s="249" t="s">
        <v>440</v>
      </c>
      <c r="AD226" s="293"/>
    </row>
    <row r="227" spans="24:30">
      <c r="X227" s="292">
        <v>12</v>
      </c>
      <c r="Y227" s="249"/>
      <c r="Z227" s="249"/>
      <c r="AA227" s="249"/>
      <c r="AB227" s="249"/>
      <c r="AC227" s="249" t="s">
        <v>441</v>
      </c>
      <c r="AD227" s="293"/>
    </row>
    <row r="228" spans="24:30">
      <c r="X228" s="292">
        <v>12</v>
      </c>
      <c r="Y228" s="249"/>
      <c r="Z228" s="249"/>
      <c r="AA228" s="249"/>
      <c r="AB228" s="249"/>
      <c r="AC228" s="249" t="s">
        <v>442</v>
      </c>
      <c r="AD228" s="293"/>
    </row>
    <row r="229" spans="24:30">
      <c r="X229" s="292">
        <v>12</v>
      </c>
      <c r="Y229" s="249"/>
      <c r="Z229" s="249"/>
      <c r="AA229" s="249"/>
      <c r="AB229" s="249"/>
      <c r="AC229" s="249" t="s">
        <v>443</v>
      </c>
      <c r="AD229" s="293"/>
    </row>
    <row r="230" spans="24:30">
      <c r="X230" s="292">
        <v>12</v>
      </c>
      <c r="Y230" s="249"/>
      <c r="Z230" s="249"/>
      <c r="AA230" s="249"/>
      <c r="AB230" s="249"/>
      <c r="AC230" s="249" t="s">
        <v>444</v>
      </c>
      <c r="AD230" s="293"/>
    </row>
    <row r="231" spans="24:30">
      <c r="X231" s="292">
        <v>12</v>
      </c>
      <c r="Y231" s="249"/>
      <c r="Z231" s="249"/>
      <c r="AA231" s="249"/>
      <c r="AB231" s="249"/>
      <c r="AC231" s="249" t="s">
        <v>445</v>
      </c>
      <c r="AD231" s="293"/>
    </row>
    <row r="232" spans="24:30">
      <c r="X232" s="292">
        <v>12</v>
      </c>
      <c r="Y232" s="249"/>
      <c r="Z232" s="249"/>
      <c r="AA232" s="249"/>
      <c r="AB232" s="249"/>
      <c r="AC232" s="249" t="s">
        <v>446</v>
      </c>
      <c r="AD232" s="293"/>
    </row>
    <row r="233" spans="24:30">
      <c r="X233" s="292">
        <v>12</v>
      </c>
      <c r="Y233" s="249"/>
      <c r="Z233" s="249"/>
      <c r="AA233" s="249"/>
      <c r="AB233" s="249"/>
      <c r="AC233" s="249" t="s">
        <v>1713</v>
      </c>
      <c r="AD233" s="293"/>
    </row>
    <row r="234" spans="24:30">
      <c r="X234" s="292">
        <v>12</v>
      </c>
      <c r="Y234" s="249"/>
      <c r="Z234" s="249"/>
      <c r="AA234" s="249"/>
      <c r="AB234" s="249"/>
      <c r="AC234" s="249" t="s">
        <v>448</v>
      </c>
      <c r="AD234" s="293"/>
    </row>
    <row r="235" spans="24:30">
      <c r="X235" s="292">
        <v>12</v>
      </c>
      <c r="Y235" s="249">
        <v>490</v>
      </c>
      <c r="Z235" s="249">
        <v>65</v>
      </c>
      <c r="AA235" s="249"/>
      <c r="AB235" s="249"/>
      <c r="AC235" s="249" t="s">
        <v>449</v>
      </c>
      <c r="AD235" s="293"/>
    </row>
    <row r="236" spans="24:30">
      <c r="X236" s="292">
        <v>12</v>
      </c>
      <c r="Y236" s="249"/>
      <c r="Z236" s="249"/>
      <c r="AA236" s="249"/>
      <c r="AB236" s="249"/>
      <c r="AC236" s="249" t="s">
        <v>451</v>
      </c>
      <c r="AD236" s="293"/>
    </row>
    <row r="237" spans="24:30">
      <c r="X237" s="292">
        <v>12</v>
      </c>
      <c r="Y237" s="249"/>
      <c r="Z237" s="249"/>
      <c r="AA237" s="249"/>
      <c r="AB237" s="249"/>
      <c r="AC237" s="249" t="s">
        <v>452</v>
      </c>
      <c r="AD237" s="293"/>
    </row>
    <row r="238" spans="24:30">
      <c r="X238" s="292">
        <v>12</v>
      </c>
      <c r="Y238" s="249"/>
      <c r="Z238" s="249"/>
      <c r="AA238" s="249"/>
      <c r="AB238" s="249"/>
      <c r="AC238" s="249" t="s">
        <v>453</v>
      </c>
      <c r="AD238" s="293"/>
    </row>
    <row r="239" spans="24:30">
      <c r="X239" s="292">
        <v>12</v>
      </c>
      <c r="Y239" s="249"/>
      <c r="Z239" s="249"/>
      <c r="AA239" s="249"/>
      <c r="AB239" s="249"/>
      <c r="AC239" s="249" t="s">
        <v>454</v>
      </c>
      <c r="AD239" s="293"/>
    </row>
    <row r="240" spans="24:30">
      <c r="X240" s="292">
        <v>12</v>
      </c>
      <c r="Y240" s="249"/>
      <c r="Z240" s="249"/>
      <c r="AA240" s="249"/>
      <c r="AB240" s="249"/>
      <c r="AC240" s="249" t="s">
        <v>455</v>
      </c>
      <c r="AD240" s="293"/>
    </row>
    <row r="241" spans="24:30">
      <c r="X241" s="292">
        <v>12</v>
      </c>
      <c r="Y241" s="249"/>
      <c r="Z241" s="249"/>
      <c r="AA241" s="249"/>
      <c r="AB241" s="249"/>
      <c r="AC241" s="249" t="s">
        <v>456</v>
      </c>
      <c r="AD241" s="293"/>
    </row>
    <row r="242" spans="24:30">
      <c r="X242" s="292">
        <v>12</v>
      </c>
      <c r="Y242" s="249"/>
      <c r="Z242" s="249"/>
      <c r="AA242" s="249"/>
      <c r="AB242" s="249"/>
      <c r="AC242" s="249" t="s">
        <v>1693</v>
      </c>
      <c r="AD242" s="293"/>
    </row>
    <row r="243" spans="24:30">
      <c r="X243" s="292">
        <v>12</v>
      </c>
      <c r="Y243" s="249"/>
      <c r="Z243" s="249"/>
      <c r="AA243" s="249"/>
      <c r="AB243" s="249"/>
      <c r="AC243" s="249" t="s">
        <v>1705</v>
      </c>
      <c r="AD243" s="293"/>
    </row>
    <row r="244" spans="24:30">
      <c r="X244" s="292">
        <v>12</v>
      </c>
      <c r="Y244" s="249"/>
      <c r="Z244" s="249"/>
      <c r="AA244" s="249"/>
      <c r="AB244" s="249"/>
      <c r="AC244" s="249" t="s">
        <v>459</v>
      </c>
      <c r="AD244" s="293"/>
    </row>
    <row r="245" spans="24:30">
      <c r="X245" s="292">
        <v>12</v>
      </c>
      <c r="Y245" s="249"/>
      <c r="Z245" s="249"/>
      <c r="AA245" s="249"/>
      <c r="AB245" s="249"/>
      <c r="AC245" s="249" t="s">
        <v>460</v>
      </c>
      <c r="AD245" s="293"/>
    </row>
    <row r="246" spans="24:30">
      <c r="X246" s="292">
        <v>12</v>
      </c>
      <c r="Y246" s="249"/>
      <c r="Z246" s="249"/>
      <c r="AA246" s="249"/>
      <c r="AB246" s="249"/>
      <c r="AC246" s="249" t="s">
        <v>461</v>
      </c>
      <c r="AD246" s="293"/>
    </row>
    <row r="247" spans="24:30">
      <c r="X247" s="292">
        <v>1</v>
      </c>
      <c r="Y247" s="249">
        <v>493</v>
      </c>
      <c r="Z247" s="249">
        <v>325</v>
      </c>
      <c r="AA247" s="249">
        <v>90</v>
      </c>
      <c r="AB247" s="249">
        <v>25</v>
      </c>
      <c r="AC247" s="249" t="s">
        <v>462</v>
      </c>
      <c r="AD247" s="293"/>
    </row>
    <row r="248" spans="24:30">
      <c r="X248" s="292">
        <v>2</v>
      </c>
      <c r="Y248" s="249">
        <v>370</v>
      </c>
      <c r="Z248" s="249">
        <v>328</v>
      </c>
      <c r="AA248" s="249">
        <v>88</v>
      </c>
      <c r="AB248" s="249">
        <v>25</v>
      </c>
      <c r="AC248" s="249" t="s">
        <v>464</v>
      </c>
      <c r="AD248" s="293"/>
    </row>
    <row r="249" spans="24:30" ht="13.8" thickBot="1">
      <c r="X249" s="294">
        <v>5</v>
      </c>
      <c r="Y249" s="295">
        <v>232</v>
      </c>
      <c r="Z249" s="295">
        <v>13</v>
      </c>
      <c r="AA249" s="295"/>
      <c r="AB249" s="295"/>
      <c r="AC249" s="295" t="s">
        <v>366</v>
      </c>
      <c r="AD249" s="296"/>
    </row>
  </sheetData>
  <phoneticPr fontId="1" type="noConversion"/>
  <printOptions gridLines="1" gridLinesSet="0"/>
  <pageMargins left="0.75" right="0.75" top="1" bottom="1" header="0.5" footer="0.5"/>
  <pageSetup scale="68" orientation="landscape" horizontalDpi="4294967292" verticalDpi="4294967292"/>
  <headerFooter alignWithMargins="0">
    <oddHeader>&amp;F</oddHeader>
    <oddFooter>Page &amp;P</oddFooter>
  </headerFooter>
  <drawing r:id="rId1"/>
  <legacyDrawing r:id="rId2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1100-000000000000}">
  <dimension ref="B1:BK254"/>
  <sheetViews>
    <sheetView showFormulas="1" workbookViewId="0"/>
  </sheetViews>
  <sheetFormatPr defaultColWidth="5.08984375" defaultRowHeight="12.6"/>
  <cols>
    <col min="1" max="1" width="0.6328125" style="359" customWidth="1"/>
    <col min="2" max="3" width="2.6328125" style="359" customWidth="1"/>
    <col min="4" max="4" width="3.453125" style="359" customWidth="1"/>
    <col min="5" max="5" width="2.6328125" style="359" customWidth="1"/>
    <col min="6" max="6" width="3.08984375" style="359" customWidth="1"/>
    <col min="7" max="7" width="2.90625" style="359" customWidth="1"/>
    <col min="8" max="8" width="1.453125" style="359" customWidth="1"/>
    <col min="9" max="10" width="2.08984375" style="359" customWidth="1"/>
    <col min="11" max="11" width="2.453125" style="359" customWidth="1"/>
    <col min="12" max="12" width="2.08984375" style="359" customWidth="1"/>
    <col min="13" max="13" width="2.453125" style="359" customWidth="1"/>
    <col min="14" max="14" width="2.08984375" style="359" customWidth="1"/>
    <col min="15" max="15" width="1.453125" style="359" customWidth="1"/>
    <col min="16" max="22" width="2.08984375" style="359" customWidth="1"/>
    <col min="23" max="29" width="1.453125" style="359" customWidth="1"/>
    <col min="30" max="30" width="2.08984375" style="359" customWidth="1"/>
    <col min="31" max="31" width="1.453125" style="359" customWidth="1"/>
    <col min="32" max="36" width="2.08984375" style="359" customWidth="1"/>
    <col min="37" max="37" width="1.36328125" style="359" customWidth="1"/>
    <col min="38" max="38" width="2.6328125" style="359" customWidth="1"/>
    <col min="39" max="40" width="2.453125" style="359" customWidth="1"/>
    <col min="41" max="41" width="9.453125" style="359" customWidth="1"/>
    <col min="42" max="16384" width="5.08984375" style="359"/>
  </cols>
  <sheetData>
    <row r="1" spans="2:41" ht="39" customHeight="1" thickBot="1"/>
    <row r="2" spans="2:41" ht="12" customHeight="1">
      <c r="B2" s="360" t="s">
        <v>1056</v>
      </c>
      <c r="C2" s="361"/>
      <c r="D2" s="361"/>
      <c r="E2" s="362" t="s">
        <v>993</v>
      </c>
      <c r="F2" s="363"/>
      <c r="V2" s="364"/>
      <c r="AE2" s="364"/>
      <c r="AF2" s="364"/>
      <c r="AG2" s="364"/>
      <c r="AH2" s="364"/>
      <c r="AI2" s="364"/>
      <c r="AJ2" s="364"/>
      <c r="AK2" s="364"/>
      <c r="AL2" s="364"/>
      <c r="AM2" s="364"/>
      <c r="AN2" s="364"/>
      <c r="AO2" s="364" t="s">
        <v>1057</v>
      </c>
    </row>
    <row r="3" spans="2:41" ht="12" customHeight="1">
      <c r="B3" s="365" t="s">
        <v>1009</v>
      </c>
      <c r="C3" s="366" t="s">
        <v>1010</v>
      </c>
      <c r="D3" s="366" t="s">
        <v>1011</v>
      </c>
      <c r="E3" s="366" t="s">
        <v>1012</v>
      </c>
      <c r="F3" s="367" t="s">
        <v>1013</v>
      </c>
      <c r="G3" s="364"/>
      <c r="H3" s="368" t="s">
        <v>378</v>
      </c>
      <c r="I3" s="368" t="s">
        <v>995</v>
      </c>
      <c r="J3" s="368" t="s">
        <v>996</v>
      </c>
      <c r="K3" s="368" t="s">
        <v>997</v>
      </c>
      <c r="L3" s="368" t="s">
        <v>998</v>
      </c>
      <c r="M3" s="368" t="s">
        <v>999</v>
      </c>
      <c r="N3" s="368" t="s">
        <v>41</v>
      </c>
      <c r="O3" s="369" t="s">
        <v>381</v>
      </c>
      <c r="P3" s="368" t="s">
        <v>1058</v>
      </c>
      <c r="R3" s="368" t="s">
        <v>1001</v>
      </c>
      <c r="S3" s="368" t="s">
        <v>1002</v>
      </c>
      <c r="T3" s="368" t="s">
        <v>1003</v>
      </c>
      <c r="U3" s="368" t="s">
        <v>1004</v>
      </c>
      <c r="W3" s="370" t="s">
        <v>381</v>
      </c>
      <c r="X3" s="371"/>
      <c r="Y3" s="372" t="s">
        <v>1059</v>
      </c>
      <c r="Z3" s="372"/>
      <c r="AA3" s="372" t="s">
        <v>1006</v>
      </c>
      <c r="AB3" s="373"/>
      <c r="AC3" s="374" t="s">
        <v>1060</v>
      </c>
      <c r="AD3" s="371"/>
      <c r="AE3" s="374" t="s">
        <v>1061</v>
      </c>
      <c r="AF3" s="374" t="s">
        <v>1062</v>
      </c>
      <c r="AO3" s="359" t="b">
        <f>DIALOG.BOX(MAT12t)</f>
        <v>0</v>
      </c>
    </row>
    <row r="4" spans="2:41" ht="12" customHeight="1">
      <c r="B4" s="573">
        <v>0</v>
      </c>
      <c r="C4" s="574">
        <v>1</v>
      </c>
      <c r="D4" s="375"/>
      <c r="E4" s="376"/>
      <c r="F4" s="377" t="s">
        <v>1065</v>
      </c>
      <c r="G4" s="378"/>
      <c r="H4" s="368">
        <v>0</v>
      </c>
      <c r="I4" s="368">
        <v>0</v>
      </c>
      <c r="J4" s="368">
        <v>0</v>
      </c>
      <c r="K4" s="368">
        <v>0</v>
      </c>
      <c r="L4" s="368">
        <v>0</v>
      </c>
      <c r="M4" s="368">
        <v>0</v>
      </c>
      <c r="N4" s="368">
        <v>0</v>
      </c>
      <c r="O4" s="368">
        <v>0</v>
      </c>
      <c r="P4" s="368">
        <v>0</v>
      </c>
      <c r="R4" s="379"/>
      <c r="S4" s="379"/>
      <c r="T4" s="379"/>
      <c r="U4" s="379"/>
      <c r="W4" s="380">
        <v>1</v>
      </c>
      <c r="X4" s="359" t="s">
        <v>1014</v>
      </c>
      <c r="Z4" s="359">
        <v>3</v>
      </c>
      <c r="AA4" s="381" t="s">
        <v>1015</v>
      </c>
      <c r="AB4" s="382" t="s">
        <v>1063</v>
      </c>
      <c r="AC4" s="383">
        <v>1</v>
      </c>
      <c r="AD4" s="383">
        <v>0</v>
      </c>
      <c r="AE4" s="384">
        <v>3</v>
      </c>
      <c r="AF4" s="385">
        <v>1000</v>
      </c>
      <c r="AO4" s="359" t="b">
        <f>RETURN()</f>
        <v>1</v>
      </c>
    </row>
    <row r="5" spans="2:41" ht="12" customHeight="1">
      <c r="B5" s="573">
        <v>90</v>
      </c>
      <c r="C5" s="574">
        <v>1</v>
      </c>
      <c r="D5" s="386"/>
      <c r="E5" s="376" t="s">
        <v>1015</v>
      </c>
      <c r="F5" s="377"/>
      <c r="G5" s="381"/>
      <c r="H5" s="379">
        <v>4.66780630807847</v>
      </c>
      <c r="I5" s="379">
        <v>325.23286297077141</v>
      </c>
      <c r="J5" s="379">
        <v>-1.3818151048735496</v>
      </c>
      <c r="K5" s="379">
        <v>0</v>
      </c>
      <c r="L5" s="379">
        <v>8.9175173353502715E-17</v>
      </c>
      <c r="M5" s="379">
        <v>0</v>
      </c>
      <c r="N5" s="387">
        <v>759.06200468469365</v>
      </c>
      <c r="O5" s="379">
        <v>0.65046572594154284</v>
      </c>
      <c r="P5" s="379">
        <v>2.4597760284510231</v>
      </c>
      <c r="R5" s="379">
        <v>54.342501949558411</v>
      </c>
      <c r="S5" s="379">
        <v>0</v>
      </c>
      <c r="T5" s="379">
        <v>32.523286297077128</v>
      </c>
      <c r="U5" s="379">
        <v>0</v>
      </c>
      <c r="W5" s="380">
        <v>4</v>
      </c>
      <c r="X5" s="359" t="s">
        <v>1018</v>
      </c>
      <c r="Y5" s="359">
        <v>1</v>
      </c>
      <c r="AA5" s="381" t="s">
        <v>1019</v>
      </c>
      <c r="AB5" s="382" t="s">
        <v>1064</v>
      </c>
      <c r="AC5" s="383">
        <v>0</v>
      </c>
      <c r="AD5" s="383">
        <v>1</v>
      </c>
      <c r="AF5" s="388">
        <v>3.6094899999999999E-2</v>
      </c>
    </row>
    <row r="6" spans="2:41" ht="12" customHeight="1">
      <c r="B6" s="573">
        <v>45</v>
      </c>
      <c r="C6" s="574">
        <v>1</v>
      </c>
      <c r="D6" s="386"/>
      <c r="E6" s="376" t="s">
        <v>1019</v>
      </c>
      <c r="F6" s="377"/>
      <c r="G6" s="381"/>
      <c r="H6" s="379">
        <v>5.5127076144586873</v>
      </c>
      <c r="I6" s="379">
        <v>375.44903960070604</v>
      </c>
      <c r="J6" s="379">
        <v>-1.5857406102674938</v>
      </c>
      <c r="K6" s="379">
        <v>0</v>
      </c>
      <c r="L6" s="379">
        <v>2.1610970472645425E-16</v>
      </c>
      <c r="M6" s="379">
        <v>0</v>
      </c>
      <c r="N6" s="387">
        <v>1034.8703897240068</v>
      </c>
      <c r="O6" s="379">
        <v>0.75089807920141205</v>
      </c>
      <c r="P6" s="379">
        <v>2.1307818521810797</v>
      </c>
      <c r="R6" s="379">
        <v>58.927087262741054</v>
      </c>
      <c r="S6" s="379">
        <v>24.408398735370209</v>
      </c>
      <c r="T6" s="379">
        <v>35.565088280200342</v>
      </c>
      <c r="U6" s="379">
        <v>14.731541912655395</v>
      </c>
      <c r="W6" s="380">
        <v>3</v>
      </c>
      <c r="X6" s="359" t="s">
        <v>1022</v>
      </c>
      <c r="Y6" s="359">
        <v>2</v>
      </c>
      <c r="AA6" s="381" t="s">
        <v>1023</v>
      </c>
      <c r="AB6" s="382" t="s">
        <v>1065</v>
      </c>
      <c r="AC6" s="383">
        <v>0</v>
      </c>
      <c r="AD6" s="383">
        <v>0</v>
      </c>
    </row>
    <row r="7" spans="2:41" ht="12" customHeight="1">
      <c r="B7" s="573">
        <v>-45</v>
      </c>
      <c r="C7" s="574">
        <v>1</v>
      </c>
      <c r="D7" s="386"/>
      <c r="E7" s="376" t="s">
        <v>1019</v>
      </c>
      <c r="F7" s="377"/>
      <c r="G7" s="381"/>
      <c r="H7" s="379">
        <v>8.7080207812536194</v>
      </c>
      <c r="I7" s="379">
        <v>543.42501949558414</v>
      </c>
      <c r="J7" s="379">
        <v>-2.7966493919155448</v>
      </c>
      <c r="K7" s="379">
        <v>0</v>
      </c>
      <c r="L7" s="379">
        <v>3.8695532090900643E-16</v>
      </c>
      <c r="M7" s="379">
        <v>0</v>
      </c>
      <c r="N7" s="387">
        <v>2366.0781814103498</v>
      </c>
      <c r="O7" s="379">
        <v>1.0868500389911682</v>
      </c>
      <c r="P7" s="379">
        <v>1.4721442173247248</v>
      </c>
      <c r="R7" s="379">
        <v>62.860624776895754</v>
      </c>
      <c r="S7" s="379">
        <v>62.860624776895747</v>
      </c>
      <c r="T7" s="379">
        <v>34.760587579877281</v>
      </c>
      <c r="U7" s="379">
        <v>34.760587579877274</v>
      </c>
      <c r="W7" s="380">
        <v>4</v>
      </c>
      <c r="X7" s="359" t="s">
        <v>1027</v>
      </c>
      <c r="Y7" s="359">
        <v>2</v>
      </c>
      <c r="AA7" s="381" t="s">
        <v>1028</v>
      </c>
      <c r="AB7" s="382" t="s">
        <v>1066</v>
      </c>
      <c r="AC7" s="389">
        <v>1</v>
      </c>
      <c r="AD7" s="389">
        <v>2</v>
      </c>
      <c r="AO7" s="364" t="s">
        <v>1067</v>
      </c>
    </row>
    <row r="8" spans="2:41" ht="12" customHeight="1">
      <c r="B8" s="573">
        <v>60</v>
      </c>
      <c r="C8" s="575">
        <v>0</v>
      </c>
      <c r="D8" s="390"/>
      <c r="E8" s="376"/>
      <c r="F8" s="377"/>
      <c r="G8" s="381"/>
      <c r="H8" s="379">
        <v>0</v>
      </c>
      <c r="I8" s="379">
        <v>0</v>
      </c>
      <c r="J8" s="379">
        <v>0</v>
      </c>
      <c r="K8" s="379">
        <v>0</v>
      </c>
      <c r="L8" s="379">
        <v>0</v>
      </c>
      <c r="M8" s="379">
        <v>0</v>
      </c>
      <c r="N8" s="387">
        <v>0</v>
      </c>
      <c r="O8" s="379">
        <v>0</v>
      </c>
      <c r="P8" s="379">
        <v>0</v>
      </c>
      <c r="R8" s="379">
        <v>24.408398735370206</v>
      </c>
      <c r="S8" s="379">
        <v>58.92708726274104</v>
      </c>
      <c r="T8" s="379">
        <v>14.731541912655386</v>
      </c>
      <c r="U8" s="379">
        <v>35.565088280200314</v>
      </c>
      <c r="W8" s="380">
        <v>5</v>
      </c>
      <c r="X8" s="359" t="s">
        <v>1030</v>
      </c>
      <c r="AA8" s="381" t="s">
        <v>1031</v>
      </c>
      <c r="AB8" s="382" t="s">
        <v>1068</v>
      </c>
      <c r="AO8" s="359" t="b">
        <f>DIALOG.BOX(Mat34t)</f>
        <v>0</v>
      </c>
    </row>
    <row r="9" spans="2:41" ht="12" customHeight="1">
      <c r="B9" s="573">
        <v>-60</v>
      </c>
      <c r="C9" s="575">
        <v>0</v>
      </c>
      <c r="D9" s="390"/>
      <c r="E9" s="391"/>
      <c r="F9" s="377"/>
      <c r="G9" s="381"/>
      <c r="H9" s="379">
        <v>0</v>
      </c>
      <c r="I9" s="379">
        <v>0</v>
      </c>
      <c r="J9" s="379">
        <v>0</v>
      </c>
      <c r="K9" s="379">
        <v>0</v>
      </c>
      <c r="L9" s="379">
        <v>0</v>
      </c>
      <c r="M9" s="379">
        <v>0</v>
      </c>
      <c r="N9" s="387">
        <v>0</v>
      </c>
      <c r="O9" s="379">
        <v>0</v>
      </c>
      <c r="P9" s="379">
        <v>0</v>
      </c>
      <c r="R9" s="379">
        <v>0</v>
      </c>
      <c r="S9" s="379">
        <v>54.342501949558404</v>
      </c>
      <c r="T9" s="379">
        <v>0</v>
      </c>
      <c r="U9" s="379">
        <v>32.523286297077121</v>
      </c>
      <c r="W9" s="380">
        <v>6</v>
      </c>
      <c r="X9" s="359" t="s">
        <v>1033</v>
      </c>
      <c r="AA9" s="381" t="s">
        <v>1034</v>
      </c>
      <c r="AB9" s="382" t="s">
        <v>1069</v>
      </c>
      <c r="AC9" s="381"/>
      <c r="AO9" s="359" t="b">
        <f>RETURN()</f>
        <v>1</v>
      </c>
    </row>
    <row r="10" spans="2:41" ht="12" customHeight="1">
      <c r="B10" s="573">
        <v>30</v>
      </c>
      <c r="C10" s="575">
        <v>0</v>
      </c>
      <c r="D10" s="390"/>
      <c r="E10" s="376"/>
      <c r="F10" s="377"/>
      <c r="G10" s="381"/>
      <c r="H10" s="379">
        <v>0</v>
      </c>
      <c r="I10" s="379">
        <v>0</v>
      </c>
      <c r="J10" s="379">
        <v>0</v>
      </c>
      <c r="K10" s="379">
        <v>0</v>
      </c>
      <c r="L10" s="379">
        <v>0</v>
      </c>
      <c r="M10" s="379">
        <v>0</v>
      </c>
      <c r="N10" s="387">
        <v>0</v>
      </c>
      <c r="O10" s="379">
        <v>0</v>
      </c>
      <c r="P10" s="379">
        <v>0</v>
      </c>
      <c r="R10" s="379">
        <v>-18.669729018631443</v>
      </c>
      <c r="S10" s="379">
        <v>45.07271300261057</v>
      </c>
      <c r="T10" s="379">
        <v>-11.82697713526758</v>
      </c>
      <c r="U10" s="379">
        <v>28.552848601839489</v>
      </c>
      <c r="W10" s="380">
        <v>7</v>
      </c>
      <c r="X10" s="359" t="s">
        <v>316</v>
      </c>
      <c r="AA10" s="381" t="s">
        <v>317</v>
      </c>
      <c r="AB10" s="382" t="s">
        <v>1070</v>
      </c>
      <c r="AC10" s="392" t="s">
        <v>1007</v>
      </c>
      <c r="AD10" s="393"/>
    </row>
    <row r="11" spans="2:41" ht="12" customHeight="1" thickBot="1">
      <c r="B11" s="576">
        <v>-30</v>
      </c>
      <c r="C11" s="577">
        <v>0</v>
      </c>
      <c r="D11" s="394"/>
      <c r="E11" s="395"/>
      <c r="F11" s="396"/>
      <c r="G11" s="381"/>
      <c r="H11" s="379">
        <v>0</v>
      </c>
      <c r="I11" s="379">
        <v>0</v>
      </c>
      <c r="J11" s="379">
        <v>0</v>
      </c>
      <c r="K11" s="379">
        <v>0</v>
      </c>
      <c r="L11" s="379">
        <v>0</v>
      </c>
      <c r="M11" s="379">
        <v>0</v>
      </c>
      <c r="N11" s="387">
        <v>0</v>
      </c>
      <c r="O11" s="379">
        <v>0</v>
      </c>
      <c r="P11" s="379">
        <v>0</v>
      </c>
      <c r="R11" s="379">
        <v>-28.358342895070386</v>
      </c>
      <c r="S11" s="379">
        <v>28.358342895070393</v>
      </c>
      <c r="T11" s="379">
        <v>-23.52744392617619</v>
      </c>
      <c r="U11" s="379">
        <v>23.527443926176193</v>
      </c>
      <c r="W11" s="380">
        <v>8</v>
      </c>
      <c r="X11" s="359" t="s">
        <v>320</v>
      </c>
      <c r="AA11" s="381" t="s">
        <v>321</v>
      </c>
      <c r="AB11" s="382" t="s">
        <v>1071</v>
      </c>
      <c r="AC11" s="390" t="s">
        <v>1072</v>
      </c>
      <c r="AO11" s="364" t="s">
        <v>1073</v>
      </c>
    </row>
    <row r="12" spans="2:41" ht="12" customHeight="1">
      <c r="B12" s="360" t="s">
        <v>1074</v>
      </c>
      <c r="C12" s="361"/>
      <c r="D12" s="361"/>
      <c r="E12" s="362" t="s">
        <v>993</v>
      </c>
      <c r="F12" s="363"/>
      <c r="G12" s="381"/>
      <c r="H12" s="379">
        <v>0</v>
      </c>
      <c r="I12" s="379">
        <v>0</v>
      </c>
      <c r="J12" s="379">
        <v>0</v>
      </c>
      <c r="K12" s="379">
        <v>0</v>
      </c>
      <c r="L12" s="379">
        <v>0</v>
      </c>
      <c r="M12" s="379">
        <v>0</v>
      </c>
      <c r="N12" s="387">
        <v>0</v>
      </c>
      <c r="O12" s="379">
        <v>0</v>
      </c>
      <c r="P12" s="379">
        <v>0</v>
      </c>
      <c r="R12" s="379">
        <v>-39.821236926228984</v>
      </c>
      <c r="S12" s="379">
        <v>16.494496405316351</v>
      </c>
      <c r="T12" s="379">
        <v>-38.259940880391241</v>
      </c>
      <c r="U12" s="379">
        <v>15.847786408250872</v>
      </c>
      <c r="W12" s="380"/>
      <c r="AA12" s="381" t="s">
        <v>323</v>
      </c>
      <c r="AB12" s="382" t="s">
        <v>1075</v>
      </c>
      <c r="AC12" s="390" t="s">
        <v>1076</v>
      </c>
      <c r="AO12" s="359" t="b">
        <f>DIALOG.BOX(MAT56t)</f>
        <v>0</v>
      </c>
    </row>
    <row r="13" spans="2:41" ht="12" customHeight="1">
      <c r="B13" s="365" t="s">
        <v>1009</v>
      </c>
      <c r="C13" s="366" t="s">
        <v>1010</v>
      </c>
      <c r="D13" s="366" t="s">
        <v>1011</v>
      </c>
      <c r="E13" s="366" t="s">
        <v>1012</v>
      </c>
      <c r="F13" s="367" t="s">
        <v>1013</v>
      </c>
      <c r="G13" s="393"/>
      <c r="H13" s="379">
        <v>0</v>
      </c>
      <c r="I13" s="379">
        <v>0</v>
      </c>
      <c r="J13" s="379">
        <v>0</v>
      </c>
      <c r="K13" s="379">
        <v>0</v>
      </c>
      <c r="L13" s="379">
        <v>0</v>
      </c>
      <c r="M13" s="379">
        <v>0</v>
      </c>
      <c r="N13" s="387">
        <v>0</v>
      </c>
      <c r="O13" s="379">
        <v>0</v>
      </c>
      <c r="P13" s="379">
        <v>0</v>
      </c>
      <c r="R13" s="379">
        <v>-62.901872552425282</v>
      </c>
      <c r="S13" s="379">
        <v>0</v>
      </c>
      <c r="T13" s="379">
        <v>-62.901872552425282</v>
      </c>
      <c r="U13" s="379">
        <v>0</v>
      </c>
      <c r="W13" s="380"/>
      <c r="X13" s="359" t="s">
        <v>1014</v>
      </c>
      <c r="Z13" s="359">
        <v>3</v>
      </c>
      <c r="AA13" s="381" t="s">
        <v>327</v>
      </c>
      <c r="AB13" s="382" t="s">
        <v>1077</v>
      </c>
      <c r="AC13" s="390" t="s">
        <v>1078</v>
      </c>
      <c r="AO13" s="359" t="b">
        <f>RETURN()</f>
        <v>1</v>
      </c>
    </row>
    <row r="14" spans="2:41" ht="12" customHeight="1">
      <c r="B14" s="573">
        <v>0</v>
      </c>
      <c r="C14" s="574">
        <v>2</v>
      </c>
      <c r="D14" s="375"/>
      <c r="E14" s="376"/>
      <c r="F14" s="377"/>
      <c r="G14" s="397"/>
      <c r="H14" s="379">
        <v>0</v>
      </c>
      <c r="I14" s="379">
        <v>0</v>
      </c>
      <c r="J14" s="379">
        <v>0</v>
      </c>
      <c r="K14" s="379">
        <v>0</v>
      </c>
      <c r="L14" s="379">
        <v>0</v>
      </c>
      <c r="M14" s="379">
        <v>0</v>
      </c>
      <c r="N14" s="387">
        <v>0</v>
      </c>
      <c r="O14" s="379">
        <v>0</v>
      </c>
      <c r="P14" s="379">
        <v>0</v>
      </c>
      <c r="R14" s="379">
        <v>-118.60670320986222</v>
      </c>
      <c r="S14" s="379">
        <v>-49.12850505788542</v>
      </c>
      <c r="T14" s="379">
        <v>-118.60670320986222</v>
      </c>
      <c r="U14" s="379">
        <v>-49.12850505788542</v>
      </c>
      <c r="W14" s="380"/>
      <c r="X14" s="359" t="s">
        <v>1018</v>
      </c>
      <c r="Y14" s="359">
        <v>1</v>
      </c>
      <c r="AA14" s="381" t="s">
        <v>330</v>
      </c>
      <c r="AB14" s="382" t="s">
        <v>1079</v>
      </c>
      <c r="AC14" s="390" t="s">
        <v>1080</v>
      </c>
      <c r="AD14" s="381"/>
    </row>
    <row r="15" spans="2:41" ht="12" customHeight="1">
      <c r="B15" s="573">
        <v>90</v>
      </c>
      <c r="C15" s="574">
        <v>2</v>
      </c>
      <c r="D15" s="386"/>
      <c r="E15" s="376"/>
      <c r="F15" s="377"/>
      <c r="G15" s="397"/>
      <c r="H15" s="379">
        <v>0</v>
      </c>
      <c r="I15" s="379">
        <v>0</v>
      </c>
      <c r="J15" s="379">
        <v>0</v>
      </c>
      <c r="K15" s="379">
        <v>0</v>
      </c>
      <c r="L15" s="379">
        <v>0</v>
      </c>
      <c r="M15" s="379">
        <v>0</v>
      </c>
      <c r="N15" s="387">
        <v>0</v>
      </c>
      <c r="O15" s="379">
        <v>0</v>
      </c>
      <c r="P15" s="379">
        <v>0</v>
      </c>
      <c r="R15" s="379">
        <v>-194.74327682520735</v>
      </c>
      <c r="S15" s="379">
        <v>-194.74327682520726</v>
      </c>
      <c r="T15" s="379">
        <v>-194.74327682520735</v>
      </c>
      <c r="U15" s="379">
        <v>-194.74327682520726</v>
      </c>
      <c r="W15" s="380"/>
      <c r="X15" s="359" t="s">
        <v>1022</v>
      </c>
      <c r="Y15" s="359">
        <v>2</v>
      </c>
      <c r="AA15" s="381" t="s">
        <v>334</v>
      </c>
      <c r="AB15" s="382" t="s">
        <v>1081</v>
      </c>
      <c r="AC15" s="390" t="s">
        <v>1082</v>
      </c>
      <c r="AD15" s="381"/>
    </row>
    <row r="16" spans="2:41" ht="12" customHeight="1">
      <c r="B16" s="573">
        <v>45</v>
      </c>
      <c r="C16" s="574">
        <v>2</v>
      </c>
      <c r="D16" s="386"/>
      <c r="E16" s="376"/>
      <c r="F16" s="377"/>
      <c r="H16" s="379">
        <v>0</v>
      </c>
      <c r="I16" s="379">
        <v>0</v>
      </c>
      <c r="J16" s="379">
        <v>0</v>
      </c>
      <c r="K16" s="379">
        <v>0</v>
      </c>
      <c r="L16" s="379">
        <v>0</v>
      </c>
      <c r="M16" s="379">
        <v>0</v>
      </c>
      <c r="N16" s="387">
        <v>0</v>
      </c>
      <c r="O16" s="379">
        <v>0</v>
      </c>
      <c r="P16" s="379">
        <v>0</v>
      </c>
      <c r="R16" s="379">
        <v>-49.128505057885569</v>
      </c>
      <c r="S16" s="379">
        <v>-118.60670320986233</v>
      </c>
      <c r="T16" s="379">
        <v>-49.128505057885569</v>
      </c>
      <c r="U16" s="379">
        <v>-118.60670320986233</v>
      </c>
      <c r="W16" s="380"/>
      <c r="X16" s="359" t="s">
        <v>1027</v>
      </c>
      <c r="Y16" s="359">
        <v>2</v>
      </c>
      <c r="AA16" s="381" t="s">
        <v>336</v>
      </c>
      <c r="AB16" s="382" t="s">
        <v>1083</v>
      </c>
      <c r="AC16" s="390" t="s">
        <v>1084</v>
      </c>
      <c r="AD16" s="381"/>
      <c r="AO16" s="364" t="s">
        <v>1085</v>
      </c>
    </row>
    <row r="17" spans="2:63" ht="12" customHeight="1">
      <c r="B17" s="573">
        <v>-45</v>
      </c>
      <c r="C17" s="574">
        <v>2</v>
      </c>
      <c r="D17" s="386"/>
      <c r="E17" s="376"/>
      <c r="F17" s="377"/>
      <c r="H17" s="379">
        <v>0</v>
      </c>
      <c r="I17" s="379">
        <v>0</v>
      </c>
      <c r="J17" s="379">
        <v>0</v>
      </c>
      <c r="K17" s="379">
        <v>0</v>
      </c>
      <c r="L17" s="379">
        <v>0</v>
      </c>
      <c r="M17" s="379">
        <v>0</v>
      </c>
      <c r="N17" s="387">
        <v>0</v>
      </c>
      <c r="O17" s="379">
        <v>0</v>
      </c>
      <c r="P17" s="379">
        <v>0</v>
      </c>
      <c r="R17" s="379">
        <v>0</v>
      </c>
      <c r="S17" s="379">
        <v>-62.901872552425274</v>
      </c>
      <c r="T17" s="379">
        <v>0</v>
      </c>
      <c r="U17" s="379">
        <v>-62.901872552425274</v>
      </c>
      <c r="W17" s="380"/>
      <c r="X17" s="359" t="s">
        <v>1030</v>
      </c>
      <c r="AA17" s="381" t="s">
        <v>338</v>
      </c>
      <c r="AB17" s="382" t="s">
        <v>1086</v>
      </c>
      <c r="AC17" s="370" t="s">
        <v>1087</v>
      </c>
      <c r="AD17" s="398">
        <v>-233.69193219024879</v>
      </c>
      <c r="AE17" s="399">
        <v>-233.69193219024879</v>
      </c>
      <c r="AO17" s="359" t="b">
        <f>DIALOG.BOX(MAT78t)</f>
        <v>0</v>
      </c>
    </row>
    <row r="18" spans="2:63" ht="12" customHeight="1">
      <c r="B18" s="573">
        <v>60</v>
      </c>
      <c r="C18" s="575">
        <v>0</v>
      </c>
      <c r="D18" s="390"/>
      <c r="E18" s="376"/>
      <c r="F18" s="377"/>
      <c r="H18" s="379">
        <v>0</v>
      </c>
      <c r="I18" s="379">
        <v>0</v>
      </c>
      <c r="J18" s="379">
        <v>0</v>
      </c>
      <c r="K18" s="379">
        <v>0</v>
      </c>
      <c r="L18" s="379">
        <v>0</v>
      </c>
      <c r="M18" s="379">
        <v>0</v>
      </c>
      <c r="N18" s="387">
        <v>0</v>
      </c>
      <c r="O18" s="379">
        <v>0</v>
      </c>
      <c r="P18" s="379">
        <v>0</v>
      </c>
      <c r="R18" s="379">
        <v>16.494496405316351</v>
      </c>
      <c r="S18" s="379">
        <v>-39.82123692622897</v>
      </c>
      <c r="T18" s="379">
        <v>15.847786408250876</v>
      </c>
      <c r="U18" s="379">
        <v>-38.259940880391241</v>
      </c>
      <c r="W18" s="380"/>
      <c r="X18" s="359" t="s">
        <v>1033</v>
      </c>
      <c r="AA18" s="381" t="s">
        <v>340</v>
      </c>
      <c r="AB18" s="382" t="s">
        <v>1088</v>
      </c>
      <c r="AC18" s="400"/>
      <c r="AD18" s="401">
        <v>75.4327497322749</v>
      </c>
      <c r="AE18" s="402">
        <v>75.4327497322749</v>
      </c>
      <c r="AO18" s="359" t="b">
        <f>RETURN()</f>
        <v>1</v>
      </c>
    </row>
    <row r="19" spans="2:63" ht="12" customHeight="1">
      <c r="B19" s="573">
        <v>-60</v>
      </c>
      <c r="C19" s="575">
        <v>0</v>
      </c>
      <c r="D19" s="390"/>
      <c r="E19" s="376"/>
      <c r="F19" s="377"/>
      <c r="H19" s="379">
        <v>0</v>
      </c>
      <c r="I19" s="379">
        <v>0</v>
      </c>
      <c r="J19" s="379">
        <v>0</v>
      </c>
      <c r="K19" s="379">
        <v>0</v>
      </c>
      <c r="L19" s="379">
        <v>0</v>
      </c>
      <c r="M19" s="379">
        <v>0</v>
      </c>
      <c r="N19" s="387">
        <v>0</v>
      </c>
      <c r="O19" s="379">
        <v>0</v>
      </c>
      <c r="P19" s="379">
        <v>0</v>
      </c>
      <c r="R19" s="379">
        <v>28.358342895070383</v>
      </c>
      <c r="S19" s="379">
        <v>-28.358342895070397</v>
      </c>
      <c r="T19" s="379">
        <v>23.527443926176197</v>
      </c>
      <c r="U19" s="379">
        <v>-23.527443926176208</v>
      </c>
      <c r="W19" s="400"/>
      <c r="X19" s="359" t="s">
        <v>316</v>
      </c>
      <c r="Y19" s="403"/>
      <c r="Z19" s="403"/>
      <c r="AA19" s="404" t="s">
        <v>342</v>
      </c>
      <c r="AB19" s="405" t="s">
        <v>1089</v>
      </c>
      <c r="AC19" s="381"/>
      <c r="AD19" s="381"/>
    </row>
    <row r="20" spans="2:63" ht="12" customHeight="1">
      <c r="B20" s="573">
        <v>30</v>
      </c>
      <c r="C20" s="575">
        <v>0</v>
      </c>
      <c r="D20" s="390"/>
      <c r="E20" s="376"/>
      <c r="F20" s="377"/>
      <c r="H20" s="379">
        <v>0</v>
      </c>
      <c r="I20" s="379">
        <v>0</v>
      </c>
      <c r="J20" s="379">
        <v>0</v>
      </c>
      <c r="K20" s="379">
        <v>0</v>
      </c>
      <c r="L20" s="379">
        <v>0</v>
      </c>
      <c r="M20" s="379">
        <v>0</v>
      </c>
      <c r="N20" s="387">
        <v>0</v>
      </c>
      <c r="O20" s="379">
        <v>0</v>
      </c>
      <c r="P20" s="379">
        <v>0</v>
      </c>
      <c r="R20" s="379">
        <v>45.072713002610541</v>
      </c>
      <c r="S20" s="379">
        <v>-18.669729018631472</v>
      </c>
      <c r="T20" s="379">
        <v>28.552848601839489</v>
      </c>
      <c r="U20" s="379">
        <v>-11.826977135267603</v>
      </c>
      <c r="X20" s="359" t="s">
        <v>320</v>
      </c>
      <c r="AO20" s="364" t="s">
        <v>1090</v>
      </c>
      <c r="BK20" s="364"/>
    </row>
    <row r="21" spans="2:63" ht="12" customHeight="1" thickBot="1">
      <c r="B21" s="576">
        <v>-30</v>
      </c>
      <c r="C21" s="577">
        <v>0</v>
      </c>
      <c r="D21" s="394"/>
      <c r="E21" s="395"/>
      <c r="F21" s="396"/>
      <c r="H21" s="379">
        <v>0</v>
      </c>
      <c r="I21" s="379">
        <v>0</v>
      </c>
      <c r="J21" s="379">
        <v>0</v>
      </c>
      <c r="K21" s="379">
        <v>0</v>
      </c>
      <c r="L21" s="379">
        <v>0</v>
      </c>
      <c r="M21" s="379">
        <v>0</v>
      </c>
      <c r="N21" s="387">
        <v>0</v>
      </c>
      <c r="O21" s="379">
        <v>0</v>
      </c>
      <c r="P21" s="379">
        <v>0</v>
      </c>
      <c r="R21" s="379">
        <v>54.342501949558411</v>
      </c>
      <c r="S21" s="379">
        <v>0</v>
      </c>
      <c r="T21" s="379">
        <v>32.523286297077128</v>
      </c>
      <c r="U21" s="379">
        <v>0</v>
      </c>
      <c r="AO21" s="359" t="b">
        <f>DIALOG.BOX(MAT12b)</f>
        <v>0</v>
      </c>
    </row>
    <row r="22" spans="2:63" ht="12" customHeight="1" thickBot="1">
      <c r="H22" s="379">
        <v>0</v>
      </c>
      <c r="I22" s="379">
        <v>0</v>
      </c>
      <c r="J22" s="379">
        <v>0</v>
      </c>
      <c r="K22" s="379">
        <v>0</v>
      </c>
      <c r="L22" s="379">
        <v>0</v>
      </c>
      <c r="M22" s="379">
        <v>0</v>
      </c>
      <c r="N22" s="387">
        <v>0</v>
      </c>
      <c r="O22" s="379">
        <v>0</v>
      </c>
      <c r="P22" s="379">
        <v>0</v>
      </c>
      <c r="R22" s="379"/>
      <c r="S22" s="379"/>
      <c r="T22" s="379"/>
      <c r="U22" s="379"/>
      <c r="W22" s="359" t="s">
        <v>1091</v>
      </c>
      <c r="AE22" s="359" t="s">
        <v>1092</v>
      </c>
      <c r="AO22" s="359" t="b">
        <f>RETURN()</f>
        <v>1</v>
      </c>
    </row>
    <row r="23" spans="2:63" ht="12.75" customHeight="1">
      <c r="B23" s="406" t="s">
        <v>1093</v>
      </c>
      <c r="C23" s="407" t="s">
        <v>1094</v>
      </c>
      <c r="D23" s="408" t="s">
        <v>1095</v>
      </c>
      <c r="H23" s="379">
        <v>0</v>
      </c>
      <c r="I23" s="379">
        <v>0</v>
      </c>
      <c r="J23" s="379">
        <v>0</v>
      </c>
      <c r="K23" s="379">
        <v>0</v>
      </c>
      <c r="L23" s="379">
        <v>0</v>
      </c>
      <c r="M23" s="379">
        <v>0</v>
      </c>
      <c r="N23" s="387">
        <v>0</v>
      </c>
      <c r="O23" s="379">
        <v>0</v>
      </c>
      <c r="P23" s="379">
        <v>0</v>
      </c>
      <c r="R23" s="379"/>
      <c r="S23" s="379"/>
      <c r="T23" s="379"/>
      <c r="U23" s="379"/>
      <c r="W23" s="409"/>
      <c r="X23" s="410"/>
      <c r="Y23" s="410"/>
      <c r="Z23" s="410">
        <v>706</v>
      </c>
      <c r="AA23" s="410">
        <v>342</v>
      </c>
      <c r="AB23" s="410"/>
      <c r="AC23" s="411"/>
      <c r="AE23" s="409"/>
      <c r="AF23" s="410"/>
      <c r="AG23" s="410"/>
      <c r="AH23" s="410">
        <v>706</v>
      </c>
      <c r="AI23" s="410">
        <v>342</v>
      </c>
      <c r="AJ23" s="410"/>
      <c r="AK23" s="411"/>
      <c r="AL23" s="371"/>
      <c r="AM23" s="372" t="s">
        <v>1096</v>
      </c>
      <c r="AN23" s="372"/>
    </row>
    <row r="24" spans="2:63" ht="12.75" customHeight="1" thickBot="1">
      <c r="B24" s="412">
        <v>1</v>
      </c>
      <c r="C24" s="579">
        <v>0</v>
      </c>
      <c r="D24" s="581">
        <v>0.01</v>
      </c>
      <c r="H24" s="368" t="s">
        <v>378</v>
      </c>
      <c r="I24" s="368" t="s">
        <v>995</v>
      </c>
      <c r="J24" s="368" t="s">
        <v>996</v>
      </c>
      <c r="K24" s="368" t="s">
        <v>997</v>
      </c>
      <c r="L24" s="368" t="s">
        <v>998</v>
      </c>
      <c r="M24" s="368" t="s">
        <v>999</v>
      </c>
      <c r="N24" s="368" t="s">
        <v>41</v>
      </c>
      <c r="O24" s="369" t="s">
        <v>381</v>
      </c>
      <c r="P24" s="368" t="s">
        <v>1058</v>
      </c>
      <c r="Q24" s="413"/>
      <c r="R24" s="379"/>
      <c r="S24" s="379"/>
      <c r="T24" s="379"/>
      <c r="U24" s="379"/>
      <c r="W24" s="414">
        <v>14</v>
      </c>
      <c r="X24" s="379">
        <v>35</v>
      </c>
      <c r="Y24" s="379">
        <v>35</v>
      </c>
      <c r="Z24" s="379">
        <v>310</v>
      </c>
      <c r="AA24" s="379">
        <v>240</v>
      </c>
      <c r="AB24" s="379" t="s">
        <v>1097</v>
      </c>
      <c r="AC24" s="415"/>
      <c r="AE24" s="414">
        <v>14</v>
      </c>
      <c r="AF24" s="379">
        <v>35</v>
      </c>
      <c r="AG24" s="379">
        <v>35</v>
      </c>
      <c r="AH24" s="379">
        <v>310</v>
      </c>
      <c r="AI24" s="379">
        <v>240</v>
      </c>
      <c r="AJ24" s="379" t="s">
        <v>1097</v>
      </c>
      <c r="AK24" s="415"/>
      <c r="AL24" s="359" t="s">
        <v>1014</v>
      </c>
      <c r="AN24" s="359">
        <v>3</v>
      </c>
    </row>
    <row r="25" spans="2:63" ht="12.75" customHeight="1">
      <c r="B25" s="412">
        <v>0</v>
      </c>
      <c r="C25" s="579">
        <v>0</v>
      </c>
      <c r="H25" s="368">
        <v>0</v>
      </c>
      <c r="I25" s="368">
        <v>0</v>
      </c>
      <c r="J25" s="368">
        <v>0</v>
      </c>
      <c r="K25" s="368">
        <v>0</v>
      </c>
      <c r="L25" s="368">
        <v>0</v>
      </c>
      <c r="M25" s="368">
        <v>0</v>
      </c>
      <c r="N25" s="368">
        <v>0</v>
      </c>
      <c r="O25" s="368">
        <v>0</v>
      </c>
      <c r="P25" s="368">
        <v>0</v>
      </c>
      <c r="R25" s="379"/>
      <c r="S25" s="379"/>
      <c r="T25" s="379"/>
      <c r="U25" s="379"/>
      <c r="W25" s="414">
        <v>11</v>
      </c>
      <c r="X25" s="379"/>
      <c r="Y25" s="379"/>
      <c r="Z25" s="379"/>
      <c r="AA25" s="379"/>
      <c r="AB25" s="379"/>
      <c r="AC25" s="415">
        <v>8</v>
      </c>
      <c r="AE25" s="414">
        <v>11</v>
      </c>
      <c r="AF25" s="379"/>
      <c r="AG25" s="379"/>
      <c r="AH25" s="379"/>
      <c r="AI25" s="379"/>
      <c r="AJ25" s="379"/>
      <c r="AK25" s="415">
        <v>8</v>
      </c>
      <c r="AL25" s="359" t="s">
        <v>1018</v>
      </c>
      <c r="AM25" s="359">
        <v>1</v>
      </c>
      <c r="AO25" s="364" t="s">
        <v>1098</v>
      </c>
    </row>
    <row r="26" spans="2:63" ht="12.75" customHeight="1" thickBot="1">
      <c r="B26" s="416">
        <v>0</v>
      </c>
      <c r="C26" s="580">
        <v>0</v>
      </c>
      <c r="H26" s="379">
        <v>4.66780630807847</v>
      </c>
      <c r="I26" s="379">
        <v>325.23286297077141</v>
      </c>
      <c r="J26" s="379">
        <v>-1.3818151048735496</v>
      </c>
      <c r="K26" s="379">
        <v>0</v>
      </c>
      <c r="L26" s="379">
        <v>8.9175173353502715E-17</v>
      </c>
      <c r="M26" s="379">
        <v>0</v>
      </c>
      <c r="N26" s="387">
        <v>759.06200468469365</v>
      </c>
      <c r="O26" s="379">
        <v>1.3009314518830857</v>
      </c>
      <c r="P26" s="379">
        <v>2.4597760284510231</v>
      </c>
      <c r="R26" s="379"/>
      <c r="S26" s="379"/>
      <c r="T26" s="379"/>
      <c r="U26" s="379"/>
      <c r="W26" s="414">
        <v>12</v>
      </c>
      <c r="X26" s="379">
        <v>65</v>
      </c>
      <c r="Y26" s="379">
        <v>55</v>
      </c>
      <c r="Z26" s="379"/>
      <c r="AA26" s="379"/>
      <c r="AB26" s="379" t="s">
        <v>1099</v>
      </c>
      <c r="AC26" s="415"/>
      <c r="AE26" s="414">
        <v>12</v>
      </c>
      <c r="AF26" s="379">
        <v>65</v>
      </c>
      <c r="AG26" s="379">
        <v>55</v>
      </c>
      <c r="AH26" s="379"/>
      <c r="AI26" s="379"/>
      <c r="AJ26" s="379" t="s">
        <v>1099</v>
      </c>
      <c r="AK26" s="415"/>
      <c r="AL26" s="359" t="s">
        <v>1022</v>
      </c>
      <c r="AM26" s="359">
        <v>2</v>
      </c>
      <c r="AO26" s="359" t="b">
        <f>DIALOG.BOX(MAT34b)</f>
        <v>0</v>
      </c>
    </row>
    <row r="27" spans="2:63">
      <c r="D27" s="417" t="s">
        <v>1100</v>
      </c>
      <c r="E27" s="578">
        <v>16</v>
      </c>
      <c r="H27" s="379">
        <v>5.5127076144586873</v>
      </c>
      <c r="I27" s="379">
        <v>375.44903960070604</v>
      </c>
      <c r="J27" s="379">
        <v>-1.5857406102674938</v>
      </c>
      <c r="K27" s="379">
        <v>0</v>
      </c>
      <c r="L27" s="379">
        <v>2.1610970472645425E-16</v>
      </c>
      <c r="M27" s="379">
        <v>0</v>
      </c>
      <c r="N27" s="387">
        <v>1034.8703897240068</v>
      </c>
      <c r="O27" s="379">
        <v>1.5017961584028241</v>
      </c>
      <c r="P27" s="379">
        <v>2.1307818521810797</v>
      </c>
      <c r="R27" s="379"/>
      <c r="S27" s="379"/>
      <c r="T27" s="379"/>
      <c r="U27" s="379"/>
      <c r="W27" s="414">
        <v>12</v>
      </c>
      <c r="X27" s="379"/>
      <c r="Y27" s="379"/>
      <c r="Z27" s="379"/>
      <c r="AA27" s="379"/>
      <c r="AB27" s="379" t="s">
        <v>438</v>
      </c>
      <c r="AC27" s="415"/>
      <c r="AE27" s="414">
        <v>12</v>
      </c>
      <c r="AF27" s="379"/>
      <c r="AG27" s="379"/>
      <c r="AH27" s="379"/>
      <c r="AI27" s="379"/>
      <c r="AJ27" s="379" t="s">
        <v>438</v>
      </c>
      <c r="AK27" s="415"/>
      <c r="AL27" s="359" t="s">
        <v>1027</v>
      </c>
      <c r="AM27" s="359">
        <v>2</v>
      </c>
      <c r="AO27" s="359" t="b">
        <f>RETURN()</f>
        <v>1</v>
      </c>
    </row>
    <row r="28" spans="2:63" ht="13.2">
      <c r="D28" s="418" t="s">
        <v>1101</v>
      </c>
      <c r="E28" s="419">
        <v>16</v>
      </c>
      <c r="H28" s="420">
        <v>8.7080207812536194</v>
      </c>
      <c r="I28" s="420">
        <v>543.42501949558414</v>
      </c>
      <c r="J28" s="420">
        <v>-2.7966493919155448</v>
      </c>
      <c r="K28" s="420">
        <v>0</v>
      </c>
      <c r="L28" s="420">
        <v>3.8695532090900643E-16</v>
      </c>
      <c r="M28" s="420">
        <v>0</v>
      </c>
      <c r="N28" s="420">
        <v>2366.0781814103498</v>
      </c>
      <c r="O28" s="420">
        <v>2.1737000779823363</v>
      </c>
      <c r="P28" s="420">
        <v>1.4721442173247248</v>
      </c>
      <c r="R28" s="379"/>
      <c r="S28" s="379"/>
      <c r="T28" s="379"/>
      <c r="U28" s="379"/>
      <c r="W28" s="414">
        <v>12</v>
      </c>
      <c r="X28" s="379"/>
      <c r="Y28" s="379"/>
      <c r="Z28" s="379"/>
      <c r="AA28" s="379"/>
      <c r="AB28" s="379" t="s">
        <v>439</v>
      </c>
      <c r="AC28" s="415"/>
      <c r="AE28" s="414">
        <v>12</v>
      </c>
      <c r="AF28" s="379"/>
      <c r="AG28" s="379"/>
      <c r="AH28" s="379"/>
      <c r="AI28" s="379"/>
      <c r="AJ28" s="379" t="s">
        <v>439</v>
      </c>
      <c r="AK28" s="415"/>
      <c r="AL28" s="359" t="s">
        <v>1030</v>
      </c>
    </row>
    <row r="29" spans="2:63"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87">
        <v>0</v>
      </c>
      <c r="O29" s="379">
        <v>0</v>
      </c>
      <c r="P29" s="379">
        <v>0</v>
      </c>
      <c r="R29" s="379"/>
      <c r="S29" s="379"/>
      <c r="T29" s="379"/>
      <c r="U29" s="379"/>
      <c r="W29" s="414">
        <v>12</v>
      </c>
      <c r="X29" s="379"/>
      <c r="Y29" s="379"/>
      <c r="Z29" s="379"/>
      <c r="AA29" s="379"/>
      <c r="AB29" s="379" t="s">
        <v>440</v>
      </c>
      <c r="AC29" s="415"/>
      <c r="AE29" s="414">
        <v>12</v>
      </c>
      <c r="AF29" s="379"/>
      <c r="AG29" s="379"/>
      <c r="AH29" s="379"/>
      <c r="AI29" s="379"/>
      <c r="AJ29" s="379" t="s">
        <v>440</v>
      </c>
      <c r="AK29" s="415"/>
      <c r="AL29" s="359" t="s">
        <v>1033</v>
      </c>
      <c r="AO29" s="364" t="s">
        <v>1102</v>
      </c>
    </row>
    <row r="30" spans="2:63">
      <c r="H30" s="379">
        <v>0</v>
      </c>
      <c r="I30" s="379">
        <v>0</v>
      </c>
      <c r="J30" s="379">
        <v>0</v>
      </c>
      <c r="K30" s="379">
        <v>0</v>
      </c>
      <c r="L30" s="379">
        <v>0</v>
      </c>
      <c r="M30" s="379">
        <v>0</v>
      </c>
      <c r="N30" s="387">
        <v>0</v>
      </c>
      <c r="O30" s="379">
        <v>0</v>
      </c>
      <c r="P30" s="379">
        <v>0</v>
      </c>
      <c r="R30" s="379"/>
      <c r="S30" s="379"/>
      <c r="T30" s="379"/>
      <c r="U30" s="379"/>
      <c r="W30" s="414">
        <v>12</v>
      </c>
      <c r="X30" s="379"/>
      <c r="Y30" s="379"/>
      <c r="Z30" s="379"/>
      <c r="AA30" s="379"/>
      <c r="AB30" s="379" t="s">
        <v>441</v>
      </c>
      <c r="AC30" s="415"/>
      <c r="AE30" s="414">
        <v>12</v>
      </c>
      <c r="AF30" s="379"/>
      <c r="AG30" s="379"/>
      <c r="AH30" s="379"/>
      <c r="AI30" s="379"/>
      <c r="AJ30" s="379" t="s">
        <v>441</v>
      </c>
      <c r="AK30" s="415"/>
      <c r="AL30" s="359" t="s">
        <v>316</v>
      </c>
      <c r="AO30" s="359" t="b">
        <f>DIALOG.BOX(MAT56b)</f>
        <v>0</v>
      </c>
      <c r="BK30" s="364"/>
    </row>
    <row r="31" spans="2:63">
      <c r="H31" s="379">
        <v>0</v>
      </c>
      <c r="I31" s="379">
        <v>0</v>
      </c>
      <c r="J31" s="379">
        <v>0</v>
      </c>
      <c r="K31" s="379">
        <v>0</v>
      </c>
      <c r="L31" s="379">
        <v>0</v>
      </c>
      <c r="M31" s="379">
        <v>0</v>
      </c>
      <c r="N31" s="387">
        <v>0</v>
      </c>
      <c r="O31" s="379">
        <v>0</v>
      </c>
      <c r="P31" s="379">
        <v>0</v>
      </c>
      <c r="R31" s="379"/>
      <c r="S31" s="379"/>
      <c r="T31" s="379"/>
      <c r="U31" s="379"/>
      <c r="W31" s="414">
        <v>12</v>
      </c>
      <c r="X31" s="379"/>
      <c r="Y31" s="379"/>
      <c r="Z31" s="379"/>
      <c r="AA31" s="379"/>
      <c r="AB31" s="379" t="s">
        <v>442</v>
      </c>
      <c r="AC31" s="415"/>
      <c r="AE31" s="414">
        <v>12</v>
      </c>
      <c r="AF31" s="379"/>
      <c r="AG31" s="379"/>
      <c r="AH31" s="379"/>
      <c r="AI31" s="379"/>
      <c r="AJ31" s="379" t="s">
        <v>442</v>
      </c>
      <c r="AK31" s="415"/>
      <c r="AL31" s="359" t="s">
        <v>320</v>
      </c>
      <c r="AO31" s="359" t="b">
        <f>RETURN()</f>
        <v>1</v>
      </c>
    </row>
    <row r="32" spans="2:63">
      <c r="B32" s="421" t="s">
        <v>1103</v>
      </c>
      <c r="C32" s="422" t="s">
        <v>1104</v>
      </c>
      <c r="D32" s="423" t="s">
        <v>1105</v>
      </c>
      <c r="H32" s="379">
        <v>0</v>
      </c>
      <c r="I32" s="379">
        <v>0</v>
      </c>
      <c r="J32" s="379">
        <v>0</v>
      </c>
      <c r="K32" s="379">
        <v>0</v>
      </c>
      <c r="L32" s="379">
        <v>0</v>
      </c>
      <c r="M32" s="379">
        <v>0</v>
      </c>
      <c r="N32" s="387">
        <v>0</v>
      </c>
      <c r="O32" s="379">
        <v>0</v>
      </c>
      <c r="P32" s="379">
        <v>0</v>
      </c>
      <c r="R32" s="379"/>
      <c r="S32" s="379"/>
      <c r="T32" s="379"/>
      <c r="U32" s="379"/>
      <c r="W32" s="414">
        <v>12</v>
      </c>
      <c r="X32" s="379"/>
      <c r="Y32" s="379"/>
      <c r="Z32" s="379"/>
      <c r="AA32" s="379"/>
      <c r="AB32" s="379" t="s">
        <v>443</v>
      </c>
      <c r="AC32" s="415"/>
      <c r="AE32" s="414">
        <v>12</v>
      </c>
      <c r="AF32" s="379"/>
      <c r="AG32" s="379"/>
      <c r="AH32" s="379"/>
      <c r="AI32" s="379"/>
      <c r="AJ32" s="379" t="s">
        <v>443</v>
      </c>
      <c r="AK32" s="415"/>
    </row>
    <row r="33" spans="2:63">
      <c r="B33" s="424">
        <v>1</v>
      </c>
      <c r="C33" s="403">
        <v>0.5</v>
      </c>
      <c r="D33" s="529" t="s">
        <v>403</v>
      </c>
      <c r="H33" s="379">
        <v>0</v>
      </c>
      <c r="I33" s="379">
        <v>0</v>
      </c>
      <c r="J33" s="379">
        <v>0</v>
      </c>
      <c r="K33" s="379">
        <v>0</v>
      </c>
      <c r="L33" s="379">
        <v>0</v>
      </c>
      <c r="M33" s="379">
        <v>0</v>
      </c>
      <c r="N33" s="387">
        <v>0</v>
      </c>
      <c r="O33" s="379">
        <v>0</v>
      </c>
      <c r="P33" s="379">
        <v>0</v>
      </c>
      <c r="R33" s="379"/>
      <c r="S33" s="379"/>
      <c r="T33" s="379"/>
      <c r="U33" s="379"/>
      <c r="W33" s="414">
        <v>12</v>
      </c>
      <c r="X33" s="379"/>
      <c r="Y33" s="379"/>
      <c r="Z33" s="379"/>
      <c r="AA33" s="379"/>
      <c r="AB33" s="379" t="s">
        <v>444</v>
      </c>
      <c r="AC33" s="415"/>
      <c r="AE33" s="414">
        <v>12</v>
      </c>
      <c r="AF33" s="379"/>
      <c r="AG33" s="379"/>
      <c r="AH33" s="379"/>
      <c r="AI33" s="379"/>
      <c r="AJ33" s="379" t="s">
        <v>444</v>
      </c>
      <c r="AK33" s="415"/>
      <c r="AL33" s="359" t="s">
        <v>1014</v>
      </c>
    </row>
    <row r="34" spans="2:63">
      <c r="B34" s="424">
        <v>2</v>
      </c>
      <c r="C34" s="403">
        <v>0</v>
      </c>
      <c r="D34" s="529" t="s">
        <v>403</v>
      </c>
      <c r="H34" s="379">
        <v>0</v>
      </c>
      <c r="I34" s="379">
        <v>0</v>
      </c>
      <c r="J34" s="379">
        <v>0</v>
      </c>
      <c r="K34" s="379">
        <v>0</v>
      </c>
      <c r="L34" s="379">
        <v>0</v>
      </c>
      <c r="M34" s="379">
        <v>0</v>
      </c>
      <c r="N34" s="387">
        <v>0</v>
      </c>
      <c r="O34" s="379">
        <v>0</v>
      </c>
      <c r="P34" s="379">
        <v>0</v>
      </c>
      <c r="R34" s="379"/>
      <c r="S34" s="379"/>
      <c r="T34" s="379"/>
      <c r="U34" s="379"/>
      <c r="W34" s="414">
        <v>12</v>
      </c>
      <c r="X34" s="379"/>
      <c r="Y34" s="379"/>
      <c r="Z34" s="379"/>
      <c r="AA34" s="379"/>
      <c r="AB34" s="379" t="s">
        <v>445</v>
      </c>
      <c r="AC34" s="415"/>
      <c r="AE34" s="414">
        <v>12</v>
      </c>
      <c r="AF34" s="379"/>
      <c r="AG34" s="379"/>
      <c r="AH34" s="379"/>
      <c r="AI34" s="379"/>
      <c r="AJ34" s="379" t="s">
        <v>445</v>
      </c>
      <c r="AK34" s="415"/>
      <c r="AL34" s="359" t="s">
        <v>1018</v>
      </c>
      <c r="AO34" s="364" t="s">
        <v>1106</v>
      </c>
    </row>
    <row r="35" spans="2:63" ht="13.2" thickBot="1">
      <c r="B35" s="426">
        <v>6</v>
      </c>
      <c r="C35" s="427">
        <v>0</v>
      </c>
      <c r="D35" s="530" t="s">
        <v>403</v>
      </c>
      <c r="H35" s="379">
        <v>0</v>
      </c>
      <c r="I35" s="379">
        <v>0</v>
      </c>
      <c r="J35" s="379">
        <v>0</v>
      </c>
      <c r="K35" s="379">
        <v>0</v>
      </c>
      <c r="L35" s="379">
        <v>0</v>
      </c>
      <c r="M35" s="379">
        <v>0</v>
      </c>
      <c r="N35" s="387">
        <v>0</v>
      </c>
      <c r="O35" s="379">
        <v>0</v>
      </c>
      <c r="P35" s="379">
        <v>0</v>
      </c>
      <c r="R35" s="379"/>
      <c r="S35" s="379"/>
      <c r="T35" s="379"/>
      <c r="U35" s="379"/>
      <c r="W35" s="414">
        <v>12</v>
      </c>
      <c r="X35" s="379"/>
      <c r="Y35" s="379"/>
      <c r="Z35" s="379"/>
      <c r="AA35" s="379"/>
      <c r="AB35" s="379" t="s">
        <v>446</v>
      </c>
      <c r="AC35" s="415"/>
      <c r="AE35" s="414">
        <v>12</v>
      </c>
      <c r="AF35" s="379"/>
      <c r="AG35" s="379"/>
      <c r="AH35" s="379"/>
      <c r="AI35" s="379"/>
      <c r="AJ35" s="379" t="s">
        <v>446</v>
      </c>
      <c r="AK35" s="415"/>
      <c r="AL35" s="359" t="s">
        <v>1022</v>
      </c>
      <c r="AO35" s="359" t="b">
        <f>DIALOG.BOX(MAT78b)</f>
        <v>0</v>
      </c>
    </row>
    <row r="36" spans="2:63">
      <c r="B36" s="421" t="s">
        <v>1107</v>
      </c>
      <c r="C36" s="422" t="s">
        <v>1104</v>
      </c>
      <c r="D36" s="423" t="s">
        <v>1105</v>
      </c>
      <c r="H36" s="379">
        <v>0</v>
      </c>
      <c r="I36" s="379">
        <v>0</v>
      </c>
      <c r="J36" s="379">
        <v>0</v>
      </c>
      <c r="K36" s="379">
        <v>0</v>
      </c>
      <c r="L36" s="379">
        <v>0</v>
      </c>
      <c r="M36" s="379">
        <v>0</v>
      </c>
      <c r="N36" s="387">
        <v>0</v>
      </c>
      <c r="O36" s="379">
        <v>0</v>
      </c>
      <c r="P36" s="379">
        <v>0</v>
      </c>
      <c r="R36" s="379"/>
      <c r="S36" s="379"/>
      <c r="T36" s="379"/>
      <c r="U36" s="379"/>
      <c r="W36" s="414">
        <v>12</v>
      </c>
      <c r="X36" s="379"/>
      <c r="Y36" s="379"/>
      <c r="Z36" s="379"/>
      <c r="AA36" s="379"/>
      <c r="AB36" s="379" t="s">
        <v>1713</v>
      </c>
      <c r="AC36" s="415"/>
      <c r="AE36" s="414">
        <v>12</v>
      </c>
      <c r="AF36" s="379"/>
      <c r="AG36" s="379"/>
      <c r="AH36" s="379"/>
      <c r="AI36" s="379"/>
      <c r="AJ36" s="379" t="s">
        <v>1713</v>
      </c>
      <c r="AK36" s="415"/>
      <c r="AL36" s="359" t="s">
        <v>1027</v>
      </c>
      <c r="AO36" s="359" t="b">
        <f>RETURN()</f>
        <v>1</v>
      </c>
    </row>
    <row r="37" spans="2:63">
      <c r="B37" s="424">
        <v>1</v>
      </c>
      <c r="C37" s="403">
        <v>0.5</v>
      </c>
      <c r="D37" s="425" t="s">
        <v>403</v>
      </c>
      <c r="H37" s="379">
        <v>0</v>
      </c>
      <c r="I37" s="379">
        <v>0</v>
      </c>
      <c r="J37" s="379">
        <v>0</v>
      </c>
      <c r="K37" s="379">
        <v>0</v>
      </c>
      <c r="L37" s="379">
        <v>0</v>
      </c>
      <c r="M37" s="379">
        <v>0</v>
      </c>
      <c r="N37" s="387">
        <v>0</v>
      </c>
      <c r="O37" s="379">
        <v>0</v>
      </c>
      <c r="P37" s="379">
        <v>0</v>
      </c>
      <c r="R37" s="379"/>
      <c r="S37" s="379"/>
      <c r="T37" s="379"/>
      <c r="U37" s="379"/>
      <c r="W37" s="414">
        <v>12</v>
      </c>
      <c r="X37" s="379"/>
      <c r="Y37" s="379"/>
      <c r="Z37" s="379"/>
      <c r="AA37" s="379"/>
      <c r="AB37" s="379" t="s">
        <v>448</v>
      </c>
      <c r="AC37" s="415"/>
      <c r="AE37" s="414">
        <v>12</v>
      </c>
      <c r="AF37" s="379"/>
      <c r="AG37" s="379"/>
      <c r="AH37" s="379"/>
      <c r="AI37" s="379"/>
      <c r="AJ37" s="379" t="s">
        <v>448</v>
      </c>
      <c r="AK37" s="415"/>
      <c r="AL37" s="359" t="s">
        <v>1030</v>
      </c>
    </row>
    <row r="38" spans="2:63">
      <c r="B38" s="424">
        <v>2</v>
      </c>
      <c r="C38" s="359">
        <v>0</v>
      </c>
      <c r="D38" s="425" t="s">
        <v>403</v>
      </c>
      <c r="H38" s="379">
        <v>0</v>
      </c>
      <c r="I38" s="379">
        <v>0</v>
      </c>
      <c r="J38" s="379">
        <v>0</v>
      </c>
      <c r="K38" s="379">
        <v>0</v>
      </c>
      <c r="L38" s="379">
        <v>0</v>
      </c>
      <c r="M38" s="379">
        <v>0</v>
      </c>
      <c r="N38" s="387">
        <v>0</v>
      </c>
      <c r="O38" s="379">
        <v>0</v>
      </c>
      <c r="P38" s="379">
        <v>0</v>
      </c>
      <c r="R38" s="379"/>
      <c r="S38" s="379"/>
      <c r="T38" s="379"/>
      <c r="U38" s="379"/>
      <c r="W38" s="414">
        <v>12</v>
      </c>
      <c r="X38" s="379">
        <v>230</v>
      </c>
      <c r="Y38" s="379">
        <v>55</v>
      </c>
      <c r="Z38" s="379"/>
      <c r="AA38" s="379"/>
      <c r="AB38" s="379" t="s">
        <v>449</v>
      </c>
      <c r="AC38" s="415"/>
      <c r="AE38" s="414">
        <v>12</v>
      </c>
      <c r="AF38" s="379">
        <v>230</v>
      </c>
      <c r="AG38" s="379">
        <v>55</v>
      </c>
      <c r="AH38" s="379"/>
      <c r="AI38" s="379"/>
      <c r="AJ38" s="379" t="s">
        <v>449</v>
      </c>
      <c r="AK38" s="415"/>
      <c r="AL38" s="359" t="s">
        <v>1033</v>
      </c>
    </row>
    <row r="39" spans="2:63" ht="13.2" thickBot="1">
      <c r="B39" s="426">
        <v>6</v>
      </c>
      <c r="C39" s="429">
        <v>0</v>
      </c>
      <c r="D39" s="428" t="s">
        <v>403</v>
      </c>
      <c r="H39" s="379">
        <v>0</v>
      </c>
      <c r="I39" s="379">
        <v>0</v>
      </c>
      <c r="J39" s="379">
        <v>0</v>
      </c>
      <c r="K39" s="379">
        <v>0</v>
      </c>
      <c r="L39" s="379">
        <v>0</v>
      </c>
      <c r="M39" s="379">
        <v>0</v>
      </c>
      <c r="N39" s="387">
        <v>0</v>
      </c>
      <c r="O39" s="379">
        <v>0</v>
      </c>
      <c r="P39" s="379">
        <v>0</v>
      </c>
      <c r="R39" s="379"/>
      <c r="S39" s="379"/>
      <c r="T39" s="379"/>
      <c r="U39" s="379"/>
      <c r="W39" s="414">
        <v>12</v>
      </c>
      <c r="X39" s="379"/>
      <c r="Y39" s="379"/>
      <c r="Z39" s="379"/>
      <c r="AA39" s="379"/>
      <c r="AB39" s="379" t="s">
        <v>451</v>
      </c>
      <c r="AC39" s="415"/>
      <c r="AE39" s="414">
        <v>12</v>
      </c>
      <c r="AF39" s="379"/>
      <c r="AG39" s="379"/>
      <c r="AH39" s="379"/>
      <c r="AI39" s="379"/>
      <c r="AJ39" s="379" t="s">
        <v>451</v>
      </c>
      <c r="AK39" s="415"/>
      <c r="AL39" s="359" t="s">
        <v>316</v>
      </c>
      <c r="AM39" s="403"/>
      <c r="AN39" s="403"/>
    </row>
    <row r="40" spans="2:63">
      <c r="H40" s="379">
        <v>0</v>
      </c>
      <c r="I40" s="379">
        <v>0</v>
      </c>
      <c r="J40" s="379">
        <v>0</v>
      </c>
      <c r="K40" s="379">
        <v>0</v>
      </c>
      <c r="L40" s="379">
        <v>0</v>
      </c>
      <c r="M40" s="379">
        <v>0</v>
      </c>
      <c r="N40" s="387">
        <v>0</v>
      </c>
      <c r="O40" s="379">
        <v>0</v>
      </c>
      <c r="P40" s="379">
        <v>0</v>
      </c>
      <c r="R40" s="379"/>
      <c r="S40" s="379"/>
      <c r="T40" s="379"/>
      <c r="U40" s="379"/>
      <c r="W40" s="414">
        <v>12</v>
      </c>
      <c r="X40" s="379"/>
      <c r="Y40" s="379"/>
      <c r="Z40" s="379"/>
      <c r="AA40" s="379"/>
      <c r="AB40" s="379" t="s">
        <v>452</v>
      </c>
      <c r="AC40" s="415"/>
      <c r="AE40" s="414">
        <v>12</v>
      </c>
      <c r="AF40" s="379"/>
      <c r="AG40" s="379"/>
      <c r="AH40" s="379"/>
      <c r="AI40" s="379"/>
      <c r="AJ40" s="379" t="s">
        <v>452</v>
      </c>
      <c r="AK40" s="415"/>
      <c r="AL40" s="359" t="s">
        <v>320</v>
      </c>
      <c r="BK40" s="364"/>
    </row>
    <row r="41" spans="2:63">
      <c r="H41" s="379">
        <v>0</v>
      </c>
      <c r="I41" s="379">
        <v>0</v>
      </c>
      <c r="J41" s="379">
        <v>0</v>
      </c>
      <c r="K41" s="379">
        <v>0</v>
      </c>
      <c r="L41" s="379">
        <v>0</v>
      </c>
      <c r="M41" s="379">
        <v>0</v>
      </c>
      <c r="N41" s="387">
        <v>0</v>
      </c>
      <c r="O41" s="379">
        <v>0</v>
      </c>
      <c r="P41" s="379">
        <v>0</v>
      </c>
      <c r="R41" s="379"/>
      <c r="S41" s="379"/>
      <c r="T41" s="379"/>
      <c r="U41" s="379"/>
      <c r="W41" s="414">
        <v>12</v>
      </c>
      <c r="X41" s="379"/>
      <c r="Y41" s="379"/>
      <c r="Z41" s="379"/>
      <c r="AA41" s="379"/>
      <c r="AB41" s="379" t="s">
        <v>453</v>
      </c>
      <c r="AC41" s="415"/>
      <c r="AE41" s="414">
        <v>12</v>
      </c>
      <c r="AF41" s="379"/>
      <c r="AG41" s="379"/>
      <c r="AH41" s="379"/>
      <c r="AI41" s="379"/>
      <c r="AJ41" s="379" t="s">
        <v>453</v>
      </c>
      <c r="AK41" s="415"/>
    </row>
    <row r="42" spans="2:63">
      <c r="H42" s="379">
        <v>0</v>
      </c>
      <c r="I42" s="379">
        <v>0</v>
      </c>
      <c r="J42" s="379">
        <v>0</v>
      </c>
      <c r="K42" s="379">
        <v>0</v>
      </c>
      <c r="L42" s="379">
        <v>0</v>
      </c>
      <c r="M42" s="379">
        <v>0</v>
      </c>
      <c r="N42" s="387">
        <v>0</v>
      </c>
      <c r="O42" s="379">
        <v>0</v>
      </c>
      <c r="P42" s="379">
        <v>0</v>
      </c>
      <c r="R42" s="379"/>
      <c r="S42" s="379"/>
      <c r="T42" s="379"/>
      <c r="U42" s="379"/>
      <c r="W42" s="414">
        <v>12</v>
      </c>
      <c r="X42" s="379"/>
      <c r="Y42" s="379"/>
      <c r="Z42" s="379"/>
      <c r="AA42" s="379"/>
      <c r="AB42" s="379" t="s">
        <v>454</v>
      </c>
      <c r="AC42" s="415"/>
      <c r="AE42" s="414">
        <v>12</v>
      </c>
      <c r="AF42" s="379"/>
      <c r="AG42" s="379"/>
      <c r="AH42" s="379"/>
      <c r="AI42" s="379"/>
      <c r="AJ42" s="379" t="s">
        <v>454</v>
      </c>
      <c r="AK42" s="415"/>
      <c r="AL42" s="359" t="s">
        <v>1108</v>
      </c>
      <c r="AM42" s="359" t="s">
        <v>1109</v>
      </c>
    </row>
    <row r="43" spans="2:63">
      <c r="H43" s="379">
        <v>0</v>
      </c>
      <c r="I43" s="379">
        <v>0</v>
      </c>
      <c r="J43" s="379">
        <v>0</v>
      </c>
      <c r="K43" s="379">
        <v>0</v>
      </c>
      <c r="L43" s="379">
        <v>0</v>
      </c>
      <c r="M43" s="379">
        <v>0</v>
      </c>
      <c r="N43" s="387">
        <v>0</v>
      </c>
      <c r="O43" s="379">
        <v>0</v>
      </c>
      <c r="P43" s="379">
        <v>0</v>
      </c>
      <c r="R43" s="379"/>
      <c r="S43" s="379"/>
      <c r="T43" s="379"/>
      <c r="U43" s="379"/>
      <c r="W43" s="414">
        <v>12</v>
      </c>
      <c r="X43" s="379"/>
      <c r="Y43" s="379"/>
      <c r="Z43" s="379"/>
      <c r="AA43" s="379"/>
      <c r="AB43" s="379" t="s">
        <v>455</v>
      </c>
      <c r="AC43" s="415"/>
      <c r="AE43" s="414">
        <v>12</v>
      </c>
      <c r="AF43" s="379"/>
      <c r="AG43" s="379"/>
      <c r="AH43" s="379"/>
      <c r="AI43" s="379"/>
      <c r="AJ43" s="379" t="s">
        <v>455</v>
      </c>
      <c r="AK43" s="415"/>
      <c r="AL43" s="430">
        <v>1518.1240093693873</v>
      </c>
      <c r="AM43" s="359">
        <v>0.65046572594154284</v>
      </c>
    </row>
    <row r="44" spans="2:63">
      <c r="H44" s="379">
        <v>0</v>
      </c>
      <c r="I44" s="379">
        <v>0</v>
      </c>
      <c r="J44" s="379">
        <v>0</v>
      </c>
      <c r="K44" s="379">
        <v>0</v>
      </c>
      <c r="L44" s="379">
        <v>0</v>
      </c>
      <c r="M44" s="379">
        <v>0</v>
      </c>
      <c r="N44" s="387">
        <v>0</v>
      </c>
      <c r="O44" s="379">
        <v>0</v>
      </c>
      <c r="P44" s="379">
        <v>0</v>
      </c>
      <c r="R44" s="379"/>
      <c r="S44" s="379"/>
      <c r="T44" s="379"/>
      <c r="U44" s="379"/>
      <c r="W44" s="414">
        <v>12</v>
      </c>
      <c r="X44" s="379"/>
      <c r="Y44" s="379"/>
      <c r="Z44" s="379"/>
      <c r="AA44" s="379"/>
      <c r="AB44" s="379" t="s">
        <v>456</v>
      </c>
      <c r="AC44" s="415"/>
      <c r="AE44" s="414">
        <v>12</v>
      </c>
      <c r="AF44" s="379"/>
      <c r="AG44" s="379"/>
      <c r="AH44" s="379"/>
      <c r="AI44" s="379"/>
      <c r="AJ44" s="379" t="s">
        <v>456</v>
      </c>
      <c r="AK44" s="415"/>
      <c r="AL44" s="430">
        <v>1793.9323944087005</v>
      </c>
      <c r="AM44" s="359">
        <v>0.75089807920141205</v>
      </c>
    </row>
    <row r="45" spans="2:63">
      <c r="R45" s="379"/>
      <c r="S45" s="379"/>
      <c r="T45" s="379"/>
      <c r="U45" s="379"/>
      <c r="W45" s="414">
        <v>12</v>
      </c>
      <c r="X45" s="379"/>
      <c r="Y45" s="379"/>
      <c r="Z45" s="379"/>
      <c r="AA45" s="379"/>
      <c r="AB45" s="379" t="s">
        <v>457</v>
      </c>
      <c r="AC45" s="415"/>
      <c r="AE45" s="414">
        <v>12</v>
      </c>
      <c r="AF45" s="379"/>
      <c r="AG45" s="379"/>
      <c r="AH45" s="379"/>
      <c r="AI45" s="379"/>
      <c r="AJ45" s="379" t="s">
        <v>457</v>
      </c>
      <c r="AK45" s="415"/>
      <c r="AL45" s="430">
        <v>3125.1401860950436</v>
      </c>
      <c r="AM45" s="359">
        <v>1.0868500389911682</v>
      </c>
    </row>
    <row r="46" spans="2:63">
      <c r="B46" s="359" t="s">
        <v>1110</v>
      </c>
      <c r="C46" s="359" t="s">
        <v>1111</v>
      </c>
      <c r="D46" s="359" t="s">
        <v>1110</v>
      </c>
      <c r="E46" s="359" t="s">
        <v>1112</v>
      </c>
      <c r="F46" s="359" t="s">
        <v>1110</v>
      </c>
      <c r="G46" s="359" t="s">
        <v>1113</v>
      </c>
      <c r="I46" s="359" t="s">
        <v>1114</v>
      </c>
      <c r="J46" s="359" t="s">
        <v>1111</v>
      </c>
      <c r="K46" s="359" t="s">
        <v>1114</v>
      </c>
      <c r="L46" s="359" t="s">
        <v>1112</v>
      </c>
      <c r="M46" s="359" t="s">
        <v>1114</v>
      </c>
      <c r="N46" s="359" t="s">
        <v>1113</v>
      </c>
      <c r="R46" s="379"/>
      <c r="S46" s="379"/>
      <c r="T46" s="379"/>
      <c r="U46" s="379"/>
      <c r="W46" s="414">
        <v>12</v>
      </c>
      <c r="X46" s="379"/>
      <c r="Y46" s="379"/>
      <c r="Z46" s="379"/>
      <c r="AA46" s="379"/>
      <c r="AB46" s="379" t="s">
        <v>1705</v>
      </c>
      <c r="AC46" s="415"/>
      <c r="AE46" s="414">
        <v>12</v>
      </c>
      <c r="AF46" s="379"/>
      <c r="AG46" s="379"/>
      <c r="AH46" s="379"/>
      <c r="AI46" s="379"/>
      <c r="AJ46" s="379" t="s">
        <v>1705</v>
      </c>
      <c r="AK46" s="415"/>
      <c r="AL46" s="430"/>
      <c r="AM46" s="359">
        <v>1.0868500389911682</v>
      </c>
    </row>
    <row r="47" spans="2:63">
      <c r="B47" s="431">
        <v>0</v>
      </c>
      <c r="C47" s="432">
        <v>0</v>
      </c>
      <c r="D47" s="431">
        <v>0</v>
      </c>
      <c r="E47" s="432">
        <v>0</v>
      </c>
      <c r="F47" s="431">
        <v>0</v>
      </c>
      <c r="G47" s="433">
        <v>0</v>
      </c>
      <c r="I47" s="431">
        <v>0</v>
      </c>
      <c r="J47" s="432">
        <v>0</v>
      </c>
      <c r="K47" s="431">
        <v>0</v>
      </c>
      <c r="L47" s="432">
        <v>0</v>
      </c>
      <c r="M47" s="431">
        <v>0</v>
      </c>
      <c r="N47" s="433">
        <v>0</v>
      </c>
      <c r="R47" s="379"/>
      <c r="S47" s="379"/>
      <c r="T47" s="379"/>
      <c r="U47" s="379"/>
      <c r="W47" s="414">
        <v>12</v>
      </c>
      <c r="X47" s="379"/>
      <c r="Y47" s="379"/>
      <c r="Z47" s="379"/>
      <c r="AA47" s="379"/>
      <c r="AB47" s="379" t="s">
        <v>459</v>
      </c>
      <c r="AC47" s="415"/>
      <c r="AE47" s="414">
        <v>12</v>
      </c>
      <c r="AF47" s="379"/>
      <c r="AG47" s="379"/>
      <c r="AH47" s="379"/>
      <c r="AI47" s="379"/>
      <c r="AJ47" s="379" t="s">
        <v>459</v>
      </c>
      <c r="AK47" s="415"/>
      <c r="AL47" s="430"/>
      <c r="AM47" s="359">
        <v>103.92734866247076</v>
      </c>
    </row>
    <row r="48" spans="2:63">
      <c r="B48" s="434">
        <v>3.5008547310588525</v>
      </c>
      <c r="C48" s="434">
        <v>32.523286297077142</v>
      </c>
      <c r="D48" s="434">
        <v>-1.0363613286551623</v>
      </c>
      <c r="E48" s="434">
        <v>0</v>
      </c>
      <c r="F48" s="434">
        <v>6.6881380015127048E-17</v>
      </c>
      <c r="G48" s="435">
        <v>0</v>
      </c>
      <c r="I48" s="434">
        <v>1.1669515770196175</v>
      </c>
      <c r="J48" s="434">
        <v>0</v>
      </c>
      <c r="K48" s="434">
        <v>-0.34545377621838741</v>
      </c>
      <c r="L48" s="434">
        <v>0</v>
      </c>
      <c r="M48" s="434">
        <v>2.2293793338375679E-17</v>
      </c>
      <c r="N48" s="435">
        <v>0</v>
      </c>
      <c r="R48" s="379"/>
      <c r="S48" s="379"/>
      <c r="T48" s="379"/>
      <c r="U48" s="379"/>
      <c r="W48" s="414">
        <v>12</v>
      </c>
      <c r="X48" s="379"/>
      <c r="Y48" s="379"/>
      <c r="Z48" s="379"/>
      <c r="AA48" s="379"/>
      <c r="AB48" s="379" t="s">
        <v>460</v>
      </c>
      <c r="AC48" s="415"/>
      <c r="AE48" s="414">
        <v>12</v>
      </c>
      <c r="AF48" s="379"/>
      <c r="AG48" s="379"/>
      <c r="AH48" s="379"/>
      <c r="AI48" s="379"/>
      <c r="AJ48" s="379" t="s">
        <v>460</v>
      </c>
      <c r="AK48" s="415"/>
      <c r="AL48" s="430"/>
    </row>
    <row r="49" spans="2:38">
      <c r="B49" s="434">
        <v>4.103483506394829</v>
      </c>
      <c r="C49" s="434">
        <v>37.544903960070599</v>
      </c>
      <c r="D49" s="434">
        <v>-1.1916623808265618</v>
      </c>
      <c r="E49" s="434">
        <v>0</v>
      </c>
      <c r="F49" s="434">
        <v>1.3379082265077459E-16</v>
      </c>
      <c r="G49" s="435">
        <v>0</v>
      </c>
      <c r="I49" s="434">
        <v>1.4092241080638588</v>
      </c>
      <c r="J49" s="434">
        <v>0</v>
      </c>
      <c r="K49" s="434">
        <v>-0.39407822944093202</v>
      </c>
      <c r="L49" s="434">
        <v>0</v>
      </c>
      <c r="M49" s="434">
        <v>8.2318882075679685E-17</v>
      </c>
      <c r="N49" s="435">
        <v>0</v>
      </c>
      <c r="R49" s="379"/>
      <c r="S49" s="379"/>
      <c r="T49" s="379"/>
      <c r="U49" s="379"/>
      <c r="W49" s="414">
        <v>12</v>
      </c>
      <c r="X49" s="379"/>
      <c r="Y49" s="379"/>
      <c r="Z49" s="379"/>
      <c r="AA49" s="379"/>
      <c r="AB49" s="379" t="s">
        <v>461</v>
      </c>
      <c r="AC49" s="415"/>
      <c r="AE49" s="414">
        <v>12</v>
      </c>
      <c r="AF49" s="379"/>
      <c r="AG49" s="379"/>
      <c r="AH49" s="379"/>
      <c r="AI49" s="379"/>
      <c r="AJ49" s="379" t="s">
        <v>461</v>
      </c>
      <c r="AK49" s="415"/>
      <c r="AL49" s="430"/>
    </row>
    <row r="50" spans="2:38">
      <c r="B50" s="434">
        <v>6.303846202727013</v>
      </c>
      <c r="C50" s="434">
        <v>54.342501949558404</v>
      </c>
      <c r="D50" s="434">
        <v>-1.9755364308407</v>
      </c>
      <c r="E50" s="434">
        <v>0</v>
      </c>
      <c r="F50" s="434">
        <v>2.3072790930351361E-16</v>
      </c>
      <c r="G50" s="435">
        <v>0</v>
      </c>
      <c r="I50" s="434">
        <v>2.4041745785266064</v>
      </c>
      <c r="J50" s="434">
        <v>0</v>
      </c>
      <c r="K50" s="434">
        <v>-0.82111296107484522</v>
      </c>
      <c r="L50" s="434">
        <v>0</v>
      </c>
      <c r="M50" s="434">
        <v>1.5622741160549287E-16</v>
      </c>
      <c r="N50" s="435">
        <v>0</v>
      </c>
      <c r="R50" s="379"/>
      <c r="S50" s="379"/>
      <c r="T50" s="379"/>
      <c r="U50" s="379"/>
      <c r="W50" s="414">
        <v>14</v>
      </c>
      <c r="X50" s="379">
        <v>370</v>
      </c>
      <c r="Y50" s="379">
        <v>35</v>
      </c>
      <c r="Z50" s="379">
        <v>310</v>
      </c>
      <c r="AA50" s="379">
        <v>240</v>
      </c>
      <c r="AB50" s="379" t="s">
        <v>1115</v>
      </c>
      <c r="AC50" s="415"/>
      <c r="AE50" s="414">
        <v>14</v>
      </c>
      <c r="AF50" s="379">
        <v>370</v>
      </c>
      <c r="AG50" s="379">
        <v>35</v>
      </c>
      <c r="AH50" s="379">
        <v>310</v>
      </c>
      <c r="AI50" s="379">
        <v>240</v>
      </c>
      <c r="AJ50" s="379" t="s">
        <v>1115</v>
      </c>
      <c r="AK50" s="415"/>
      <c r="AL50" s="430"/>
    </row>
    <row r="51" spans="2:38">
      <c r="B51" s="434">
        <v>0</v>
      </c>
      <c r="C51" s="434">
        <v>0</v>
      </c>
      <c r="D51" s="434">
        <v>0</v>
      </c>
      <c r="E51" s="434">
        <v>0</v>
      </c>
      <c r="F51" s="434">
        <v>0</v>
      </c>
      <c r="G51" s="435">
        <v>0</v>
      </c>
      <c r="I51" s="434">
        <v>0</v>
      </c>
      <c r="J51" s="434">
        <v>0</v>
      </c>
      <c r="K51" s="434">
        <v>0</v>
      </c>
      <c r="L51" s="434">
        <v>0</v>
      </c>
      <c r="M51" s="434">
        <v>0</v>
      </c>
      <c r="N51" s="435">
        <v>0</v>
      </c>
      <c r="R51" s="379"/>
      <c r="S51" s="379"/>
      <c r="T51" s="379"/>
      <c r="U51" s="379"/>
      <c r="W51" s="414">
        <v>11</v>
      </c>
      <c r="X51" s="379"/>
      <c r="Y51" s="379"/>
      <c r="Z51" s="379"/>
      <c r="AA51" s="379"/>
      <c r="AB51" s="379"/>
      <c r="AC51" s="415">
        <v>8</v>
      </c>
      <c r="AE51" s="414">
        <v>11</v>
      </c>
      <c r="AF51" s="379"/>
      <c r="AG51" s="379"/>
      <c r="AH51" s="379"/>
      <c r="AI51" s="379"/>
      <c r="AJ51" s="379"/>
      <c r="AK51" s="415">
        <v>8</v>
      </c>
    </row>
    <row r="52" spans="2:38">
      <c r="B52" s="434">
        <v>0</v>
      </c>
      <c r="C52" s="434">
        <v>0</v>
      </c>
      <c r="D52" s="434">
        <v>0</v>
      </c>
      <c r="E52" s="434">
        <v>0</v>
      </c>
      <c r="F52" s="434">
        <v>0</v>
      </c>
      <c r="G52" s="435">
        <v>0</v>
      </c>
      <c r="I52" s="434">
        <v>0</v>
      </c>
      <c r="J52" s="434">
        <v>0</v>
      </c>
      <c r="K52" s="434">
        <v>0</v>
      </c>
      <c r="L52" s="434">
        <v>0</v>
      </c>
      <c r="M52" s="434">
        <v>0</v>
      </c>
      <c r="N52" s="435">
        <v>0</v>
      </c>
      <c r="R52" s="379"/>
      <c r="S52" s="379"/>
      <c r="T52" s="379"/>
      <c r="U52" s="379"/>
      <c r="W52" s="414">
        <v>12</v>
      </c>
      <c r="X52" s="379">
        <v>405</v>
      </c>
      <c r="Y52" s="379">
        <v>55</v>
      </c>
      <c r="Z52" s="379"/>
      <c r="AA52" s="379"/>
      <c r="AB52" s="379" t="s">
        <v>1099</v>
      </c>
      <c r="AC52" s="415"/>
      <c r="AE52" s="414">
        <v>12</v>
      </c>
      <c r="AF52" s="379">
        <v>405</v>
      </c>
      <c r="AG52" s="379">
        <v>55</v>
      </c>
      <c r="AH52" s="379"/>
      <c r="AI52" s="379"/>
      <c r="AJ52" s="379" t="s">
        <v>1099</v>
      </c>
      <c r="AK52" s="415"/>
    </row>
    <row r="53" spans="2:38">
      <c r="B53" s="434">
        <v>0</v>
      </c>
      <c r="C53" s="434">
        <v>0</v>
      </c>
      <c r="D53" s="434">
        <v>0</v>
      </c>
      <c r="E53" s="434">
        <v>0</v>
      </c>
      <c r="F53" s="434">
        <v>0</v>
      </c>
      <c r="G53" s="435">
        <v>0</v>
      </c>
      <c r="I53" s="434">
        <v>0</v>
      </c>
      <c r="J53" s="434">
        <v>0</v>
      </c>
      <c r="K53" s="434">
        <v>0</v>
      </c>
      <c r="L53" s="434">
        <v>0</v>
      </c>
      <c r="M53" s="434">
        <v>0</v>
      </c>
      <c r="N53" s="435">
        <v>0</v>
      </c>
      <c r="R53" s="379"/>
      <c r="S53" s="379"/>
      <c r="T53" s="379"/>
      <c r="U53" s="379"/>
      <c r="W53" s="414">
        <v>12</v>
      </c>
      <c r="X53" s="379"/>
      <c r="Y53" s="379"/>
      <c r="Z53" s="379"/>
      <c r="AA53" s="379"/>
      <c r="AB53" s="379" t="s">
        <v>438</v>
      </c>
      <c r="AC53" s="415"/>
      <c r="AE53" s="414">
        <v>12</v>
      </c>
      <c r="AF53" s="379"/>
      <c r="AG53" s="379"/>
      <c r="AH53" s="379"/>
      <c r="AI53" s="379"/>
      <c r="AJ53" s="379" t="s">
        <v>438</v>
      </c>
      <c r="AK53" s="415"/>
    </row>
    <row r="54" spans="2:38">
      <c r="B54" s="434">
        <v>0</v>
      </c>
      <c r="C54" s="434">
        <v>0</v>
      </c>
      <c r="D54" s="434">
        <v>0</v>
      </c>
      <c r="E54" s="434">
        <v>0</v>
      </c>
      <c r="F54" s="434">
        <v>0</v>
      </c>
      <c r="G54" s="435">
        <v>0</v>
      </c>
      <c r="I54" s="434">
        <v>0</v>
      </c>
      <c r="J54" s="434">
        <v>0</v>
      </c>
      <c r="K54" s="434">
        <v>0</v>
      </c>
      <c r="L54" s="434">
        <v>0</v>
      </c>
      <c r="M54" s="434">
        <v>0</v>
      </c>
      <c r="N54" s="435">
        <v>0</v>
      </c>
      <c r="R54" s="379"/>
      <c r="S54" s="379"/>
      <c r="T54" s="379"/>
      <c r="U54" s="379"/>
      <c r="W54" s="414">
        <v>12</v>
      </c>
      <c r="X54" s="379"/>
      <c r="Y54" s="379"/>
      <c r="Z54" s="379"/>
      <c r="AA54" s="379"/>
      <c r="AB54" s="379" t="s">
        <v>439</v>
      </c>
      <c r="AC54" s="415"/>
      <c r="AE54" s="414">
        <v>12</v>
      </c>
      <c r="AF54" s="379"/>
      <c r="AG54" s="379"/>
      <c r="AH54" s="379"/>
      <c r="AI54" s="379"/>
      <c r="AJ54" s="379" t="s">
        <v>439</v>
      </c>
      <c r="AK54" s="415"/>
    </row>
    <row r="55" spans="2:38">
      <c r="B55" s="434">
        <v>0</v>
      </c>
      <c r="C55" s="434">
        <v>0</v>
      </c>
      <c r="D55" s="434">
        <v>0</v>
      </c>
      <c r="E55" s="434">
        <v>0</v>
      </c>
      <c r="F55" s="434">
        <v>0</v>
      </c>
      <c r="G55" s="435">
        <v>0</v>
      </c>
      <c r="I55" s="434">
        <v>0</v>
      </c>
      <c r="J55" s="434">
        <v>0</v>
      </c>
      <c r="K55" s="434">
        <v>0</v>
      </c>
      <c r="L55" s="434">
        <v>0</v>
      </c>
      <c r="M55" s="434">
        <v>0</v>
      </c>
      <c r="N55" s="435">
        <v>0</v>
      </c>
      <c r="R55" s="379"/>
      <c r="S55" s="379"/>
      <c r="T55" s="379"/>
      <c r="U55" s="379"/>
      <c r="W55" s="414">
        <v>12</v>
      </c>
      <c r="X55" s="379"/>
      <c r="Y55" s="379"/>
      <c r="Z55" s="379"/>
      <c r="AA55" s="379"/>
      <c r="AB55" s="379" t="s">
        <v>440</v>
      </c>
      <c r="AC55" s="415"/>
      <c r="AE55" s="414">
        <v>12</v>
      </c>
      <c r="AF55" s="379"/>
      <c r="AG55" s="379"/>
      <c r="AH55" s="379"/>
      <c r="AI55" s="379"/>
      <c r="AJ55" s="379" t="s">
        <v>440</v>
      </c>
      <c r="AK55" s="415"/>
    </row>
    <row r="56" spans="2:38">
      <c r="B56" s="434">
        <v>0</v>
      </c>
      <c r="C56" s="434">
        <v>0</v>
      </c>
      <c r="D56" s="434">
        <v>0</v>
      </c>
      <c r="E56" s="434">
        <v>0</v>
      </c>
      <c r="F56" s="434">
        <v>0</v>
      </c>
      <c r="G56" s="435">
        <v>0</v>
      </c>
      <c r="I56" s="434">
        <v>0</v>
      </c>
      <c r="J56" s="434">
        <v>0</v>
      </c>
      <c r="K56" s="434">
        <v>0</v>
      </c>
      <c r="L56" s="434">
        <v>0</v>
      </c>
      <c r="M56" s="434">
        <v>0</v>
      </c>
      <c r="N56" s="435">
        <v>0</v>
      </c>
      <c r="R56" s="379"/>
      <c r="S56" s="379"/>
      <c r="T56" s="379"/>
      <c r="U56" s="379"/>
      <c r="W56" s="414">
        <v>12</v>
      </c>
      <c r="X56" s="379"/>
      <c r="Y56" s="379"/>
      <c r="Z56" s="379"/>
      <c r="AA56" s="379"/>
      <c r="AB56" s="379" t="s">
        <v>441</v>
      </c>
      <c r="AC56" s="415"/>
      <c r="AE56" s="414">
        <v>12</v>
      </c>
      <c r="AF56" s="379"/>
      <c r="AG56" s="379"/>
      <c r="AH56" s="379"/>
      <c r="AI56" s="379"/>
      <c r="AJ56" s="379" t="s">
        <v>441</v>
      </c>
      <c r="AK56" s="415"/>
    </row>
    <row r="57" spans="2:38">
      <c r="B57" s="434">
        <v>0</v>
      </c>
      <c r="C57" s="434">
        <v>0</v>
      </c>
      <c r="D57" s="434">
        <v>0</v>
      </c>
      <c r="E57" s="434">
        <v>0</v>
      </c>
      <c r="F57" s="434">
        <v>0</v>
      </c>
      <c r="G57" s="435">
        <v>0</v>
      </c>
      <c r="I57" s="434">
        <v>0</v>
      </c>
      <c r="J57" s="434">
        <v>0</v>
      </c>
      <c r="K57" s="434">
        <v>0</v>
      </c>
      <c r="L57" s="434">
        <v>0</v>
      </c>
      <c r="M57" s="434">
        <v>0</v>
      </c>
      <c r="N57" s="435">
        <v>0</v>
      </c>
      <c r="R57" s="379"/>
      <c r="S57" s="379"/>
      <c r="T57" s="379"/>
      <c r="U57" s="379"/>
      <c r="W57" s="414">
        <v>12</v>
      </c>
      <c r="X57" s="379"/>
      <c r="Y57" s="379"/>
      <c r="Z57" s="379"/>
      <c r="AA57" s="379"/>
      <c r="AB57" s="379" t="s">
        <v>442</v>
      </c>
      <c r="AC57" s="415"/>
      <c r="AE57" s="414">
        <v>12</v>
      </c>
      <c r="AF57" s="379"/>
      <c r="AG57" s="379"/>
      <c r="AH57" s="379"/>
      <c r="AI57" s="379"/>
      <c r="AJ57" s="379" t="s">
        <v>442</v>
      </c>
      <c r="AK57" s="415"/>
    </row>
    <row r="58" spans="2:38">
      <c r="B58" s="434">
        <v>0</v>
      </c>
      <c r="C58" s="434">
        <v>0</v>
      </c>
      <c r="D58" s="434">
        <v>0</v>
      </c>
      <c r="E58" s="434">
        <v>0</v>
      </c>
      <c r="F58" s="434">
        <v>0</v>
      </c>
      <c r="G58" s="435">
        <v>0</v>
      </c>
      <c r="I58" s="434">
        <v>0</v>
      </c>
      <c r="J58" s="434">
        <v>0</v>
      </c>
      <c r="K58" s="434">
        <v>0</v>
      </c>
      <c r="L58" s="434">
        <v>0</v>
      </c>
      <c r="M58" s="434">
        <v>0</v>
      </c>
      <c r="N58" s="435">
        <v>0</v>
      </c>
      <c r="R58" s="379"/>
      <c r="S58" s="379"/>
      <c r="T58" s="379"/>
      <c r="U58" s="379"/>
      <c r="W58" s="414">
        <v>12</v>
      </c>
      <c r="X58" s="379"/>
      <c r="Y58" s="379"/>
      <c r="Z58" s="379"/>
      <c r="AA58" s="379"/>
      <c r="AB58" s="379" t="s">
        <v>443</v>
      </c>
      <c r="AC58" s="415"/>
      <c r="AE58" s="414">
        <v>12</v>
      </c>
      <c r="AF58" s="379"/>
      <c r="AG58" s="379"/>
      <c r="AH58" s="379"/>
      <c r="AI58" s="379"/>
      <c r="AJ58" s="379" t="s">
        <v>443</v>
      </c>
      <c r="AK58" s="415"/>
    </row>
    <row r="59" spans="2:38">
      <c r="B59" s="434">
        <v>0</v>
      </c>
      <c r="C59" s="434">
        <v>0</v>
      </c>
      <c r="D59" s="434">
        <v>0</v>
      </c>
      <c r="E59" s="434">
        <v>0</v>
      </c>
      <c r="F59" s="434">
        <v>0</v>
      </c>
      <c r="G59" s="435">
        <v>0</v>
      </c>
      <c r="I59" s="434">
        <v>0</v>
      </c>
      <c r="J59" s="434">
        <v>0</v>
      </c>
      <c r="K59" s="434">
        <v>0</v>
      </c>
      <c r="L59" s="434">
        <v>0</v>
      </c>
      <c r="M59" s="434">
        <v>0</v>
      </c>
      <c r="N59" s="435">
        <v>0</v>
      </c>
      <c r="R59" s="379"/>
      <c r="S59" s="379"/>
      <c r="T59" s="379"/>
      <c r="U59" s="379"/>
      <c r="W59" s="414">
        <v>12</v>
      </c>
      <c r="X59" s="379"/>
      <c r="Y59" s="379"/>
      <c r="Z59" s="379"/>
      <c r="AA59" s="379"/>
      <c r="AB59" s="379" t="s">
        <v>444</v>
      </c>
      <c r="AC59" s="415"/>
      <c r="AE59" s="414">
        <v>12</v>
      </c>
      <c r="AF59" s="379"/>
      <c r="AG59" s="379"/>
      <c r="AH59" s="379"/>
      <c r="AI59" s="379"/>
      <c r="AJ59" s="379" t="s">
        <v>444</v>
      </c>
      <c r="AK59" s="415"/>
    </row>
    <row r="60" spans="2:38">
      <c r="B60" s="434">
        <v>0</v>
      </c>
      <c r="C60" s="434">
        <v>0</v>
      </c>
      <c r="D60" s="434">
        <v>0</v>
      </c>
      <c r="E60" s="434">
        <v>0</v>
      </c>
      <c r="F60" s="434">
        <v>0</v>
      </c>
      <c r="G60" s="435">
        <v>0</v>
      </c>
      <c r="I60" s="434">
        <v>0</v>
      </c>
      <c r="J60" s="434">
        <v>0</v>
      </c>
      <c r="K60" s="434">
        <v>0</v>
      </c>
      <c r="L60" s="434">
        <v>0</v>
      </c>
      <c r="M60" s="434">
        <v>0</v>
      </c>
      <c r="N60" s="435">
        <v>0</v>
      </c>
      <c r="R60" s="379"/>
      <c r="S60" s="379"/>
      <c r="T60" s="379"/>
      <c r="U60" s="379"/>
      <c r="W60" s="414">
        <v>12</v>
      </c>
      <c r="X60" s="379"/>
      <c r="Y60" s="379"/>
      <c r="Z60" s="379"/>
      <c r="AA60" s="379"/>
      <c r="AB60" s="379" t="s">
        <v>445</v>
      </c>
      <c r="AC60" s="415"/>
      <c r="AE60" s="414">
        <v>12</v>
      </c>
      <c r="AF60" s="379"/>
      <c r="AG60" s="379"/>
      <c r="AH60" s="379"/>
      <c r="AI60" s="379"/>
      <c r="AJ60" s="379" t="s">
        <v>445</v>
      </c>
      <c r="AK60" s="415"/>
    </row>
    <row r="61" spans="2:38">
      <c r="B61" s="434">
        <v>0</v>
      </c>
      <c r="C61" s="434">
        <v>0</v>
      </c>
      <c r="D61" s="434">
        <v>0</v>
      </c>
      <c r="E61" s="434">
        <v>0</v>
      </c>
      <c r="F61" s="434">
        <v>0</v>
      </c>
      <c r="G61" s="435">
        <v>0</v>
      </c>
      <c r="I61" s="434">
        <v>0</v>
      </c>
      <c r="J61" s="434">
        <v>0</v>
      </c>
      <c r="K61" s="434">
        <v>0</v>
      </c>
      <c r="L61" s="434">
        <v>0</v>
      </c>
      <c r="M61" s="434">
        <v>0</v>
      </c>
      <c r="N61" s="435">
        <v>0</v>
      </c>
      <c r="R61" s="379"/>
      <c r="S61" s="379"/>
      <c r="T61" s="379"/>
      <c r="U61" s="379"/>
      <c r="W61" s="414">
        <v>12</v>
      </c>
      <c r="X61" s="379"/>
      <c r="Y61" s="379"/>
      <c r="Z61" s="379"/>
      <c r="AA61" s="379"/>
      <c r="AB61" s="379" t="s">
        <v>446</v>
      </c>
      <c r="AC61" s="415"/>
      <c r="AE61" s="414">
        <v>12</v>
      </c>
      <c r="AF61" s="379"/>
      <c r="AG61" s="379"/>
      <c r="AH61" s="379"/>
      <c r="AI61" s="379"/>
      <c r="AJ61" s="379" t="s">
        <v>446</v>
      </c>
      <c r="AK61" s="415"/>
    </row>
    <row r="62" spans="2:38">
      <c r="B62" s="434">
        <v>0</v>
      </c>
      <c r="C62" s="434">
        <v>0</v>
      </c>
      <c r="D62" s="434">
        <v>0</v>
      </c>
      <c r="E62" s="434">
        <v>0</v>
      </c>
      <c r="F62" s="434">
        <v>0</v>
      </c>
      <c r="G62" s="435">
        <v>0</v>
      </c>
      <c r="I62" s="434">
        <v>0</v>
      </c>
      <c r="J62" s="434">
        <v>0</v>
      </c>
      <c r="K62" s="434">
        <v>0</v>
      </c>
      <c r="L62" s="434">
        <v>0</v>
      </c>
      <c r="M62" s="434">
        <v>0</v>
      </c>
      <c r="N62" s="435">
        <v>0</v>
      </c>
      <c r="R62" s="379"/>
      <c r="S62" s="379"/>
      <c r="T62" s="379"/>
      <c r="U62" s="379"/>
      <c r="W62" s="414">
        <v>12</v>
      </c>
      <c r="X62" s="379"/>
      <c r="Y62" s="379"/>
      <c r="Z62" s="379"/>
      <c r="AA62" s="379"/>
      <c r="AB62" s="379" t="s">
        <v>1713</v>
      </c>
      <c r="AC62" s="415"/>
      <c r="AE62" s="414">
        <v>12</v>
      </c>
      <c r="AF62" s="379"/>
      <c r="AG62" s="379"/>
      <c r="AH62" s="379"/>
      <c r="AI62" s="379"/>
      <c r="AJ62" s="379" t="s">
        <v>1713</v>
      </c>
      <c r="AK62" s="415"/>
    </row>
    <row r="63" spans="2:38">
      <c r="B63" s="434">
        <v>0</v>
      </c>
      <c r="C63" s="434">
        <v>0</v>
      </c>
      <c r="D63" s="434">
        <v>0</v>
      </c>
      <c r="E63" s="434">
        <v>0</v>
      </c>
      <c r="F63" s="434">
        <v>0</v>
      </c>
      <c r="G63" s="435">
        <v>0</v>
      </c>
      <c r="I63" s="434">
        <v>0</v>
      </c>
      <c r="J63" s="434">
        <v>0</v>
      </c>
      <c r="K63" s="434">
        <v>0</v>
      </c>
      <c r="L63" s="434">
        <v>0</v>
      </c>
      <c r="M63" s="434">
        <v>0</v>
      </c>
      <c r="N63" s="435">
        <v>0</v>
      </c>
      <c r="R63" s="379"/>
      <c r="S63" s="379"/>
      <c r="T63" s="379"/>
      <c r="U63" s="379"/>
      <c r="W63" s="414">
        <v>12</v>
      </c>
      <c r="X63" s="379"/>
      <c r="Y63" s="379"/>
      <c r="Z63" s="379"/>
      <c r="AA63" s="379"/>
      <c r="AB63" s="379" t="s">
        <v>448</v>
      </c>
      <c r="AC63" s="415"/>
      <c r="AE63" s="414">
        <v>12</v>
      </c>
      <c r="AF63" s="379"/>
      <c r="AG63" s="379"/>
      <c r="AH63" s="379"/>
      <c r="AI63" s="379"/>
      <c r="AJ63" s="379" t="s">
        <v>448</v>
      </c>
      <c r="AK63" s="415"/>
    </row>
    <row r="64" spans="2:38">
      <c r="B64" s="434">
        <v>0</v>
      </c>
      <c r="C64" s="434">
        <v>0</v>
      </c>
      <c r="D64" s="434">
        <v>0</v>
      </c>
      <c r="E64" s="434">
        <v>0</v>
      </c>
      <c r="F64" s="434">
        <v>0</v>
      </c>
      <c r="G64" s="435">
        <v>0</v>
      </c>
      <c r="I64" s="434">
        <v>0</v>
      </c>
      <c r="J64" s="434">
        <v>0</v>
      </c>
      <c r="K64" s="434">
        <v>0</v>
      </c>
      <c r="L64" s="434">
        <v>0</v>
      </c>
      <c r="M64" s="434">
        <v>0</v>
      </c>
      <c r="N64" s="435">
        <v>0</v>
      </c>
      <c r="R64" s="379"/>
      <c r="S64" s="379"/>
      <c r="T64" s="379"/>
      <c r="U64" s="379"/>
      <c r="W64" s="414">
        <v>12</v>
      </c>
      <c r="X64" s="379">
        <v>560</v>
      </c>
      <c r="Y64" s="379">
        <v>55</v>
      </c>
      <c r="Z64" s="379"/>
      <c r="AA64" s="379"/>
      <c r="AB64" s="379" t="s">
        <v>449</v>
      </c>
      <c r="AC64" s="415"/>
      <c r="AE64" s="414">
        <v>12</v>
      </c>
      <c r="AF64" s="379">
        <v>560</v>
      </c>
      <c r="AG64" s="379">
        <v>55</v>
      </c>
      <c r="AH64" s="379"/>
      <c r="AI64" s="379"/>
      <c r="AJ64" s="379" t="s">
        <v>449</v>
      </c>
      <c r="AK64" s="415"/>
    </row>
    <row r="65" spans="2:63">
      <c r="B65" s="434">
        <v>0</v>
      </c>
      <c r="C65" s="434">
        <v>0</v>
      </c>
      <c r="D65" s="434">
        <v>0</v>
      </c>
      <c r="E65" s="434">
        <v>0</v>
      </c>
      <c r="F65" s="434">
        <v>0</v>
      </c>
      <c r="G65" s="435">
        <v>0</v>
      </c>
      <c r="I65" s="434">
        <v>0</v>
      </c>
      <c r="J65" s="434">
        <v>0</v>
      </c>
      <c r="K65" s="434">
        <v>0</v>
      </c>
      <c r="L65" s="434">
        <v>0</v>
      </c>
      <c r="M65" s="434">
        <v>0</v>
      </c>
      <c r="N65" s="435">
        <v>0</v>
      </c>
      <c r="R65" s="379"/>
      <c r="S65" s="379"/>
      <c r="T65" s="379"/>
      <c r="U65" s="379"/>
      <c r="W65" s="414">
        <v>12</v>
      </c>
      <c r="X65" s="379"/>
      <c r="Y65" s="379"/>
      <c r="Z65" s="379"/>
      <c r="AA65" s="379"/>
      <c r="AB65" s="379" t="s">
        <v>451</v>
      </c>
      <c r="AC65" s="415"/>
      <c r="AE65" s="414">
        <v>12</v>
      </c>
      <c r="AF65" s="379"/>
      <c r="AG65" s="379"/>
      <c r="AH65" s="379"/>
      <c r="AI65" s="379"/>
      <c r="AJ65" s="379" t="s">
        <v>451</v>
      </c>
      <c r="AK65" s="415"/>
      <c r="BK65" s="364"/>
    </row>
    <row r="66" spans="2:63">
      <c r="B66" s="434">
        <v>0</v>
      </c>
      <c r="C66" s="434">
        <v>0</v>
      </c>
      <c r="D66" s="434">
        <v>0</v>
      </c>
      <c r="E66" s="434">
        <v>0</v>
      </c>
      <c r="F66" s="434">
        <v>0</v>
      </c>
      <c r="G66" s="435">
        <v>0</v>
      </c>
      <c r="I66" s="434">
        <v>0</v>
      </c>
      <c r="J66" s="434">
        <v>0</v>
      </c>
      <c r="K66" s="434">
        <v>0</v>
      </c>
      <c r="L66" s="434">
        <v>0</v>
      </c>
      <c r="M66" s="434">
        <v>0</v>
      </c>
      <c r="N66" s="435">
        <v>0</v>
      </c>
      <c r="R66" s="379"/>
      <c r="S66" s="379"/>
      <c r="T66" s="379"/>
      <c r="U66" s="379"/>
      <c r="W66" s="414">
        <v>12</v>
      </c>
      <c r="X66" s="379"/>
      <c r="Y66" s="379"/>
      <c r="Z66" s="379"/>
      <c r="AA66" s="379"/>
      <c r="AB66" s="379" t="s">
        <v>452</v>
      </c>
      <c r="AC66" s="415"/>
      <c r="AE66" s="414">
        <v>12</v>
      </c>
      <c r="AF66" s="379"/>
      <c r="AG66" s="379"/>
      <c r="AH66" s="379"/>
      <c r="AI66" s="379"/>
      <c r="AJ66" s="379" t="s">
        <v>452</v>
      </c>
      <c r="AK66" s="415"/>
    </row>
    <row r="67" spans="2:63">
      <c r="B67" s="434">
        <v>0</v>
      </c>
      <c r="C67" s="434">
        <v>0</v>
      </c>
      <c r="D67" s="434">
        <v>0</v>
      </c>
      <c r="E67" s="434">
        <v>0</v>
      </c>
      <c r="F67" s="434">
        <v>0</v>
      </c>
      <c r="G67" s="435">
        <v>0</v>
      </c>
      <c r="I67" s="434">
        <v>0</v>
      </c>
      <c r="J67" s="434">
        <v>0</v>
      </c>
      <c r="K67" s="434">
        <v>0</v>
      </c>
      <c r="L67" s="434">
        <v>0</v>
      </c>
      <c r="M67" s="434">
        <v>0</v>
      </c>
      <c r="N67" s="435">
        <v>0</v>
      </c>
      <c r="R67" s="379"/>
      <c r="S67" s="379"/>
      <c r="T67" s="379"/>
      <c r="U67" s="379"/>
      <c r="W67" s="414">
        <v>12</v>
      </c>
      <c r="X67" s="379"/>
      <c r="Y67" s="379"/>
      <c r="Z67" s="379"/>
      <c r="AA67" s="379"/>
      <c r="AB67" s="379" t="s">
        <v>453</v>
      </c>
      <c r="AC67" s="415"/>
      <c r="AE67" s="414">
        <v>12</v>
      </c>
      <c r="AF67" s="379"/>
      <c r="AG67" s="379"/>
      <c r="AH67" s="379"/>
      <c r="AI67" s="379"/>
      <c r="AJ67" s="379" t="s">
        <v>453</v>
      </c>
      <c r="AK67" s="415"/>
    </row>
    <row r="68" spans="2:63">
      <c r="B68" s="434">
        <v>0</v>
      </c>
      <c r="C68" s="434">
        <v>0</v>
      </c>
      <c r="D68" s="434">
        <v>0</v>
      </c>
      <c r="E68" s="434">
        <v>0</v>
      </c>
      <c r="F68" s="434">
        <v>0</v>
      </c>
      <c r="G68" s="435">
        <v>0</v>
      </c>
      <c r="I68" s="434">
        <v>0</v>
      </c>
      <c r="J68" s="434">
        <v>0</v>
      </c>
      <c r="K68" s="434">
        <v>0</v>
      </c>
      <c r="L68" s="434">
        <v>0</v>
      </c>
      <c r="M68" s="434">
        <v>0</v>
      </c>
      <c r="N68" s="435">
        <v>0</v>
      </c>
      <c r="R68" s="379"/>
      <c r="S68" s="379"/>
      <c r="T68" s="379"/>
      <c r="U68" s="379"/>
      <c r="W68" s="414">
        <v>12</v>
      </c>
      <c r="X68" s="379"/>
      <c r="Y68" s="379"/>
      <c r="Z68" s="379"/>
      <c r="AA68" s="379"/>
      <c r="AB68" s="379" t="s">
        <v>454</v>
      </c>
      <c r="AC68" s="415"/>
      <c r="AE68" s="414">
        <v>12</v>
      </c>
      <c r="AF68" s="379"/>
      <c r="AG68" s="379"/>
      <c r="AH68" s="379"/>
      <c r="AI68" s="379"/>
      <c r="AJ68" s="379" t="s">
        <v>454</v>
      </c>
      <c r="AK68" s="415"/>
    </row>
    <row r="69" spans="2:63">
      <c r="B69" s="434">
        <v>0</v>
      </c>
      <c r="C69" s="434">
        <v>0</v>
      </c>
      <c r="D69" s="434">
        <v>0</v>
      </c>
      <c r="E69" s="434">
        <v>0</v>
      </c>
      <c r="F69" s="434">
        <v>0</v>
      </c>
      <c r="G69" s="435">
        <v>0</v>
      </c>
      <c r="I69" s="434">
        <v>0</v>
      </c>
      <c r="J69" s="434">
        <v>0</v>
      </c>
      <c r="K69" s="434">
        <v>0</v>
      </c>
      <c r="L69" s="434">
        <v>0</v>
      </c>
      <c r="M69" s="434">
        <v>0</v>
      </c>
      <c r="N69" s="435">
        <v>0</v>
      </c>
      <c r="R69" s="379"/>
      <c r="S69" s="379"/>
      <c r="T69" s="379"/>
      <c r="U69" s="379"/>
      <c r="W69" s="414">
        <v>12</v>
      </c>
      <c r="X69" s="379"/>
      <c r="Y69" s="379"/>
      <c r="Z69" s="379"/>
      <c r="AA69" s="379"/>
      <c r="AB69" s="379" t="s">
        <v>455</v>
      </c>
      <c r="AC69" s="415"/>
      <c r="AE69" s="414">
        <v>12</v>
      </c>
      <c r="AF69" s="379"/>
      <c r="AG69" s="379"/>
      <c r="AH69" s="379"/>
      <c r="AI69" s="379"/>
      <c r="AJ69" s="379" t="s">
        <v>455</v>
      </c>
      <c r="AK69" s="415"/>
    </row>
    <row r="70" spans="2:63">
      <c r="B70" s="434">
        <v>0</v>
      </c>
      <c r="C70" s="434">
        <v>0</v>
      </c>
      <c r="D70" s="434">
        <v>0</v>
      </c>
      <c r="E70" s="434">
        <v>0</v>
      </c>
      <c r="F70" s="434">
        <v>0</v>
      </c>
      <c r="G70" s="435">
        <v>0</v>
      </c>
      <c r="I70" s="434">
        <v>0</v>
      </c>
      <c r="J70" s="434">
        <v>0</v>
      </c>
      <c r="K70" s="434">
        <v>0</v>
      </c>
      <c r="L70" s="434">
        <v>0</v>
      </c>
      <c r="M70" s="434">
        <v>0</v>
      </c>
      <c r="N70" s="435">
        <v>0</v>
      </c>
      <c r="R70" s="379"/>
      <c r="S70" s="379"/>
      <c r="T70" s="379"/>
      <c r="U70" s="379"/>
      <c r="W70" s="414">
        <v>12</v>
      </c>
      <c r="X70" s="379"/>
      <c r="Y70" s="379"/>
      <c r="Z70" s="379"/>
      <c r="AA70" s="379"/>
      <c r="AB70" s="379" t="s">
        <v>456</v>
      </c>
      <c r="AC70" s="415"/>
      <c r="AE70" s="414">
        <v>12</v>
      </c>
      <c r="AF70" s="379"/>
      <c r="AG70" s="379"/>
      <c r="AH70" s="379"/>
      <c r="AI70" s="379"/>
      <c r="AJ70" s="379" t="s">
        <v>456</v>
      </c>
      <c r="AK70" s="415"/>
    </row>
    <row r="71" spans="2:63">
      <c r="B71" s="434">
        <v>0</v>
      </c>
      <c r="C71" s="434">
        <v>0</v>
      </c>
      <c r="D71" s="434">
        <v>0</v>
      </c>
      <c r="E71" s="434">
        <v>0</v>
      </c>
      <c r="F71" s="434">
        <v>0</v>
      </c>
      <c r="G71" s="435">
        <v>0</v>
      </c>
      <c r="I71" s="434">
        <v>0</v>
      </c>
      <c r="J71" s="434">
        <v>0</v>
      </c>
      <c r="K71" s="434">
        <v>0</v>
      </c>
      <c r="L71" s="434">
        <v>0</v>
      </c>
      <c r="M71" s="434">
        <v>0</v>
      </c>
      <c r="N71" s="435">
        <v>0</v>
      </c>
      <c r="R71" s="379"/>
      <c r="S71" s="379"/>
      <c r="T71" s="379"/>
      <c r="U71" s="379"/>
      <c r="W71" s="414">
        <v>12</v>
      </c>
      <c r="X71" s="379"/>
      <c r="Y71" s="379"/>
      <c r="Z71" s="379"/>
      <c r="AA71" s="379"/>
      <c r="AB71" s="379" t="s">
        <v>457</v>
      </c>
      <c r="AC71" s="415"/>
      <c r="AE71" s="414">
        <v>12</v>
      </c>
      <c r="AF71" s="379"/>
      <c r="AG71" s="379"/>
      <c r="AH71" s="379"/>
      <c r="AI71" s="379"/>
      <c r="AJ71" s="379" t="s">
        <v>457</v>
      </c>
      <c r="AK71" s="415"/>
    </row>
    <row r="72" spans="2:63">
      <c r="B72" s="434">
        <v>0</v>
      </c>
      <c r="C72" s="434">
        <v>0</v>
      </c>
      <c r="D72" s="434">
        <v>0</v>
      </c>
      <c r="E72" s="434">
        <v>0</v>
      </c>
      <c r="F72" s="434">
        <v>0</v>
      </c>
      <c r="G72" s="435">
        <v>0</v>
      </c>
      <c r="I72" s="434">
        <v>0</v>
      </c>
      <c r="J72" s="434">
        <v>0</v>
      </c>
      <c r="K72" s="434">
        <v>0</v>
      </c>
      <c r="L72" s="434">
        <v>0</v>
      </c>
      <c r="M72" s="434">
        <v>0</v>
      </c>
      <c r="N72" s="435">
        <v>0</v>
      </c>
      <c r="R72" s="379"/>
      <c r="S72" s="379"/>
      <c r="T72" s="379"/>
      <c r="U72" s="379"/>
      <c r="W72" s="414">
        <v>12</v>
      </c>
      <c r="X72" s="379"/>
      <c r="Y72" s="379"/>
      <c r="Z72" s="379"/>
      <c r="AA72" s="379"/>
      <c r="AB72" s="379" t="s">
        <v>1705</v>
      </c>
      <c r="AC72" s="415"/>
      <c r="AE72" s="414">
        <v>12</v>
      </c>
      <c r="AF72" s="379"/>
      <c r="AG72" s="379"/>
      <c r="AH72" s="379"/>
      <c r="AI72" s="379"/>
      <c r="AJ72" s="379" t="s">
        <v>1705</v>
      </c>
      <c r="AK72" s="415"/>
    </row>
    <row r="73" spans="2:63">
      <c r="B73" s="434">
        <v>0</v>
      </c>
      <c r="C73" s="434">
        <v>0</v>
      </c>
      <c r="D73" s="434">
        <v>0</v>
      </c>
      <c r="E73" s="434">
        <v>0</v>
      </c>
      <c r="F73" s="434">
        <v>0</v>
      </c>
      <c r="G73" s="435">
        <v>0</v>
      </c>
      <c r="I73" s="434">
        <v>0</v>
      </c>
      <c r="J73" s="434">
        <v>0</v>
      </c>
      <c r="K73" s="434">
        <v>0</v>
      </c>
      <c r="L73" s="434">
        <v>0</v>
      </c>
      <c r="M73" s="434">
        <v>0</v>
      </c>
      <c r="N73" s="435">
        <v>0</v>
      </c>
      <c r="R73" s="379"/>
      <c r="S73" s="379"/>
      <c r="T73" s="379"/>
      <c r="U73" s="379"/>
      <c r="W73" s="414">
        <v>12</v>
      </c>
      <c r="X73" s="379"/>
      <c r="Y73" s="379"/>
      <c r="Z73" s="379"/>
      <c r="AA73" s="379"/>
      <c r="AB73" s="379" t="s">
        <v>459</v>
      </c>
      <c r="AC73" s="415"/>
      <c r="AE73" s="414">
        <v>12</v>
      </c>
      <c r="AF73" s="379"/>
      <c r="AG73" s="379"/>
      <c r="AH73" s="379"/>
      <c r="AI73" s="379"/>
      <c r="AJ73" s="379" t="s">
        <v>459</v>
      </c>
      <c r="AK73" s="415"/>
    </row>
    <row r="74" spans="2:63">
      <c r="B74" s="434">
        <v>0</v>
      </c>
      <c r="C74" s="434">
        <v>0</v>
      </c>
      <c r="D74" s="434">
        <v>0</v>
      </c>
      <c r="E74" s="434">
        <v>0</v>
      </c>
      <c r="F74" s="434">
        <v>0</v>
      </c>
      <c r="G74" s="435">
        <v>0</v>
      </c>
      <c r="I74" s="434">
        <v>0</v>
      </c>
      <c r="J74" s="434">
        <v>0</v>
      </c>
      <c r="K74" s="434">
        <v>0</v>
      </c>
      <c r="L74" s="434">
        <v>0</v>
      </c>
      <c r="M74" s="434">
        <v>0</v>
      </c>
      <c r="N74" s="435">
        <v>0</v>
      </c>
      <c r="R74" s="379"/>
      <c r="S74" s="379"/>
      <c r="T74" s="379"/>
      <c r="U74" s="379"/>
      <c r="W74" s="414">
        <v>12</v>
      </c>
      <c r="X74" s="379"/>
      <c r="Y74" s="379"/>
      <c r="Z74" s="379"/>
      <c r="AA74" s="379"/>
      <c r="AB74" s="379" t="s">
        <v>460</v>
      </c>
      <c r="AC74" s="415"/>
      <c r="AE74" s="414">
        <v>12</v>
      </c>
      <c r="AF74" s="379"/>
      <c r="AG74" s="379"/>
      <c r="AH74" s="379"/>
      <c r="AI74" s="379"/>
      <c r="AJ74" s="379" t="s">
        <v>460</v>
      </c>
      <c r="AK74" s="415"/>
    </row>
    <row r="75" spans="2:63">
      <c r="B75" s="436">
        <v>0</v>
      </c>
      <c r="C75" s="436">
        <v>0</v>
      </c>
      <c r="D75" s="436">
        <v>0</v>
      </c>
      <c r="E75" s="436">
        <v>0</v>
      </c>
      <c r="F75" s="436">
        <v>0</v>
      </c>
      <c r="G75" s="437">
        <v>0</v>
      </c>
      <c r="I75" s="436">
        <v>0</v>
      </c>
      <c r="J75" s="436">
        <v>0</v>
      </c>
      <c r="K75" s="436">
        <v>0</v>
      </c>
      <c r="L75" s="436">
        <v>0</v>
      </c>
      <c r="M75" s="436">
        <v>0</v>
      </c>
      <c r="N75" s="437">
        <v>0</v>
      </c>
      <c r="R75" s="379"/>
      <c r="S75" s="379"/>
      <c r="T75" s="379"/>
      <c r="U75" s="379"/>
      <c r="W75" s="414">
        <v>12</v>
      </c>
      <c r="X75" s="379"/>
      <c r="Y75" s="379"/>
      <c r="Z75" s="379"/>
      <c r="AA75" s="379"/>
      <c r="AB75" s="379" t="s">
        <v>461</v>
      </c>
      <c r="AC75" s="415"/>
      <c r="AE75" s="414">
        <v>12</v>
      </c>
      <c r="AF75" s="379"/>
      <c r="AG75" s="379"/>
      <c r="AH75" s="379"/>
      <c r="AI75" s="379"/>
      <c r="AJ75" s="379" t="s">
        <v>461</v>
      </c>
      <c r="AK75" s="415"/>
      <c r="BJ75" s="364"/>
    </row>
    <row r="76" spans="2:63">
      <c r="R76" s="379"/>
      <c r="S76" s="379"/>
      <c r="T76" s="379"/>
      <c r="U76" s="379"/>
      <c r="W76" s="414">
        <v>1</v>
      </c>
      <c r="X76" s="379">
        <v>509</v>
      </c>
      <c r="Y76" s="379">
        <v>288</v>
      </c>
      <c r="Z76" s="379">
        <v>95</v>
      </c>
      <c r="AA76" s="379">
        <v>25</v>
      </c>
      <c r="AB76" s="379" t="s">
        <v>462</v>
      </c>
      <c r="AC76" s="415"/>
      <c r="AE76" s="414">
        <v>1</v>
      </c>
      <c r="AF76" s="379">
        <v>509</v>
      </c>
      <c r="AG76" s="379">
        <v>288</v>
      </c>
      <c r="AH76" s="379">
        <v>95</v>
      </c>
      <c r="AI76" s="379">
        <v>25</v>
      </c>
      <c r="AJ76" s="379" t="s">
        <v>462</v>
      </c>
      <c r="AK76" s="415"/>
    </row>
    <row r="77" spans="2:63">
      <c r="R77" s="379"/>
      <c r="S77" s="379"/>
      <c r="T77" s="379"/>
      <c r="U77" s="379"/>
      <c r="W77" s="414">
        <v>2</v>
      </c>
      <c r="X77" s="379">
        <v>385</v>
      </c>
      <c r="Y77" s="379">
        <v>290</v>
      </c>
      <c r="Z77" s="379">
        <v>95</v>
      </c>
      <c r="AA77" s="379">
        <v>25</v>
      </c>
      <c r="AB77" s="379" t="s">
        <v>464</v>
      </c>
      <c r="AC77" s="415"/>
      <c r="AE77" s="414">
        <v>2</v>
      </c>
      <c r="AF77" s="379">
        <v>385</v>
      </c>
      <c r="AG77" s="379">
        <v>290</v>
      </c>
      <c r="AH77" s="379">
        <v>95</v>
      </c>
      <c r="AI77" s="379">
        <v>25</v>
      </c>
      <c r="AJ77" s="379" t="s">
        <v>464</v>
      </c>
      <c r="AK77" s="415"/>
    </row>
    <row r="78" spans="2:63" ht="13.2" thickBot="1">
      <c r="R78" s="379"/>
      <c r="S78" s="379"/>
      <c r="T78" s="379"/>
      <c r="U78" s="379"/>
      <c r="W78" s="414">
        <v>13</v>
      </c>
      <c r="X78" s="379">
        <v>50</v>
      </c>
      <c r="Y78" s="379">
        <v>290</v>
      </c>
      <c r="Z78" s="379"/>
      <c r="AA78" s="379"/>
      <c r="AB78" s="379" t="s">
        <v>465</v>
      </c>
      <c r="AC78" s="415" t="b">
        <v>0</v>
      </c>
      <c r="AE78" s="438">
        <v>5</v>
      </c>
      <c r="AF78" s="439">
        <v>228</v>
      </c>
      <c r="AG78" s="439">
        <v>11</v>
      </c>
      <c r="AH78" s="439"/>
      <c r="AI78" s="439"/>
      <c r="AJ78" s="439" t="s">
        <v>1116</v>
      </c>
      <c r="AK78" s="440"/>
    </row>
    <row r="79" spans="2:63" ht="13.2" thickBot="1">
      <c r="R79" s="379"/>
      <c r="S79" s="379"/>
      <c r="T79" s="379"/>
      <c r="U79" s="379"/>
      <c r="W79" s="438">
        <v>5</v>
      </c>
      <c r="X79" s="439">
        <v>228</v>
      </c>
      <c r="Y79" s="439">
        <v>11</v>
      </c>
      <c r="Z79" s="439"/>
      <c r="AA79" s="439"/>
      <c r="AB79" s="439" t="s">
        <v>1116</v>
      </c>
      <c r="AC79" s="440"/>
    </row>
    <row r="80" spans="2:63">
      <c r="R80" s="379"/>
      <c r="S80" s="379"/>
      <c r="T80" s="379"/>
      <c r="U80" s="379"/>
    </row>
    <row r="81" spans="5:62" ht="13.2" thickBot="1">
      <c r="W81" s="359" t="s">
        <v>1117</v>
      </c>
      <c r="AE81" s="359" t="s">
        <v>1118</v>
      </c>
    </row>
    <row r="82" spans="5:62">
      <c r="W82" s="409"/>
      <c r="X82" s="410"/>
      <c r="Y82" s="410"/>
      <c r="Z82" s="410">
        <v>706</v>
      </c>
      <c r="AA82" s="410">
        <v>342</v>
      </c>
      <c r="AB82" s="410"/>
      <c r="AC82" s="411"/>
      <c r="AE82" s="409"/>
      <c r="AF82" s="410"/>
      <c r="AG82" s="410"/>
      <c r="AH82" s="410">
        <v>706</v>
      </c>
      <c r="AI82" s="410">
        <v>342</v>
      </c>
      <c r="AJ82" s="410"/>
      <c r="AK82" s="411"/>
    </row>
    <row r="83" spans="5:62">
      <c r="W83" s="414">
        <v>14</v>
      </c>
      <c r="X83" s="379">
        <v>35</v>
      </c>
      <c r="Y83" s="379">
        <v>35</v>
      </c>
      <c r="Z83" s="379">
        <v>310</v>
      </c>
      <c r="AA83" s="379">
        <v>240</v>
      </c>
      <c r="AB83" s="379" t="s">
        <v>1119</v>
      </c>
      <c r="AC83" s="415"/>
      <c r="AE83" s="414">
        <v>14</v>
      </c>
      <c r="AF83" s="379">
        <v>35</v>
      </c>
      <c r="AG83" s="379">
        <v>35</v>
      </c>
      <c r="AH83" s="379">
        <v>310</v>
      </c>
      <c r="AI83" s="379">
        <v>240</v>
      </c>
      <c r="AJ83" s="379" t="s">
        <v>1119</v>
      </c>
      <c r="AK83" s="415"/>
    </row>
    <row r="84" spans="5:62">
      <c r="W84" s="414">
        <v>11</v>
      </c>
      <c r="X84" s="379"/>
      <c r="Y84" s="379"/>
      <c r="Z84" s="379"/>
      <c r="AA84" s="379"/>
      <c r="AB84" s="379"/>
      <c r="AC84" s="415">
        <v>8</v>
      </c>
      <c r="AE84" s="414">
        <v>11</v>
      </c>
      <c r="AF84" s="379"/>
      <c r="AG84" s="379"/>
      <c r="AH84" s="379"/>
      <c r="AI84" s="379"/>
      <c r="AJ84" s="379"/>
      <c r="AK84" s="415">
        <v>8</v>
      </c>
    </row>
    <row r="85" spans="5:62">
      <c r="W85" s="414">
        <v>12</v>
      </c>
      <c r="X85" s="379">
        <v>65</v>
      </c>
      <c r="Y85" s="379">
        <v>55</v>
      </c>
      <c r="Z85" s="379"/>
      <c r="AA85" s="379"/>
      <c r="AB85" s="379" t="s">
        <v>1099</v>
      </c>
      <c r="AC85" s="415"/>
      <c r="AE85" s="414">
        <v>12</v>
      </c>
      <c r="AF85" s="379">
        <v>65</v>
      </c>
      <c r="AG85" s="379">
        <v>55</v>
      </c>
      <c r="AH85" s="379"/>
      <c r="AI85" s="379"/>
      <c r="AJ85" s="379" t="s">
        <v>1099</v>
      </c>
      <c r="AK85" s="415"/>
      <c r="BJ85" s="364"/>
    </row>
    <row r="86" spans="5:62">
      <c r="W86" s="414">
        <v>12</v>
      </c>
      <c r="X86" s="379"/>
      <c r="Y86" s="379"/>
      <c r="Z86" s="379"/>
      <c r="AA86" s="379"/>
      <c r="AB86" s="379" t="s">
        <v>438</v>
      </c>
      <c r="AC86" s="415"/>
      <c r="AE86" s="414">
        <v>12</v>
      </c>
      <c r="AF86" s="379"/>
      <c r="AG86" s="379"/>
      <c r="AH86" s="379"/>
      <c r="AI86" s="379"/>
      <c r="AJ86" s="379" t="s">
        <v>438</v>
      </c>
      <c r="AK86" s="415"/>
    </row>
    <row r="87" spans="5:62">
      <c r="W87" s="414">
        <v>12</v>
      </c>
      <c r="X87" s="379"/>
      <c r="Y87" s="379"/>
      <c r="Z87" s="379"/>
      <c r="AA87" s="379"/>
      <c r="AB87" s="379" t="s">
        <v>439</v>
      </c>
      <c r="AC87" s="415"/>
      <c r="AE87" s="414">
        <v>12</v>
      </c>
      <c r="AF87" s="379"/>
      <c r="AG87" s="379"/>
      <c r="AH87" s="379"/>
      <c r="AI87" s="379"/>
      <c r="AJ87" s="379" t="s">
        <v>439</v>
      </c>
      <c r="AK87" s="415"/>
    </row>
    <row r="88" spans="5:62" ht="13.2" thickBot="1">
      <c r="E88" s="359" t="s">
        <v>1120</v>
      </c>
      <c r="W88" s="414">
        <v>12</v>
      </c>
      <c r="X88" s="379"/>
      <c r="Y88" s="379"/>
      <c r="Z88" s="379"/>
      <c r="AA88" s="379"/>
      <c r="AB88" s="379" t="s">
        <v>440</v>
      </c>
      <c r="AC88" s="415"/>
      <c r="AE88" s="414">
        <v>12</v>
      </c>
      <c r="AF88" s="379"/>
      <c r="AG88" s="379"/>
      <c r="AH88" s="379"/>
      <c r="AI88" s="379"/>
      <c r="AJ88" s="379" t="s">
        <v>440</v>
      </c>
      <c r="AK88" s="415"/>
    </row>
    <row r="89" spans="5:62">
      <c r="E89" s="409"/>
      <c r="F89" s="410"/>
      <c r="G89" s="410"/>
      <c r="H89" s="410">
        <v>250</v>
      </c>
      <c r="I89" s="410">
        <v>300</v>
      </c>
      <c r="J89" s="410"/>
      <c r="K89" s="411"/>
      <c r="W89" s="414">
        <v>12</v>
      </c>
      <c r="X89" s="379"/>
      <c r="Y89" s="379"/>
      <c r="Z89" s="379"/>
      <c r="AA89" s="379"/>
      <c r="AB89" s="379" t="s">
        <v>441</v>
      </c>
      <c r="AC89" s="415"/>
      <c r="AE89" s="414">
        <v>12</v>
      </c>
      <c r="AF89" s="379"/>
      <c r="AG89" s="379"/>
      <c r="AH89" s="379"/>
      <c r="AI89" s="379"/>
      <c r="AJ89" s="379" t="s">
        <v>441</v>
      </c>
      <c r="AK89" s="415"/>
    </row>
    <row r="90" spans="5:62">
      <c r="E90" s="414">
        <v>14</v>
      </c>
      <c r="F90" s="379">
        <v>12</v>
      </c>
      <c r="G90" s="379">
        <v>35</v>
      </c>
      <c r="H90" s="379">
        <v>110</v>
      </c>
      <c r="I90" s="379">
        <v>200</v>
      </c>
      <c r="J90" s="379" t="s">
        <v>1121</v>
      </c>
      <c r="K90" s="415"/>
      <c r="W90" s="414">
        <v>12</v>
      </c>
      <c r="X90" s="379"/>
      <c r="Y90" s="379"/>
      <c r="Z90" s="379"/>
      <c r="AA90" s="379"/>
      <c r="AB90" s="379" t="s">
        <v>442</v>
      </c>
      <c r="AC90" s="415"/>
      <c r="AE90" s="414">
        <v>12</v>
      </c>
      <c r="AF90" s="379"/>
      <c r="AG90" s="379"/>
      <c r="AH90" s="379"/>
      <c r="AI90" s="379"/>
      <c r="AJ90" s="379" t="s">
        <v>442</v>
      </c>
      <c r="AK90" s="415"/>
    </row>
    <row r="91" spans="5:62">
      <c r="E91" s="414">
        <v>11</v>
      </c>
      <c r="F91" s="379"/>
      <c r="G91" s="379"/>
      <c r="H91" s="379"/>
      <c r="I91" s="379"/>
      <c r="J91" s="379"/>
      <c r="K91" s="441">
        <v>1</v>
      </c>
      <c r="W91" s="414">
        <v>12</v>
      </c>
      <c r="X91" s="379"/>
      <c r="Y91" s="379"/>
      <c r="Z91" s="379"/>
      <c r="AA91" s="379"/>
      <c r="AB91" s="379" t="s">
        <v>443</v>
      </c>
      <c r="AC91" s="415"/>
      <c r="AE91" s="414">
        <v>12</v>
      </c>
      <c r="AF91" s="379"/>
      <c r="AG91" s="379"/>
      <c r="AH91" s="379"/>
      <c r="AI91" s="379"/>
      <c r="AJ91" s="379" t="s">
        <v>443</v>
      </c>
      <c r="AK91" s="415"/>
    </row>
    <row r="92" spans="5:62">
      <c r="E92" s="414">
        <v>12</v>
      </c>
      <c r="F92" s="379"/>
      <c r="G92" s="379"/>
      <c r="H92" s="379"/>
      <c r="I92" s="379"/>
      <c r="J92" s="379" t="s">
        <v>1122</v>
      </c>
      <c r="K92" s="415"/>
      <c r="W92" s="414">
        <v>12</v>
      </c>
      <c r="X92" s="379"/>
      <c r="Y92" s="379"/>
      <c r="Z92" s="379"/>
      <c r="AA92" s="379"/>
      <c r="AB92" s="379" t="s">
        <v>444</v>
      </c>
      <c r="AC92" s="415"/>
      <c r="AE92" s="414">
        <v>12</v>
      </c>
      <c r="AF92" s="379"/>
      <c r="AG92" s="379"/>
      <c r="AH92" s="379"/>
      <c r="AI92" s="379"/>
      <c r="AJ92" s="379" t="s">
        <v>444</v>
      </c>
      <c r="AK92" s="415"/>
    </row>
    <row r="93" spans="5:62">
      <c r="E93" s="414">
        <v>12</v>
      </c>
      <c r="F93" s="379"/>
      <c r="G93" s="379"/>
      <c r="H93" s="379"/>
      <c r="I93" s="379"/>
      <c r="J93" s="379" t="s">
        <v>1123</v>
      </c>
      <c r="K93" s="415"/>
      <c r="W93" s="414">
        <v>12</v>
      </c>
      <c r="X93" s="379"/>
      <c r="Y93" s="379"/>
      <c r="Z93" s="379"/>
      <c r="AA93" s="379"/>
      <c r="AB93" s="379" t="s">
        <v>445</v>
      </c>
      <c r="AC93" s="415"/>
      <c r="AE93" s="414">
        <v>12</v>
      </c>
      <c r="AF93" s="379"/>
      <c r="AG93" s="379"/>
      <c r="AH93" s="379"/>
      <c r="AI93" s="379"/>
      <c r="AJ93" s="379" t="s">
        <v>445</v>
      </c>
      <c r="AK93" s="415"/>
    </row>
    <row r="94" spans="5:62">
      <c r="E94" s="414">
        <v>12</v>
      </c>
      <c r="F94" s="379"/>
      <c r="G94" s="379"/>
      <c r="H94" s="379"/>
      <c r="I94" s="379"/>
      <c r="J94" s="379" t="s">
        <v>1124</v>
      </c>
      <c r="K94" s="415"/>
      <c r="W94" s="414">
        <v>12</v>
      </c>
      <c r="X94" s="379"/>
      <c r="Y94" s="379"/>
      <c r="Z94" s="379"/>
      <c r="AA94" s="379"/>
      <c r="AB94" s="379" t="s">
        <v>446</v>
      </c>
      <c r="AC94" s="415"/>
      <c r="AE94" s="414">
        <v>12</v>
      </c>
      <c r="AF94" s="379"/>
      <c r="AG94" s="379"/>
      <c r="AH94" s="379"/>
      <c r="AI94" s="379"/>
      <c r="AJ94" s="379" t="s">
        <v>446</v>
      </c>
      <c r="AK94" s="415"/>
    </row>
    <row r="95" spans="5:62">
      <c r="E95" s="414">
        <v>12</v>
      </c>
      <c r="F95" s="379"/>
      <c r="G95" s="379"/>
      <c r="H95" s="379"/>
      <c r="I95" s="379"/>
      <c r="J95" s="379" t="s">
        <v>1125</v>
      </c>
      <c r="K95" s="415"/>
      <c r="W95" s="414">
        <v>12</v>
      </c>
      <c r="X95" s="379"/>
      <c r="Y95" s="379"/>
      <c r="Z95" s="379"/>
      <c r="AA95" s="379"/>
      <c r="AB95" s="379" t="s">
        <v>1713</v>
      </c>
      <c r="AC95" s="415"/>
      <c r="AE95" s="414">
        <v>12</v>
      </c>
      <c r="AF95" s="379"/>
      <c r="AG95" s="379"/>
      <c r="AH95" s="379"/>
      <c r="AI95" s="379"/>
      <c r="AJ95" s="379" t="s">
        <v>1713</v>
      </c>
      <c r="AK95" s="415"/>
      <c r="BJ95" s="364"/>
    </row>
    <row r="96" spans="5:62">
      <c r="E96" s="414">
        <v>12</v>
      </c>
      <c r="F96" s="379"/>
      <c r="G96" s="379"/>
      <c r="H96" s="379"/>
      <c r="I96" s="379"/>
      <c r="J96" s="379" t="s">
        <v>1126</v>
      </c>
      <c r="K96" s="415"/>
      <c r="W96" s="414">
        <v>12</v>
      </c>
      <c r="X96" s="379"/>
      <c r="Y96" s="379"/>
      <c r="Z96" s="379"/>
      <c r="AA96" s="379"/>
      <c r="AB96" s="379" t="s">
        <v>448</v>
      </c>
      <c r="AC96" s="415"/>
      <c r="AE96" s="414">
        <v>12</v>
      </c>
      <c r="AF96" s="379"/>
      <c r="AG96" s="379"/>
      <c r="AH96" s="379"/>
      <c r="AI96" s="379"/>
      <c r="AJ96" s="379" t="s">
        <v>448</v>
      </c>
      <c r="AK96" s="415"/>
    </row>
    <row r="97" spans="5:37">
      <c r="E97" s="414">
        <v>12</v>
      </c>
      <c r="F97" s="379"/>
      <c r="G97" s="379"/>
      <c r="H97" s="379"/>
      <c r="I97" s="379"/>
      <c r="J97" s="379" t="s">
        <v>1127</v>
      </c>
      <c r="K97" s="415"/>
      <c r="W97" s="414">
        <v>12</v>
      </c>
      <c r="X97" s="379">
        <v>230</v>
      </c>
      <c r="Y97" s="379">
        <v>55</v>
      </c>
      <c r="Z97" s="379"/>
      <c r="AA97" s="379"/>
      <c r="AB97" s="379" t="s">
        <v>449</v>
      </c>
      <c r="AC97" s="415"/>
      <c r="AE97" s="414">
        <v>12</v>
      </c>
      <c r="AF97" s="379">
        <v>230</v>
      </c>
      <c r="AG97" s="379">
        <v>55</v>
      </c>
      <c r="AH97" s="379"/>
      <c r="AI97" s="379"/>
      <c r="AJ97" s="379" t="s">
        <v>449</v>
      </c>
      <c r="AK97" s="415"/>
    </row>
    <row r="98" spans="5:37">
      <c r="E98" s="414">
        <v>14</v>
      </c>
      <c r="F98" s="379">
        <v>134</v>
      </c>
      <c r="G98" s="379">
        <v>35</v>
      </c>
      <c r="H98" s="379">
        <v>110</v>
      </c>
      <c r="I98" s="379">
        <v>200</v>
      </c>
      <c r="J98" s="379" t="s">
        <v>1128</v>
      </c>
      <c r="K98" s="415"/>
      <c r="W98" s="414">
        <v>12</v>
      </c>
      <c r="X98" s="379"/>
      <c r="Y98" s="379"/>
      <c r="Z98" s="379"/>
      <c r="AA98" s="379"/>
      <c r="AB98" s="379" t="s">
        <v>451</v>
      </c>
      <c r="AC98" s="415"/>
      <c r="AE98" s="414">
        <v>12</v>
      </c>
      <c r="AF98" s="379"/>
      <c r="AG98" s="379"/>
      <c r="AH98" s="379"/>
      <c r="AI98" s="379"/>
      <c r="AJ98" s="379" t="s">
        <v>451</v>
      </c>
      <c r="AK98" s="415"/>
    </row>
    <row r="99" spans="5:37">
      <c r="E99" s="414">
        <v>11</v>
      </c>
      <c r="F99" s="379"/>
      <c r="G99" s="379"/>
      <c r="H99" s="379"/>
      <c r="I99" s="379"/>
      <c r="J99" s="379"/>
      <c r="K99" s="441">
        <v>2</v>
      </c>
      <c r="W99" s="414">
        <v>12</v>
      </c>
      <c r="X99" s="379"/>
      <c r="Y99" s="379"/>
      <c r="Z99" s="379"/>
      <c r="AA99" s="379"/>
      <c r="AB99" s="379" t="s">
        <v>452</v>
      </c>
      <c r="AC99" s="415"/>
      <c r="AE99" s="414">
        <v>12</v>
      </c>
      <c r="AF99" s="379"/>
      <c r="AG99" s="379"/>
      <c r="AH99" s="379"/>
      <c r="AI99" s="379"/>
      <c r="AJ99" s="379" t="s">
        <v>452</v>
      </c>
      <c r="AK99" s="415"/>
    </row>
    <row r="100" spans="5:37">
      <c r="E100" s="414">
        <v>12</v>
      </c>
      <c r="F100" s="379"/>
      <c r="G100" s="379"/>
      <c r="H100" s="379"/>
      <c r="I100" s="379"/>
      <c r="J100" s="379" t="s">
        <v>1122</v>
      </c>
      <c r="K100" s="415"/>
      <c r="W100" s="414">
        <v>12</v>
      </c>
      <c r="X100" s="379"/>
      <c r="Y100" s="379"/>
      <c r="Z100" s="379"/>
      <c r="AA100" s="379"/>
      <c r="AB100" s="379" t="s">
        <v>453</v>
      </c>
      <c r="AC100" s="415"/>
      <c r="AE100" s="414">
        <v>12</v>
      </c>
      <c r="AF100" s="379"/>
      <c r="AG100" s="379"/>
      <c r="AH100" s="379"/>
      <c r="AI100" s="379"/>
      <c r="AJ100" s="379" t="s">
        <v>453</v>
      </c>
      <c r="AK100" s="415"/>
    </row>
    <row r="101" spans="5:37">
      <c r="E101" s="414">
        <v>12</v>
      </c>
      <c r="F101" s="379"/>
      <c r="G101" s="379"/>
      <c r="H101" s="379"/>
      <c r="I101" s="379"/>
      <c r="J101" s="379" t="s">
        <v>1123</v>
      </c>
      <c r="K101" s="415"/>
      <c r="W101" s="414">
        <v>12</v>
      </c>
      <c r="X101" s="379"/>
      <c r="Y101" s="379"/>
      <c r="Z101" s="379"/>
      <c r="AA101" s="379"/>
      <c r="AB101" s="379" t="s">
        <v>454</v>
      </c>
      <c r="AC101" s="415"/>
      <c r="AE101" s="414">
        <v>12</v>
      </c>
      <c r="AF101" s="379"/>
      <c r="AG101" s="379"/>
      <c r="AH101" s="379"/>
      <c r="AI101" s="379"/>
      <c r="AJ101" s="379" t="s">
        <v>454</v>
      </c>
      <c r="AK101" s="415"/>
    </row>
    <row r="102" spans="5:37">
      <c r="E102" s="414">
        <v>12</v>
      </c>
      <c r="F102" s="379"/>
      <c r="G102" s="379"/>
      <c r="H102" s="379"/>
      <c r="I102" s="379"/>
      <c r="J102" s="379" t="s">
        <v>1124</v>
      </c>
      <c r="K102" s="415"/>
      <c r="W102" s="414">
        <v>12</v>
      </c>
      <c r="X102" s="379"/>
      <c r="Y102" s="379"/>
      <c r="Z102" s="379"/>
      <c r="AA102" s="379"/>
      <c r="AB102" s="379" t="s">
        <v>455</v>
      </c>
      <c r="AC102" s="415"/>
      <c r="AE102" s="414">
        <v>12</v>
      </c>
      <c r="AF102" s="379"/>
      <c r="AG102" s="379"/>
      <c r="AH102" s="379"/>
      <c r="AI102" s="379"/>
      <c r="AJ102" s="379" t="s">
        <v>455</v>
      </c>
      <c r="AK102" s="415"/>
    </row>
    <row r="103" spans="5:37">
      <c r="E103" s="414">
        <v>12</v>
      </c>
      <c r="F103" s="379"/>
      <c r="G103" s="379"/>
      <c r="H103" s="379"/>
      <c r="I103" s="379"/>
      <c r="J103" s="379" t="s">
        <v>1125</v>
      </c>
      <c r="K103" s="415"/>
      <c r="W103" s="414">
        <v>12</v>
      </c>
      <c r="X103" s="379"/>
      <c r="Y103" s="379"/>
      <c r="Z103" s="379"/>
      <c r="AA103" s="379"/>
      <c r="AB103" s="379" t="s">
        <v>456</v>
      </c>
      <c r="AC103" s="415"/>
      <c r="AE103" s="414">
        <v>12</v>
      </c>
      <c r="AF103" s="379"/>
      <c r="AG103" s="379"/>
      <c r="AH103" s="379"/>
      <c r="AI103" s="379"/>
      <c r="AJ103" s="379" t="s">
        <v>456</v>
      </c>
      <c r="AK103" s="415"/>
    </row>
    <row r="104" spans="5:37">
      <c r="E104" s="414">
        <v>12</v>
      </c>
      <c r="F104" s="379"/>
      <c r="G104" s="379"/>
      <c r="H104" s="379"/>
      <c r="I104" s="379"/>
      <c r="J104" s="379" t="s">
        <v>1126</v>
      </c>
      <c r="K104" s="415"/>
      <c r="W104" s="414">
        <v>12</v>
      </c>
      <c r="X104" s="379"/>
      <c r="Y104" s="379"/>
      <c r="Z104" s="379"/>
      <c r="AA104" s="379"/>
      <c r="AB104" s="379" t="s">
        <v>457</v>
      </c>
      <c r="AC104" s="415"/>
      <c r="AE104" s="414">
        <v>12</v>
      </c>
      <c r="AF104" s="379"/>
      <c r="AG104" s="379"/>
      <c r="AH104" s="379"/>
      <c r="AI104" s="379"/>
      <c r="AJ104" s="379" t="s">
        <v>457</v>
      </c>
      <c r="AK104" s="415"/>
    </row>
    <row r="105" spans="5:37">
      <c r="E105" s="414">
        <v>12</v>
      </c>
      <c r="F105" s="379"/>
      <c r="G105" s="379"/>
      <c r="H105" s="379"/>
      <c r="I105" s="379"/>
      <c r="J105" s="379" t="s">
        <v>1127</v>
      </c>
      <c r="K105" s="415"/>
      <c r="N105" s="364"/>
      <c r="W105" s="414">
        <v>12</v>
      </c>
      <c r="X105" s="379"/>
      <c r="Y105" s="379"/>
      <c r="Z105" s="379"/>
      <c r="AA105" s="379"/>
      <c r="AB105" s="379" t="s">
        <v>1705</v>
      </c>
      <c r="AC105" s="415"/>
      <c r="AE105" s="414">
        <v>12</v>
      </c>
      <c r="AF105" s="379"/>
      <c r="AG105" s="379"/>
      <c r="AH105" s="379"/>
      <c r="AI105" s="379"/>
      <c r="AJ105" s="379" t="s">
        <v>1705</v>
      </c>
      <c r="AK105" s="415"/>
    </row>
    <row r="106" spans="5:37">
      <c r="E106" s="414">
        <v>1</v>
      </c>
      <c r="F106" s="379">
        <v>40</v>
      </c>
      <c r="G106" s="379">
        <v>255</v>
      </c>
      <c r="H106" s="379">
        <v>64</v>
      </c>
      <c r="I106" s="379"/>
      <c r="J106" s="379" t="s">
        <v>462</v>
      </c>
      <c r="K106" s="415"/>
      <c r="W106" s="414">
        <v>12</v>
      </c>
      <c r="X106" s="379"/>
      <c r="Y106" s="379"/>
      <c r="Z106" s="379"/>
      <c r="AA106" s="379"/>
      <c r="AB106" s="379" t="s">
        <v>459</v>
      </c>
      <c r="AC106" s="415"/>
      <c r="AE106" s="414">
        <v>12</v>
      </c>
      <c r="AF106" s="379"/>
      <c r="AG106" s="379"/>
      <c r="AH106" s="379"/>
      <c r="AI106" s="379"/>
      <c r="AJ106" s="379" t="s">
        <v>459</v>
      </c>
      <c r="AK106" s="415"/>
    </row>
    <row r="107" spans="5:37" ht="13.2" thickBot="1">
      <c r="E107" s="438">
        <v>2</v>
      </c>
      <c r="F107" s="439">
        <v>140</v>
      </c>
      <c r="G107" s="439">
        <v>255</v>
      </c>
      <c r="H107" s="439">
        <v>64</v>
      </c>
      <c r="I107" s="439"/>
      <c r="J107" s="439" t="s">
        <v>464</v>
      </c>
      <c r="K107" s="440"/>
      <c r="W107" s="414">
        <v>12</v>
      </c>
      <c r="X107" s="379"/>
      <c r="Y107" s="379"/>
      <c r="Z107" s="379"/>
      <c r="AA107" s="379"/>
      <c r="AB107" s="379" t="s">
        <v>460</v>
      </c>
      <c r="AC107" s="415"/>
      <c r="AE107" s="414">
        <v>12</v>
      </c>
      <c r="AF107" s="379"/>
      <c r="AG107" s="379"/>
      <c r="AH107" s="379"/>
      <c r="AI107" s="379"/>
      <c r="AJ107" s="379" t="s">
        <v>460</v>
      </c>
      <c r="AK107" s="415"/>
    </row>
    <row r="108" spans="5:37">
      <c r="N108" s="364"/>
      <c r="W108" s="414">
        <v>12</v>
      </c>
      <c r="X108" s="379"/>
      <c r="Y108" s="379"/>
      <c r="Z108" s="379"/>
      <c r="AA108" s="379"/>
      <c r="AB108" s="379" t="s">
        <v>461</v>
      </c>
      <c r="AC108" s="415"/>
      <c r="AE108" s="414">
        <v>12</v>
      </c>
      <c r="AF108" s="379"/>
      <c r="AG108" s="379"/>
      <c r="AH108" s="379"/>
      <c r="AI108" s="379"/>
      <c r="AJ108" s="379" t="s">
        <v>461</v>
      </c>
      <c r="AK108" s="415"/>
    </row>
    <row r="109" spans="5:37">
      <c r="W109" s="414">
        <v>14</v>
      </c>
      <c r="X109" s="379">
        <v>370</v>
      </c>
      <c r="Y109" s="379">
        <v>35</v>
      </c>
      <c r="Z109" s="379">
        <v>310</v>
      </c>
      <c r="AA109" s="379">
        <v>240</v>
      </c>
      <c r="AB109" s="379" t="s">
        <v>1129</v>
      </c>
      <c r="AC109" s="415"/>
      <c r="AE109" s="414">
        <v>14</v>
      </c>
      <c r="AF109" s="379">
        <v>370</v>
      </c>
      <c r="AG109" s="379">
        <v>35</v>
      </c>
      <c r="AH109" s="379">
        <v>310</v>
      </c>
      <c r="AI109" s="379">
        <v>240</v>
      </c>
      <c r="AJ109" s="379" t="s">
        <v>1130</v>
      </c>
      <c r="AK109" s="415"/>
    </row>
    <row r="110" spans="5:37">
      <c r="W110" s="414">
        <v>11</v>
      </c>
      <c r="X110" s="379"/>
      <c r="Y110" s="379"/>
      <c r="Z110" s="379"/>
      <c r="AA110" s="379"/>
      <c r="AB110" s="379"/>
      <c r="AC110" s="415">
        <v>8</v>
      </c>
      <c r="AE110" s="414">
        <v>11</v>
      </c>
      <c r="AF110" s="379"/>
      <c r="AG110" s="379"/>
      <c r="AH110" s="379"/>
      <c r="AI110" s="379"/>
      <c r="AJ110" s="379"/>
      <c r="AK110" s="415">
        <v>8</v>
      </c>
    </row>
    <row r="111" spans="5:37">
      <c r="W111" s="414">
        <v>12</v>
      </c>
      <c r="X111" s="379">
        <v>405</v>
      </c>
      <c r="Y111" s="379">
        <v>55</v>
      </c>
      <c r="Z111" s="379"/>
      <c r="AA111" s="379"/>
      <c r="AB111" s="379" t="s">
        <v>1099</v>
      </c>
      <c r="AC111" s="415"/>
      <c r="AE111" s="414">
        <v>12</v>
      </c>
      <c r="AF111" s="379">
        <v>405</v>
      </c>
      <c r="AG111" s="379">
        <v>55</v>
      </c>
      <c r="AH111" s="379"/>
      <c r="AI111" s="379"/>
      <c r="AJ111" s="379" t="s">
        <v>1099</v>
      </c>
      <c r="AK111" s="415"/>
    </row>
    <row r="112" spans="5:37">
      <c r="W112" s="414">
        <v>12</v>
      </c>
      <c r="X112" s="379"/>
      <c r="Y112" s="379"/>
      <c r="Z112" s="379"/>
      <c r="AA112" s="379"/>
      <c r="AB112" s="379" t="s">
        <v>438</v>
      </c>
      <c r="AC112" s="415"/>
      <c r="AE112" s="414">
        <v>12</v>
      </c>
      <c r="AF112" s="379"/>
      <c r="AG112" s="379"/>
      <c r="AH112" s="379"/>
      <c r="AI112" s="379"/>
      <c r="AJ112" s="379" t="s">
        <v>438</v>
      </c>
      <c r="AK112" s="415"/>
    </row>
    <row r="113" spans="14:37">
      <c r="W113" s="414">
        <v>12</v>
      </c>
      <c r="X113" s="379"/>
      <c r="Y113" s="379"/>
      <c r="Z113" s="379"/>
      <c r="AA113" s="379"/>
      <c r="AB113" s="379" t="s">
        <v>439</v>
      </c>
      <c r="AC113" s="415"/>
      <c r="AE113" s="414">
        <v>12</v>
      </c>
      <c r="AF113" s="379"/>
      <c r="AG113" s="379"/>
      <c r="AH113" s="379"/>
      <c r="AI113" s="379"/>
      <c r="AJ113" s="379" t="s">
        <v>439</v>
      </c>
      <c r="AK113" s="415"/>
    </row>
    <row r="114" spans="14:37">
      <c r="W114" s="414">
        <v>12</v>
      </c>
      <c r="X114" s="379"/>
      <c r="Y114" s="379"/>
      <c r="Z114" s="379"/>
      <c r="AA114" s="379"/>
      <c r="AB114" s="379" t="s">
        <v>440</v>
      </c>
      <c r="AC114" s="415"/>
      <c r="AE114" s="414">
        <v>12</v>
      </c>
      <c r="AF114" s="379"/>
      <c r="AG114" s="379"/>
      <c r="AH114" s="379"/>
      <c r="AI114" s="379"/>
      <c r="AJ114" s="379" t="s">
        <v>440</v>
      </c>
      <c r="AK114" s="415"/>
    </row>
    <row r="115" spans="14:37">
      <c r="W115" s="414">
        <v>12</v>
      </c>
      <c r="X115" s="379"/>
      <c r="Y115" s="379"/>
      <c r="Z115" s="379"/>
      <c r="AA115" s="379"/>
      <c r="AB115" s="379" t="s">
        <v>441</v>
      </c>
      <c r="AC115" s="415"/>
      <c r="AE115" s="414">
        <v>12</v>
      </c>
      <c r="AF115" s="379"/>
      <c r="AG115" s="379"/>
      <c r="AH115" s="379"/>
      <c r="AI115" s="379"/>
      <c r="AJ115" s="379" t="s">
        <v>441</v>
      </c>
      <c r="AK115" s="415"/>
    </row>
    <row r="116" spans="14:37">
      <c r="W116" s="414">
        <v>12</v>
      </c>
      <c r="X116" s="379"/>
      <c r="Y116" s="379"/>
      <c r="Z116" s="379"/>
      <c r="AA116" s="379"/>
      <c r="AB116" s="379" t="s">
        <v>442</v>
      </c>
      <c r="AC116" s="415"/>
      <c r="AE116" s="414">
        <v>12</v>
      </c>
      <c r="AF116" s="379"/>
      <c r="AG116" s="379"/>
      <c r="AH116" s="379"/>
      <c r="AI116" s="379"/>
      <c r="AJ116" s="379" t="s">
        <v>442</v>
      </c>
      <c r="AK116" s="415"/>
    </row>
    <row r="117" spans="14:37">
      <c r="W117" s="414">
        <v>12</v>
      </c>
      <c r="X117" s="379"/>
      <c r="Y117" s="379"/>
      <c r="Z117" s="379"/>
      <c r="AA117" s="379"/>
      <c r="AB117" s="379" t="s">
        <v>443</v>
      </c>
      <c r="AC117" s="415"/>
      <c r="AE117" s="414">
        <v>12</v>
      </c>
      <c r="AF117" s="379"/>
      <c r="AG117" s="379"/>
      <c r="AH117" s="379"/>
      <c r="AI117" s="379"/>
      <c r="AJ117" s="379" t="s">
        <v>443</v>
      </c>
      <c r="AK117" s="415"/>
    </row>
    <row r="118" spans="14:37">
      <c r="W118" s="414">
        <v>12</v>
      </c>
      <c r="X118" s="379"/>
      <c r="Y118" s="379"/>
      <c r="Z118" s="379"/>
      <c r="AA118" s="379"/>
      <c r="AB118" s="379" t="s">
        <v>444</v>
      </c>
      <c r="AC118" s="415"/>
      <c r="AE118" s="414">
        <v>12</v>
      </c>
      <c r="AF118" s="379"/>
      <c r="AG118" s="379"/>
      <c r="AH118" s="379"/>
      <c r="AI118" s="379"/>
      <c r="AJ118" s="379" t="s">
        <v>444</v>
      </c>
      <c r="AK118" s="415"/>
    </row>
    <row r="119" spans="14:37">
      <c r="W119" s="414">
        <v>12</v>
      </c>
      <c r="X119" s="379"/>
      <c r="Y119" s="379"/>
      <c r="Z119" s="379"/>
      <c r="AA119" s="379"/>
      <c r="AB119" s="379" t="s">
        <v>445</v>
      </c>
      <c r="AC119" s="415"/>
      <c r="AE119" s="414">
        <v>12</v>
      </c>
      <c r="AF119" s="379"/>
      <c r="AG119" s="379"/>
      <c r="AH119" s="379"/>
      <c r="AI119" s="379"/>
      <c r="AJ119" s="379" t="s">
        <v>445</v>
      </c>
      <c r="AK119" s="415"/>
    </row>
    <row r="120" spans="14:37">
      <c r="W120" s="414">
        <v>12</v>
      </c>
      <c r="X120" s="379"/>
      <c r="Y120" s="379"/>
      <c r="Z120" s="379"/>
      <c r="AA120" s="379"/>
      <c r="AB120" s="379" t="s">
        <v>446</v>
      </c>
      <c r="AC120" s="415"/>
      <c r="AE120" s="414">
        <v>12</v>
      </c>
      <c r="AF120" s="379"/>
      <c r="AG120" s="379"/>
      <c r="AH120" s="379"/>
      <c r="AI120" s="379"/>
      <c r="AJ120" s="379" t="s">
        <v>446</v>
      </c>
      <c r="AK120" s="415"/>
    </row>
    <row r="121" spans="14:37">
      <c r="N121" s="364"/>
      <c r="W121" s="414">
        <v>12</v>
      </c>
      <c r="X121" s="379"/>
      <c r="Y121" s="379"/>
      <c r="Z121" s="379"/>
      <c r="AA121" s="379"/>
      <c r="AB121" s="379" t="s">
        <v>1713</v>
      </c>
      <c r="AC121" s="415"/>
      <c r="AE121" s="414">
        <v>12</v>
      </c>
      <c r="AF121" s="379"/>
      <c r="AG121" s="379"/>
      <c r="AH121" s="379"/>
      <c r="AI121" s="379"/>
      <c r="AJ121" s="379" t="s">
        <v>1713</v>
      </c>
      <c r="AK121" s="415"/>
    </row>
    <row r="122" spans="14:37">
      <c r="W122" s="414">
        <v>12</v>
      </c>
      <c r="X122" s="379"/>
      <c r="Y122" s="379"/>
      <c r="Z122" s="379"/>
      <c r="AA122" s="379"/>
      <c r="AB122" s="379" t="s">
        <v>448</v>
      </c>
      <c r="AC122" s="415"/>
      <c r="AE122" s="414">
        <v>12</v>
      </c>
      <c r="AF122" s="379"/>
      <c r="AG122" s="379"/>
      <c r="AH122" s="379"/>
      <c r="AI122" s="379"/>
      <c r="AJ122" s="379" t="s">
        <v>448</v>
      </c>
      <c r="AK122" s="415"/>
    </row>
    <row r="123" spans="14:37">
      <c r="N123" s="364"/>
      <c r="W123" s="414">
        <v>12</v>
      </c>
      <c r="X123" s="379">
        <v>560</v>
      </c>
      <c r="Y123" s="379">
        <v>55</v>
      </c>
      <c r="Z123" s="379"/>
      <c r="AA123" s="379"/>
      <c r="AB123" s="379" t="s">
        <v>449</v>
      </c>
      <c r="AC123" s="415"/>
      <c r="AE123" s="414">
        <v>12</v>
      </c>
      <c r="AF123" s="379">
        <v>560</v>
      </c>
      <c r="AG123" s="379">
        <v>55</v>
      </c>
      <c r="AH123" s="379"/>
      <c r="AI123" s="379"/>
      <c r="AJ123" s="379" t="s">
        <v>449</v>
      </c>
      <c r="AK123" s="415"/>
    </row>
    <row r="124" spans="14:37">
      <c r="W124" s="414">
        <v>12</v>
      </c>
      <c r="X124" s="379"/>
      <c r="Y124" s="379"/>
      <c r="Z124" s="379"/>
      <c r="AA124" s="379"/>
      <c r="AB124" s="379" t="s">
        <v>451</v>
      </c>
      <c r="AC124" s="415"/>
      <c r="AE124" s="414">
        <v>12</v>
      </c>
      <c r="AF124" s="379"/>
      <c r="AG124" s="379"/>
      <c r="AH124" s="379"/>
      <c r="AI124" s="379"/>
      <c r="AJ124" s="379" t="s">
        <v>451</v>
      </c>
      <c r="AK124" s="415"/>
    </row>
    <row r="125" spans="14:37">
      <c r="W125" s="414">
        <v>12</v>
      </c>
      <c r="X125" s="379"/>
      <c r="Y125" s="379"/>
      <c r="Z125" s="379"/>
      <c r="AA125" s="379"/>
      <c r="AB125" s="379" t="s">
        <v>452</v>
      </c>
      <c r="AC125" s="415"/>
      <c r="AE125" s="414">
        <v>12</v>
      </c>
      <c r="AF125" s="379"/>
      <c r="AG125" s="379"/>
      <c r="AH125" s="379"/>
      <c r="AI125" s="379"/>
      <c r="AJ125" s="379" t="s">
        <v>452</v>
      </c>
      <c r="AK125" s="415"/>
    </row>
    <row r="126" spans="14:37">
      <c r="W126" s="414">
        <v>12</v>
      </c>
      <c r="X126" s="379"/>
      <c r="Y126" s="379"/>
      <c r="Z126" s="379"/>
      <c r="AA126" s="379"/>
      <c r="AB126" s="379" t="s">
        <v>453</v>
      </c>
      <c r="AC126" s="415"/>
      <c r="AE126" s="414">
        <v>12</v>
      </c>
      <c r="AF126" s="379"/>
      <c r="AG126" s="379"/>
      <c r="AH126" s="379"/>
      <c r="AI126" s="379"/>
      <c r="AJ126" s="379" t="s">
        <v>453</v>
      </c>
      <c r="AK126" s="415"/>
    </row>
    <row r="127" spans="14:37">
      <c r="W127" s="414">
        <v>12</v>
      </c>
      <c r="X127" s="379"/>
      <c r="Y127" s="379"/>
      <c r="Z127" s="379"/>
      <c r="AA127" s="379"/>
      <c r="AB127" s="379" t="s">
        <v>454</v>
      </c>
      <c r="AC127" s="415"/>
      <c r="AE127" s="414">
        <v>12</v>
      </c>
      <c r="AF127" s="379"/>
      <c r="AG127" s="379"/>
      <c r="AH127" s="379"/>
      <c r="AI127" s="379"/>
      <c r="AJ127" s="379" t="s">
        <v>454</v>
      </c>
      <c r="AK127" s="415"/>
    </row>
    <row r="128" spans="14:37">
      <c r="W128" s="414">
        <v>12</v>
      </c>
      <c r="X128" s="379"/>
      <c r="Y128" s="379"/>
      <c r="Z128" s="379"/>
      <c r="AA128" s="379"/>
      <c r="AB128" s="379" t="s">
        <v>455</v>
      </c>
      <c r="AC128" s="415"/>
      <c r="AE128" s="414">
        <v>12</v>
      </c>
      <c r="AF128" s="379"/>
      <c r="AG128" s="379"/>
      <c r="AH128" s="379"/>
      <c r="AI128" s="379"/>
      <c r="AJ128" s="379" t="s">
        <v>455</v>
      </c>
      <c r="AK128" s="415"/>
    </row>
    <row r="129" spans="14:37">
      <c r="W129" s="414">
        <v>12</v>
      </c>
      <c r="X129" s="379"/>
      <c r="Y129" s="379"/>
      <c r="Z129" s="379"/>
      <c r="AA129" s="379"/>
      <c r="AB129" s="379" t="s">
        <v>456</v>
      </c>
      <c r="AC129" s="415"/>
      <c r="AE129" s="414">
        <v>12</v>
      </c>
      <c r="AF129" s="379"/>
      <c r="AG129" s="379"/>
      <c r="AH129" s="379"/>
      <c r="AI129" s="379"/>
      <c r="AJ129" s="379" t="s">
        <v>456</v>
      </c>
      <c r="AK129" s="415"/>
    </row>
    <row r="130" spans="14:37">
      <c r="W130" s="414">
        <v>12</v>
      </c>
      <c r="X130" s="379"/>
      <c r="Y130" s="379"/>
      <c r="Z130" s="379"/>
      <c r="AA130" s="379"/>
      <c r="AB130" s="379" t="s">
        <v>457</v>
      </c>
      <c r="AC130" s="415"/>
      <c r="AE130" s="414">
        <v>12</v>
      </c>
      <c r="AF130" s="379"/>
      <c r="AG130" s="379"/>
      <c r="AH130" s="379"/>
      <c r="AI130" s="379"/>
      <c r="AJ130" s="379" t="s">
        <v>457</v>
      </c>
      <c r="AK130" s="415"/>
    </row>
    <row r="131" spans="14:37">
      <c r="W131" s="414">
        <v>12</v>
      </c>
      <c r="X131" s="379"/>
      <c r="Y131" s="379"/>
      <c r="Z131" s="379"/>
      <c r="AA131" s="379"/>
      <c r="AB131" s="379" t="s">
        <v>1705</v>
      </c>
      <c r="AC131" s="415"/>
      <c r="AE131" s="414">
        <v>12</v>
      </c>
      <c r="AF131" s="379"/>
      <c r="AG131" s="379"/>
      <c r="AH131" s="379"/>
      <c r="AI131" s="379"/>
      <c r="AJ131" s="379" t="s">
        <v>1705</v>
      </c>
      <c r="AK131" s="415"/>
    </row>
    <row r="132" spans="14:37">
      <c r="W132" s="414">
        <v>12</v>
      </c>
      <c r="X132" s="379"/>
      <c r="Y132" s="379"/>
      <c r="Z132" s="379"/>
      <c r="AA132" s="379"/>
      <c r="AB132" s="379" t="s">
        <v>459</v>
      </c>
      <c r="AC132" s="415"/>
      <c r="AE132" s="414">
        <v>12</v>
      </c>
      <c r="AF132" s="379"/>
      <c r="AG132" s="379"/>
      <c r="AH132" s="379"/>
      <c r="AI132" s="379"/>
      <c r="AJ132" s="379" t="s">
        <v>459</v>
      </c>
      <c r="AK132" s="415"/>
    </row>
    <row r="133" spans="14:37">
      <c r="N133" s="364"/>
      <c r="W133" s="414">
        <v>12</v>
      </c>
      <c r="X133" s="379"/>
      <c r="Y133" s="379"/>
      <c r="Z133" s="379"/>
      <c r="AA133" s="379"/>
      <c r="AB133" s="379" t="s">
        <v>460</v>
      </c>
      <c r="AC133" s="415"/>
      <c r="AE133" s="414">
        <v>12</v>
      </c>
      <c r="AF133" s="379"/>
      <c r="AG133" s="379"/>
      <c r="AH133" s="379"/>
      <c r="AI133" s="379"/>
      <c r="AJ133" s="379" t="s">
        <v>460</v>
      </c>
      <c r="AK133" s="415"/>
    </row>
    <row r="134" spans="14:37">
      <c r="W134" s="414">
        <v>12</v>
      </c>
      <c r="X134" s="379"/>
      <c r="Y134" s="379"/>
      <c r="Z134" s="379"/>
      <c r="AA134" s="379"/>
      <c r="AB134" s="379" t="s">
        <v>461</v>
      </c>
      <c r="AC134" s="415"/>
      <c r="AE134" s="414">
        <v>12</v>
      </c>
      <c r="AF134" s="379"/>
      <c r="AG134" s="379"/>
      <c r="AH134" s="379"/>
      <c r="AI134" s="379"/>
      <c r="AJ134" s="379" t="s">
        <v>461</v>
      </c>
      <c r="AK134" s="415"/>
    </row>
    <row r="135" spans="14:37">
      <c r="W135" s="414">
        <v>1</v>
      </c>
      <c r="X135" s="379">
        <v>509</v>
      </c>
      <c r="Y135" s="379">
        <v>288</v>
      </c>
      <c r="Z135" s="379">
        <v>95</v>
      </c>
      <c r="AA135" s="379">
        <v>25</v>
      </c>
      <c r="AB135" s="379" t="s">
        <v>462</v>
      </c>
      <c r="AC135" s="415"/>
      <c r="AE135" s="414">
        <v>1</v>
      </c>
      <c r="AF135" s="379">
        <v>509</v>
      </c>
      <c r="AG135" s="379">
        <v>288</v>
      </c>
      <c r="AH135" s="379">
        <v>95</v>
      </c>
      <c r="AI135" s="379">
        <v>25</v>
      </c>
      <c r="AJ135" s="379" t="s">
        <v>462</v>
      </c>
      <c r="AK135" s="415"/>
    </row>
    <row r="136" spans="14:37">
      <c r="W136" s="414">
        <v>2</v>
      </c>
      <c r="X136" s="379">
        <v>385</v>
      </c>
      <c r="Y136" s="379">
        <v>290</v>
      </c>
      <c r="Z136" s="379">
        <v>95</v>
      </c>
      <c r="AA136" s="379">
        <v>25</v>
      </c>
      <c r="AB136" s="379" t="s">
        <v>464</v>
      </c>
      <c r="AC136" s="415"/>
      <c r="AE136" s="414">
        <v>2</v>
      </c>
      <c r="AF136" s="379">
        <v>385</v>
      </c>
      <c r="AG136" s="379">
        <v>290</v>
      </c>
      <c r="AH136" s="379">
        <v>95</v>
      </c>
      <c r="AI136" s="379">
        <v>25</v>
      </c>
      <c r="AJ136" s="379" t="s">
        <v>464</v>
      </c>
      <c r="AK136" s="415"/>
    </row>
    <row r="137" spans="14:37">
      <c r="W137" s="414">
        <v>5</v>
      </c>
      <c r="X137" s="379">
        <v>228</v>
      </c>
      <c r="Y137" s="379">
        <v>11</v>
      </c>
      <c r="Z137" s="379"/>
      <c r="AA137" s="379"/>
      <c r="AB137" s="379" t="s">
        <v>1131</v>
      </c>
      <c r="AC137" s="415"/>
      <c r="AE137" s="414">
        <v>5</v>
      </c>
      <c r="AF137" s="379">
        <v>228</v>
      </c>
      <c r="AG137" s="379">
        <v>11</v>
      </c>
      <c r="AH137" s="379"/>
      <c r="AI137" s="379"/>
      <c r="AJ137" s="379" t="s">
        <v>1131</v>
      </c>
      <c r="AK137" s="415"/>
    </row>
    <row r="139" spans="14:37" ht="13.2" thickBot="1">
      <c r="W139" s="359" t="s">
        <v>1132</v>
      </c>
      <c r="AE139" s="359" t="s">
        <v>1133</v>
      </c>
    </row>
    <row r="140" spans="14:37">
      <c r="W140" s="409"/>
      <c r="X140" s="410"/>
      <c r="Y140" s="410"/>
      <c r="Z140" s="410">
        <v>706</v>
      </c>
      <c r="AA140" s="410">
        <v>342</v>
      </c>
      <c r="AB140" s="410"/>
      <c r="AC140" s="411"/>
      <c r="AE140" s="409"/>
      <c r="AF140" s="410"/>
      <c r="AG140" s="410"/>
      <c r="AH140" s="410">
        <v>706</v>
      </c>
      <c r="AI140" s="410">
        <v>342</v>
      </c>
      <c r="AJ140" s="410"/>
      <c r="AK140" s="411"/>
    </row>
    <row r="141" spans="14:37">
      <c r="W141" s="414">
        <v>14</v>
      </c>
      <c r="X141" s="379">
        <v>35</v>
      </c>
      <c r="Y141" s="379">
        <v>35</v>
      </c>
      <c r="Z141" s="379">
        <v>310</v>
      </c>
      <c r="AA141" s="379">
        <v>240</v>
      </c>
      <c r="AB141" s="379" t="s">
        <v>1134</v>
      </c>
      <c r="AC141" s="415"/>
      <c r="AE141" s="414">
        <v>14</v>
      </c>
      <c r="AF141" s="379">
        <v>35</v>
      </c>
      <c r="AG141" s="379">
        <v>35</v>
      </c>
      <c r="AH141" s="379">
        <v>310</v>
      </c>
      <c r="AI141" s="379">
        <v>240</v>
      </c>
      <c r="AJ141" s="379" t="s">
        <v>1135</v>
      </c>
      <c r="AK141" s="415"/>
    </row>
    <row r="142" spans="14:37">
      <c r="W142" s="414">
        <v>11</v>
      </c>
      <c r="X142" s="379"/>
      <c r="Y142" s="379"/>
      <c r="Z142" s="379"/>
      <c r="AA142" s="379"/>
      <c r="AB142" s="379"/>
      <c r="AC142" s="415">
        <v>8</v>
      </c>
      <c r="AE142" s="414">
        <v>11</v>
      </c>
      <c r="AF142" s="379"/>
      <c r="AG142" s="379"/>
      <c r="AH142" s="379"/>
      <c r="AI142" s="379"/>
      <c r="AJ142" s="379"/>
      <c r="AK142" s="415">
        <v>8</v>
      </c>
    </row>
    <row r="143" spans="14:37">
      <c r="W143" s="414">
        <v>12</v>
      </c>
      <c r="X143" s="379">
        <v>65</v>
      </c>
      <c r="Y143" s="379">
        <v>55</v>
      </c>
      <c r="Z143" s="379"/>
      <c r="AA143" s="379"/>
      <c r="AB143" s="379" t="s">
        <v>1099</v>
      </c>
      <c r="AC143" s="415"/>
      <c r="AE143" s="414">
        <v>12</v>
      </c>
      <c r="AF143" s="379">
        <v>65</v>
      </c>
      <c r="AG143" s="379">
        <v>55</v>
      </c>
      <c r="AH143" s="379"/>
      <c r="AI143" s="379"/>
      <c r="AJ143" s="379" t="s">
        <v>1099</v>
      </c>
      <c r="AK143" s="415"/>
    </row>
    <row r="144" spans="14:37">
      <c r="W144" s="414">
        <v>12</v>
      </c>
      <c r="X144" s="379"/>
      <c r="Y144" s="379"/>
      <c r="Z144" s="379"/>
      <c r="AA144" s="379"/>
      <c r="AB144" s="379" t="s">
        <v>438</v>
      </c>
      <c r="AC144" s="415"/>
      <c r="AE144" s="414">
        <v>12</v>
      </c>
      <c r="AF144" s="379"/>
      <c r="AG144" s="379"/>
      <c r="AH144" s="379"/>
      <c r="AI144" s="379"/>
      <c r="AJ144" s="379" t="s">
        <v>438</v>
      </c>
      <c r="AK144" s="415"/>
    </row>
    <row r="145" spans="23:37">
      <c r="W145" s="414">
        <v>12</v>
      </c>
      <c r="X145" s="379"/>
      <c r="Y145" s="379"/>
      <c r="Z145" s="379"/>
      <c r="AA145" s="379"/>
      <c r="AB145" s="379" t="s">
        <v>439</v>
      </c>
      <c r="AC145" s="415"/>
      <c r="AE145" s="414">
        <v>12</v>
      </c>
      <c r="AF145" s="379"/>
      <c r="AG145" s="379"/>
      <c r="AH145" s="379"/>
      <c r="AI145" s="379"/>
      <c r="AJ145" s="379" t="s">
        <v>439</v>
      </c>
      <c r="AK145" s="415"/>
    </row>
    <row r="146" spans="23:37">
      <c r="W146" s="414">
        <v>12</v>
      </c>
      <c r="X146" s="379"/>
      <c r="Y146" s="379"/>
      <c r="Z146" s="379"/>
      <c r="AA146" s="379"/>
      <c r="AB146" s="379" t="s">
        <v>440</v>
      </c>
      <c r="AC146" s="415"/>
      <c r="AE146" s="414">
        <v>12</v>
      </c>
      <c r="AF146" s="379"/>
      <c r="AG146" s="379"/>
      <c r="AH146" s="379"/>
      <c r="AI146" s="379"/>
      <c r="AJ146" s="379" t="s">
        <v>440</v>
      </c>
      <c r="AK146" s="415"/>
    </row>
    <row r="147" spans="23:37">
      <c r="W147" s="414">
        <v>12</v>
      </c>
      <c r="X147" s="379"/>
      <c r="Y147" s="379"/>
      <c r="Z147" s="379"/>
      <c r="AA147" s="379"/>
      <c r="AB147" s="379" t="s">
        <v>441</v>
      </c>
      <c r="AC147" s="415"/>
      <c r="AE147" s="414">
        <v>12</v>
      </c>
      <c r="AF147" s="379"/>
      <c r="AG147" s="379"/>
      <c r="AH147" s="379"/>
      <c r="AI147" s="379"/>
      <c r="AJ147" s="379" t="s">
        <v>441</v>
      </c>
      <c r="AK147" s="415"/>
    </row>
    <row r="148" spans="23:37">
      <c r="W148" s="414">
        <v>12</v>
      </c>
      <c r="X148" s="379"/>
      <c r="Y148" s="379"/>
      <c r="Z148" s="379"/>
      <c r="AA148" s="379"/>
      <c r="AB148" s="379" t="s">
        <v>442</v>
      </c>
      <c r="AC148" s="415"/>
      <c r="AE148" s="414">
        <v>12</v>
      </c>
      <c r="AF148" s="379"/>
      <c r="AG148" s="379"/>
      <c r="AH148" s="379"/>
      <c r="AI148" s="379"/>
      <c r="AJ148" s="379" t="s">
        <v>442</v>
      </c>
      <c r="AK148" s="415"/>
    </row>
    <row r="149" spans="23:37">
      <c r="W149" s="414">
        <v>12</v>
      </c>
      <c r="X149" s="379"/>
      <c r="Y149" s="379"/>
      <c r="Z149" s="379"/>
      <c r="AA149" s="379"/>
      <c r="AB149" s="379" t="s">
        <v>443</v>
      </c>
      <c r="AC149" s="415"/>
      <c r="AE149" s="414">
        <v>12</v>
      </c>
      <c r="AF149" s="379"/>
      <c r="AG149" s="379"/>
      <c r="AH149" s="379"/>
      <c r="AI149" s="379"/>
      <c r="AJ149" s="379" t="s">
        <v>443</v>
      </c>
      <c r="AK149" s="415"/>
    </row>
    <row r="150" spans="23:37">
      <c r="W150" s="414">
        <v>12</v>
      </c>
      <c r="X150" s="379"/>
      <c r="Y150" s="379"/>
      <c r="Z150" s="379"/>
      <c r="AA150" s="379"/>
      <c r="AB150" s="379" t="s">
        <v>444</v>
      </c>
      <c r="AC150" s="415"/>
      <c r="AE150" s="414">
        <v>12</v>
      </c>
      <c r="AF150" s="379"/>
      <c r="AG150" s="379"/>
      <c r="AH150" s="379"/>
      <c r="AI150" s="379"/>
      <c r="AJ150" s="379" t="s">
        <v>444</v>
      </c>
      <c r="AK150" s="415"/>
    </row>
    <row r="151" spans="23:37">
      <c r="W151" s="414">
        <v>12</v>
      </c>
      <c r="X151" s="379"/>
      <c r="Y151" s="379"/>
      <c r="Z151" s="379"/>
      <c r="AA151" s="379"/>
      <c r="AB151" s="379" t="s">
        <v>445</v>
      </c>
      <c r="AC151" s="415"/>
      <c r="AE151" s="414">
        <v>12</v>
      </c>
      <c r="AF151" s="379"/>
      <c r="AG151" s="379"/>
      <c r="AH151" s="379"/>
      <c r="AI151" s="379"/>
      <c r="AJ151" s="379" t="s">
        <v>445</v>
      </c>
      <c r="AK151" s="415"/>
    </row>
    <row r="152" spans="23:37">
      <c r="W152" s="414">
        <v>12</v>
      </c>
      <c r="X152" s="379"/>
      <c r="Y152" s="379"/>
      <c r="Z152" s="379"/>
      <c r="AA152" s="379"/>
      <c r="AB152" s="379" t="s">
        <v>446</v>
      </c>
      <c r="AC152" s="415"/>
      <c r="AE152" s="414">
        <v>12</v>
      </c>
      <c r="AF152" s="379"/>
      <c r="AG152" s="379"/>
      <c r="AH152" s="379"/>
      <c r="AI152" s="379"/>
      <c r="AJ152" s="379" t="s">
        <v>446</v>
      </c>
      <c r="AK152" s="415"/>
    </row>
    <row r="153" spans="23:37">
      <c r="W153" s="414">
        <v>12</v>
      </c>
      <c r="X153" s="379"/>
      <c r="Y153" s="379"/>
      <c r="Z153" s="379"/>
      <c r="AA153" s="379"/>
      <c r="AB153" s="379" t="s">
        <v>1713</v>
      </c>
      <c r="AC153" s="415"/>
      <c r="AE153" s="414">
        <v>12</v>
      </c>
      <c r="AF153" s="379"/>
      <c r="AG153" s="379"/>
      <c r="AH153" s="379"/>
      <c r="AI153" s="379"/>
      <c r="AJ153" s="379" t="s">
        <v>1713</v>
      </c>
      <c r="AK153" s="415"/>
    </row>
    <row r="154" spans="23:37">
      <c r="W154" s="414">
        <v>12</v>
      </c>
      <c r="X154" s="379"/>
      <c r="Y154" s="379"/>
      <c r="Z154" s="379"/>
      <c r="AA154" s="379"/>
      <c r="AB154" s="379" t="s">
        <v>448</v>
      </c>
      <c r="AC154" s="415"/>
      <c r="AE154" s="414">
        <v>12</v>
      </c>
      <c r="AF154" s="379"/>
      <c r="AG154" s="379"/>
      <c r="AH154" s="379"/>
      <c r="AI154" s="379"/>
      <c r="AJ154" s="379" t="s">
        <v>448</v>
      </c>
      <c r="AK154" s="415"/>
    </row>
    <row r="155" spans="23:37">
      <c r="W155" s="414">
        <v>12</v>
      </c>
      <c r="X155" s="379">
        <v>230</v>
      </c>
      <c r="Y155" s="379">
        <v>55</v>
      </c>
      <c r="Z155" s="379"/>
      <c r="AA155" s="379"/>
      <c r="AB155" s="379" t="s">
        <v>449</v>
      </c>
      <c r="AC155" s="415"/>
      <c r="AE155" s="414">
        <v>12</v>
      </c>
      <c r="AF155" s="379">
        <v>230</v>
      </c>
      <c r="AG155" s="379">
        <v>55</v>
      </c>
      <c r="AH155" s="379"/>
      <c r="AI155" s="379"/>
      <c r="AJ155" s="379" t="s">
        <v>449</v>
      </c>
      <c r="AK155" s="415"/>
    </row>
    <row r="156" spans="23:37">
      <c r="W156" s="414">
        <v>12</v>
      </c>
      <c r="X156" s="379"/>
      <c r="Y156" s="379"/>
      <c r="Z156" s="379"/>
      <c r="AA156" s="379"/>
      <c r="AB156" s="379" t="s">
        <v>451</v>
      </c>
      <c r="AC156" s="415"/>
      <c r="AE156" s="414">
        <v>12</v>
      </c>
      <c r="AF156" s="379"/>
      <c r="AG156" s="379"/>
      <c r="AH156" s="379"/>
      <c r="AI156" s="379"/>
      <c r="AJ156" s="379" t="s">
        <v>451</v>
      </c>
      <c r="AK156" s="415"/>
    </row>
    <row r="157" spans="23:37">
      <c r="W157" s="414">
        <v>12</v>
      </c>
      <c r="X157" s="379"/>
      <c r="Y157" s="379"/>
      <c r="Z157" s="379"/>
      <c r="AA157" s="379"/>
      <c r="AB157" s="379" t="s">
        <v>452</v>
      </c>
      <c r="AC157" s="415"/>
      <c r="AE157" s="414">
        <v>12</v>
      </c>
      <c r="AF157" s="379"/>
      <c r="AG157" s="379"/>
      <c r="AH157" s="379"/>
      <c r="AI157" s="379"/>
      <c r="AJ157" s="379" t="s">
        <v>452</v>
      </c>
      <c r="AK157" s="415"/>
    </row>
    <row r="158" spans="23:37">
      <c r="W158" s="414">
        <v>12</v>
      </c>
      <c r="X158" s="379"/>
      <c r="Y158" s="379"/>
      <c r="Z158" s="379"/>
      <c r="AA158" s="379"/>
      <c r="AB158" s="379" t="s">
        <v>453</v>
      </c>
      <c r="AC158" s="415"/>
      <c r="AE158" s="414">
        <v>12</v>
      </c>
      <c r="AF158" s="379"/>
      <c r="AG158" s="379"/>
      <c r="AH158" s="379"/>
      <c r="AI158" s="379"/>
      <c r="AJ158" s="379" t="s">
        <v>453</v>
      </c>
      <c r="AK158" s="415"/>
    </row>
    <row r="159" spans="23:37">
      <c r="W159" s="414">
        <v>12</v>
      </c>
      <c r="X159" s="379"/>
      <c r="Y159" s="379"/>
      <c r="Z159" s="379"/>
      <c r="AA159" s="379"/>
      <c r="AB159" s="379" t="s">
        <v>454</v>
      </c>
      <c r="AC159" s="415"/>
      <c r="AE159" s="414">
        <v>12</v>
      </c>
      <c r="AF159" s="379"/>
      <c r="AG159" s="379"/>
      <c r="AH159" s="379"/>
      <c r="AI159" s="379"/>
      <c r="AJ159" s="379" t="s">
        <v>454</v>
      </c>
      <c r="AK159" s="415"/>
    </row>
    <row r="160" spans="23:37">
      <c r="W160" s="414">
        <v>12</v>
      </c>
      <c r="X160" s="379"/>
      <c r="Y160" s="379"/>
      <c r="Z160" s="379"/>
      <c r="AA160" s="379"/>
      <c r="AB160" s="379" t="s">
        <v>455</v>
      </c>
      <c r="AC160" s="415"/>
      <c r="AE160" s="414">
        <v>12</v>
      </c>
      <c r="AF160" s="379"/>
      <c r="AG160" s="379"/>
      <c r="AH160" s="379"/>
      <c r="AI160" s="379"/>
      <c r="AJ160" s="379" t="s">
        <v>455</v>
      </c>
      <c r="AK160" s="415"/>
    </row>
    <row r="161" spans="23:37">
      <c r="W161" s="414">
        <v>12</v>
      </c>
      <c r="X161" s="379"/>
      <c r="Y161" s="379"/>
      <c r="Z161" s="379"/>
      <c r="AA161" s="379"/>
      <c r="AB161" s="379" t="s">
        <v>456</v>
      </c>
      <c r="AC161" s="415"/>
      <c r="AE161" s="414">
        <v>12</v>
      </c>
      <c r="AF161" s="379"/>
      <c r="AG161" s="379"/>
      <c r="AH161" s="379"/>
      <c r="AI161" s="379"/>
      <c r="AJ161" s="379" t="s">
        <v>456</v>
      </c>
      <c r="AK161" s="415"/>
    </row>
    <row r="162" spans="23:37">
      <c r="W162" s="414">
        <v>12</v>
      </c>
      <c r="X162" s="379"/>
      <c r="Y162" s="379"/>
      <c r="Z162" s="379"/>
      <c r="AA162" s="379"/>
      <c r="AB162" s="379" t="s">
        <v>457</v>
      </c>
      <c r="AC162" s="415"/>
      <c r="AE162" s="414">
        <v>12</v>
      </c>
      <c r="AF162" s="379"/>
      <c r="AG162" s="379"/>
      <c r="AH162" s="379"/>
      <c r="AI162" s="379"/>
      <c r="AJ162" s="379" t="s">
        <v>457</v>
      </c>
      <c r="AK162" s="415"/>
    </row>
    <row r="163" spans="23:37">
      <c r="W163" s="414">
        <v>12</v>
      </c>
      <c r="X163" s="379"/>
      <c r="Y163" s="379"/>
      <c r="Z163" s="379"/>
      <c r="AA163" s="379"/>
      <c r="AB163" s="379" t="s">
        <v>1705</v>
      </c>
      <c r="AC163" s="415"/>
      <c r="AE163" s="414">
        <v>12</v>
      </c>
      <c r="AF163" s="379"/>
      <c r="AG163" s="379"/>
      <c r="AH163" s="379"/>
      <c r="AI163" s="379"/>
      <c r="AJ163" s="379" t="s">
        <v>1705</v>
      </c>
      <c r="AK163" s="415"/>
    </row>
    <row r="164" spans="23:37">
      <c r="W164" s="414">
        <v>12</v>
      </c>
      <c r="X164" s="379"/>
      <c r="Y164" s="379"/>
      <c r="Z164" s="379"/>
      <c r="AA164" s="379"/>
      <c r="AB164" s="379" t="s">
        <v>459</v>
      </c>
      <c r="AC164" s="415"/>
      <c r="AE164" s="414">
        <v>12</v>
      </c>
      <c r="AF164" s="379"/>
      <c r="AG164" s="379"/>
      <c r="AH164" s="379"/>
      <c r="AI164" s="379"/>
      <c r="AJ164" s="379" t="s">
        <v>459</v>
      </c>
      <c r="AK164" s="415"/>
    </row>
    <row r="165" spans="23:37">
      <c r="W165" s="414">
        <v>12</v>
      </c>
      <c r="X165" s="379"/>
      <c r="Y165" s="379"/>
      <c r="Z165" s="379"/>
      <c r="AA165" s="379"/>
      <c r="AB165" s="379" t="s">
        <v>460</v>
      </c>
      <c r="AC165" s="415"/>
      <c r="AE165" s="414">
        <v>12</v>
      </c>
      <c r="AF165" s="379"/>
      <c r="AG165" s="379"/>
      <c r="AH165" s="379"/>
      <c r="AI165" s="379"/>
      <c r="AJ165" s="379" t="s">
        <v>460</v>
      </c>
      <c r="AK165" s="415"/>
    </row>
    <row r="166" spans="23:37">
      <c r="W166" s="414">
        <v>12</v>
      </c>
      <c r="X166" s="379"/>
      <c r="Y166" s="379"/>
      <c r="Z166" s="379"/>
      <c r="AA166" s="379"/>
      <c r="AB166" s="379" t="s">
        <v>461</v>
      </c>
      <c r="AC166" s="415"/>
      <c r="AE166" s="414">
        <v>12</v>
      </c>
      <c r="AF166" s="379"/>
      <c r="AG166" s="379"/>
      <c r="AH166" s="379"/>
      <c r="AI166" s="379"/>
      <c r="AJ166" s="379" t="s">
        <v>461</v>
      </c>
      <c r="AK166" s="415"/>
    </row>
    <row r="167" spans="23:37">
      <c r="W167" s="414">
        <v>14</v>
      </c>
      <c r="X167" s="379">
        <v>370</v>
      </c>
      <c r="Y167" s="379">
        <v>35</v>
      </c>
      <c r="Z167" s="379">
        <v>310</v>
      </c>
      <c r="AA167" s="379">
        <v>240</v>
      </c>
      <c r="AB167" s="379" t="s">
        <v>1136</v>
      </c>
      <c r="AC167" s="415"/>
      <c r="AE167" s="414">
        <v>14</v>
      </c>
      <c r="AF167" s="379">
        <v>370</v>
      </c>
      <c r="AG167" s="379">
        <v>35</v>
      </c>
      <c r="AH167" s="379">
        <v>310</v>
      </c>
      <c r="AI167" s="379">
        <v>240</v>
      </c>
      <c r="AJ167" s="379" t="s">
        <v>1137</v>
      </c>
      <c r="AK167" s="415"/>
    </row>
    <row r="168" spans="23:37">
      <c r="W168" s="414">
        <v>11</v>
      </c>
      <c r="X168" s="379"/>
      <c r="Y168" s="379"/>
      <c r="Z168" s="379"/>
      <c r="AA168" s="379"/>
      <c r="AB168" s="379"/>
      <c r="AC168" s="415">
        <v>8</v>
      </c>
      <c r="AE168" s="414">
        <v>11</v>
      </c>
      <c r="AF168" s="379"/>
      <c r="AG168" s="379"/>
      <c r="AH168" s="379"/>
      <c r="AI168" s="379"/>
      <c r="AJ168" s="379"/>
      <c r="AK168" s="415">
        <v>8</v>
      </c>
    </row>
    <row r="169" spans="23:37">
      <c r="W169" s="414">
        <v>12</v>
      </c>
      <c r="X169" s="379">
        <v>405</v>
      </c>
      <c r="Y169" s="379">
        <v>55</v>
      </c>
      <c r="Z169" s="379"/>
      <c r="AA169" s="379"/>
      <c r="AB169" s="379" t="s">
        <v>1099</v>
      </c>
      <c r="AC169" s="415"/>
      <c r="AE169" s="414">
        <v>12</v>
      </c>
      <c r="AF169" s="379">
        <v>405</v>
      </c>
      <c r="AG169" s="379">
        <v>55</v>
      </c>
      <c r="AH169" s="379"/>
      <c r="AI169" s="379"/>
      <c r="AJ169" s="379" t="s">
        <v>1099</v>
      </c>
      <c r="AK169" s="415"/>
    </row>
    <row r="170" spans="23:37">
      <c r="W170" s="414">
        <v>12</v>
      </c>
      <c r="X170" s="379"/>
      <c r="Y170" s="379"/>
      <c r="Z170" s="379"/>
      <c r="AA170" s="379"/>
      <c r="AB170" s="379" t="s">
        <v>438</v>
      </c>
      <c r="AC170" s="415"/>
      <c r="AE170" s="414">
        <v>12</v>
      </c>
      <c r="AF170" s="379"/>
      <c r="AG170" s="379"/>
      <c r="AH170" s="379"/>
      <c r="AI170" s="379"/>
      <c r="AJ170" s="379" t="s">
        <v>438</v>
      </c>
      <c r="AK170" s="415"/>
    </row>
    <row r="171" spans="23:37">
      <c r="W171" s="414">
        <v>12</v>
      </c>
      <c r="X171" s="379"/>
      <c r="Y171" s="379"/>
      <c r="Z171" s="379"/>
      <c r="AA171" s="379"/>
      <c r="AB171" s="379" t="s">
        <v>439</v>
      </c>
      <c r="AC171" s="415"/>
      <c r="AE171" s="414">
        <v>12</v>
      </c>
      <c r="AF171" s="379"/>
      <c r="AG171" s="379"/>
      <c r="AH171" s="379"/>
      <c r="AI171" s="379"/>
      <c r="AJ171" s="379" t="s">
        <v>439</v>
      </c>
      <c r="AK171" s="415"/>
    </row>
    <row r="172" spans="23:37">
      <c r="W172" s="414">
        <v>12</v>
      </c>
      <c r="X172" s="379"/>
      <c r="Y172" s="379"/>
      <c r="Z172" s="379"/>
      <c r="AA172" s="379"/>
      <c r="AB172" s="379" t="s">
        <v>440</v>
      </c>
      <c r="AC172" s="415"/>
      <c r="AE172" s="414">
        <v>12</v>
      </c>
      <c r="AF172" s="379"/>
      <c r="AG172" s="379"/>
      <c r="AH172" s="379"/>
      <c r="AI172" s="379"/>
      <c r="AJ172" s="379" t="s">
        <v>440</v>
      </c>
      <c r="AK172" s="415"/>
    </row>
    <row r="173" spans="23:37">
      <c r="W173" s="414">
        <v>12</v>
      </c>
      <c r="X173" s="379"/>
      <c r="Y173" s="379"/>
      <c r="Z173" s="379"/>
      <c r="AA173" s="379"/>
      <c r="AB173" s="379" t="s">
        <v>441</v>
      </c>
      <c r="AC173" s="415"/>
      <c r="AE173" s="414">
        <v>12</v>
      </c>
      <c r="AF173" s="379"/>
      <c r="AG173" s="379"/>
      <c r="AH173" s="379"/>
      <c r="AI173" s="379"/>
      <c r="AJ173" s="379" t="s">
        <v>441</v>
      </c>
      <c r="AK173" s="415"/>
    </row>
    <row r="174" spans="23:37">
      <c r="W174" s="414">
        <v>12</v>
      </c>
      <c r="X174" s="379"/>
      <c r="Y174" s="379"/>
      <c r="Z174" s="379"/>
      <c r="AA174" s="379"/>
      <c r="AB174" s="379" t="s">
        <v>442</v>
      </c>
      <c r="AC174" s="415"/>
      <c r="AE174" s="414">
        <v>12</v>
      </c>
      <c r="AF174" s="379"/>
      <c r="AG174" s="379"/>
      <c r="AH174" s="379"/>
      <c r="AI174" s="379"/>
      <c r="AJ174" s="379" t="s">
        <v>442</v>
      </c>
      <c r="AK174" s="415"/>
    </row>
    <row r="175" spans="23:37">
      <c r="W175" s="414">
        <v>12</v>
      </c>
      <c r="X175" s="379"/>
      <c r="Y175" s="379"/>
      <c r="Z175" s="379"/>
      <c r="AA175" s="379"/>
      <c r="AB175" s="379" t="s">
        <v>443</v>
      </c>
      <c r="AC175" s="415"/>
      <c r="AE175" s="414">
        <v>12</v>
      </c>
      <c r="AF175" s="379"/>
      <c r="AG175" s="379"/>
      <c r="AH175" s="379"/>
      <c r="AI175" s="379"/>
      <c r="AJ175" s="379" t="s">
        <v>443</v>
      </c>
      <c r="AK175" s="415"/>
    </row>
    <row r="176" spans="23:37">
      <c r="W176" s="414">
        <v>12</v>
      </c>
      <c r="X176" s="379"/>
      <c r="Y176" s="379"/>
      <c r="Z176" s="379"/>
      <c r="AA176" s="379"/>
      <c r="AB176" s="379" t="s">
        <v>444</v>
      </c>
      <c r="AC176" s="415"/>
      <c r="AE176" s="414">
        <v>12</v>
      </c>
      <c r="AF176" s="379"/>
      <c r="AG176" s="379"/>
      <c r="AH176" s="379"/>
      <c r="AI176" s="379"/>
      <c r="AJ176" s="379" t="s">
        <v>444</v>
      </c>
      <c r="AK176" s="415"/>
    </row>
    <row r="177" spans="23:37">
      <c r="W177" s="414">
        <v>12</v>
      </c>
      <c r="X177" s="379"/>
      <c r="Y177" s="379"/>
      <c r="Z177" s="379"/>
      <c r="AA177" s="379"/>
      <c r="AB177" s="379" t="s">
        <v>445</v>
      </c>
      <c r="AC177" s="415"/>
      <c r="AE177" s="414">
        <v>12</v>
      </c>
      <c r="AF177" s="379"/>
      <c r="AG177" s="379"/>
      <c r="AH177" s="379"/>
      <c r="AI177" s="379"/>
      <c r="AJ177" s="379" t="s">
        <v>445</v>
      </c>
      <c r="AK177" s="415"/>
    </row>
    <row r="178" spans="23:37">
      <c r="W178" s="414">
        <v>12</v>
      </c>
      <c r="X178" s="379"/>
      <c r="Y178" s="379"/>
      <c r="Z178" s="379"/>
      <c r="AA178" s="379"/>
      <c r="AB178" s="379" t="s">
        <v>446</v>
      </c>
      <c r="AC178" s="415"/>
      <c r="AE178" s="414">
        <v>12</v>
      </c>
      <c r="AF178" s="379"/>
      <c r="AG178" s="379"/>
      <c r="AH178" s="379"/>
      <c r="AI178" s="379"/>
      <c r="AJ178" s="379" t="s">
        <v>446</v>
      </c>
      <c r="AK178" s="415"/>
    </row>
    <row r="179" spans="23:37">
      <c r="W179" s="414">
        <v>12</v>
      </c>
      <c r="X179" s="379"/>
      <c r="Y179" s="379"/>
      <c r="Z179" s="379"/>
      <c r="AA179" s="379"/>
      <c r="AB179" s="379" t="s">
        <v>1713</v>
      </c>
      <c r="AC179" s="415"/>
      <c r="AE179" s="414">
        <v>12</v>
      </c>
      <c r="AF179" s="379"/>
      <c r="AG179" s="379"/>
      <c r="AH179" s="379"/>
      <c r="AI179" s="379"/>
      <c r="AJ179" s="379" t="s">
        <v>1713</v>
      </c>
      <c r="AK179" s="415"/>
    </row>
    <row r="180" spans="23:37">
      <c r="W180" s="414">
        <v>12</v>
      </c>
      <c r="X180" s="379"/>
      <c r="Y180" s="379"/>
      <c r="Z180" s="379"/>
      <c r="AA180" s="379"/>
      <c r="AB180" s="379" t="s">
        <v>448</v>
      </c>
      <c r="AC180" s="415"/>
      <c r="AE180" s="414">
        <v>12</v>
      </c>
      <c r="AF180" s="379"/>
      <c r="AG180" s="379"/>
      <c r="AH180" s="379"/>
      <c r="AI180" s="379"/>
      <c r="AJ180" s="379" t="s">
        <v>448</v>
      </c>
      <c r="AK180" s="415"/>
    </row>
    <row r="181" spans="23:37">
      <c r="W181" s="414">
        <v>12</v>
      </c>
      <c r="X181" s="379">
        <v>560</v>
      </c>
      <c r="Y181" s="379">
        <v>55</v>
      </c>
      <c r="Z181" s="379"/>
      <c r="AA181" s="379"/>
      <c r="AB181" s="379" t="s">
        <v>449</v>
      </c>
      <c r="AC181" s="415"/>
      <c r="AE181" s="414">
        <v>12</v>
      </c>
      <c r="AF181" s="379">
        <v>560</v>
      </c>
      <c r="AG181" s="379">
        <v>55</v>
      </c>
      <c r="AH181" s="379"/>
      <c r="AI181" s="379"/>
      <c r="AJ181" s="379" t="s">
        <v>449</v>
      </c>
      <c r="AK181" s="415"/>
    </row>
    <row r="182" spans="23:37">
      <c r="W182" s="414">
        <v>12</v>
      </c>
      <c r="X182" s="379"/>
      <c r="Y182" s="379"/>
      <c r="Z182" s="379"/>
      <c r="AA182" s="379"/>
      <c r="AB182" s="379" t="s">
        <v>451</v>
      </c>
      <c r="AC182" s="415"/>
      <c r="AE182" s="414">
        <v>12</v>
      </c>
      <c r="AF182" s="379"/>
      <c r="AG182" s="379"/>
      <c r="AH182" s="379"/>
      <c r="AI182" s="379"/>
      <c r="AJ182" s="379" t="s">
        <v>451</v>
      </c>
      <c r="AK182" s="415"/>
    </row>
    <row r="183" spans="23:37">
      <c r="W183" s="414">
        <v>12</v>
      </c>
      <c r="X183" s="379"/>
      <c r="Y183" s="379"/>
      <c r="Z183" s="379"/>
      <c r="AA183" s="379"/>
      <c r="AB183" s="379" t="s">
        <v>452</v>
      </c>
      <c r="AC183" s="415"/>
      <c r="AE183" s="414">
        <v>12</v>
      </c>
      <c r="AF183" s="379"/>
      <c r="AG183" s="379"/>
      <c r="AH183" s="379"/>
      <c r="AI183" s="379"/>
      <c r="AJ183" s="379" t="s">
        <v>452</v>
      </c>
      <c r="AK183" s="415"/>
    </row>
    <row r="184" spans="23:37">
      <c r="W184" s="414">
        <v>12</v>
      </c>
      <c r="X184" s="379"/>
      <c r="Y184" s="379"/>
      <c r="Z184" s="379"/>
      <c r="AA184" s="379"/>
      <c r="AB184" s="379" t="s">
        <v>453</v>
      </c>
      <c r="AC184" s="415"/>
      <c r="AE184" s="414">
        <v>12</v>
      </c>
      <c r="AF184" s="379"/>
      <c r="AG184" s="379"/>
      <c r="AH184" s="379"/>
      <c r="AI184" s="379"/>
      <c r="AJ184" s="379" t="s">
        <v>453</v>
      </c>
      <c r="AK184" s="415"/>
    </row>
    <row r="185" spans="23:37">
      <c r="W185" s="414">
        <v>12</v>
      </c>
      <c r="X185" s="379"/>
      <c r="Y185" s="379"/>
      <c r="Z185" s="379"/>
      <c r="AA185" s="379"/>
      <c r="AB185" s="379" t="s">
        <v>454</v>
      </c>
      <c r="AC185" s="415"/>
      <c r="AE185" s="414">
        <v>12</v>
      </c>
      <c r="AF185" s="379"/>
      <c r="AG185" s="379"/>
      <c r="AH185" s="379"/>
      <c r="AI185" s="379"/>
      <c r="AJ185" s="379" t="s">
        <v>454</v>
      </c>
      <c r="AK185" s="415"/>
    </row>
    <row r="186" spans="23:37">
      <c r="W186" s="414">
        <v>12</v>
      </c>
      <c r="X186" s="379"/>
      <c r="Y186" s="379"/>
      <c r="Z186" s="379"/>
      <c r="AA186" s="379"/>
      <c r="AB186" s="379" t="s">
        <v>455</v>
      </c>
      <c r="AC186" s="415"/>
      <c r="AE186" s="414">
        <v>12</v>
      </c>
      <c r="AF186" s="379"/>
      <c r="AG186" s="379"/>
      <c r="AH186" s="379"/>
      <c r="AI186" s="379"/>
      <c r="AJ186" s="379" t="s">
        <v>455</v>
      </c>
      <c r="AK186" s="415"/>
    </row>
    <row r="187" spans="23:37">
      <c r="W187" s="414">
        <v>12</v>
      </c>
      <c r="X187" s="379"/>
      <c r="Y187" s="379"/>
      <c r="Z187" s="379"/>
      <c r="AA187" s="379"/>
      <c r="AB187" s="379" t="s">
        <v>456</v>
      </c>
      <c r="AC187" s="415"/>
      <c r="AE187" s="414">
        <v>12</v>
      </c>
      <c r="AF187" s="379"/>
      <c r="AG187" s="379"/>
      <c r="AH187" s="379"/>
      <c r="AI187" s="379"/>
      <c r="AJ187" s="379" t="s">
        <v>456</v>
      </c>
      <c r="AK187" s="415"/>
    </row>
    <row r="188" spans="23:37">
      <c r="W188" s="414">
        <v>12</v>
      </c>
      <c r="X188" s="379"/>
      <c r="Y188" s="379"/>
      <c r="Z188" s="379"/>
      <c r="AA188" s="379"/>
      <c r="AB188" s="379" t="s">
        <v>457</v>
      </c>
      <c r="AC188" s="415"/>
      <c r="AE188" s="414">
        <v>12</v>
      </c>
      <c r="AF188" s="379"/>
      <c r="AG188" s="379"/>
      <c r="AH188" s="379"/>
      <c r="AI188" s="379"/>
      <c r="AJ188" s="379" t="s">
        <v>457</v>
      </c>
      <c r="AK188" s="415"/>
    </row>
    <row r="189" spans="23:37">
      <c r="W189" s="414">
        <v>12</v>
      </c>
      <c r="X189" s="379"/>
      <c r="Y189" s="379"/>
      <c r="Z189" s="379"/>
      <c r="AA189" s="379"/>
      <c r="AB189" s="379" t="s">
        <v>1705</v>
      </c>
      <c r="AC189" s="415"/>
      <c r="AE189" s="414">
        <v>12</v>
      </c>
      <c r="AF189" s="379"/>
      <c r="AG189" s="379"/>
      <c r="AH189" s="379"/>
      <c r="AI189" s="379"/>
      <c r="AJ189" s="379" t="s">
        <v>1705</v>
      </c>
      <c r="AK189" s="415"/>
    </row>
    <row r="190" spans="23:37">
      <c r="W190" s="414">
        <v>12</v>
      </c>
      <c r="X190" s="379"/>
      <c r="Y190" s="379"/>
      <c r="Z190" s="379"/>
      <c r="AA190" s="379"/>
      <c r="AB190" s="379" t="s">
        <v>459</v>
      </c>
      <c r="AC190" s="415"/>
      <c r="AE190" s="414">
        <v>12</v>
      </c>
      <c r="AF190" s="379"/>
      <c r="AG190" s="379"/>
      <c r="AH190" s="379"/>
      <c r="AI190" s="379"/>
      <c r="AJ190" s="379" t="s">
        <v>459</v>
      </c>
      <c r="AK190" s="415"/>
    </row>
    <row r="191" spans="23:37">
      <c r="W191" s="414">
        <v>12</v>
      </c>
      <c r="X191" s="379"/>
      <c r="Y191" s="379"/>
      <c r="Z191" s="379"/>
      <c r="AA191" s="379"/>
      <c r="AB191" s="379" t="s">
        <v>460</v>
      </c>
      <c r="AC191" s="415"/>
      <c r="AE191" s="414">
        <v>12</v>
      </c>
      <c r="AF191" s="379"/>
      <c r="AG191" s="379"/>
      <c r="AH191" s="379"/>
      <c r="AI191" s="379"/>
      <c r="AJ191" s="379" t="s">
        <v>460</v>
      </c>
      <c r="AK191" s="415"/>
    </row>
    <row r="192" spans="23:37">
      <c r="W192" s="414">
        <v>12</v>
      </c>
      <c r="X192" s="379"/>
      <c r="Y192" s="379"/>
      <c r="Z192" s="379"/>
      <c r="AA192" s="379"/>
      <c r="AB192" s="379" t="s">
        <v>461</v>
      </c>
      <c r="AC192" s="415"/>
      <c r="AE192" s="414">
        <v>12</v>
      </c>
      <c r="AF192" s="379"/>
      <c r="AG192" s="379"/>
      <c r="AH192" s="379"/>
      <c r="AI192" s="379"/>
      <c r="AJ192" s="379" t="s">
        <v>461</v>
      </c>
      <c r="AK192" s="415"/>
    </row>
    <row r="193" spans="23:37">
      <c r="W193" s="414">
        <v>1</v>
      </c>
      <c r="X193" s="379">
        <v>509</v>
      </c>
      <c r="Y193" s="379">
        <v>288</v>
      </c>
      <c r="Z193" s="379">
        <v>95</v>
      </c>
      <c r="AA193" s="379">
        <v>25</v>
      </c>
      <c r="AB193" s="379" t="s">
        <v>462</v>
      </c>
      <c r="AC193" s="415"/>
      <c r="AE193" s="414">
        <v>1</v>
      </c>
      <c r="AF193" s="379">
        <v>509</v>
      </c>
      <c r="AG193" s="379">
        <v>288</v>
      </c>
      <c r="AH193" s="379">
        <v>95</v>
      </c>
      <c r="AI193" s="379">
        <v>25</v>
      </c>
      <c r="AJ193" s="379" t="s">
        <v>462</v>
      </c>
      <c r="AK193" s="415"/>
    </row>
    <row r="194" spans="23:37">
      <c r="W194" s="414">
        <v>2</v>
      </c>
      <c r="X194" s="379">
        <v>385</v>
      </c>
      <c r="Y194" s="379">
        <v>290</v>
      </c>
      <c r="Z194" s="379">
        <v>95</v>
      </c>
      <c r="AA194" s="379">
        <v>25</v>
      </c>
      <c r="AB194" s="379" t="s">
        <v>464</v>
      </c>
      <c r="AC194" s="415"/>
      <c r="AE194" s="414">
        <v>2</v>
      </c>
      <c r="AF194" s="379">
        <v>385</v>
      </c>
      <c r="AG194" s="379">
        <v>290</v>
      </c>
      <c r="AH194" s="379">
        <v>95</v>
      </c>
      <c r="AI194" s="379">
        <v>25</v>
      </c>
      <c r="AJ194" s="379" t="s">
        <v>464</v>
      </c>
      <c r="AK194" s="415"/>
    </row>
    <row r="195" spans="23:37">
      <c r="W195" s="414">
        <v>5</v>
      </c>
      <c r="X195" s="379">
        <v>228</v>
      </c>
      <c r="Y195" s="379">
        <v>11</v>
      </c>
      <c r="Z195" s="379"/>
      <c r="AA195" s="379"/>
      <c r="AB195" s="379" t="s">
        <v>1138</v>
      </c>
      <c r="AC195" s="415"/>
      <c r="AE195" s="414">
        <v>5</v>
      </c>
      <c r="AF195" s="379">
        <v>228</v>
      </c>
      <c r="AG195" s="379">
        <v>11</v>
      </c>
      <c r="AH195" s="379"/>
      <c r="AI195" s="379"/>
      <c r="AJ195" s="379" t="s">
        <v>1138</v>
      </c>
      <c r="AK195" s="415"/>
    </row>
    <row r="198" spans="23:37" ht="13.2" thickBot="1">
      <c r="W198" s="359" t="s">
        <v>1139</v>
      </c>
      <c r="AE198" s="359" t="s">
        <v>1140</v>
      </c>
    </row>
    <row r="199" spans="23:37">
      <c r="W199" s="409"/>
      <c r="X199" s="410"/>
      <c r="Y199" s="410"/>
      <c r="Z199" s="410">
        <v>706</v>
      </c>
      <c r="AA199" s="410">
        <v>342</v>
      </c>
      <c r="AB199" s="410"/>
      <c r="AC199" s="411"/>
      <c r="AE199" s="409"/>
      <c r="AF199" s="410"/>
      <c r="AG199" s="410"/>
      <c r="AH199" s="410">
        <v>706</v>
      </c>
      <c r="AI199" s="410">
        <v>342</v>
      </c>
      <c r="AJ199" s="410"/>
      <c r="AK199" s="411"/>
    </row>
    <row r="200" spans="23:37">
      <c r="W200" s="414">
        <v>14</v>
      </c>
      <c r="X200" s="379">
        <v>35</v>
      </c>
      <c r="Y200" s="379">
        <v>35</v>
      </c>
      <c r="Z200" s="379">
        <v>310</v>
      </c>
      <c r="AA200" s="379">
        <v>240</v>
      </c>
      <c r="AB200" s="379" t="s">
        <v>1141</v>
      </c>
      <c r="AC200" s="415"/>
      <c r="AE200" s="414">
        <v>14</v>
      </c>
      <c r="AF200" s="379">
        <v>35</v>
      </c>
      <c r="AG200" s="379">
        <v>35</v>
      </c>
      <c r="AH200" s="379">
        <v>310</v>
      </c>
      <c r="AI200" s="379">
        <v>240</v>
      </c>
      <c r="AJ200" s="379" t="s">
        <v>1141</v>
      </c>
      <c r="AK200" s="415"/>
    </row>
    <row r="201" spans="23:37">
      <c r="W201" s="414">
        <v>11</v>
      </c>
      <c r="X201" s="379"/>
      <c r="Y201" s="379"/>
      <c r="Z201" s="379"/>
      <c r="AA201" s="379"/>
      <c r="AB201" s="379"/>
      <c r="AC201" s="415">
        <v>8</v>
      </c>
      <c r="AE201" s="414">
        <v>11</v>
      </c>
      <c r="AF201" s="379"/>
      <c r="AG201" s="379"/>
      <c r="AH201" s="379"/>
      <c r="AI201" s="379"/>
      <c r="AJ201" s="379"/>
      <c r="AK201" s="415">
        <v>8</v>
      </c>
    </row>
    <row r="202" spans="23:37">
      <c r="W202" s="414">
        <v>12</v>
      </c>
      <c r="X202" s="379">
        <v>65</v>
      </c>
      <c r="Y202" s="379">
        <v>55</v>
      </c>
      <c r="Z202" s="379"/>
      <c r="AA202" s="379"/>
      <c r="AB202" s="379" t="s">
        <v>1099</v>
      </c>
      <c r="AC202" s="415"/>
      <c r="AE202" s="414">
        <v>12</v>
      </c>
      <c r="AF202" s="379">
        <v>65</v>
      </c>
      <c r="AG202" s="379">
        <v>55</v>
      </c>
      <c r="AH202" s="379"/>
      <c r="AI202" s="379"/>
      <c r="AJ202" s="379" t="s">
        <v>1099</v>
      </c>
      <c r="AK202" s="415"/>
    </row>
    <row r="203" spans="23:37">
      <c r="W203" s="414">
        <v>12</v>
      </c>
      <c r="X203" s="379"/>
      <c r="Y203" s="379"/>
      <c r="Z203" s="379"/>
      <c r="AA203" s="379"/>
      <c r="AB203" s="379" t="s">
        <v>438</v>
      </c>
      <c r="AC203" s="415"/>
      <c r="AE203" s="414">
        <v>12</v>
      </c>
      <c r="AF203" s="379"/>
      <c r="AG203" s="379"/>
      <c r="AH203" s="379"/>
      <c r="AI203" s="379"/>
      <c r="AJ203" s="379" t="s">
        <v>438</v>
      </c>
      <c r="AK203" s="415"/>
    </row>
    <row r="204" spans="23:37">
      <c r="W204" s="414">
        <v>12</v>
      </c>
      <c r="X204" s="379"/>
      <c r="Y204" s="379"/>
      <c r="Z204" s="379"/>
      <c r="AA204" s="379"/>
      <c r="AB204" s="379" t="s">
        <v>439</v>
      </c>
      <c r="AC204" s="415"/>
      <c r="AE204" s="414">
        <v>12</v>
      </c>
      <c r="AF204" s="379"/>
      <c r="AG204" s="379"/>
      <c r="AH204" s="379"/>
      <c r="AI204" s="379"/>
      <c r="AJ204" s="379" t="s">
        <v>439</v>
      </c>
      <c r="AK204" s="415"/>
    </row>
    <row r="205" spans="23:37">
      <c r="W205" s="414">
        <v>12</v>
      </c>
      <c r="X205" s="379"/>
      <c r="Y205" s="379"/>
      <c r="Z205" s="379"/>
      <c r="AA205" s="379"/>
      <c r="AB205" s="379" t="s">
        <v>440</v>
      </c>
      <c r="AC205" s="415"/>
      <c r="AE205" s="414">
        <v>12</v>
      </c>
      <c r="AF205" s="379"/>
      <c r="AG205" s="379"/>
      <c r="AH205" s="379"/>
      <c r="AI205" s="379"/>
      <c r="AJ205" s="379" t="s">
        <v>440</v>
      </c>
      <c r="AK205" s="415"/>
    </row>
    <row r="206" spans="23:37">
      <c r="W206" s="414">
        <v>12</v>
      </c>
      <c r="X206" s="379"/>
      <c r="Y206" s="379"/>
      <c r="Z206" s="379"/>
      <c r="AA206" s="379"/>
      <c r="AB206" s="379" t="s">
        <v>441</v>
      </c>
      <c r="AC206" s="415"/>
      <c r="AE206" s="414">
        <v>12</v>
      </c>
      <c r="AF206" s="379"/>
      <c r="AG206" s="379"/>
      <c r="AH206" s="379"/>
      <c r="AI206" s="379"/>
      <c r="AJ206" s="379" t="s">
        <v>441</v>
      </c>
      <c r="AK206" s="415"/>
    </row>
    <row r="207" spans="23:37">
      <c r="W207" s="414">
        <v>12</v>
      </c>
      <c r="X207" s="379"/>
      <c r="Y207" s="379"/>
      <c r="Z207" s="379"/>
      <c r="AA207" s="379"/>
      <c r="AB207" s="379" t="s">
        <v>442</v>
      </c>
      <c r="AC207" s="415"/>
      <c r="AE207" s="414">
        <v>12</v>
      </c>
      <c r="AF207" s="379"/>
      <c r="AG207" s="379"/>
      <c r="AH207" s="379"/>
      <c r="AI207" s="379"/>
      <c r="AJ207" s="379" t="s">
        <v>442</v>
      </c>
      <c r="AK207" s="415"/>
    </row>
    <row r="208" spans="23:37">
      <c r="W208" s="414">
        <v>12</v>
      </c>
      <c r="X208" s="379"/>
      <c r="Y208" s="379"/>
      <c r="Z208" s="379"/>
      <c r="AA208" s="379"/>
      <c r="AB208" s="379" t="s">
        <v>443</v>
      </c>
      <c r="AC208" s="415"/>
      <c r="AE208" s="414">
        <v>12</v>
      </c>
      <c r="AF208" s="379"/>
      <c r="AG208" s="379"/>
      <c r="AH208" s="379"/>
      <c r="AI208" s="379"/>
      <c r="AJ208" s="379" t="s">
        <v>443</v>
      </c>
      <c r="AK208" s="415"/>
    </row>
    <row r="209" spans="23:37">
      <c r="W209" s="414">
        <v>12</v>
      </c>
      <c r="X209" s="379"/>
      <c r="Y209" s="379"/>
      <c r="Z209" s="379"/>
      <c r="AA209" s="379"/>
      <c r="AB209" s="379" t="s">
        <v>444</v>
      </c>
      <c r="AC209" s="415"/>
      <c r="AE209" s="414">
        <v>12</v>
      </c>
      <c r="AF209" s="379"/>
      <c r="AG209" s="379"/>
      <c r="AH209" s="379"/>
      <c r="AI209" s="379"/>
      <c r="AJ209" s="379" t="s">
        <v>444</v>
      </c>
      <c r="AK209" s="415"/>
    </row>
    <row r="210" spans="23:37">
      <c r="W210" s="414">
        <v>12</v>
      </c>
      <c r="X210" s="379"/>
      <c r="Y210" s="379"/>
      <c r="Z210" s="379"/>
      <c r="AA210" s="379"/>
      <c r="AB210" s="379" t="s">
        <v>445</v>
      </c>
      <c r="AC210" s="415"/>
      <c r="AE210" s="414">
        <v>12</v>
      </c>
      <c r="AF210" s="379"/>
      <c r="AG210" s="379"/>
      <c r="AH210" s="379"/>
      <c r="AI210" s="379"/>
      <c r="AJ210" s="379" t="s">
        <v>445</v>
      </c>
      <c r="AK210" s="415"/>
    </row>
    <row r="211" spans="23:37">
      <c r="W211" s="414">
        <v>12</v>
      </c>
      <c r="X211" s="379"/>
      <c r="Y211" s="379"/>
      <c r="Z211" s="379"/>
      <c r="AA211" s="379"/>
      <c r="AB211" s="379" t="s">
        <v>446</v>
      </c>
      <c r="AC211" s="415"/>
      <c r="AE211" s="414">
        <v>12</v>
      </c>
      <c r="AF211" s="379"/>
      <c r="AG211" s="379"/>
      <c r="AH211" s="379"/>
      <c r="AI211" s="379"/>
      <c r="AJ211" s="379" t="s">
        <v>446</v>
      </c>
      <c r="AK211" s="415"/>
    </row>
    <row r="212" spans="23:37">
      <c r="W212" s="414">
        <v>12</v>
      </c>
      <c r="X212" s="379"/>
      <c r="Y212" s="379"/>
      <c r="Z212" s="379"/>
      <c r="AA212" s="379"/>
      <c r="AB212" s="379" t="s">
        <v>1713</v>
      </c>
      <c r="AC212" s="415"/>
      <c r="AE212" s="414">
        <v>12</v>
      </c>
      <c r="AF212" s="379"/>
      <c r="AG212" s="379"/>
      <c r="AH212" s="379"/>
      <c r="AI212" s="379"/>
      <c r="AJ212" s="379" t="s">
        <v>1713</v>
      </c>
      <c r="AK212" s="415"/>
    </row>
    <row r="213" spans="23:37">
      <c r="W213" s="414">
        <v>12</v>
      </c>
      <c r="X213" s="379"/>
      <c r="Y213" s="379"/>
      <c r="Z213" s="379"/>
      <c r="AA213" s="379"/>
      <c r="AB213" s="379" t="s">
        <v>448</v>
      </c>
      <c r="AC213" s="415"/>
      <c r="AE213" s="414">
        <v>12</v>
      </c>
      <c r="AF213" s="379"/>
      <c r="AG213" s="379"/>
      <c r="AH213" s="379"/>
      <c r="AI213" s="379"/>
      <c r="AJ213" s="379" t="s">
        <v>448</v>
      </c>
      <c r="AK213" s="415"/>
    </row>
    <row r="214" spans="23:37">
      <c r="W214" s="414">
        <v>12</v>
      </c>
      <c r="X214" s="379">
        <v>230</v>
      </c>
      <c r="Y214" s="379">
        <v>55</v>
      </c>
      <c r="Z214" s="379"/>
      <c r="AA214" s="379"/>
      <c r="AB214" s="379" t="s">
        <v>449</v>
      </c>
      <c r="AC214" s="415"/>
      <c r="AE214" s="414">
        <v>12</v>
      </c>
      <c r="AF214" s="379">
        <v>230</v>
      </c>
      <c r="AG214" s="379">
        <v>55</v>
      </c>
      <c r="AH214" s="379"/>
      <c r="AI214" s="379"/>
      <c r="AJ214" s="379" t="s">
        <v>449</v>
      </c>
      <c r="AK214" s="415"/>
    </row>
    <row r="215" spans="23:37">
      <c r="W215" s="414">
        <v>12</v>
      </c>
      <c r="X215" s="379"/>
      <c r="Y215" s="379"/>
      <c r="Z215" s="379"/>
      <c r="AA215" s="379"/>
      <c r="AB215" s="379" t="s">
        <v>451</v>
      </c>
      <c r="AC215" s="415"/>
      <c r="AE215" s="414">
        <v>12</v>
      </c>
      <c r="AF215" s="379"/>
      <c r="AG215" s="379"/>
      <c r="AH215" s="379"/>
      <c r="AI215" s="379"/>
      <c r="AJ215" s="379" t="s">
        <v>451</v>
      </c>
      <c r="AK215" s="415"/>
    </row>
    <row r="216" spans="23:37">
      <c r="W216" s="414">
        <v>12</v>
      </c>
      <c r="X216" s="379"/>
      <c r="Y216" s="379"/>
      <c r="Z216" s="379"/>
      <c r="AA216" s="379"/>
      <c r="AB216" s="379" t="s">
        <v>452</v>
      </c>
      <c r="AC216" s="415"/>
      <c r="AE216" s="414">
        <v>12</v>
      </c>
      <c r="AF216" s="379"/>
      <c r="AG216" s="379"/>
      <c r="AH216" s="379"/>
      <c r="AI216" s="379"/>
      <c r="AJ216" s="379" t="s">
        <v>452</v>
      </c>
      <c r="AK216" s="415"/>
    </row>
    <row r="217" spans="23:37">
      <c r="W217" s="414">
        <v>12</v>
      </c>
      <c r="X217" s="379"/>
      <c r="Y217" s="379"/>
      <c r="Z217" s="379"/>
      <c r="AA217" s="379"/>
      <c r="AB217" s="379" t="s">
        <v>453</v>
      </c>
      <c r="AC217" s="415"/>
      <c r="AE217" s="414">
        <v>12</v>
      </c>
      <c r="AF217" s="379"/>
      <c r="AG217" s="379"/>
      <c r="AH217" s="379"/>
      <c r="AI217" s="379"/>
      <c r="AJ217" s="379" t="s">
        <v>453</v>
      </c>
      <c r="AK217" s="415"/>
    </row>
    <row r="218" spans="23:37">
      <c r="W218" s="414">
        <v>12</v>
      </c>
      <c r="X218" s="379"/>
      <c r="Y218" s="379"/>
      <c r="Z218" s="379"/>
      <c r="AA218" s="379"/>
      <c r="AB218" s="379" t="s">
        <v>454</v>
      </c>
      <c r="AC218" s="415"/>
      <c r="AE218" s="414">
        <v>12</v>
      </c>
      <c r="AF218" s="379"/>
      <c r="AG218" s="379"/>
      <c r="AH218" s="379"/>
      <c r="AI218" s="379"/>
      <c r="AJ218" s="379" t="s">
        <v>454</v>
      </c>
      <c r="AK218" s="415"/>
    </row>
    <row r="219" spans="23:37">
      <c r="W219" s="414">
        <v>12</v>
      </c>
      <c r="X219" s="379"/>
      <c r="Y219" s="379"/>
      <c r="Z219" s="379"/>
      <c r="AA219" s="379"/>
      <c r="AB219" s="379" t="s">
        <v>455</v>
      </c>
      <c r="AC219" s="415"/>
      <c r="AE219" s="414">
        <v>12</v>
      </c>
      <c r="AF219" s="379"/>
      <c r="AG219" s="379"/>
      <c r="AH219" s="379"/>
      <c r="AI219" s="379"/>
      <c r="AJ219" s="379" t="s">
        <v>455</v>
      </c>
      <c r="AK219" s="415"/>
    </row>
    <row r="220" spans="23:37">
      <c r="W220" s="414">
        <v>12</v>
      </c>
      <c r="X220" s="379"/>
      <c r="Y220" s="379"/>
      <c r="Z220" s="379"/>
      <c r="AA220" s="379"/>
      <c r="AB220" s="379" t="s">
        <v>456</v>
      </c>
      <c r="AC220" s="415"/>
      <c r="AE220" s="414">
        <v>12</v>
      </c>
      <c r="AF220" s="379"/>
      <c r="AG220" s="379"/>
      <c r="AH220" s="379"/>
      <c r="AI220" s="379"/>
      <c r="AJ220" s="379" t="s">
        <v>456</v>
      </c>
      <c r="AK220" s="415"/>
    </row>
    <row r="221" spans="23:37">
      <c r="W221" s="414">
        <v>12</v>
      </c>
      <c r="X221" s="379"/>
      <c r="Y221" s="379"/>
      <c r="Z221" s="379"/>
      <c r="AA221" s="379"/>
      <c r="AB221" s="379" t="s">
        <v>457</v>
      </c>
      <c r="AC221" s="415"/>
      <c r="AE221" s="414">
        <v>12</v>
      </c>
      <c r="AF221" s="379"/>
      <c r="AG221" s="379"/>
      <c r="AH221" s="379"/>
      <c r="AI221" s="379"/>
      <c r="AJ221" s="379" t="s">
        <v>457</v>
      </c>
      <c r="AK221" s="415"/>
    </row>
    <row r="222" spans="23:37">
      <c r="W222" s="414">
        <v>12</v>
      </c>
      <c r="X222" s="379"/>
      <c r="Y222" s="379"/>
      <c r="Z222" s="379"/>
      <c r="AA222" s="379"/>
      <c r="AB222" s="379" t="s">
        <v>1705</v>
      </c>
      <c r="AC222" s="415"/>
      <c r="AE222" s="414">
        <v>12</v>
      </c>
      <c r="AF222" s="379"/>
      <c r="AG222" s="379"/>
      <c r="AH222" s="379"/>
      <c r="AI222" s="379"/>
      <c r="AJ222" s="379" t="s">
        <v>1705</v>
      </c>
      <c r="AK222" s="415"/>
    </row>
    <row r="223" spans="23:37">
      <c r="W223" s="414">
        <v>12</v>
      </c>
      <c r="X223" s="379"/>
      <c r="Y223" s="379"/>
      <c r="Z223" s="379"/>
      <c r="AA223" s="379"/>
      <c r="AB223" s="379" t="s">
        <v>459</v>
      </c>
      <c r="AC223" s="415"/>
      <c r="AE223" s="414">
        <v>12</v>
      </c>
      <c r="AF223" s="379"/>
      <c r="AG223" s="379"/>
      <c r="AH223" s="379"/>
      <c r="AI223" s="379"/>
      <c r="AJ223" s="379" t="s">
        <v>459</v>
      </c>
      <c r="AK223" s="415"/>
    </row>
    <row r="224" spans="23:37">
      <c r="W224" s="414">
        <v>12</v>
      </c>
      <c r="X224" s="379"/>
      <c r="Y224" s="379"/>
      <c r="Z224" s="379"/>
      <c r="AA224" s="379"/>
      <c r="AB224" s="379" t="s">
        <v>460</v>
      </c>
      <c r="AC224" s="415"/>
      <c r="AE224" s="414">
        <v>12</v>
      </c>
      <c r="AF224" s="379"/>
      <c r="AG224" s="379"/>
      <c r="AH224" s="379"/>
      <c r="AI224" s="379"/>
      <c r="AJ224" s="379" t="s">
        <v>460</v>
      </c>
      <c r="AK224" s="415"/>
    </row>
    <row r="225" spans="23:37">
      <c r="W225" s="414">
        <v>12</v>
      </c>
      <c r="X225" s="379"/>
      <c r="Y225" s="379"/>
      <c r="Z225" s="379"/>
      <c r="AA225" s="379"/>
      <c r="AB225" s="379" t="s">
        <v>461</v>
      </c>
      <c r="AC225" s="415"/>
      <c r="AE225" s="414">
        <v>12</v>
      </c>
      <c r="AF225" s="379"/>
      <c r="AG225" s="379"/>
      <c r="AH225" s="379"/>
      <c r="AI225" s="379"/>
      <c r="AJ225" s="379" t="s">
        <v>461</v>
      </c>
      <c r="AK225" s="415"/>
    </row>
    <row r="226" spans="23:37">
      <c r="W226" s="414">
        <v>14</v>
      </c>
      <c r="X226" s="379">
        <v>370</v>
      </c>
      <c r="Y226" s="379">
        <v>35</v>
      </c>
      <c r="Z226" s="379">
        <v>310</v>
      </c>
      <c r="AA226" s="379">
        <v>240</v>
      </c>
      <c r="AB226" s="379" t="s">
        <v>1142</v>
      </c>
      <c r="AC226" s="415"/>
      <c r="AE226" s="414">
        <v>14</v>
      </c>
      <c r="AF226" s="379">
        <v>370</v>
      </c>
      <c r="AG226" s="379">
        <v>35</v>
      </c>
      <c r="AH226" s="379">
        <v>310</v>
      </c>
      <c r="AI226" s="379">
        <v>240</v>
      </c>
      <c r="AJ226" s="379" t="s">
        <v>1142</v>
      </c>
      <c r="AK226" s="415"/>
    </row>
    <row r="227" spans="23:37">
      <c r="W227" s="414">
        <v>11</v>
      </c>
      <c r="X227" s="379"/>
      <c r="Y227" s="379"/>
      <c r="Z227" s="379"/>
      <c r="AA227" s="379"/>
      <c r="AB227" s="379"/>
      <c r="AC227" s="415">
        <v>8</v>
      </c>
      <c r="AE227" s="414">
        <v>11</v>
      </c>
      <c r="AF227" s="379"/>
      <c r="AG227" s="379"/>
      <c r="AH227" s="379"/>
      <c r="AI227" s="379"/>
      <c r="AJ227" s="379"/>
      <c r="AK227" s="415">
        <v>8</v>
      </c>
    </row>
    <row r="228" spans="23:37">
      <c r="W228" s="414">
        <v>12</v>
      </c>
      <c r="X228" s="379">
        <v>405</v>
      </c>
      <c r="Y228" s="379">
        <v>55</v>
      </c>
      <c r="Z228" s="379"/>
      <c r="AA228" s="379"/>
      <c r="AB228" s="379" t="s">
        <v>1099</v>
      </c>
      <c r="AC228" s="415"/>
      <c r="AE228" s="414">
        <v>12</v>
      </c>
      <c r="AF228" s="379">
        <v>405</v>
      </c>
      <c r="AG228" s="379">
        <v>55</v>
      </c>
      <c r="AH228" s="379"/>
      <c r="AI228" s="379"/>
      <c r="AJ228" s="379" t="s">
        <v>1099</v>
      </c>
      <c r="AK228" s="415"/>
    </row>
    <row r="229" spans="23:37">
      <c r="W229" s="414">
        <v>12</v>
      </c>
      <c r="X229" s="379"/>
      <c r="Y229" s="379"/>
      <c r="Z229" s="379"/>
      <c r="AA229" s="379"/>
      <c r="AB229" s="379" t="s">
        <v>438</v>
      </c>
      <c r="AC229" s="415"/>
      <c r="AE229" s="414">
        <v>12</v>
      </c>
      <c r="AF229" s="379"/>
      <c r="AG229" s="379"/>
      <c r="AH229" s="379"/>
      <c r="AI229" s="379"/>
      <c r="AJ229" s="379" t="s">
        <v>438</v>
      </c>
      <c r="AK229" s="415"/>
    </row>
    <row r="230" spans="23:37">
      <c r="W230" s="414">
        <v>12</v>
      </c>
      <c r="X230" s="379"/>
      <c r="Y230" s="379"/>
      <c r="Z230" s="379"/>
      <c r="AA230" s="379"/>
      <c r="AB230" s="379" t="s">
        <v>439</v>
      </c>
      <c r="AC230" s="415"/>
      <c r="AE230" s="414">
        <v>12</v>
      </c>
      <c r="AF230" s="379"/>
      <c r="AG230" s="379"/>
      <c r="AH230" s="379"/>
      <c r="AI230" s="379"/>
      <c r="AJ230" s="379" t="s">
        <v>439</v>
      </c>
      <c r="AK230" s="415"/>
    </row>
    <row r="231" spans="23:37">
      <c r="W231" s="414">
        <v>12</v>
      </c>
      <c r="X231" s="379"/>
      <c r="Y231" s="379"/>
      <c r="Z231" s="379"/>
      <c r="AA231" s="379"/>
      <c r="AB231" s="379" t="s">
        <v>440</v>
      </c>
      <c r="AC231" s="415"/>
      <c r="AE231" s="414">
        <v>12</v>
      </c>
      <c r="AF231" s="379"/>
      <c r="AG231" s="379"/>
      <c r="AH231" s="379"/>
      <c r="AI231" s="379"/>
      <c r="AJ231" s="379" t="s">
        <v>440</v>
      </c>
      <c r="AK231" s="415"/>
    </row>
    <row r="232" spans="23:37">
      <c r="W232" s="414">
        <v>12</v>
      </c>
      <c r="X232" s="379"/>
      <c r="Y232" s="379"/>
      <c r="Z232" s="379"/>
      <c r="AA232" s="379"/>
      <c r="AB232" s="379" t="s">
        <v>441</v>
      </c>
      <c r="AC232" s="415"/>
      <c r="AE232" s="414">
        <v>12</v>
      </c>
      <c r="AF232" s="379"/>
      <c r="AG232" s="379"/>
      <c r="AH232" s="379"/>
      <c r="AI232" s="379"/>
      <c r="AJ232" s="379" t="s">
        <v>441</v>
      </c>
      <c r="AK232" s="415"/>
    </row>
    <row r="233" spans="23:37">
      <c r="W233" s="414">
        <v>12</v>
      </c>
      <c r="X233" s="379"/>
      <c r="Y233" s="379"/>
      <c r="Z233" s="379"/>
      <c r="AA233" s="379"/>
      <c r="AB233" s="379" t="s">
        <v>442</v>
      </c>
      <c r="AC233" s="415"/>
      <c r="AE233" s="414">
        <v>12</v>
      </c>
      <c r="AF233" s="379"/>
      <c r="AG233" s="379"/>
      <c r="AH233" s="379"/>
      <c r="AI233" s="379"/>
      <c r="AJ233" s="379" t="s">
        <v>442</v>
      </c>
      <c r="AK233" s="415"/>
    </row>
    <row r="234" spans="23:37">
      <c r="W234" s="414">
        <v>12</v>
      </c>
      <c r="X234" s="379"/>
      <c r="Y234" s="379"/>
      <c r="Z234" s="379"/>
      <c r="AA234" s="379"/>
      <c r="AB234" s="379" t="s">
        <v>443</v>
      </c>
      <c r="AC234" s="415"/>
      <c r="AE234" s="414">
        <v>12</v>
      </c>
      <c r="AF234" s="379"/>
      <c r="AG234" s="379"/>
      <c r="AH234" s="379"/>
      <c r="AI234" s="379"/>
      <c r="AJ234" s="379" t="s">
        <v>443</v>
      </c>
      <c r="AK234" s="415"/>
    </row>
    <row r="235" spans="23:37">
      <c r="W235" s="414">
        <v>12</v>
      </c>
      <c r="X235" s="379"/>
      <c r="Y235" s="379"/>
      <c r="Z235" s="379"/>
      <c r="AA235" s="379"/>
      <c r="AB235" s="379" t="s">
        <v>444</v>
      </c>
      <c r="AC235" s="415"/>
      <c r="AE235" s="414">
        <v>12</v>
      </c>
      <c r="AF235" s="379"/>
      <c r="AG235" s="379"/>
      <c r="AH235" s="379"/>
      <c r="AI235" s="379"/>
      <c r="AJ235" s="379" t="s">
        <v>444</v>
      </c>
      <c r="AK235" s="415"/>
    </row>
    <row r="236" spans="23:37">
      <c r="W236" s="414">
        <v>12</v>
      </c>
      <c r="X236" s="379"/>
      <c r="Y236" s="379"/>
      <c r="Z236" s="379"/>
      <c r="AA236" s="379"/>
      <c r="AB236" s="379" t="s">
        <v>445</v>
      </c>
      <c r="AC236" s="415"/>
      <c r="AE236" s="414">
        <v>12</v>
      </c>
      <c r="AF236" s="379"/>
      <c r="AG236" s="379"/>
      <c r="AH236" s="379"/>
      <c r="AI236" s="379"/>
      <c r="AJ236" s="379" t="s">
        <v>445</v>
      </c>
      <c r="AK236" s="415"/>
    </row>
    <row r="237" spans="23:37">
      <c r="W237" s="414">
        <v>12</v>
      </c>
      <c r="X237" s="379"/>
      <c r="Y237" s="379"/>
      <c r="Z237" s="379"/>
      <c r="AA237" s="379"/>
      <c r="AB237" s="379" t="s">
        <v>446</v>
      </c>
      <c r="AC237" s="415"/>
      <c r="AE237" s="414">
        <v>12</v>
      </c>
      <c r="AF237" s="379"/>
      <c r="AG237" s="379"/>
      <c r="AH237" s="379"/>
      <c r="AI237" s="379"/>
      <c r="AJ237" s="379" t="s">
        <v>446</v>
      </c>
      <c r="AK237" s="415"/>
    </row>
    <row r="238" spans="23:37">
      <c r="W238" s="414">
        <v>12</v>
      </c>
      <c r="X238" s="379"/>
      <c r="Y238" s="379"/>
      <c r="Z238" s="379"/>
      <c r="AA238" s="379"/>
      <c r="AB238" s="379" t="s">
        <v>1713</v>
      </c>
      <c r="AC238" s="415"/>
      <c r="AE238" s="414">
        <v>12</v>
      </c>
      <c r="AF238" s="379"/>
      <c r="AG238" s="379"/>
      <c r="AH238" s="379"/>
      <c r="AI238" s="379"/>
      <c r="AJ238" s="379" t="s">
        <v>1713</v>
      </c>
      <c r="AK238" s="415"/>
    </row>
    <row r="239" spans="23:37">
      <c r="W239" s="414">
        <v>12</v>
      </c>
      <c r="X239" s="379"/>
      <c r="Y239" s="379"/>
      <c r="Z239" s="379"/>
      <c r="AA239" s="379"/>
      <c r="AB239" s="379" t="s">
        <v>448</v>
      </c>
      <c r="AC239" s="415"/>
      <c r="AE239" s="414">
        <v>12</v>
      </c>
      <c r="AF239" s="379"/>
      <c r="AG239" s="379"/>
      <c r="AH239" s="379"/>
      <c r="AI239" s="379"/>
      <c r="AJ239" s="379" t="s">
        <v>448</v>
      </c>
      <c r="AK239" s="415"/>
    </row>
    <row r="240" spans="23:37">
      <c r="W240" s="414">
        <v>12</v>
      </c>
      <c r="X240" s="379">
        <v>560</v>
      </c>
      <c r="Y240" s="379">
        <v>55</v>
      </c>
      <c r="Z240" s="379"/>
      <c r="AA240" s="379"/>
      <c r="AB240" s="379" t="s">
        <v>449</v>
      </c>
      <c r="AC240" s="415"/>
      <c r="AE240" s="414">
        <v>12</v>
      </c>
      <c r="AF240" s="379">
        <v>560</v>
      </c>
      <c r="AG240" s="379">
        <v>55</v>
      </c>
      <c r="AH240" s="379"/>
      <c r="AI240" s="379"/>
      <c r="AJ240" s="379" t="s">
        <v>449</v>
      </c>
      <c r="AK240" s="415"/>
    </row>
    <row r="241" spans="23:37">
      <c r="W241" s="414">
        <v>12</v>
      </c>
      <c r="X241" s="379"/>
      <c r="Y241" s="379"/>
      <c r="Z241" s="379"/>
      <c r="AA241" s="379"/>
      <c r="AB241" s="379" t="s">
        <v>451</v>
      </c>
      <c r="AC241" s="415"/>
      <c r="AE241" s="414">
        <v>12</v>
      </c>
      <c r="AF241" s="379"/>
      <c r="AG241" s="379"/>
      <c r="AH241" s="379"/>
      <c r="AI241" s="379"/>
      <c r="AJ241" s="379" t="s">
        <v>451</v>
      </c>
      <c r="AK241" s="415"/>
    </row>
    <row r="242" spans="23:37">
      <c r="W242" s="414">
        <v>12</v>
      </c>
      <c r="X242" s="379"/>
      <c r="Y242" s="379"/>
      <c r="Z242" s="379"/>
      <c r="AA242" s="379"/>
      <c r="AB242" s="379" t="s">
        <v>452</v>
      </c>
      <c r="AC242" s="415"/>
      <c r="AE242" s="414">
        <v>12</v>
      </c>
      <c r="AF242" s="379"/>
      <c r="AG242" s="379"/>
      <c r="AH242" s="379"/>
      <c r="AI242" s="379"/>
      <c r="AJ242" s="379" t="s">
        <v>452</v>
      </c>
      <c r="AK242" s="415"/>
    </row>
    <row r="243" spans="23:37">
      <c r="W243" s="414">
        <v>12</v>
      </c>
      <c r="X243" s="379"/>
      <c r="Y243" s="379"/>
      <c r="Z243" s="379"/>
      <c r="AA243" s="379"/>
      <c r="AB243" s="379" t="s">
        <v>453</v>
      </c>
      <c r="AC243" s="415"/>
      <c r="AE243" s="414">
        <v>12</v>
      </c>
      <c r="AF243" s="379"/>
      <c r="AG243" s="379"/>
      <c r="AH243" s="379"/>
      <c r="AI243" s="379"/>
      <c r="AJ243" s="379" t="s">
        <v>453</v>
      </c>
      <c r="AK243" s="415"/>
    </row>
    <row r="244" spans="23:37">
      <c r="W244" s="414">
        <v>12</v>
      </c>
      <c r="X244" s="379"/>
      <c r="Y244" s="379"/>
      <c r="Z244" s="379"/>
      <c r="AA244" s="379"/>
      <c r="AB244" s="379" t="s">
        <v>454</v>
      </c>
      <c r="AC244" s="415"/>
      <c r="AE244" s="414">
        <v>12</v>
      </c>
      <c r="AF244" s="379"/>
      <c r="AG244" s="379"/>
      <c r="AH244" s="379"/>
      <c r="AI244" s="379"/>
      <c r="AJ244" s="379" t="s">
        <v>454</v>
      </c>
      <c r="AK244" s="415"/>
    </row>
    <row r="245" spans="23:37">
      <c r="W245" s="414">
        <v>12</v>
      </c>
      <c r="X245" s="379"/>
      <c r="Y245" s="379"/>
      <c r="Z245" s="379"/>
      <c r="AA245" s="379"/>
      <c r="AB245" s="379" t="s">
        <v>455</v>
      </c>
      <c r="AC245" s="415"/>
      <c r="AE245" s="414">
        <v>12</v>
      </c>
      <c r="AF245" s="379"/>
      <c r="AG245" s="379"/>
      <c r="AH245" s="379"/>
      <c r="AI245" s="379"/>
      <c r="AJ245" s="379" t="s">
        <v>455</v>
      </c>
      <c r="AK245" s="415"/>
    </row>
    <row r="246" spans="23:37">
      <c r="W246" s="414">
        <v>12</v>
      </c>
      <c r="X246" s="379"/>
      <c r="Y246" s="379"/>
      <c r="Z246" s="379"/>
      <c r="AA246" s="379"/>
      <c r="AB246" s="379" t="s">
        <v>456</v>
      </c>
      <c r="AC246" s="415"/>
      <c r="AE246" s="414">
        <v>12</v>
      </c>
      <c r="AF246" s="379"/>
      <c r="AG246" s="379"/>
      <c r="AH246" s="379"/>
      <c r="AI246" s="379"/>
      <c r="AJ246" s="379" t="s">
        <v>456</v>
      </c>
      <c r="AK246" s="415"/>
    </row>
    <row r="247" spans="23:37">
      <c r="W247" s="414">
        <v>12</v>
      </c>
      <c r="X247" s="379"/>
      <c r="Y247" s="379"/>
      <c r="Z247" s="379"/>
      <c r="AA247" s="379"/>
      <c r="AB247" s="379" t="s">
        <v>457</v>
      </c>
      <c r="AC247" s="415"/>
      <c r="AE247" s="414">
        <v>12</v>
      </c>
      <c r="AF247" s="379"/>
      <c r="AG247" s="379"/>
      <c r="AH247" s="379"/>
      <c r="AI247" s="379"/>
      <c r="AJ247" s="379" t="s">
        <v>457</v>
      </c>
      <c r="AK247" s="415"/>
    </row>
    <row r="248" spans="23:37">
      <c r="W248" s="414">
        <v>12</v>
      </c>
      <c r="X248" s="379"/>
      <c r="Y248" s="379"/>
      <c r="Z248" s="379"/>
      <c r="AA248" s="379"/>
      <c r="AB248" s="379" t="s">
        <v>1705</v>
      </c>
      <c r="AC248" s="415"/>
      <c r="AE248" s="414">
        <v>12</v>
      </c>
      <c r="AF248" s="379"/>
      <c r="AG248" s="379"/>
      <c r="AH248" s="379"/>
      <c r="AI248" s="379"/>
      <c r="AJ248" s="379" t="s">
        <v>1705</v>
      </c>
      <c r="AK248" s="415"/>
    </row>
    <row r="249" spans="23:37">
      <c r="W249" s="414">
        <v>12</v>
      </c>
      <c r="X249" s="379"/>
      <c r="Y249" s="379"/>
      <c r="Z249" s="379"/>
      <c r="AA249" s="379"/>
      <c r="AB249" s="379" t="s">
        <v>459</v>
      </c>
      <c r="AC249" s="415"/>
      <c r="AE249" s="414">
        <v>12</v>
      </c>
      <c r="AF249" s="379"/>
      <c r="AG249" s="379"/>
      <c r="AH249" s="379"/>
      <c r="AI249" s="379"/>
      <c r="AJ249" s="379" t="s">
        <v>459</v>
      </c>
      <c r="AK249" s="415"/>
    </row>
    <row r="250" spans="23:37">
      <c r="W250" s="414">
        <v>12</v>
      </c>
      <c r="X250" s="379"/>
      <c r="Y250" s="379"/>
      <c r="Z250" s="379"/>
      <c r="AA250" s="379"/>
      <c r="AB250" s="379" t="s">
        <v>460</v>
      </c>
      <c r="AC250" s="415"/>
      <c r="AE250" s="414">
        <v>12</v>
      </c>
      <c r="AF250" s="379"/>
      <c r="AG250" s="379"/>
      <c r="AH250" s="379"/>
      <c r="AI250" s="379"/>
      <c r="AJ250" s="379" t="s">
        <v>460</v>
      </c>
      <c r="AK250" s="415"/>
    </row>
    <row r="251" spans="23:37">
      <c r="W251" s="414">
        <v>12</v>
      </c>
      <c r="X251" s="379"/>
      <c r="Y251" s="379"/>
      <c r="Z251" s="379"/>
      <c r="AA251" s="379"/>
      <c r="AB251" s="379" t="s">
        <v>461</v>
      </c>
      <c r="AC251" s="415"/>
      <c r="AE251" s="414">
        <v>12</v>
      </c>
      <c r="AF251" s="379"/>
      <c r="AG251" s="379"/>
      <c r="AH251" s="379"/>
      <c r="AI251" s="379"/>
      <c r="AJ251" s="379" t="s">
        <v>461</v>
      </c>
      <c r="AK251" s="415"/>
    </row>
    <row r="252" spans="23:37">
      <c r="W252" s="414">
        <v>1</v>
      </c>
      <c r="X252" s="379">
        <v>509</v>
      </c>
      <c r="Y252" s="379">
        <v>288</v>
      </c>
      <c r="Z252" s="379">
        <v>95</v>
      </c>
      <c r="AA252" s="379">
        <v>25</v>
      </c>
      <c r="AB252" s="379" t="s">
        <v>462</v>
      </c>
      <c r="AC252" s="415"/>
      <c r="AE252" s="414">
        <v>1</v>
      </c>
      <c r="AF252" s="379">
        <v>509</v>
      </c>
      <c r="AG252" s="379">
        <v>288</v>
      </c>
      <c r="AH252" s="379">
        <v>95</v>
      </c>
      <c r="AI252" s="379">
        <v>25</v>
      </c>
      <c r="AJ252" s="379" t="s">
        <v>462</v>
      </c>
      <c r="AK252" s="415"/>
    </row>
    <row r="253" spans="23:37">
      <c r="W253" s="414">
        <v>2</v>
      </c>
      <c r="X253" s="379">
        <v>385</v>
      </c>
      <c r="Y253" s="379">
        <v>290</v>
      </c>
      <c r="Z253" s="379">
        <v>95</v>
      </c>
      <c r="AA253" s="379">
        <v>25</v>
      </c>
      <c r="AB253" s="379" t="s">
        <v>464</v>
      </c>
      <c r="AC253" s="415"/>
      <c r="AE253" s="414">
        <v>2</v>
      </c>
      <c r="AF253" s="379">
        <v>385</v>
      </c>
      <c r="AG253" s="379">
        <v>290</v>
      </c>
      <c r="AH253" s="379">
        <v>95</v>
      </c>
      <c r="AI253" s="379">
        <v>25</v>
      </c>
      <c r="AJ253" s="379" t="s">
        <v>464</v>
      </c>
      <c r="AK253" s="415"/>
    </row>
    <row r="254" spans="23:37">
      <c r="W254" s="414">
        <v>5</v>
      </c>
      <c r="X254" s="379">
        <v>228</v>
      </c>
      <c r="Y254" s="379">
        <v>11</v>
      </c>
      <c r="Z254" s="379"/>
      <c r="AA254" s="379"/>
      <c r="AB254" s="379" t="s">
        <v>1143</v>
      </c>
      <c r="AC254" s="415"/>
      <c r="AE254" s="414">
        <v>5</v>
      </c>
      <c r="AF254" s="379">
        <v>228</v>
      </c>
      <c r="AG254" s="379">
        <v>11</v>
      </c>
      <c r="AH254" s="379"/>
      <c r="AI254" s="379"/>
      <c r="AJ254" s="379" t="s">
        <v>1143</v>
      </c>
      <c r="AK254" s="415"/>
    </row>
  </sheetData>
  <dataConsolidate/>
  <phoneticPr fontId="28" type="noConversion"/>
  <printOptions gridLines="1" gridLinesSet="0"/>
  <pageMargins left="0.75" right="0.75" top="1" bottom="1" header="0.5" footer="0.5"/>
  <pageSetup orientation="landscape" horizontalDpi="300" verticalDpi="4294967292"/>
  <headerFooter alignWithMargins="0">
    <oddHeader>&amp;F</oddHeader>
    <oddFooter>Page &amp;P</oddFooter>
  </headerFooter>
  <drawing r:id="rId1"/>
  <legacyDrawing r:id="rId2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1400-000000000000}">
  <dimension ref="A1:R362"/>
  <sheetViews>
    <sheetView showFormulas="1" workbookViewId="0">
      <selection activeCell="C1" sqref="C1:F65536"/>
    </sheetView>
  </sheetViews>
  <sheetFormatPr defaultColWidth="3.36328125" defaultRowHeight="12.6"/>
  <cols>
    <col min="1" max="1" width="21.08984375" style="50" customWidth="1"/>
    <col min="2" max="2" width="8.90625" style="50" customWidth="1"/>
    <col min="3" max="3" width="3.36328125" style="50" customWidth="1"/>
    <col min="4" max="6" width="3.36328125" style="53" customWidth="1"/>
    <col min="7" max="7" width="3.36328125" style="50" customWidth="1"/>
    <col min="8" max="8" width="3.36328125" style="64" customWidth="1"/>
    <col min="9" max="9" width="5" style="50" customWidth="1"/>
    <col min="10" max="11" width="3.36328125" style="50" customWidth="1"/>
    <col min="12" max="16" width="1.6328125" style="50" customWidth="1"/>
    <col min="17" max="17" width="3.36328125" style="50" customWidth="1"/>
    <col min="18" max="18" width="2.08984375" style="50" customWidth="1"/>
    <col min="19" max="23" width="1.6328125" style="50" customWidth="1"/>
    <col min="24" max="24" width="4.453125" style="50" customWidth="1"/>
    <col min="25" max="25" width="1.6328125" style="50" customWidth="1"/>
    <col min="26" max="16384" width="3.36328125" style="50"/>
  </cols>
  <sheetData>
    <row r="1" spans="1:18" ht="12.75" customHeight="1" thickBot="1">
      <c r="A1" s="70" t="s">
        <v>527</v>
      </c>
      <c r="B1" s="51"/>
      <c r="D1" s="52"/>
      <c r="H1" s="54"/>
      <c r="J1" s="51"/>
      <c r="L1" s="50" t="s">
        <v>1613</v>
      </c>
    </row>
    <row r="2" spans="1:18" ht="12.75" customHeight="1">
      <c r="A2" s="50" t="b">
        <f>NEW(2)</f>
        <v>1</v>
      </c>
      <c r="C2" s="50" t="s">
        <v>467</v>
      </c>
      <c r="D2" s="52" t="str">
        <f>TVAR1</f>
        <v>out1</v>
      </c>
      <c r="E2" s="53" t="str">
        <f>TVAR2</f>
        <v>out2</v>
      </c>
      <c r="F2" s="53" t="str">
        <f>TVAR3</f>
        <v>out3</v>
      </c>
      <c r="G2" s="55" t="s">
        <v>468</v>
      </c>
      <c r="H2" s="56">
        <f>R5</f>
        <v>0.1</v>
      </c>
      <c r="I2" s="50" t="s">
        <v>469</v>
      </c>
      <c r="J2" s="51" t="s">
        <v>470</v>
      </c>
      <c r="L2" s="57"/>
      <c r="M2" s="58"/>
      <c r="N2" s="58"/>
      <c r="O2" s="58">
        <v>348</v>
      </c>
      <c r="P2" s="58">
        <v>382</v>
      </c>
      <c r="Q2" s="58"/>
      <c r="R2" s="59"/>
    </row>
    <row r="3" spans="1:18">
      <c r="A3" s="50" t="b">
        <f>PASTE.SPECIAL(2,TRUE,TRUE)</f>
        <v>1</v>
      </c>
      <c r="C3" s="50">
        <v>0</v>
      </c>
      <c r="D3" s="52">
        <v>1</v>
      </c>
      <c r="E3" s="53">
        <v>1.0000000000000002</v>
      </c>
      <c r="F3" s="53" t="e">
        <v>#VALUE!</v>
      </c>
      <c r="G3" s="55" t="s">
        <v>471</v>
      </c>
      <c r="H3" s="56">
        <f>R7</f>
        <v>0.8</v>
      </c>
      <c r="I3" s="50" t="s">
        <v>472</v>
      </c>
      <c r="L3" s="60">
        <v>5</v>
      </c>
      <c r="M3" s="50">
        <v>63</v>
      </c>
      <c r="N3" s="50">
        <v>20</v>
      </c>
      <c r="Q3" s="50" t="s">
        <v>473</v>
      </c>
      <c r="R3" s="61"/>
    </row>
    <row r="4" spans="1:18">
      <c r="A4" s="50" t="b">
        <f>GALLERY.LINE(5)</f>
        <v>1</v>
      </c>
      <c r="C4" s="50">
        <v>3</v>
      </c>
      <c r="D4" s="52">
        <v>0.9996679936586832</v>
      </c>
      <c r="E4" s="53">
        <v>0.99867561216568512</v>
      </c>
      <c r="F4" s="53" t="e">
        <v>#VALUE!</v>
      </c>
      <c r="G4" s="62" t="s">
        <v>474</v>
      </c>
      <c r="H4" s="63">
        <f>R9</f>
        <v>8</v>
      </c>
      <c r="I4" s="50" t="b">
        <f>SET.NAME("INCR",H9)</f>
        <v>0</v>
      </c>
      <c r="J4" s="51" t="s">
        <v>475</v>
      </c>
      <c r="L4" s="60">
        <v>5</v>
      </c>
      <c r="M4" s="50">
        <v>45</v>
      </c>
      <c r="N4" s="50">
        <v>60</v>
      </c>
      <c r="Q4" s="50" t="s">
        <v>476</v>
      </c>
      <c r="R4" s="61"/>
    </row>
    <row r="5" spans="1:18">
      <c r="A5" s="50" t="b">
        <f>IF(NCRV=1,GOTO(A7))</f>
        <v>0</v>
      </c>
      <c r="B5" s="51"/>
      <c r="C5" s="50">
        <v>6</v>
      </c>
      <c r="D5" s="52">
        <v>0.99867561216568534</v>
      </c>
      <c r="E5" s="53">
        <v>0.99476033076621861</v>
      </c>
      <c r="F5" s="53" t="e">
        <v>#VALUE!</v>
      </c>
      <c r="G5" s="50" t="s">
        <v>477</v>
      </c>
      <c r="H5" s="54">
        <v>1</v>
      </c>
      <c r="I5" s="50" t="b">
        <f>SET.NAME("DELTA",H8)</f>
        <v>0</v>
      </c>
      <c r="J5" s="50" t="s">
        <v>478</v>
      </c>
      <c r="L5" s="60">
        <v>8</v>
      </c>
      <c r="M5" s="50">
        <v>185</v>
      </c>
      <c r="N5" s="50">
        <v>58</v>
      </c>
      <c r="O5" s="50">
        <v>100</v>
      </c>
      <c r="R5" s="61">
        <v>0</v>
      </c>
    </row>
    <row r="6" spans="1:18">
      <c r="A6" s="50" t="b">
        <f>LEGEND(TRUE)</f>
        <v>1</v>
      </c>
      <c r="C6" s="50">
        <v>9</v>
      </c>
      <c r="D6" s="52">
        <v>0.99703372826031222</v>
      </c>
      <c r="E6" s="53">
        <v>0.98842527238636069</v>
      </c>
      <c r="F6" s="53" t="e">
        <v>#VALUE!</v>
      </c>
      <c r="I6" s="50" t="b">
        <f>SET.NAME("START",H7-"DELTA")</f>
        <v>0</v>
      </c>
      <c r="J6" s="50" t="s">
        <v>479</v>
      </c>
      <c r="L6" s="60">
        <v>5</v>
      </c>
      <c r="M6" s="50">
        <v>45</v>
      </c>
      <c r="N6" s="50">
        <v>95</v>
      </c>
      <c r="Q6" s="50" t="s">
        <v>480</v>
      </c>
      <c r="R6" s="61"/>
    </row>
    <row r="7" spans="1:18">
      <c r="A7" s="50" t="b">
        <f>RETURN()</f>
        <v>1</v>
      </c>
      <c r="C7" s="50">
        <v>12</v>
      </c>
      <c r="D7" s="52">
        <v>0.99476033076621817</v>
      </c>
      <c r="E7" s="53">
        <v>0.97994730947629483</v>
      </c>
      <c r="F7" s="53" t="e">
        <v>#VALUE!</v>
      </c>
      <c r="G7" s="50" t="s">
        <v>481</v>
      </c>
      <c r="H7" s="65">
        <v>20</v>
      </c>
      <c r="I7" s="50" t="e">
        <f>ACTIVATE (SHEET)</f>
        <v>#NAME?</v>
      </c>
      <c r="J7" s="50" t="s">
        <v>482</v>
      </c>
      <c r="L7" s="60">
        <v>8</v>
      </c>
      <c r="M7" s="50">
        <v>185</v>
      </c>
      <c r="N7" s="50">
        <v>93</v>
      </c>
      <c r="O7" s="50">
        <v>100</v>
      </c>
      <c r="R7" s="61">
        <v>90</v>
      </c>
    </row>
    <row r="8" spans="1:18">
      <c r="C8" s="50">
        <v>15</v>
      </c>
      <c r="D8" s="52">
        <v>0.99188032750208721</v>
      </c>
      <c r="E8" s="53">
        <v>0.9696969696969705</v>
      </c>
      <c r="F8" s="53" t="e">
        <v>#VALUE!</v>
      </c>
      <c r="G8" s="50" t="s">
        <v>483</v>
      </c>
      <c r="H8" s="65">
        <v>5</v>
      </c>
      <c r="I8" s="50" t="b">
        <f>SET.NAME("START","START"+"DELTA")</f>
        <v>0</v>
      </c>
      <c r="J8" s="50" t="s">
        <v>484</v>
      </c>
      <c r="L8" s="60">
        <v>5</v>
      </c>
      <c r="M8" s="50">
        <v>45</v>
      </c>
      <c r="N8" s="50">
        <v>130</v>
      </c>
      <c r="Q8" s="50" t="s">
        <v>485</v>
      </c>
      <c r="R8" s="61"/>
    </row>
    <row r="9" spans="1:18">
      <c r="B9" s="51"/>
      <c r="C9" s="50">
        <v>18</v>
      </c>
      <c r="D9" s="52">
        <v>0.98842527238636047</v>
      </c>
      <c r="E9" s="53">
        <v>0.95812224208333086</v>
      </c>
      <c r="F9" s="53" t="e">
        <v>#VALUE!</v>
      </c>
      <c r="G9" s="50" t="s">
        <v>486</v>
      </c>
      <c r="H9" s="65">
        <v>50</v>
      </c>
      <c r="I9" s="50" t="b">
        <v>0</v>
      </c>
      <c r="J9" s="50" t="s">
        <v>487</v>
      </c>
      <c r="L9" s="60">
        <v>8</v>
      </c>
      <c r="M9" s="50">
        <v>185</v>
      </c>
      <c r="N9" s="50">
        <v>128</v>
      </c>
      <c r="O9" s="50">
        <v>100</v>
      </c>
      <c r="R9" s="61">
        <v>31</v>
      </c>
    </row>
    <row r="10" spans="1:18" ht="13.2">
      <c r="A10" s="70" t="s">
        <v>34</v>
      </c>
      <c r="C10" s="50">
        <v>21</v>
      </c>
      <c r="D10" s="52">
        <v>0.98443301972590269</v>
      </c>
      <c r="E10" s="53">
        <v>0.94572899777379793</v>
      </c>
      <c r="F10" s="53" t="e">
        <v>#VALUE!</v>
      </c>
      <c r="G10" s="50" t="s">
        <v>488</v>
      </c>
      <c r="H10" s="64">
        <v>1E-3</v>
      </c>
      <c r="I10" s="50" t="b">
        <v>0</v>
      </c>
      <c r="J10" s="50" t="s">
        <v>489</v>
      </c>
      <c r="L10" s="60">
        <v>5</v>
      </c>
      <c r="M10" s="50">
        <v>45</v>
      </c>
      <c r="N10" s="50">
        <v>165</v>
      </c>
      <c r="Q10" s="50" t="s">
        <v>490</v>
      </c>
      <c r="R10" s="61"/>
    </row>
    <row r="11" spans="1:18">
      <c r="A11" s="50" t="b">
        <f>NEW(2)</f>
        <v>1</v>
      </c>
      <c r="C11" s="50">
        <v>24</v>
      </c>
      <c r="D11" s="52">
        <v>0.97994730947629427</v>
      </c>
      <c r="E11" s="53">
        <v>0.93305888101408196</v>
      </c>
      <c r="F11" s="53" t="e">
        <v>#VALUE!</v>
      </c>
      <c r="I11" s="50" t="b">
        <v>0</v>
      </c>
      <c r="J11" s="50" t="s">
        <v>491</v>
      </c>
      <c r="L11" s="60">
        <v>8</v>
      </c>
      <c r="M11" s="50">
        <v>185</v>
      </c>
      <c r="N11" s="50">
        <v>163</v>
      </c>
      <c r="O11" s="50">
        <v>100</v>
      </c>
      <c r="R11" s="61">
        <v>2</v>
      </c>
    </row>
    <row r="12" spans="1:18">
      <c r="A12" s="50" t="b">
        <f>RETURN()</f>
        <v>1</v>
      </c>
      <c r="C12" s="50">
        <v>27</v>
      </c>
      <c r="D12" s="52">
        <v>0.97501728801772569</v>
      </c>
      <c r="E12" s="53">
        <v>0.92066563670454837</v>
      </c>
      <c r="F12" s="53" t="e">
        <v>#VALUE!</v>
      </c>
      <c r="I12" s="50" t="e">
        <f>IF(I10=23,RETURN(),GOTO I8)</f>
        <v>#NAME?</v>
      </c>
      <c r="L12" s="60">
        <v>5</v>
      </c>
      <c r="M12" s="50">
        <v>45</v>
      </c>
      <c r="N12" s="50">
        <v>200</v>
      </c>
      <c r="Q12" s="50" t="s">
        <v>492</v>
      </c>
      <c r="R12" s="61"/>
    </row>
    <row r="13" spans="1:18">
      <c r="B13" s="51"/>
      <c r="C13" s="50">
        <v>30</v>
      </c>
      <c r="D13" s="52">
        <v>0.96969696969696972</v>
      </c>
      <c r="E13" s="53">
        <v>0.90909090909091006</v>
      </c>
      <c r="F13" s="53" t="e">
        <v>#VALUE!</v>
      </c>
      <c r="J13" s="50" t="s">
        <v>493</v>
      </c>
      <c r="L13" s="60">
        <v>5</v>
      </c>
      <c r="M13" s="50">
        <v>45</v>
      </c>
      <c r="N13" s="50">
        <v>230</v>
      </c>
      <c r="Q13" s="50" t="s">
        <v>494</v>
      </c>
      <c r="R13" s="61"/>
    </row>
    <row r="14" spans="1:18">
      <c r="C14" s="50">
        <v>33</v>
      </c>
      <c r="D14" s="52">
        <v>0.96404464503489695</v>
      </c>
      <c r="E14" s="53">
        <v>0.8988405693115844</v>
      </c>
      <c r="F14" s="53" t="e">
        <v>#VALUE!</v>
      </c>
      <c r="J14" s="50" t="s">
        <v>495</v>
      </c>
      <c r="L14" s="60">
        <v>5</v>
      </c>
      <c r="M14" s="50">
        <v>45</v>
      </c>
      <c r="N14" s="50">
        <v>260</v>
      </c>
      <c r="Q14" s="50" t="s">
        <v>496</v>
      </c>
      <c r="R14" s="66"/>
    </row>
    <row r="15" spans="1:18">
      <c r="C15" s="50">
        <v>36</v>
      </c>
      <c r="D15" s="52">
        <v>0.95812224208333019</v>
      </c>
      <c r="E15" s="53">
        <v>0.89036260640151854</v>
      </c>
      <c r="F15" s="53" t="e">
        <v>#VALUE!</v>
      </c>
      <c r="J15" s="50" t="s">
        <v>497</v>
      </c>
      <c r="L15" s="60">
        <v>6</v>
      </c>
      <c r="M15" s="50">
        <v>185</v>
      </c>
      <c r="N15" s="50">
        <v>198</v>
      </c>
      <c r="O15" s="50">
        <v>100</v>
      </c>
      <c r="R15" s="61" t="s">
        <v>695</v>
      </c>
    </row>
    <row r="16" spans="1:18">
      <c r="C16" s="50">
        <v>39</v>
      </c>
      <c r="D16" s="52">
        <v>0.95199464792834898</v>
      </c>
      <c r="E16" s="53">
        <v>0.88402754802166061</v>
      </c>
      <c r="F16" s="53" t="e">
        <v>#VALUE!</v>
      </c>
      <c r="L16" s="60">
        <v>6</v>
      </c>
      <c r="M16" s="50">
        <v>185</v>
      </c>
      <c r="N16" s="50">
        <v>228</v>
      </c>
      <c r="O16" s="50">
        <v>100</v>
      </c>
      <c r="R16" s="61" t="s">
        <v>2193</v>
      </c>
    </row>
    <row r="17" spans="2:18">
      <c r="B17" s="51"/>
      <c r="C17" s="50">
        <v>42</v>
      </c>
      <c r="D17" s="52">
        <v>0.94572899777379726</v>
      </c>
      <c r="E17" s="53">
        <v>0.88011226662219355</v>
      </c>
      <c r="F17" s="53" t="e">
        <v>#VALUE!</v>
      </c>
      <c r="J17" s="50" t="s">
        <v>498</v>
      </c>
      <c r="L17" s="60">
        <v>6</v>
      </c>
      <c r="M17" s="50">
        <v>185</v>
      </c>
      <c r="N17" s="50">
        <v>258</v>
      </c>
      <c r="O17" s="50">
        <v>100</v>
      </c>
      <c r="R17" s="61"/>
    </row>
    <row r="18" spans="2:18">
      <c r="C18" s="50">
        <v>45</v>
      </c>
      <c r="D18" s="52">
        <v>0.93939393939393945</v>
      </c>
      <c r="E18" s="53">
        <v>0.87878787878787956</v>
      </c>
      <c r="F18" s="53" t="e">
        <v>#VALUE!</v>
      </c>
      <c r="J18" s="50" t="s">
        <v>499</v>
      </c>
      <c r="L18" s="60">
        <v>1</v>
      </c>
      <c r="M18" s="50">
        <v>190</v>
      </c>
      <c r="N18" s="50">
        <v>321</v>
      </c>
      <c r="O18" s="50">
        <v>95</v>
      </c>
      <c r="P18" s="50">
        <v>25</v>
      </c>
      <c r="Q18" s="50" t="s">
        <v>462</v>
      </c>
      <c r="R18" s="61"/>
    </row>
    <row r="19" spans="2:18" ht="13.2" thickBot="1">
      <c r="C19" s="50">
        <v>48</v>
      </c>
      <c r="D19" s="52">
        <v>0.93305888101408163</v>
      </c>
      <c r="E19" s="53">
        <v>0.88011226662219355</v>
      </c>
      <c r="F19" s="53" t="e">
        <v>#VALUE!</v>
      </c>
      <c r="L19" s="67">
        <v>2</v>
      </c>
      <c r="M19" s="68">
        <v>65</v>
      </c>
      <c r="N19" s="68">
        <v>324</v>
      </c>
      <c r="O19" s="68"/>
      <c r="P19" s="68"/>
      <c r="Q19" s="68" t="s">
        <v>464</v>
      </c>
      <c r="R19" s="69"/>
    </row>
    <row r="20" spans="2:18">
      <c r="C20" s="50">
        <v>51</v>
      </c>
      <c r="D20" s="52">
        <v>0.92679323085952992</v>
      </c>
      <c r="E20" s="53">
        <v>0.88402754802166061</v>
      </c>
      <c r="F20" s="53" t="e">
        <v>#VALUE!</v>
      </c>
      <c r="J20" s="50" t="s">
        <v>500</v>
      </c>
    </row>
    <row r="21" spans="2:18">
      <c r="B21" s="51"/>
      <c r="C21" s="50">
        <v>54</v>
      </c>
      <c r="D21" s="52">
        <v>0.92066563670454871</v>
      </c>
      <c r="E21" s="53">
        <v>0.89036260640151854</v>
      </c>
      <c r="F21" s="53" t="e">
        <v>#VALUE!</v>
      </c>
      <c r="J21" s="50" t="s">
        <v>501</v>
      </c>
    </row>
    <row r="22" spans="2:18">
      <c r="C22" s="50">
        <v>57</v>
      </c>
      <c r="D22" s="52">
        <v>0.91474323375298194</v>
      </c>
      <c r="E22" s="53">
        <v>0.8988405693115844</v>
      </c>
      <c r="F22" s="53" t="e">
        <v>#VALUE!</v>
      </c>
      <c r="J22" s="50" t="s">
        <v>502</v>
      </c>
    </row>
    <row r="23" spans="2:18">
      <c r="C23" s="50">
        <v>60</v>
      </c>
      <c r="D23" s="52">
        <v>0.90909090909090917</v>
      </c>
      <c r="E23" s="53">
        <v>0.90909090909090884</v>
      </c>
      <c r="F23" s="53" t="e">
        <v>#VALUE!</v>
      </c>
      <c r="J23" s="50" t="s">
        <v>503</v>
      </c>
    </row>
    <row r="24" spans="2:18">
      <c r="C24" s="50">
        <v>63</v>
      </c>
      <c r="D24" s="52">
        <v>0.9037705907701532</v>
      </c>
      <c r="E24" s="53">
        <v>0.92066563670454837</v>
      </c>
      <c r="F24" s="53" t="e">
        <v>#VALUE!</v>
      </c>
      <c r="J24" s="50" t="s">
        <v>504</v>
      </c>
    </row>
    <row r="25" spans="2:18">
      <c r="B25" s="51"/>
      <c r="C25" s="50">
        <v>66</v>
      </c>
      <c r="D25" s="52">
        <v>0.89884056931158429</v>
      </c>
      <c r="E25" s="53">
        <v>0.93305888101408196</v>
      </c>
      <c r="F25" s="53" t="e">
        <v>#VALUE!</v>
      </c>
    </row>
    <row r="26" spans="2:18">
      <c r="C26" s="50">
        <v>69</v>
      </c>
      <c r="D26" s="52">
        <v>0.8943548590619762</v>
      </c>
      <c r="E26" s="53">
        <v>0.94572899777379793</v>
      </c>
      <c r="F26" s="53" t="e">
        <v>#VALUE!</v>
      </c>
      <c r="J26" s="50" t="s">
        <v>505</v>
      </c>
    </row>
    <row r="27" spans="2:18">
      <c r="C27" s="50">
        <v>72</v>
      </c>
      <c r="D27" s="52">
        <v>0.89036260640151854</v>
      </c>
      <c r="E27" s="53">
        <v>0.95812224208333086</v>
      </c>
      <c r="F27" s="53" t="e">
        <v>#VALUE!</v>
      </c>
    </row>
    <row r="28" spans="2:18">
      <c r="C28" s="50">
        <v>75</v>
      </c>
      <c r="D28" s="52">
        <v>0.88690755128579168</v>
      </c>
      <c r="E28" s="53">
        <v>0.9696969696969705</v>
      </c>
      <c r="F28" s="53" t="e">
        <v>#VALUE!</v>
      </c>
      <c r="J28" s="50" t="s">
        <v>506</v>
      </c>
    </row>
    <row r="29" spans="2:18">
      <c r="B29" s="51"/>
      <c r="C29" s="50">
        <v>78</v>
      </c>
      <c r="D29" s="52">
        <v>0.88402754802166073</v>
      </c>
      <c r="E29" s="53">
        <v>0.97994730947629483</v>
      </c>
      <c r="F29" s="53" t="e">
        <v>#VALUE!</v>
      </c>
    </row>
    <row r="30" spans="2:18">
      <c r="C30" s="50">
        <v>81</v>
      </c>
      <c r="D30" s="52">
        <v>0.88175415052756656</v>
      </c>
      <c r="E30" s="53">
        <v>0.98842527238636135</v>
      </c>
      <c r="F30" s="53" t="e">
        <v>#VALUE!</v>
      </c>
      <c r="J30" s="50" t="s">
        <v>507</v>
      </c>
    </row>
    <row r="31" spans="2:18">
      <c r="C31" s="50">
        <v>84</v>
      </c>
      <c r="D31" s="52">
        <v>0.88011226662219377</v>
      </c>
      <c r="E31" s="53">
        <v>0.99476033076621795</v>
      </c>
      <c r="F31" s="53" t="e">
        <v>#VALUE!</v>
      </c>
    </row>
    <row r="32" spans="2:18">
      <c r="C32" s="50">
        <v>87</v>
      </c>
      <c r="D32" s="52">
        <v>0.87911988512919559</v>
      </c>
      <c r="E32" s="53">
        <v>0.99867561216568568</v>
      </c>
      <c r="F32" s="53" t="e">
        <v>#VALUE!</v>
      </c>
      <c r="J32" s="50" t="s">
        <v>508</v>
      </c>
    </row>
    <row r="33" spans="2:10">
      <c r="B33" s="51"/>
      <c r="C33" s="50">
        <v>90</v>
      </c>
      <c r="D33" s="52">
        <v>0.8787878787878789</v>
      </c>
      <c r="E33" s="53">
        <v>1.0000000000000002</v>
      </c>
      <c r="F33" s="53" t="e">
        <v>#VALUE!</v>
      </c>
    </row>
    <row r="34" spans="2:10">
      <c r="C34" s="50">
        <v>32</v>
      </c>
      <c r="D34" s="52">
        <v>3.0271325645052423E-5</v>
      </c>
      <c r="E34" s="53">
        <v>-3.3102167120705207E-6</v>
      </c>
      <c r="F34" s="53">
        <v>3.2680132038904444E-4</v>
      </c>
      <c r="J34" s="50" t="s">
        <v>509</v>
      </c>
    </row>
    <row r="35" spans="2:10">
      <c r="C35" s="50">
        <v>33</v>
      </c>
      <c r="D35" s="52">
        <v>2.8464497207566372E-5</v>
      </c>
      <c r="E35" s="53">
        <v>-3.1126372021952692E-6</v>
      </c>
      <c r="F35" s="53">
        <v>3.168982500734502E-4</v>
      </c>
    </row>
    <row r="36" spans="2:10">
      <c r="C36" s="50">
        <v>34</v>
      </c>
      <c r="D36" s="52">
        <v>2.6814738288384415E-5</v>
      </c>
      <c r="E36" s="53">
        <v>-2.9322334891282568E-6</v>
      </c>
      <c r="F36" s="53">
        <v>3.0757771330679835E-4</v>
      </c>
      <c r="J36" s="50" t="s">
        <v>510</v>
      </c>
    </row>
    <row r="37" spans="2:10">
      <c r="B37" s="51"/>
      <c r="C37" s="50">
        <v>35</v>
      </c>
      <c r="D37" s="52">
        <v>2.5304357110526944E-5</v>
      </c>
      <c r="E37" s="53">
        <v>-2.7670709499181644E-6</v>
      </c>
      <c r="F37" s="53">
        <v>2.9878977864133971E-4</v>
      </c>
    </row>
    <row r="38" spans="2:10">
      <c r="C38" s="50">
        <v>36</v>
      </c>
      <c r="D38" s="52">
        <v>2.3918084457709574E-5</v>
      </c>
      <c r="E38" s="53">
        <v>-2.6154798715554085E-6</v>
      </c>
      <c r="F38" s="53">
        <v>2.9049006256804343E-4</v>
      </c>
      <c r="J38" s="50" t="s">
        <v>511</v>
      </c>
    </row>
    <row r="39" spans="2:10">
      <c r="C39" s="50">
        <v>37</v>
      </c>
      <c r="D39" s="52">
        <v>2.2642686238147925E-5</v>
      </c>
      <c r="E39" s="53">
        <v>-2.4760130855488151E-6</v>
      </c>
      <c r="F39" s="53">
        <v>2.8263897979604078E-4</v>
      </c>
      <c r="J39" s="50" t="s">
        <v>512</v>
      </c>
    </row>
    <row r="40" spans="2:10">
      <c r="C40" s="50">
        <v>38</v>
      </c>
      <c r="D40" s="52">
        <v>2.1466646443072463E-5</v>
      </c>
      <c r="E40" s="53">
        <v>-2.3474112972108756E-6</v>
      </c>
      <c r="F40" s="53">
        <v>2.7520111190693661E-4</v>
      </c>
      <c r="J40" s="50" t="s">
        <v>513</v>
      </c>
    </row>
    <row r="41" spans="2:10">
      <c r="B41" s="51"/>
      <c r="C41" s="50">
        <v>39</v>
      </c>
      <c r="D41" s="52">
        <v>2.0379906285388413E-5</v>
      </c>
      <c r="E41" s="53">
        <v>-2.2285745643021487E-6</v>
      </c>
      <c r="F41" s="53">
        <v>2.68144673138852E-4</v>
      </c>
      <c r="J41" s="50" t="s">
        <v>514</v>
      </c>
    </row>
    <row r="42" spans="2:10">
      <c r="C42" s="50">
        <v>40</v>
      </c>
      <c r="D42" s="52">
        <v>1.9373648410211299E-5</v>
      </c>
      <c r="E42" s="53">
        <v>-2.1185386952084552E-6</v>
      </c>
      <c r="F42" s="53">
        <v>2.6144105631065336E-4</v>
      </c>
      <c r="J42" s="50" t="s">
        <v>515</v>
      </c>
    </row>
    <row r="43" spans="2:10">
      <c r="C43" s="50">
        <v>41</v>
      </c>
      <c r="D43" s="52">
        <v>1.8440117464207767E-5</v>
      </c>
      <c r="E43" s="53">
        <v>-2.0164556298547163E-6</v>
      </c>
      <c r="F43" s="53">
        <v>2.5506444518128148E-4</v>
      </c>
      <c r="J43" s="50" t="s">
        <v>516</v>
      </c>
    </row>
    <row r="44" spans="2:10">
      <c r="C44" s="50">
        <v>42</v>
      </c>
      <c r="D44" s="52">
        <v>1.7572470213911289E-5</v>
      </c>
      <c r="E44" s="53">
        <v>-1.9215770473672157E-6</v>
      </c>
      <c r="F44" s="53">
        <v>2.489914822008739E-4</v>
      </c>
      <c r="J44" s="50" t="s">
        <v>517</v>
      </c>
    </row>
    <row r="45" spans="2:10">
      <c r="B45" s="51"/>
      <c r="C45" s="50">
        <v>43</v>
      </c>
      <c r="D45" s="52">
        <v>1.6764649791186553E-5</v>
      </c>
      <c r="E45" s="53">
        <v>-1.8332406247986744E-6</v>
      </c>
      <c r="F45" s="53">
        <v>2.4320098261476774E-4</v>
      </c>
      <c r="J45" s="50" t="s">
        <v>518</v>
      </c>
    </row>
    <row r="46" spans="2:10">
      <c r="C46" s="50">
        <v>44</v>
      </c>
      <c r="D46" s="52">
        <v>1.6011279678880769E-5</v>
      </c>
      <c r="E46" s="53">
        <v>-1.7508584260380729E-6</v>
      </c>
      <c r="F46" s="53">
        <v>2.3767368755521273E-4</v>
      </c>
      <c r="J46" s="50" t="s">
        <v>519</v>
      </c>
    </row>
    <row r="47" spans="2:10">
      <c r="C47" s="50">
        <v>45</v>
      </c>
      <c r="D47" s="52">
        <v>1.530757405235197E-5</v>
      </c>
      <c r="E47" s="53">
        <v>-1.6739071175005394E-6</v>
      </c>
      <c r="F47" s="53">
        <v>2.3239205005446103E-4</v>
      </c>
      <c r="J47" s="50" t="s">
        <v>520</v>
      </c>
    </row>
    <row r="48" spans="2:10">
      <c r="C48" s="50">
        <v>46</v>
      </c>
      <c r="D48" s="52">
        <v>1.4649261561106724E-5</v>
      </c>
      <c r="E48" s="53">
        <v>-1.6019196186420974E-6</v>
      </c>
      <c r="F48" s="53">
        <v>2.2734004896581995E-4</v>
      </c>
      <c r="J48" s="50" t="s">
        <v>521</v>
      </c>
    </row>
    <row r="49" spans="2:10">
      <c r="B49" s="51"/>
      <c r="C49" s="50">
        <v>47</v>
      </c>
      <c r="D49" s="52">
        <v>1.4032520355065344E-5</v>
      </c>
      <c r="E49" s="53">
        <v>-1.5344780050055062E-6</v>
      </c>
      <c r="F49" s="53">
        <v>2.225030266485102E-4</v>
      </c>
    </row>
    <row r="50" spans="2:10">
      <c r="C50" s="50">
        <v>48</v>
      </c>
      <c r="D50" s="52">
        <v>1.3453922509883834E-5</v>
      </c>
      <c r="E50" s="53">
        <v>-1.4712074286072702E-6</v>
      </c>
      <c r="F50" s="53">
        <v>2.1786754692575231E-4</v>
      </c>
      <c r="J50" s="50" t="s">
        <v>522</v>
      </c>
    </row>
    <row r="51" spans="2:10">
      <c r="C51" s="50">
        <v>49</v>
      </c>
      <c r="D51" s="52">
        <v>1.2910386285988707E-5</v>
      </c>
      <c r="E51" s="53">
        <v>-1.4117708934355401E-6</v>
      </c>
      <c r="F51" s="53">
        <v>2.1342127045821197E-4</v>
      </c>
      <c r="J51" s="50" t="s">
        <v>523</v>
      </c>
    </row>
    <row r="52" spans="2:10">
      <c r="C52" s="50">
        <v>50</v>
      </c>
      <c r="D52" s="52">
        <v>1.2399134982394087E-5</v>
      </c>
      <c r="E52" s="53">
        <v>-1.3558647654540382E-6</v>
      </c>
      <c r="F52" s="53">
        <v>2.091528450484501E-4</v>
      </c>
      <c r="J52" s="50" t="s">
        <v>524</v>
      </c>
    </row>
    <row r="53" spans="2:10">
      <c r="C53" s="50">
        <v>202.24719101123597</v>
      </c>
      <c r="D53" s="52">
        <v>0.35253561431162289</v>
      </c>
      <c r="E53" s="53">
        <v>0.33328411965800536</v>
      </c>
      <c r="F53" s="53">
        <v>0.35253561431162289</v>
      </c>
      <c r="J53" s="50" t="s">
        <v>525</v>
      </c>
    </row>
    <row r="54" spans="2:10">
      <c r="C54" s="50">
        <v>206.29213483146069</v>
      </c>
      <c r="D54" s="52">
        <v>0.3503634644944893</v>
      </c>
      <c r="E54" s="53">
        <v>0.34256459035476627</v>
      </c>
      <c r="F54" s="53">
        <v>0.3503634644944893</v>
      </c>
    </row>
    <row r="55" spans="2:10">
      <c r="C55" s="50">
        <v>210.3370786516854</v>
      </c>
      <c r="D55" s="52">
        <v>0.34888314562045963</v>
      </c>
      <c r="E55" s="53">
        <v>0.35220739403400736</v>
      </c>
      <c r="F55" s="53">
        <v>0.35220739403400736</v>
      </c>
      <c r="J55" s="50" t="s">
        <v>526</v>
      </c>
    </row>
    <row r="56" spans="2:10">
      <c r="C56" s="50">
        <v>214.38202247191012</v>
      </c>
      <c r="D56" s="52">
        <v>0.34816573046732019</v>
      </c>
      <c r="E56" s="53">
        <v>0.36180078332613136</v>
      </c>
      <c r="F56" s="53">
        <v>0.36180078332613136</v>
      </c>
    </row>
    <row r="57" spans="2:10">
      <c r="C57" s="50">
        <v>218.42696629213484</v>
      </c>
      <c r="D57" s="52">
        <v>0.34824596417237774</v>
      </c>
      <c r="E57" s="53">
        <v>0.37096801338528484</v>
      </c>
      <c r="F57" s="53">
        <v>0.37096801338528484</v>
      </c>
    </row>
    <row r="58" spans="2:10">
      <c r="C58" s="50">
        <v>222.47191011235955</v>
      </c>
      <c r="D58" s="52">
        <v>0.34911995143567648</v>
      </c>
      <c r="E58" s="53">
        <v>0.37938955914689365</v>
      </c>
      <c r="F58" s="53">
        <v>0.37938955914689365</v>
      </c>
    </row>
    <row r="59" spans="2:10">
      <c r="C59" s="50">
        <v>226.51685393258427</v>
      </c>
      <c r="D59" s="52">
        <v>0.35074541611844418</v>
      </c>
      <c r="E59" s="53">
        <v>0.38682033292656542</v>
      </c>
      <c r="F59" s="53">
        <v>0.38682033292656542</v>
      </c>
    </row>
    <row r="60" spans="2:10">
      <c r="C60" s="50">
        <v>230.56179775280899</v>
      </c>
      <c r="D60" s="52">
        <v>0.35304451364714234</v>
      </c>
      <c r="E60" s="53">
        <v>0.39310069954604793</v>
      </c>
      <c r="F60" s="53">
        <v>0.39310069954604793</v>
      </c>
    </row>
    <row r="61" spans="2:10">
      <c r="C61" s="50">
        <v>234.6067415730337</v>
      </c>
      <c r="D61" s="52">
        <v>0.35590898411493171</v>
      </c>
      <c r="E61" s="53">
        <v>0.39816058359318218</v>
      </c>
      <c r="F61" s="53">
        <v>0.39816058359318218</v>
      </c>
    </row>
    <row r="62" spans="2:10" ht="13.2">
      <c r="B62" s="71"/>
      <c r="C62" s="50">
        <v>238.65168539325845</v>
      </c>
      <c r="D62" s="52">
        <v>0.35920725804359682</v>
      </c>
      <c r="E62" s="53">
        <v>0.40201651339494221</v>
      </c>
      <c r="F62" s="53">
        <v>0.40201651339494221</v>
      </c>
    </row>
    <row r="63" spans="2:10">
      <c r="C63" s="50">
        <v>242.69662921348316</v>
      </c>
      <c r="D63" s="52">
        <v>0.3627929811774061</v>
      </c>
      <c r="E63" s="53">
        <v>0.40476200518431676</v>
      </c>
      <c r="F63" s="53">
        <v>0.40476200518431676</v>
      </c>
    </row>
    <row r="64" spans="2:10">
      <c r="C64" s="50">
        <v>246.74157303370788</v>
      </c>
      <c r="D64" s="52">
        <v>0.36651432077826634</v>
      </c>
      <c r="E64" s="53">
        <v>0.40655221451149143</v>
      </c>
      <c r="F64" s="53">
        <v>0.40655221451149143</v>
      </c>
    </row>
    <row r="65" spans="3:6">
      <c r="C65" s="50">
        <v>250.7865168539326</v>
      </c>
      <c r="D65" s="52">
        <v>0.37022336174020226</v>
      </c>
      <c r="E65" s="53">
        <v>0.40758422879200085</v>
      </c>
      <c r="F65" s="53">
        <v>0.40758422879200085</v>
      </c>
    </row>
    <row r="66" spans="3:6">
      <c r="C66" s="50">
        <v>254.83146067415731</v>
      </c>
      <c r="D66" s="52">
        <v>0.37378490057596903</v>
      </c>
      <c r="E66" s="53">
        <v>0.4080747097472554</v>
      </c>
      <c r="F66" s="53">
        <v>0.4080747097472554</v>
      </c>
    </row>
    <row r="67" spans="3:6">
      <c r="C67" s="50">
        <v>258.87640449438203</v>
      </c>
      <c r="D67" s="52">
        <v>0.37708399883409699</v>
      </c>
      <c r="E67" s="52">
        <v>0.4082367910571818</v>
      </c>
      <c r="F67" s="53">
        <v>0.4082367910571818</v>
      </c>
    </row>
    <row r="68" spans="3:6">
      <c r="C68" s="50">
        <v>262.92134831460675</v>
      </c>
      <c r="D68" s="52">
        <v>0.38003176042689829</v>
      </c>
      <c r="E68" s="52">
        <v>0.40825817950575743</v>
      </c>
      <c r="F68" s="53">
        <v>0.40825817950575743</v>
      </c>
    </row>
    <row r="69" spans="3:6">
      <c r="C69" s="50">
        <v>266.96629213483146</v>
      </c>
      <c r="D69" s="53">
        <v>0.38256894144322384</v>
      </c>
      <c r="E69" s="52">
        <v>0.40828229417387646</v>
      </c>
      <c r="F69" s="53">
        <v>0.40828229417387646</v>
      </c>
    </row>
    <row r="70" spans="3:6">
      <c r="C70" s="50">
        <v>271.01123595505618</v>
      </c>
      <c r="D70" s="53">
        <v>0.38466717480204915</v>
      </c>
      <c r="E70" s="52">
        <v>0.40839401719531904</v>
      </c>
      <c r="F70" s="53">
        <v>0.40839401719531904</v>
      </c>
    </row>
    <row r="71" spans="3:6">
      <c r="C71" s="50">
        <v>275.0561797752809</v>
      </c>
      <c r="D71" s="52">
        <v>0.38632778176646387</v>
      </c>
      <c r="E71" s="52">
        <v>0.40861124232445795</v>
      </c>
      <c r="F71" s="53">
        <v>0.40861124232445795</v>
      </c>
    </row>
    <row r="72" spans="3:6">
      <c r="C72" s="50">
        <v>279.10112359550561</v>
      </c>
      <c r="D72" s="52">
        <v>0.3875783328437305</v>
      </c>
      <c r="E72" s="53">
        <v>0.40888292518351749</v>
      </c>
      <c r="F72" s="53">
        <v>0.40888292518351749</v>
      </c>
    </row>
    <row r="73" spans="3:6">
      <c r="C73" s="50">
        <v>283.14606741573033</v>
      </c>
      <c r="D73" s="52">
        <v>0.388467296867614</v>
      </c>
      <c r="E73" s="53">
        <v>0.40909380023463637</v>
      </c>
      <c r="F73" s="53">
        <v>0.40909380023463637</v>
      </c>
    </row>
    <row r="74" spans="3:6">
      <c r="C74" s="50">
        <v>287.19101123595505</v>
      </c>
      <c r="D74" s="52">
        <v>0.3890572651708436</v>
      </c>
      <c r="E74" s="53">
        <v>0.40907537741438882</v>
      </c>
      <c r="F74" s="53">
        <v>0.40907537741438882</v>
      </c>
    </row>
    <row r="75" spans="3:6">
      <c r="C75" s="50">
        <v>291.23595505617976</v>
      </c>
      <c r="D75" s="52">
        <v>0.38941734604195166</v>
      </c>
      <c r="E75" s="53">
        <v>0.40862231018903916</v>
      </c>
      <c r="F75" s="53">
        <v>0.40862231018903916</v>
      </c>
    </row>
    <row r="76" spans="3:6">
      <c r="C76" s="50">
        <v>295.28089887640448</v>
      </c>
      <c r="D76" s="52">
        <v>0.38961538463515977</v>
      </c>
      <c r="E76" s="53">
        <v>0.40751277829560034</v>
      </c>
      <c r="F76" s="53">
        <v>0.40751277829560034</v>
      </c>
    </row>
    <row r="77" spans="3:6">
      <c r="C77" s="50">
        <v>299.32584269662919</v>
      </c>
      <c r="D77" s="52">
        <v>0.38971067052803821</v>
      </c>
      <c r="E77" s="53">
        <v>0.40553118861208515</v>
      </c>
      <c r="F77" s="53">
        <v>0.40553118861208515</v>
      </c>
    </row>
    <row r="78" spans="3:6">
      <c r="C78" s="50">
        <v>303.37078651685397</v>
      </c>
      <c r="D78" s="52">
        <v>0.38974774877810431</v>
      </c>
      <c r="E78" s="53">
        <v>0.40249129380320997</v>
      </c>
      <c r="F78" s="53">
        <v>0.40249129380320997</v>
      </c>
    </row>
    <row r="79" spans="3:6">
      <c r="C79" s="50">
        <v>307.41573033707868</v>
      </c>
      <c r="D79" s="52">
        <v>0.38975185444106891</v>
      </c>
      <c r="E79" s="53">
        <v>0.39825777716053229</v>
      </c>
      <c r="F79" s="53">
        <v>0.39825777716053229</v>
      </c>
    </row>
    <row r="80" spans="3:6">
      <c r="C80" s="50">
        <v>311.4606741573034</v>
      </c>
      <c r="D80" s="52">
        <v>0.38972635284455703</v>
      </c>
      <c r="E80" s="53">
        <v>0.39276445781745156</v>
      </c>
      <c r="F80" s="53">
        <v>0.39276445781745156</v>
      </c>
    </row>
    <row r="81" spans="3:6">
      <c r="C81" s="50">
        <v>315.50561797752812</v>
      </c>
      <c r="D81" s="52">
        <v>0.38965239954787645</v>
      </c>
      <c r="E81" s="53">
        <v>0.38602752520503658</v>
      </c>
      <c r="F81" s="53">
        <v>0.38965239954787645</v>
      </c>
    </row>
    <row r="82" spans="3:6">
      <c r="C82" s="50">
        <v>319.55056179775283</v>
      </c>
      <c r="D82" s="52">
        <v>0.38949084838631493</v>
      </c>
      <c r="E82" s="53">
        <v>0.37815259530848416</v>
      </c>
      <c r="F82" s="53">
        <v>0.38949084838631493</v>
      </c>
    </row>
    <row r="83" spans="3:6">
      <c r="C83" s="50">
        <v>323.59550561797755</v>
      </c>
      <c r="D83" s="52">
        <v>0.38918624818768721</v>
      </c>
      <c r="E83" s="53">
        <v>0.36933486379203484</v>
      </c>
      <c r="F83" s="53">
        <v>0.38918624818768721</v>
      </c>
    </row>
    <row r="84" spans="3:6">
      <c r="C84" s="50">
        <v>327.64044943820227</v>
      </c>
      <c r="D84" s="52">
        <v>0.38867259373054674</v>
      </c>
      <c r="E84" s="53">
        <v>0.35985217429744937</v>
      </c>
      <c r="F84" s="53">
        <v>0.38867259373054674</v>
      </c>
    </row>
    <row r="85" spans="3:6">
      <c r="C85" s="50">
        <v>331.68539325842698</v>
      </c>
      <c r="D85" s="52">
        <v>0.38788034834215485</v>
      </c>
      <c r="E85" s="53">
        <v>0.35005138122636775</v>
      </c>
      <c r="F85" s="53">
        <v>0.38788034834215485</v>
      </c>
    </row>
    <row r="86" spans="3:6">
      <c r="C86" s="50">
        <v>335.7303370786517</v>
      </c>
      <c r="D86" s="52">
        <v>0.38674414613080232</v>
      </c>
      <c r="E86" s="53">
        <v>0.34032892065409437</v>
      </c>
      <c r="F86" s="53">
        <v>0.38674414613080232</v>
      </c>
    </row>
    <row r="87" spans="3:6">
      <c r="C87" s="50">
        <v>339.77528089887642</v>
      </c>
      <c r="D87" s="52">
        <v>0.38521052005031536</v>
      </c>
      <c r="E87" s="53">
        <v>0.33110696830074299</v>
      </c>
      <c r="F87" s="53">
        <v>0.38521052005031536</v>
      </c>
    </row>
    <row r="88" spans="3:6">
      <c r="C88" s="50">
        <v>343.82022471910113</v>
      </c>
      <c r="D88" s="52">
        <v>0.3832449928583701</v>
      </c>
      <c r="E88" s="53">
        <v>0.32280692271916372</v>
      </c>
      <c r="F88" s="53">
        <v>0.3832449928583701</v>
      </c>
    </row>
    <row r="89" spans="3:6">
      <c r="C89" s="50">
        <v>347.86516853932585</v>
      </c>
      <c r="D89" s="52">
        <v>0.38083791241933451</v>
      </c>
      <c r="E89" s="53">
        <v>0.31582217639838606</v>
      </c>
      <c r="F89" s="53">
        <v>0.38083791241933451</v>
      </c>
    </row>
    <row r="90" spans="3:6">
      <c r="C90" s="50">
        <v>351.91011235955057</v>
      </c>
      <c r="D90" s="52">
        <v>0.37800850732147201</v>
      </c>
      <c r="E90" s="53">
        <v>0.31049220928754317</v>
      </c>
      <c r="F90" s="53">
        <v>0.37800850732147201</v>
      </c>
    </row>
    <row r="91" spans="3:6">
      <c r="C91" s="50">
        <v>355.95505617977528</v>
      </c>
      <c r="D91" s="52">
        <v>0.37480677603858747</v>
      </c>
      <c r="E91" s="53">
        <v>0.30707995232376795</v>
      </c>
      <c r="F91" s="53">
        <v>0.37480677603858747</v>
      </c>
    </row>
    <row r="92" spans="3:6">
      <c r="C92" s="50">
        <v>360</v>
      </c>
      <c r="D92" s="52">
        <v>0.37131299206836987</v>
      </c>
      <c r="E92" s="53">
        <v>0.3057541294289286</v>
      </c>
      <c r="F92" s="53">
        <v>0.37131299206836987</v>
      </c>
    </row>
    <row r="93" spans="3:6">
      <c r="C93" s="50">
        <v>90.250696378830085</v>
      </c>
      <c r="D93" s="52">
        <v>0.38430649226335878</v>
      </c>
      <c r="E93" s="53">
        <v>0.40836454701081032</v>
      </c>
      <c r="F93" s="53">
        <v>0.40836454701081032</v>
      </c>
    </row>
    <row r="94" spans="3:6">
      <c r="C94" s="50">
        <v>91.253481894150411</v>
      </c>
      <c r="D94" s="52">
        <v>0.38477878926706149</v>
      </c>
      <c r="E94" s="53">
        <v>0.40840423456233443</v>
      </c>
      <c r="F94" s="53">
        <v>0.40840423456233443</v>
      </c>
    </row>
    <row r="95" spans="3:6">
      <c r="C95" s="50">
        <v>92.256267409470752</v>
      </c>
      <c r="D95" s="52">
        <v>0.38522412258152922</v>
      </c>
      <c r="E95" s="53">
        <v>0.40845067189708556</v>
      </c>
      <c r="F95" s="53">
        <v>0.40845067189708556</v>
      </c>
    </row>
    <row r="96" spans="3:6">
      <c r="C96" s="50">
        <v>93.259052924791078</v>
      </c>
      <c r="D96" s="52">
        <v>0.38564280209019713</v>
      </c>
      <c r="E96" s="53">
        <v>0.40850340561524023</v>
      </c>
      <c r="F96" s="53">
        <v>0.40850340561524023</v>
      </c>
    </row>
    <row r="97" spans="3:6">
      <c r="C97" s="50">
        <v>94.261838440111418</v>
      </c>
      <c r="D97" s="52">
        <v>0.38603523236376652</v>
      </c>
      <c r="E97" s="53">
        <v>0.40856172078634662</v>
      </c>
      <c r="F97" s="53">
        <v>0.40856172078634662</v>
      </c>
    </row>
    <row r="98" spans="3:6">
      <c r="C98" s="50">
        <v>95.264623955431745</v>
      </c>
      <c r="D98" s="52">
        <v>0.38640190766959087</v>
      </c>
      <c r="E98" s="53">
        <v>0.40862464501119744</v>
      </c>
      <c r="F98" s="53">
        <v>0.40862464501119744</v>
      </c>
    </row>
    <row r="99" spans="3:6">
      <c r="C99" s="50">
        <v>96.267409470752085</v>
      </c>
      <c r="D99" s="52">
        <v>0.38674340658929168</v>
      </c>
      <c r="E99" s="53">
        <v>0.40869095402699723</v>
      </c>
      <c r="F99" s="53">
        <v>0.40869095402699723</v>
      </c>
    </row>
    <row r="100" spans="3:6">
      <c r="C100" s="50">
        <v>97.270194986072426</v>
      </c>
      <c r="D100" s="52">
        <v>0.38706038627459749</v>
      </c>
      <c r="E100" s="53">
        <v>0.40875917882732793</v>
      </c>
      <c r="F100" s="53">
        <v>0.40875917882732793</v>
      </c>
    </row>
    <row r="101" spans="3:6">
      <c r="C101" s="50">
        <v>98.272980501392752</v>
      </c>
      <c r="D101" s="52">
        <v>0.38735357637311413</v>
      </c>
      <c r="E101" s="53">
        <v>0.408827614260664</v>
      </c>
      <c r="F101" s="53">
        <v>0.408827614260664</v>
      </c>
    </row>
    <row r="102" spans="3:6">
      <c r="C102" s="50">
        <v>99.275766016713092</v>
      </c>
      <c r="D102" s="52">
        <v>0.38762377265728037</v>
      </c>
      <c r="E102" s="53">
        <v>0.40889432906358814</v>
      </c>
      <c r="F102" s="53">
        <v>0.40889432906358814</v>
      </c>
    </row>
    <row r="103" spans="3:6">
      <c r="C103" s="50">
        <v>100.27855153203342</v>
      </c>
      <c r="D103" s="52">
        <v>0.3878718303911472</v>
      </c>
      <c r="E103" s="53">
        <v>0.4089571772775013</v>
      </c>
      <c r="F103" s="53">
        <v>0.4089571772775013</v>
      </c>
    </row>
    <row r="104" spans="3:6">
      <c r="C104" s="50">
        <v>101.28133704735376</v>
      </c>
      <c r="D104" s="52">
        <v>0.38809865747082856</v>
      </c>
      <c r="E104" s="53">
        <v>0.40901381099049616</v>
      </c>
      <c r="F104" s="53">
        <v>0.40901381099049616</v>
      </c>
    </row>
    <row r="105" spans="3:6">
      <c r="C105" s="50">
        <v>102.28412256267409</v>
      </c>
      <c r="D105" s="52">
        <v>0.38830520737549995</v>
      </c>
      <c r="E105" s="53">
        <v>0.40906169433924622</v>
      </c>
      <c r="F105" s="53">
        <v>0.40906169433924622</v>
      </c>
    </row>
    <row r="106" spans="3:6">
      <c r="C106" s="50">
        <v>103.28690807799443</v>
      </c>
      <c r="D106" s="52">
        <v>0.38849247196666187</v>
      </c>
      <c r="E106" s="53">
        <v>0.4090981186992439</v>
      </c>
      <c r="F106" s="53">
        <v>0.4090981186992439</v>
      </c>
    </row>
    <row r="107" spans="3:6">
      <c r="C107" s="50">
        <v>104.28969359331475</v>
      </c>
      <c r="D107" s="52">
        <v>0.38866147417404928</v>
      </c>
      <c r="E107" s="53">
        <v>0.40912021898558898</v>
      </c>
      <c r="F107" s="53">
        <v>0.40912021898558898</v>
      </c>
    </row>
    <row r="108" spans="3:6">
      <c r="C108" s="50">
        <v>105.29247910863509</v>
      </c>
      <c r="D108" s="52">
        <v>0.3888132606070227</v>
      </c>
      <c r="E108" s="53">
        <v>0.40912499098074734</v>
      </c>
      <c r="F108" s="53">
        <v>0.40912499098074734</v>
      </c>
    </row>
    <row r="109" spans="3:6">
      <c r="C109" s="50">
        <v>106.29526462395543</v>
      </c>
      <c r="D109" s="53">
        <v>0.38894889413055206</v>
      </c>
      <c r="E109" s="53">
        <v>0.40910930960036301</v>
      </c>
      <c r="F109" s="53">
        <v>0.40910930960036301</v>
      </c>
    </row>
    <row r="110" spans="3:6">
      <c r="C110" s="50">
        <v>107.29805013927576</v>
      </c>
      <c r="D110" s="53">
        <v>0.38906944644497871</v>
      </c>
      <c r="E110" s="53">
        <v>0.40906994800328927</v>
      </c>
      <c r="F110" s="53">
        <v>0.40906994800328927</v>
      </c>
    </row>
    <row r="111" spans="3:6">
      <c r="C111" s="50">
        <v>108.3008356545961</v>
      </c>
      <c r="D111" s="53">
        <v>0.38917599070861725</v>
      </c>
      <c r="E111" s="53">
        <v>0.40900359744756049</v>
      </c>
      <c r="F111" s="53">
        <v>0.40900359744756049</v>
      </c>
    </row>
    <row r="112" spans="3:6">
      <c r="C112" s="50">
        <v>109.30362116991643</v>
      </c>
      <c r="D112" s="53">
        <v>0.38926959424194807</v>
      </c>
      <c r="E112" s="53">
        <v>0.408906887790073</v>
      </c>
      <c r="F112" s="53">
        <v>0.408906887790073</v>
      </c>
    </row>
    <row r="113" spans="3:6">
      <c r="C113" s="50">
        <v>110.30640668523677</v>
      </c>
      <c r="D113" s="53">
        <v>0.38935131135163714</v>
      </c>
      <c r="E113" s="53">
        <v>0.40877640852428893</v>
      </c>
      <c r="F113" s="53">
        <v>0.40877640852428893</v>
      </c>
    </row>
    <row r="114" spans="3:6">
      <c r="C114" s="50">
        <v>111.30919220055709</v>
      </c>
      <c r="D114" s="53">
        <v>0.3894221763119286</v>
      </c>
      <c r="E114" s="53">
        <v>0.40860873024734984</v>
      </c>
      <c r="F114" s="53">
        <v>0.40860873024734984</v>
      </c>
    </row>
    <row r="115" spans="3:6">
      <c r="C115" s="50">
        <v>112.31197771587743</v>
      </c>
      <c r="D115" s="53">
        <v>0.38948319654006053</v>
      </c>
      <c r="E115" s="53">
        <v>0.40840042644560337</v>
      </c>
      <c r="F115" s="53">
        <v>0.40840042644560337</v>
      </c>
    </row>
    <row r="116" spans="3:6">
      <c r="C116" s="50">
        <v>113.31476323119777</v>
      </c>
      <c r="D116" s="53">
        <v>0.38953534600129586</v>
      </c>
      <c r="E116" s="53">
        <v>0.40814809548570596</v>
      </c>
      <c r="F116" s="53">
        <v>0.40814809548570596</v>
      </c>
    </row>
    <row r="117" spans="3:6">
      <c r="C117" s="50">
        <v>114.3175487465181</v>
      </c>
      <c r="D117" s="53">
        <v>0.38957955887790752</v>
      </c>
      <c r="E117" s="53">
        <v>0.40784838269719037</v>
      </c>
      <c r="F117" s="53">
        <v>0.40784838269719037</v>
      </c>
    </row>
    <row r="118" spans="3:6">
      <c r="C118" s="50">
        <v>115.32033426183844</v>
      </c>
      <c r="D118" s="53">
        <v>0.38961672353504639</v>
      </c>
      <c r="E118" s="53">
        <v>0.40749800243167489</v>
      </c>
      <c r="F118" s="53">
        <v>0.40749800243167489</v>
      </c>
    </row>
    <row r="119" spans="3:6">
      <c r="C119" s="50">
        <v>116.32311977715877</v>
      </c>
      <c r="D119" s="53">
        <v>0.38964767681483864</v>
      </c>
      <c r="E119" s="53">
        <v>0.40709375998375691</v>
      </c>
      <c r="F119" s="53">
        <v>0.40709375998375691</v>
      </c>
    </row>
    <row r="120" spans="3:6">
      <c r="C120" s="50">
        <v>117.32590529247911</v>
      </c>
      <c r="D120" s="53">
        <v>0.3896731986883249</v>
      </c>
      <c r="E120" s="53">
        <v>0.40663257325906021</v>
      </c>
      <c r="F120" s="53">
        <v>0.40663257325906021</v>
      </c>
    </row>
    <row r="121" spans="3:6">
      <c r="C121" s="50">
        <v>118.32869080779943</v>
      </c>
      <c r="D121" s="53">
        <v>0.3896940072929701</v>
      </c>
      <c r="E121" s="53">
        <v>0.40611149407591263</v>
      </c>
      <c r="F121" s="53">
        <v>0.40611149407591263</v>
      </c>
    </row>
    <row r="122" spans="3:6">
      <c r="C122" s="50">
        <v>119.33147632311977</v>
      </c>
      <c r="D122" s="53">
        <v>0.38971075438145564</v>
      </c>
      <c r="E122" s="53">
        <v>0.40552772898869716</v>
      </c>
      <c r="F122" s="53">
        <v>0.40552772898869716</v>
      </c>
    </row>
    <row r="123" spans="3:6">
      <c r="C123" s="50">
        <v>120.33426183844011</v>
      </c>
      <c r="D123" s="53">
        <v>0.38972402120531491</v>
      </c>
      <c r="E123" s="53">
        <v>0.40487865952304525</v>
      </c>
      <c r="F123" s="53">
        <v>0.40487865952304525</v>
      </c>
    </row>
    <row r="124" spans="3:6">
      <c r="C124" s="50">
        <v>121.33704735376044</v>
      </c>
      <c r="D124" s="53">
        <v>0.38973431485470966</v>
      </c>
      <c r="E124" s="53">
        <v>0.40416186171571222</v>
      </c>
      <c r="F124" s="53">
        <v>0.40416186171571222</v>
      </c>
    </row>
    <row r="125" spans="3:6">
      <c r="C125" s="50">
        <v>122.33983286908078</v>
      </c>
      <c r="D125" s="53">
        <v>0.38974206507327536</v>
      </c>
      <c r="E125" s="53">
        <v>0.40337512485518756</v>
      </c>
      <c r="F125" s="53">
        <v>0.40337512485518756</v>
      </c>
    </row>
    <row r="126" spans="3:6">
      <c r="C126" s="50">
        <v>123.34261838440111</v>
      </c>
      <c r="D126" s="53">
        <v>0.38974762156449833</v>
      </c>
      <c r="E126" s="53">
        <v>0.40251646932281598</v>
      </c>
      <c r="F126" s="53">
        <v>0.40251646932281598</v>
      </c>
    </row>
    <row r="127" spans="3:6">
      <c r="C127" s="50">
        <v>124.34540389972145</v>
      </c>
      <c r="D127" s="53">
        <v>0.38975125180354031</v>
      </c>
      <c r="E127" s="53">
        <v>0.40158416343843395</v>
      </c>
      <c r="F127" s="53">
        <v>0.40158416343843395</v>
      </c>
    </row>
    <row r="128" spans="3:6">
      <c r="C128" s="50">
        <v>125.34818941504177</v>
      </c>
      <c r="D128" s="53">
        <v>0.38975313936581468</v>
      </c>
      <c r="E128" s="53">
        <v>0.40057673921923986</v>
      </c>
      <c r="F128" s="53">
        <v>0.40057673921923986</v>
      </c>
    </row>
    <row r="129" spans="3:6">
      <c r="C129" s="50">
        <v>126.35097493036211</v>
      </c>
      <c r="D129" s="53">
        <v>0.3897533827809429</v>
      </c>
      <c r="E129" s="53">
        <v>0.39949300696578027</v>
      </c>
      <c r="F129" s="53">
        <v>0.39949300696578027</v>
      </c>
    </row>
    <row r="130" spans="3:6">
      <c r="C130" s="50">
        <v>127.35376044568244</v>
      </c>
      <c r="D130" s="53">
        <v>0.3897519949180091</v>
      </c>
      <c r="E130" s="53">
        <v>0.39833206859453268</v>
      </c>
      <c r="F130" s="53">
        <v>0.39833206859453268</v>
      </c>
    </row>
    <row r="131" spans="3:6">
      <c r="C131" s="50">
        <v>128.35654596100278</v>
      </c>
      <c r="D131" s="53">
        <v>0.38974890290528619</v>
      </c>
      <c r="E131" s="53">
        <v>0.39709332964257799</v>
      </c>
      <c r="F131" s="53">
        <v>0.39709332964257799</v>
      </c>
    </row>
    <row r="132" spans="3:6">
      <c r="C132" s="50">
        <v>129.35933147632312</v>
      </c>
      <c r="D132" s="53">
        <v>0.38974394858484829</v>
      </c>
      <c r="E132" s="53">
        <v>0.39577650987623186</v>
      </c>
      <c r="F132" s="53">
        <v>0.39577650987623186</v>
      </c>
    </row>
    <row r="133" spans="3:6">
      <c r="C133" s="50">
        <v>130.36211699164346</v>
      </c>
      <c r="D133" s="53">
        <v>0.38973688949972007</v>
      </c>
      <c r="E133" s="53">
        <v>0.39438165244223211</v>
      </c>
      <c r="F133" s="53">
        <v>0.39438165244223211</v>
      </c>
    </row>
    <row r="134" spans="3:6">
      <c r="C134" s="50">
        <v>131.36490250696377</v>
      </c>
      <c r="D134" s="53">
        <v>0.38972740040847159</v>
      </c>
      <c r="E134" s="53">
        <v>0.39290913150712381</v>
      </c>
      <c r="F134" s="53">
        <v>0.39290913150712381</v>
      </c>
    </row>
    <row r="135" spans="3:6">
      <c r="C135" s="50">
        <v>132.36768802228411</v>
      </c>
      <c r="D135" s="53">
        <v>0.38971507531943367</v>
      </c>
      <c r="E135" s="53">
        <v>0.39135965833779446</v>
      </c>
      <c r="F135" s="53">
        <v>0.39135965833779446</v>
      </c>
    </row>
    <row r="136" spans="3:6">
      <c r="C136" s="50">
        <v>133.37047353760445</v>
      </c>
      <c r="D136" s="53">
        <v>0.38969943003402951</v>
      </c>
      <c r="E136" s="53">
        <v>0.3897342857836773</v>
      </c>
      <c r="F136" s="53">
        <v>0.3897342857836773</v>
      </c>
    </row>
    <row r="137" spans="3:6">
      <c r="C137" s="50">
        <v>134.37325905292479</v>
      </c>
      <c r="D137" s="53">
        <v>0.3896799051860852</v>
      </c>
      <c r="E137" s="53">
        <v>0.38803441112890275</v>
      </c>
      <c r="F137" s="53">
        <v>0.3896799051860852</v>
      </c>
    </row>
    <row r="138" spans="3:6">
      <c r="C138" s="50">
        <v>135.37604456824511</v>
      </c>
      <c r="D138" s="53">
        <v>0.38965586976140842</v>
      </c>
      <c r="E138" s="53">
        <v>0.38626177729061117</v>
      </c>
      <c r="F138" s="53">
        <v>0.38965586976140842</v>
      </c>
    </row>
    <row r="139" spans="3:6">
      <c r="C139" s="50">
        <v>136.37883008356545</v>
      </c>
      <c r="D139" s="53">
        <v>0.38962662507944212</v>
      </c>
      <c r="E139" s="53">
        <v>0.38441847234770332</v>
      </c>
      <c r="F139" s="53">
        <v>0.38962662507944212</v>
      </c>
    </row>
    <row r="140" spans="3:6">
      <c r="C140" s="50">
        <v>137.38161559888579</v>
      </c>
      <c r="D140" s="53">
        <v>0.38959140921639185</v>
      </c>
      <c r="E140" s="53">
        <v>0.38250692739245123</v>
      </c>
      <c r="F140" s="53">
        <v>0.38959140921639185</v>
      </c>
    </row>
    <row r="141" spans="3:6">
      <c r="C141" s="50">
        <v>138.38440111420613</v>
      </c>
      <c r="D141" s="53">
        <v>0.38954940184693509</v>
      </c>
      <c r="E141" s="53">
        <v>0.38052991270559544</v>
      </c>
      <c r="F141" s="53">
        <v>0.38954940184693509</v>
      </c>
    </row>
    <row r="142" spans="3:6">
      <c r="C142" s="50">
        <v>139.38718662952647</v>
      </c>
      <c r="D142" s="53">
        <v>0.38949972947943434</v>
      </c>
      <c r="E142" s="53">
        <v>0.37849053226376178</v>
      </c>
      <c r="F142" s="53">
        <v>0.38949972947943434</v>
      </c>
    </row>
    <row r="143" spans="3:6">
      <c r="C143" s="50">
        <v>140.38997214484678</v>
      </c>
      <c r="D143" s="53">
        <v>0.38944147105751198</v>
      </c>
      <c r="E143" s="53">
        <v>0.37639221659620581</v>
      </c>
      <c r="F143" s="53">
        <v>0.38944147105751198</v>
      </c>
    </row>
    <row r="144" spans="3:6">
      <c r="C144" s="50">
        <v>141.39275766016712</v>
      </c>
      <c r="D144" s="53">
        <v>0.38937366389893069</v>
      </c>
      <c r="E144" s="53">
        <v>0.37423871401600517</v>
      </c>
      <c r="F144" s="53">
        <v>0.38937366389893069</v>
      </c>
    </row>
    <row r="145" spans="3:6">
      <c r="C145" s="50">
        <v>142.39554317548746</v>
      </c>
      <c r="D145" s="53">
        <v>0.38929530994093092</v>
      </c>
      <c r="E145" s="53">
        <v>0.37203408025880774</v>
      </c>
      <c r="F145" s="53">
        <v>0.38929530994093092</v>
      </c>
    </row>
    <row r="146" spans="3:6">
      <c r="C146" s="50">
        <v>143.3983286908078</v>
      </c>
      <c r="D146" s="53">
        <v>0.38920538225955881</v>
      </c>
      <c r="E146" s="53">
        <v>0.3697826665700954</v>
      </c>
      <c r="F146" s="53">
        <v>0.38920538225955881</v>
      </c>
    </row>
    <row r="147" spans="3:6">
      <c r="C147" s="50">
        <v>144.40111420612811</v>
      </c>
      <c r="D147" s="53">
        <v>0.38910283182904881</v>
      </c>
      <c r="E147" s="53">
        <v>0.36748910628957526</v>
      </c>
      <c r="F147" s="53">
        <v>0.38910283182904881</v>
      </c>
    </row>
    <row r="148" spans="3:6">
      <c r="C148" s="50">
        <v>145.40389972144845</v>
      </c>
      <c r="D148" s="53">
        <v>0.38898659448602879</v>
      </c>
      <c r="E148" s="53">
        <v>0.36515829998874166</v>
      </c>
      <c r="F148" s="53">
        <v>0.38898659448602879</v>
      </c>
    </row>
    <row r="149" spans="3:6">
      <c r="C149" s="50">
        <v>146.40668523676879</v>
      </c>
      <c r="D149" s="53">
        <v>0.38885559806219283</v>
      </c>
      <c r="E149" s="53">
        <v>0.36279539922482318</v>
      </c>
      <c r="F149" s="53">
        <v>0.38885559806219283</v>
      </c>
    </row>
    <row r="150" spans="3:6">
      <c r="C150" s="50">
        <v>147.40947075208913</v>
      </c>
      <c r="D150" s="53">
        <v>0.3887087696481476</v>
      </c>
      <c r="E150" s="53">
        <v>0.3604057889811898</v>
      </c>
      <c r="F150" s="53">
        <v>0.3887087696481476</v>
      </c>
    </row>
    <row r="151" spans="3:6">
      <c r="C151" s="50">
        <v>148.41225626740948</v>
      </c>
      <c r="D151" s="53">
        <v>0.38854504295038261</v>
      </c>
      <c r="E151" s="53">
        <v>0.35799506887084392</v>
      </c>
      <c r="F151" s="53">
        <v>0.38854504295038261</v>
      </c>
    </row>
    <row r="152" spans="3:6">
      <c r="C152" s="50">
        <v>149.41504178272979</v>
      </c>
      <c r="D152" s="53">
        <v>0.38836336570274715</v>
      </c>
      <c r="E152" s="53">
        <v>0.35556903318578659</v>
      </c>
      <c r="F152" s="53">
        <v>0.38836336570274715</v>
      </c>
    </row>
    <row r="153" spans="3:6">
      <c r="C153" s="50">
        <v>150.41782729805013</v>
      </c>
      <c r="D153" s="53">
        <v>0.38816270709344619</v>
      </c>
      <c r="E153" s="53">
        <v>0.3531336498808294</v>
      </c>
      <c r="F153" s="53">
        <v>0.38816270709344619</v>
      </c>
    </row>
    <row r="154" spans="3:6">
      <c r="C154" s="50">
        <v>151.42061281337047</v>
      </c>
      <c r="D154" s="53">
        <v>0.38794206516838414</v>
      </c>
      <c r="E154" s="53">
        <v>0.35069503858578649</v>
      </c>
      <c r="F154" s="53">
        <v>0.38794206516838414</v>
      </c>
    </row>
    <row r="155" spans="3:6">
      <c r="C155" s="50">
        <v>152.42339832869081</v>
      </c>
      <c r="D155" s="53">
        <v>0.38770047417170661</v>
      </c>
      <c r="E155" s="53">
        <v>0.3482594477448791</v>
      </c>
      <c r="F155" s="53">
        <v>0.38770047417170661</v>
      </c>
    </row>
    <row r="156" spans="3:6">
      <c r="C156" s="50">
        <v>153.42618384401115</v>
      </c>
      <c r="D156" s="53">
        <v>0.38743701178459544</v>
      </c>
      <c r="E156" s="53">
        <v>0.34583323098662988</v>
      </c>
      <c r="F156" s="53">
        <v>0.38743701178459544</v>
      </c>
    </row>
    <row r="157" spans="3:6">
      <c r="C157" s="50">
        <v>154.42896935933146</v>
      </c>
      <c r="D157" s="53">
        <v>0.38715080622378706</v>
      </c>
      <c r="E157" s="53">
        <v>0.3434228228314582</v>
      </c>
      <c r="F157" s="53">
        <v>0.38715080622378706</v>
      </c>
    </row>
    <row r="158" spans="3:6">
      <c r="C158" s="50">
        <v>155.4317548746518</v>
      </c>
      <c r="D158" s="53">
        <v>0.38684104316186968</v>
      </c>
      <c r="E158" s="53">
        <v>0.34103471384760981</v>
      </c>
      <c r="F158" s="53">
        <v>0.38684104316186968</v>
      </c>
    </row>
    <row r="159" spans="3:6">
      <c r="C159" s="50">
        <v>156.43454038997214</v>
      </c>
      <c r="D159" s="53">
        <v>0.38650697243221771</v>
      </c>
      <c r="E159" s="53">
        <v>0.33867542536895778</v>
      </c>
      <c r="F159" s="53">
        <v>0.38650697243221771</v>
      </c>
    </row>
    <row r="160" spans="3:6">
      <c r="C160" s="50">
        <v>157.43732590529248</v>
      </c>
      <c r="D160" s="53">
        <v>0.38614791448238439</v>
      </c>
      <c r="E160" s="53">
        <v>0.33635148389054431</v>
      </c>
      <c r="F160" s="53">
        <v>0.38614791448238439</v>
      </c>
    </row>
    <row r="161" spans="3:6">
      <c r="C161" s="50">
        <v>158.44011142061279</v>
      </c>
      <c r="D161" s="53">
        <v>0.38576326654093313</v>
      </c>
      <c r="E161" s="53">
        <v>0.334069395259533</v>
      </c>
      <c r="F161" s="53">
        <v>0.38576326654093313</v>
      </c>
    </row>
    <row r="162" spans="3:6">
      <c r="C162" s="50">
        <v>159.44289693593313</v>
      </c>
      <c r="D162" s="53">
        <v>0.3853525084640233</v>
      </c>
      <c r="E162" s="53">
        <v>0.33183561878045964</v>
      </c>
      <c r="F162" s="53">
        <v>0.3853525084640233</v>
      </c>
    </row>
    <row r="163" spans="3:6">
      <c r="C163" s="50">
        <v>160.44568245125348</v>
      </c>
      <c r="D163" s="53">
        <v>0.38491520822955672</v>
      </c>
      <c r="E163" s="53">
        <v>0.32965654135431494</v>
      </c>
      <c r="F163" s="53">
        <v>0.38491520822955672</v>
      </c>
    </row>
    <row r="164" spans="3:6">
      <c r="C164" s="50">
        <v>161.44846796657382</v>
      </c>
      <c r="D164" s="53">
        <v>0.38445102704836448</v>
      </c>
      <c r="E164" s="53">
        <v>0.32753845177107133</v>
      </c>
      <c r="F164" s="53">
        <v>0.38445102704836448</v>
      </c>
    </row>
    <row r="165" spans="3:6">
      <c r="C165" s="50">
        <v>162.45125348189416</v>
      </c>
      <c r="D165" s="53">
        <v>0.3839597240637227</v>
      </c>
      <c r="E165" s="53">
        <v>0.32548751527475372</v>
      </c>
      <c r="F165" s="53">
        <v>0.3839597240637227</v>
      </c>
    </row>
    <row r="166" spans="3:6">
      <c r="C166" s="50">
        <v>163.45403899721447</v>
      </c>
      <c r="D166" s="53">
        <v>0.38344116061245115</v>
      </c>
      <c r="E166" s="53">
        <v>0.32350974851908193</v>
      </c>
      <c r="F166" s="53">
        <v>0.38344116061245115</v>
      </c>
    </row>
    <row r="167" spans="3:6">
      <c r="C167" s="50">
        <v>164.45682451253481</v>
      </c>
      <c r="D167" s="53">
        <v>0.38289530402294059</v>
      </c>
      <c r="E167" s="53">
        <v>0.32161099503005031</v>
      </c>
      <c r="F167" s="53">
        <v>0.38289530402294059</v>
      </c>
    </row>
    <row r="168" spans="3:6">
      <c r="C168" s="50">
        <v>165.45961002785515</v>
      </c>
      <c r="D168" s="53">
        <v>0.38232223092768897</v>
      </c>
      <c r="E168" s="53">
        <v>0.31979690128961458</v>
      </c>
      <c r="F168" s="53">
        <v>0.38232223092768897</v>
      </c>
    </row>
    <row r="169" spans="3:6">
      <c r="C169" s="50">
        <v>166.46239554317549</v>
      </c>
      <c r="D169" s="53">
        <v>0.38172213007024858</v>
      </c>
      <c r="E169" s="53">
        <v>0.31807289355187274</v>
      </c>
      <c r="F169" s="53">
        <v>0.38172213007024858</v>
      </c>
    </row>
    <row r="170" spans="3:6">
      <c r="C170" s="50">
        <v>167.4651810584958</v>
      </c>
      <c r="D170" s="53">
        <v>0.38109530458893498</v>
      </c>
      <c r="E170" s="53">
        <v>0.31644415549983368</v>
      </c>
      <c r="F170" s="53">
        <v>0.38109530458893498</v>
      </c>
    </row>
    <row r="171" spans="3:6">
      <c r="C171" s="50">
        <v>168.46796657381614</v>
      </c>
      <c r="D171" s="53">
        <v>0.38044217376218414</v>
      </c>
      <c r="E171" s="53">
        <v>0.31491560684704495</v>
      </c>
      <c r="F171" s="53">
        <v>0.38044217376218414</v>
      </c>
    </row>
    <row r="172" spans="3:6">
      <c r="C172" s="50">
        <v>169.47075208913648</v>
      </c>
      <c r="D172" s="53">
        <v>0.3797632742030434</v>
      </c>
      <c r="E172" s="53">
        <v>0.31349188298400799</v>
      </c>
      <c r="F172" s="53">
        <v>0.3797632742030434</v>
      </c>
    </row>
    <row r="173" spans="3:6">
      <c r="C173" s="50">
        <v>170.47353760445682</v>
      </c>
      <c r="D173" s="53">
        <v>0.37905926049296707</v>
      </c>
      <c r="E173" s="53">
        <v>0.31217731576450625</v>
      </c>
      <c r="F173" s="53">
        <v>0.37905926049296707</v>
      </c>
    </row>
    <row r="174" spans="3:6">
      <c r="C174" s="50">
        <v>171.47632311977716</v>
      </c>
      <c r="D174" s="53">
        <v>0.37833090524781482</v>
      </c>
      <c r="E174" s="53">
        <v>0.31097591552169196</v>
      </c>
      <c r="F174" s="53">
        <v>0.37833090524781482</v>
      </c>
    </row>
    <row r="175" spans="3:6">
      <c r="C175" s="50">
        <v>172.47910863509748</v>
      </c>
      <c r="D175" s="53">
        <v>0.37757909861171796</v>
      </c>
      <c r="E175" s="53">
        <v>0.30989135439806786</v>
      </c>
      <c r="F175" s="53">
        <v>0.37757909861171796</v>
      </c>
    </row>
    <row r="176" spans="3:6">
      <c r="C176" s="50">
        <v>173.48189415041782</v>
      </c>
      <c r="D176" s="53">
        <v>0.37680484717727791</v>
      </c>
      <c r="E176" s="53">
        <v>0.30892695106738566</v>
      </c>
      <c r="F176" s="53">
        <v>0.37680484717727791</v>
      </c>
    </row>
    <row r="177" spans="3:6">
      <c r="C177" s="50">
        <v>174.48467966573816</v>
      </c>
      <c r="D177" s="53">
        <v>0.37600927233336717</v>
      </c>
      <c r="E177" s="53">
        <v>0.30808565691998668</v>
      </c>
      <c r="F177" s="53">
        <v>0.37600927233336717</v>
      </c>
    </row>
    <row r="178" spans="3:6">
      <c r="C178" s="50">
        <v>175.4874651810585</v>
      </c>
      <c r="D178" s="53">
        <v>0.375193608044606</v>
      </c>
      <c r="E178" s="53">
        <v>0.30737004377626875</v>
      </c>
      <c r="F178" s="53">
        <v>0.375193608044606</v>
      </c>
    </row>
    <row r="179" spans="3:6">
      <c r="C179" s="50">
        <v>176.49025069637884</v>
      </c>
      <c r="D179" s="53">
        <v>0.37435919806938944</v>
      </c>
      <c r="E179" s="53">
        <v>0.30678229318581268</v>
      </c>
      <c r="F179" s="53">
        <v>0.37435919806938944</v>
      </c>
    </row>
    <row r="180" spans="3:6">
      <c r="C180" s="50">
        <v>177.49303621169915</v>
      </c>
      <c r="D180" s="53">
        <v>0.37350749262608873</v>
      </c>
      <c r="E180" s="53">
        <v>0.30632418736226225</v>
      </c>
      <c r="F180" s="53">
        <v>0.37350749262608873</v>
      </c>
    </row>
    <row r="181" spans="3:6">
      <c r="C181" s="50">
        <v>178.49582172701949</v>
      </c>
      <c r="D181" s="53">
        <v>0.37264004451978511</v>
      </c>
      <c r="E181" s="53">
        <v>0.30599710179638634</v>
      </c>
      <c r="F181" s="53">
        <v>0.37264004451978511</v>
      </c>
    </row>
    <row r="182" spans="3:6">
      <c r="C182" s="50">
        <v>179.49860724233983</v>
      </c>
      <c r="D182" s="53">
        <v>0.37175850474454691</v>
      </c>
      <c r="E182" s="53">
        <v>0.30580199958185977</v>
      </c>
      <c r="F182" s="53">
        <v>0.37175850474454691</v>
      </c>
    </row>
    <row r="183" spans="3:6">
      <c r="C183" s="50">
        <v>180.50139275766017</v>
      </c>
      <c r="D183" s="53">
        <v>0.37086461757886713</v>
      </c>
      <c r="E183" s="53">
        <v>0.30573942748026223</v>
      </c>
      <c r="F183" s="53">
        <v>0.37086461757886713</v>
      </c>
    </row>
    <row r="184" spans="3:6">
      <c r="C184" s="50">
        <v>181.50417827298048</v>
      </c>
      <c r="D184" s="53">
        <v>0.36996021519438466</v>
      </c>
      <c r="E184" s="53">
        <v>0.30580951374360826</v>
      </c>
      <c r="F184" s="53">
        <v>0.36996021519438466</v>
      </c>
    </row>
    <row r="185" spans="3:6">
      <c r="C185" s="50">
        <v>182.50696378830082</v>
      </c>
      <c r="D185" s="53">
        <v>0.36904721180044059</v>
      </c>
      <c r="E185" s="53">
        <v>0.30601196770446676</v>
      </c>
      <c r="F185" s="53">
        <v>0.36904721180044059</v>
      </c>
    </row>
    <row r="186" spans="3:6">
      <c r="C186" s="50">
        <v>183.50974930362116</v>
      </c>
      <c r="D186" s="53">
        <v>0.36812759734933093</v>
      </c>
      <c r="E186" s="53">
        <v>0.30634608113540851</v>
      </c>
      <c r="F186" s="53">
        <v>0.36812759734933093</v>
      </c>
    </row>
    <row r="187" spans="3:6">
      <c r="C187" s="50">
        <v>184.5125348189415</v>
      </c>
      <c r="D187" s="53">
        <v>0.36720343082931672</v>
      </c>
      <c r="E187" s="53">
        <v>0.30681073137119858</v>
      </c>
      <c r="F187" s="53">
        <v>0.36720343082931672</v>
      </c>
    </row>
    <row r="188" spans="3:6">
      <c r="C188" s="50">
        <v>185.51532033426184</v>
      </c>
      <c r="D188" s="53">
        <v>0.3662768331745242</v>
      </c>
      <c r="E188" s="53">
        <v>0.30740438617886756</v>
      </c>
      <c r="F188" s="53">
        <v>0.3662768331745242</v>
      </c>
    </row>
    <row r="189" spans="3:6">
      <c r="C189" s="50">
        <v>186.51810584958216</v>
      </c>
      <c r="D189" s="53">
        <v>0.36534997982279666</v>
      </c>
      <c r="E189" s="53">
        <v>0.3081251103525719</v>
      </c>
      <c r="F189" s="53">
        <v>0.36534997982279666</v>
      </c>
    </row>
    <row r="190" spans="3:6">
      <c r="C190" s="50">
        <v>187.5208913649025</v>
      </c>
      <c r="D190" s="53">
        <v>0.36442509295434605</v>
      </c>
      <c r="E190" s="53">
        <v>0.30897057400205175</v>
      </c>
      <c r="F190" s="53">
        <v>0.36442509295434605</v>
      </c>
    </row>
    <row r="191" spans="3:6">
      <c r="C191" s="50">
        <v>188.52367688022284</v>
      </c>
      <c r="D191" s="53">
        <v>0.36350443344567962</v>
      </c>
      <c r="E191" s="53">
        <v>0.30993806249554251</v>
      </c>
      <c r="F191" s="53">
        <v>0.36350443344567962</v>
      </c>
    </row>
    <row r="192" spans="3:6">
      <c r="C192" s="50">
        <v>189.52646239554318</v>
      </c>
      <c r="D192" s="53">
        <v>0.36259029257473829</v>
      </c>
      <c r="E192" s="53">
        <v>0.31102448801023019</v>
      </c>
      <c r="F192" s="53">
        <v>0.36259029257473829</v>
      </c>
    </row>
    <row r="193" spans="3:6">
      <c r="C193" s="50">
        <v>190.52924791086349</v>
      </c>
      <c r="D193" s="53">
        <v>0.36168498351447925</v>
      </c>
      <c r="E193" s="53">
        <v>0.31222640263580842</v>
      </c>
      <c r="F193" s="53">
        <v>0.36168498351447925</v>
      </c>
    </row>
    <row r="194" spans="3:6">
      <c r="C194" s="50">
        <v>191.53203342618383</v>
      </c>
      <c r="D194" s="53">
        <v>0.36079083265324163</v>
      </c>
      <c r="E194" s="53">
        <v>0.31354001296941897</v>
      </c>
      <c r="F194" s="53">
        <v>0.36079083265324163</v>
      </c>
    </row>
    <row r="195" spans="3:6">
      <c r="C195" s="50">
        <v>192.53481894150417</v>
      </c>
      <c r="D195" s="53">
        <v>0.35991017078117066</v>
      </c>
      <c r="E195" s="53">
        <v>0.3149611961332901</v>
      </c>
      <c r="F195" s="53">
        <v>0.35991017078117066</v>
      </c>
    </row>
    <row r="196" spans="3:6">
      <c r="C196" s="50">
        <v>193.53760445682451</v>
      </c>
      <c r="D196" s="53">
        <v>0.35904532418271201</v>
      </c>
      <c r="E196" s="53">
        <v>0.31648551713974515</v>
      </c>
      <c r="F196" s="53">
        <v>0.35904532418271201</v>
      </c>
    </row>
    <row r="197" spans="3:6">
      <c r="C197" s="50">
        <v>194.54038997214485</v>
      </c>
      <c r="D197" s="53">
        <v>0.35819860567573786</v>
      </c>
      <c r="E197" s="53">
        <v>0.31810824752197825</v>
      </c>
      <c r="F197" s="53">
        <v>0.35819860567573786</v>
      </c>
    </row>
    <row r="198" spans="3:6">
      <c r="C198" s="50">
        <v>195.54317548746516</v>
      </c>
      <c r="D198" s="53">
        <v>0.3573723056382212</v>
      </c>
      <c r="E198" s="53">
        <v>0.31982438514311978</v>
      </c>
      <c r="F198" s="53">
        <v>0.3573723056382212</v>
      </c>
    </row>
    <row r="199" spans="3:6">
      <c r="C199" s="50">
        <v>196.5459610027855</v>
      </c>
      <c r="D199" s="53">
        <v>0.3565686830635314</v>
      </c>
      <c r="E199" s="53">
        <v>0.32162867509065746</v>
      </c>
      <c r="F199" s="53">
        <v>0.3565686830635314</v>
      </c>
    </row>
    <row r="200" spans="3:6">
      <c r="C200" s="50">
        <v>197.54874651810584</v>
      </c>
      <c r="D200" s="53">
        <v>0.35578995668538205</v>
      </c>
      <c r="E200" s="53">
        <v>0.32351563155827007</v>
      </c>
      <c r="F200" s="53">
        <v>0.35578995668538205</v>
      </c>
    </row>
    <row r="201" spans="3:6">
      <c r="C201" s="50">
        <v>198.55153203342618</v>
      </c>
      <c r="D201" s="53">
        <v>0.3550382962132268</v>
      </c>
      <c r="E201" s="53">
        <v>0.32547956061261157</v>
      </c>
      <c r="F201" s="53">
        <v>0.3550382962132268</v>
      </c>
    </row>
    <row r="202" spans="3:6">
      <c r="C202" s="50">
        <v>199.5543175487465</v>
      </c>
      <c r="D202" s="53">
        <v>0.3543158137184616</v>
      </c>
      <c r="E202" s="53">
        <v>0.3275145837385382</v>
      </c>
      <c r="F202" s="53">
        <v>0.3543158137184616</v>
      </c>
    </row>
    <row r="203" spans="3:6">
      <c r="C203" s="50">
        <v>200.55710306406684</v>
      </c>
      <c r="D203" s="53">
        <v>0.35362455521116271</v>
      </c>
      <c r="E203" s="53">
        <v>0.32961466205275924</v>
      </c>
      <c r="F203" s="53">
        <v>0.35362455521116271</v>
      </c>
    </row>
    <row r="204" spans="3:6">
      <c r="C204" s="50">
        <v>201.55988857938718</v>
      </c>
      <c r="D204" s="53">
        <v>0.35296649244627132</v>
      </c>
      <c r="E204" s="53">
        <v>0.33177362107290653</v>
      </c>
      <c r="F204" s="53">
        <v>0.35296649244627132</v>
      </c>
    </row>
    <row r="205" spans="3:6">
      <c r="C205" s="50">
        <v>202.56267409470752</v>
      </c>
      <c r="D205" s="53">
        <v>0.35234351499712391</v>
      </c>
      <c r="E205" s="53">
        <v>0.33398517592657595</v>
      </c>
      <c r="F205" s="53">
        <v>0.35234351499712391</v>
      </c>
    </row>
    <row r="206" spans="3:6">
      <c r="C206" s="50">
        <v>203.56545961002786</v>
      </c>
      <c r="D206" s="53">
        <v>0.35175742263303611</v>
      </c>
      <c r="E206" s="53">
        <v>0.33624295688301509</v>
      </c>
      <c r="F206" s="53">
        <v>0.35175742263303611</v>
      </c>
    </row>
    <row r="207" spans="3:6">
      <c r="C207" s="50">
        <v>204.56824512534817</v>
      </c>
      <c r="D207" s="53">
        <v>0.35120991803628349</v>
      </c>
      <c r="E207" s="53">
        <v>0.33854053508881865</v>
      </c>
      <c r="F207" s="53">
        <v>0.35120991803628349</v>
      </c>
    </row>
    <row r="208" spans="3:6">
      <c r="C208" s="50">
        <v>205.57103064066851</v>
      </c>
      <c r="D208" s="53">
        <v>0.35070259989227553</v>
      </c>
      <c r="E208" s="53">
        <v>0.34087144838825223</v>
      </c>
      <c r="F208" s="53">
        <v>0.35070259989227553</v>
      </c>
    </row>
    <row r="209" spans="3:6">
      <c r="C209" s="50">
        <v>206.57381615598885</v>
      </c>
      <c r="D209" s="53">
        <v>0.35023695638502328</v>
      </c>
      <c r="E209" s="53">
        <v>0.34322922710865983</v>
      </c>
      <c r="F209" s="53">
        <v>0.35023695638502328</v>
      </c>
    </row>
    <row r="210" spans="3:6">
      <c r="C210" s="50">
        <v>207.57660167130919</v>
      </c>
      <c r="D210" s="53">
        <v>0.34981435912813896</v>
      </c>
      <c r="E210" s="53">
        <v>0.34560741969182934</v>
      </c>
      <c r="F210" s="53">
        <v>0.34981435912813896</v>
      </c>
    </row>
    <row r="211" spans="3:6">
      <c r="C211" s="50">
        <v>208.5793871866295</v>
      </c>
      <c r="D211" s="53">
        <v>0.34943605755960461</v>
      </c>
      <c r="E211" s="53">
        <v>0.34799961805317187</v>
      </c>
      <c r="F211" s="53">
        <v>0.34943605755960461</v>
      </c>
    </row>
    <row r="212" spans="3:6">
      <c r="C212" s="50">
        <v>209.58217270194984</v>
      </c>
      <c r="D212" s="53">
        <v>0.34910317382640299</v>
      </c>
      <c r="E212" s="53">
        <v>0.35039948255213638</v>
      </c>
      <c r="F212" s="53">
        <v>0.35039948255213638</v>
      </c>
    </row>
    <row r="213" spans="3:6">
      <c r="C213" s="50">
        <v>210.58495821727018</v>
      </c>
      <c r="D213" s="53">
        <v>0.34881669818284039</v>
      </c>
      <c r="E213" s="53">
        <v>0.35280076645939296</v>
      </c>
      <c r="F213" s="53">
        <v>0.35280076645939296</v>
      </c>
    </row>
    <row r="214" spans="3:6">
      <c r="C214" s="50">
        <v>211.58774373259052</v>
      </c>
      <c r="D214" s="53">
        <v>0.34857748492400847</v>
      </c>
      <c r="E214" s="53">
        <v>0.3551973398089977</v>
      </c>
      <c r="F214" s="53">
        <v>0.3551973398089977</v>
      </c>
    </row>
    <row r="215" spans="3:6">
      <c r="C215" s="50">
        <v>212.59052924791087</v>
      </c>
      <c r="D215" s="53">
        <v>0.34838624887334357</v>
      </c>
      <c r="E215" s="53">
        <v>0.35758321252695352</v>
      </c>
      <c r="F215" s="53">
        <v>0.35758321252695352</v>
      </c>
    </row>
    <row r="216" spans="3:6">
      <c r="C216" s="50">
        <v>213.59331476323118</v>
      </c>
      <c r="D216" s="53">
        <v>0.34824356244066895</v>
      </c>
      <c r="E216" s="53">
        <v>0.3599525567313166</v>
      </c>
      <c r="F216" s="53">
        <v>0.3599525567313166</v>
      </c>
    </row>
    <row r="217" spans="3:6">
      <c r="C217" s="50">
        <v>214.59610027855152</v>
      </c>
      <c r="D217" s="53">
        <v>0.34814985326444636</v>
      </c>
      <c r="E217" s="53">
        <v>0.36229972810323074</v>
      </c>
      <c r="F217" s="53">
        <v>0.36229972810323074</v>
      </c>
    </row>
    <row r="218" spans="3:6">
      <c r="C218" s="50">
        <v>215.59888579387186</v>
      </c>
      <c r="D218" s="53">
        <v>0.34810540244924065</v>
      </c>
      <c r="E218" s="53">
        <v>0.3646192862329885</v>
      </c>
      <c r="F218" s="53">
        <v>0.3646192862329885</v>
      </c>
    </row>
    <row r="219" spans="3:6">
      <c r="C219" s="50">
        <v>216.6016713091922</v>
      </c>
      <c r="D219" s="53">
        <v>0.3481103434066225</v>
      </c>
      <c r="E219" s="53">
        <v>0.36690601385038973</v>
      </c>
      <c r="F219" s="53">
        <v>0.36690601385038973</v>
      </c>
    </row>
    <row r="220" spans="3:6">
      <c r="C220" s="50">
        <v>217.60445682451254</v>
      </c>
      <c r="D220" s="53">
        <v>0.34816466130492585</v>
      </c>
      <c r="E220" s="53">
        <v>0.36915493485428724</v>
      </c>
      <c r="F220" s="53">
        <v>0.36915493485428724</v>
      </c>
    </row>
    <row r="221" spans="3:6">
      <c r="C221" s="50">
        <v>218.60724233983285</v>
      </c>
      <c r="D221" s="53">
        <v>0.34826819313042273</v>
      </c>
      <c r="E221" s="53">
        <v>0.37136133106220948</v>
      </c>
      <c r="F221" s="53">
        <v>0.37136133106220948</v>
      </c>
    </row>
    <row r="222" spans="3:6">
      <c r="C222" s="50">
        <v>219.61002785515319</v>
      </c>
      <c r="D222" s="53">
        <v>0.34842062835963589</v>
      </c>
      <c r="E222" s="53">
        <v>0.37352075760735437</v>
      </c>
      <c r="F222" s="53">
        <v>0.37352075760735437</v>
      </c>
    </row>
    <row r="223" spans="3:6">
      <c r="C223" s="50">
        <v>220.61281337047353</v>
      </c>
      <c r="D223" s="53">
        <v>0.34862151023964516</v>
      </c>
      <c r="E223" s="53">
        <v>0.37562905691697651</v>
      </c>
      <c r="F223" s="53">
        <v>0.37562905691697651</v>
      </c>
    </row>
    <row r="224" spans="3:6">
      <c r="C224" s="50">
        <v>221.61559888579387</v>
      </c>
      <c r="D224" s="53">
        <v>0.34887023767041409</v>
      </c>
      <c r="E224" s="53">
        <v>0.37768237121323894</v>
      </c>
      <c r="F224" s="53">
        <v>0.37768237121323894</v>
      </c>
    </row>
    <row r="225" spans="3:6">
      <c r="C225" s="50">
        <v>222.61838440111418</v>
      </c>
      <c r="D225" s="53">
        <v>0.34916606768034847</v>
      </c>
      <c r="E225" s="53">
        <v>0.37967715348492809</v>
      </c>
      <c r="F225" s="53">
        <v>0.37967715348492809</v>
      </c>
    </row>
    <row r="226" spans="3:6">
      <c r="C226" s="50">
        <v>223.62116991643452</v>
      </c>
      <c r="D226" s="53">
        <v>0.34950811848353508</v>
      </c>
      <c r="E226" s="53">
        <v>0.38161017688598969</v>
      </c>
      <c r="F226" s="53">
        <v>0.38161017688598969</v>
      </c>
    </row>
    <row r="227" spans="3:6">
      <c r="C227" s="50">
        <v>224.62395543175487</v>
      </c>
      <c r="D227" s="53">
        <v>0.34989537310439561</v>
      </c>
      <c r="E227" s="53">
        <v>0.3834785425246201</v>
      </c>
      <c r="F227" s="53">
        <v>0.3834785425246201</v>
      </c>
    </row>
    <row r="228" spans="3:6">
      <c r="C228" s="50">
        <v>225.62674094707521</v>
      </c>
      <c r="D228" s="53">
        <v>0.35032668355285101</v>
      </c>
      <c r="E228" s="53">
        <v>0.38527968561457626</v>
      </c>
      <c r="F228" s="53">
        <v>0.38527968561457626</v>
      </c>
    </row>
    <row r="229" spans="3:6">
      <c r="C229" s="50">
        <v>226.62952646239555</v>
      </c>
      <c r="D229" s="53">
        <v>0.35080077553052996</v>
      </c>
      <c r="E229" s="53">
        <v>0.38701137996843227</v>
      </c>
      <c r="F229" s="53">
        <v>0.38701137996843227</v>
      </c>
    </row>
    <row r="230" spans="3:6">
      <c r="C230" s="50">
        <v>227.63231197771586</v>
      </c>
      <c r="D230" s="53">
        <v>0.35131625364609181</v>
      </c>
      <c r="E230" s="53">
        <v>0.38867174082066042</v>
      </c>
      <c r="F230" s="53">
        <v>0.38867174082066042</v>
      </c>
    </row>
    <row r="231" spans="3:6">
      <c r="C231" s="50">
        <v>228.6350974930362</v>
      </c>
      <c r="D231" s="53">
        <v>0.3518716071153693</v>
      </c>
      <c r="E231" s="53">
        <v>0.39025922597660662</v>
      </c>
      <c r="F231" s="53">
        <v>0.39025922597660662</v>
      </c>
    </row>
    <row r="232" spans="3:6">
      <c r="C232" s="50">
        <v>229.63788300835654</v>
      </c>
      <c r="D232" s="53">
        <v>0.35246521591979973</v>
      </c>
      <c r="E232" s="53">
        <v>0.39177263529163769</v>
      </c>
      <c r="F232" s="53">
        <v>0.39177263529163769</v>
      </c>
    </row>
    <row r="233" spans="3:6">
      <c r="C233" s="50">
        <v>230.64066852367688</v>
      </c>
      <c r="D233" s="53">
        <v>0.35309535739449804</v>
      </c>
      <c r="E233" s="53">
        <v>0.39321110849290741</v>
      </c>
      <c r="F233" s="53">
        <v>0.39321110849290741</v>
      </c>
    </row>
    <row r="234" spans="3:6">
      <c r="C234" s="50">
        <v>231.64345403899719</v>
      </c>
      <c r="D234" s="53">
        <v>0.35376021321534473</v>
      </c>
      <c r="E234" s="53">
        <v>0.3945741213642821</v>
      </c>
      <c r="F234" s="53">
        <v>0.3945741213642821</v>
      </c>
    </row>
    <row r="235" spans="3:6">
      <c r="C235" s="50">
        <v>232.64623955431753</v>
      </c>
      <c r="D235" s="53">
        <v>0.35445787675264184</v>
      </c>
      <c r="E235" s="53">
        <v>0.39586148032295693</v>
      </c>
      <c r="F235" s="53">
        <v>0.39586148032295693</v>
      </c>
    </row>
    <row r="236" spans="3:6">
      <c r="C236" s="50">
        <v>233.64902506963787</v>
      </c>
      <c r="D236" s="53">
        <v>0.35518636075721172</v>
      </c>
      <c r="E236" s="53">
        <v>0.39707331542411917</v>
      </c>
      <c r="F236" s="53">
        <v>0.39707331542411917</v>
      </c>
    </row>
    <row r="237" spans="3:6">
      <c r="C237" s="50">
        <v>234.65181058495821</v>
      </c>
      <c r="D237" s="53">
        <v>0.35594360534331354</v>
      </c>
      <c r="E237" s="53">
        <v>0.39821007183766483</v>
      </c>
      <c r="F237" s="53">
        <v>0.39821007183766483</v>
      </c>
    </row>
    <row r="238" spans="3:6">
      <c r="C238" s="50">
        <v>235.65459610027855</v>
      </c>
      <c r="D238" s="53">
        <v>0.35672748623141626</v>
      </c>
      <c r="E238" s="53">
        <v>0.39927249984838509</v>
      </c>
      <c r="F238" s="53">
        <v>0.39927249984838509</v>
      </c>
    </row>
    <row r="239" spans="3:6">
      <c r="C239" s="50">
        <v>236.65738161559887</v>
      </c>
      <c r="D239" s="53">
        <v>0.35753582321270766</v>
      </c>
      <c r="E239" s="53">
        <v>0.40026164343819048</v>
      </c>
      <c r="F239" s="53">
        <v>0.40026164343819048</v>
      </c>
    </row>
    <row r="240" spans="3:6">
      <c r="C240" s="50">
        <v>237.66016713091921</v>
      </c>
      <c r="D240" s="53">
        <v>0.35836638879625599</v>
      </c>
      <c r="E240" s="53">
        <v>0.40117882751579625</v>
      </c>
      <c r="F240" s="53">
        <v>0.40117882751579625</v>
      </c>
    </row>
    <row r="241" spans="3:6">
      <c r="C241" s="50">
        <v>238.66295264623955</v>
      </c>
      <c r="D241" s="53">
        <v>0.35921691699894814</v>
      </c>
      <c r="E241" s="53">
        <v>0.40202564386580869</v>
      </c>
      <c r="F241" s="53">
        <v>0.40202564386580869</v>
      </c>
    </row>
    <row r="242" spans="3:6">
      <c r="C242" s="50">
        <v>239.66573816155989</v>
      </c>
      <c r="D242" s="53">
        <v>0.36008511223774764</v>
      </c>
      <c r="E242" s="53">
        <v>0.40280393589531538</v>
      </c>
      <c r="F242" s="53">
        <v>0.40280393589531538</v>
      </c>
    </row>
    <row r="243" spans="3:6">
      <c r="C243" s="50">
        <v>240.66852367688023</v>
      </c>
      <c r="D243" s="53">
        <v>0.36096865828340918</v>
      </c>
      <c r="E243" s="53">
        <v>0.40351578226183377</v>
      </c>
      <c r="F243" s="53">
        <v>0.40351578226183377</v>
      </c>
    </row>
    <row r="244" spans="3:6">
      <c r="C244" s="50">
        <v>241.67130919220054</v>
      </c>
      <c r="D244" s="53">
        <v>0.36186522723459702</v>
      </c>
      <c r="E244" s="53">
        <v>0.40416347947182624</v>
      </c>
      <c r="F244" s="53">
        <v>0.40416347947182624</v>
      </c>
    </row>
    <row r="245" spans="3:6">
      <c r="C245" s="50">
        <v>242.67409470752088</v>
      </c>
      <c r="D245" s="53">
        <v>0.36277248847135202</v>
      </c>
      <c r="E245" s="53">
        <v>0.40474952354387228</v>
      </c>
      <c r="F245" s="53">
        <v>0.40474952354387228</v>
      </c>
    </row>
    <row r="246" spans="3:6">
      <c r="C246" s="50">
        <v>243.67688022284122</v>
      </c>
      <c r="D246" s="53">
        <v>0.36368811754703828</v>
      </c>
      <c r="E246" s="53">
        <v>0.40527659083501083</v>
      </c>
      <c r="F246" s="53">
        <v>0.40527659083501083</v>
      </c>
    </row>
    <row r="247" spans="3:6">
      <c r="C247" s="50">
        <v>244.67966573816156</v>
      </c>
      <c r="D247" s="53">
        <v>0.36460980497831524</v>
      </c>
      <c r="E247" s="53">
        <v>0.40574751813270388</v>
      </c>
      <c r="F247" s="53">
        <v>0.40574751813270388</v>
      </c>
    </row>
    <row r="248" spans="3:6">
      <c r="C248" s="50">
        <v>245.68245125348187</v>
      </c>
      <c r="D248" s="53">
        <v>0.36553526489323834</v>
      </c>
      <c r="E248" s="53">
        <v>0.40616528211826347</v>
      </c>
      <c r="F248" s="53">
        <v>0.40616528211826347</v>
      </c>
    </row>
    <row r="249" spans="3:6">
      <c r="C249" s="50">
        <v>246.68523676880221</v>
      </c>
      <c r="D249" s="53">
        <v>0.36646224349840389</v>
      </c>
      <c r="E249" s="53">
        <v>0.4065329783105035</v>
      </c>
      <c r="F249" s="53">
        <v>0.4065329783105035</v>
      </c>
    </row>
    <row r="250" spans="3:6">
      <c r="C250" s="50">
        <v>247.68802228412255</v>
      </c>
      <c r="D250" s="53">
        <v>0.36738852732699012</v>
      </c>
      <c r="E250" s="53">
        <v>0.4068537996006884</v>
      </c>
      <c r="F250" s="53">
        <v>0.4068537996006884</v>
      </c>
    </row>
    <row r="251" spans="3:6">
      <c r="C251" s="50">
        <v>248.69080779944289</v>
      </c>
      <c r="D251" s="53">
        <v>0.36831195123071703</v>
      </c>
      <c r="E251" s="53">
        <v>0.40713101449166506</v>
      </c>
      <c r="F251" s="53">
        <v>0.40713101449166506</v>
      </c>
    </row>
    <row r="252" spans="3:6">
      <c r="C252" s="50">
        <v>249.69359331476323</v>
      </c>
      <c r="D252" s="53">
        <v>0.36923040608006297</v>
      </c>
      <c r="E252" s="53">
        <v>0.40736794515527874</v>
      </c>
      <c r="F252" s="53">
        <v>0.40736794515527874</v>
      </c>
    </row>
    <row r="253" spans="3:6">
      <c r="C253" s="50">
        <v>250.69637883008355</v>
      </c>
      <c r="D253" s="53">
        <v>0.37014184613857581</v>
      </c>
      <c r="E253" s="53">
        <v>0.40756794542283681</v>
      </c>
      <c r="F253" s="53">
        <v>0.40756794542283681</v>
      </c>
    </row>
    <row r="254" spans="3:6">
      <c r="C254" s="50">
        <v>251.69916434540389</v>
      </c>
      <c r="D254" s="53">
        <v>0.37104429607877665</v>
      </c>
      <c r="E254" s="53">
        <v>0.40773437882347147</v>
      </c>
      <c r="F254" s="53">
        <v>0.40773437882347147</v>
      </c>
    </row>
    <row r="255" spans="3:6">
      <c r="C255" s="50">
        <v>252.70194986072423</v>
      </c>
      <c r="D255" s="53">
        <v>0.37193585760896647</v>
      </c>
      <c r="E255" s="53">
        <v>0.40787059678476839</v>
      </c>
      <c r="F255" s="53">
        <v>0.40787059678476839</v>
      </c>
    </row>
    <row r="256" spans="3:6">
      <c r="C256" s="50">
        <v>253.70473537604457</v>
      </c>
      <c r="D256" s="53">
        <v>0.37281471568220986</v>
      </c>
      <c r="E256" s="53">
        <v>0.40797991710897924</v>
      </c>
      <c r="F256" s="53">
        <v>0.40797991710897924</v>
      </c>
    </row>
    <row r="257" spans="3:6">
      <c r="C257" s="50">
        <v>254.70752089136488</v>
      </c>
      <c r="D257" s="53">
        <v>0.37367914426086118</v>
      </c>
      <c r="E257" s="53">
        <v>0.40806560283651611</v>
      </c>
      <c r="F257" s="53">
        <v>0.40806560283651611</v>
      </c>
    </row>
    <row r="258" spans="3:6">
      <c r="C258" s="50">
        <v>255.71030640668522</v>
      </c>
      <c r="D258" s="53">
        <v>0.37452751161222958</v>
      </c>
      <c r="E258" s="53">
        <v>0.40813084160626151</v>
      </c>
      <c r="F258" s="53">
        <v>0.40813084160626151</v>
      </c>
    </row>
    <row r="259" spans="3:6">
      <c r="C259" s="50">
        <v>256.71309192200556</v>
      </c>
      <c r="D259" s="53">
        <v>0.37535828511330332</v>
      </c>
      <c r="E259" s="53">
        <v>0.40817872561950874</v>
      </c>
      <c r="F259" s="53">
        <v>0.40817872561950874</v>
      </c>
    </row>
    <row r="260" spans="3:6">
      <c r="C260" s="50">
        <v>257.7158774373259</v>
      </c>
      <c r="D260" s="53">
        <v>0.37617003554490858</v>
      </c>
      <c r="E260" s="53">
        <v>0.40821223231110482</v>
      </c>
      <c r="F260" s="53">
        <v>0.40821223231110482</v>
      </c>
    </row>
    <row r="261" spans="3:6">
      <c r="C261" s="50">
        <v>258.71866295264624</v>
      </c>
      <c r="D261" s="53">
        <v>0.37696144085819866</v>
      </c>
      <c r="E261" s="53">
        <v>0.40823420582761227</v>
      </c>
      <c r="F261" s="53">
        <v>0.40823420582761227</v>
      </c>
    </row>
    <row r="262" spans="3:6">
      <c r="C262" s="50">
        <v>259.72144846796658</v>
      </c>
      <c r="D262" s="53">
        <v>0.3777312893989902</v>
      </c>
      <c r="E262" s="53">
        <v>0.40824733940805014</v>
      </c>
      <c r="F262" s="53">
        <v>0.40824733940805014</v>
      </c>
    </row>
    <row r="263" spans="3:6">
      <c r="C263" s="50">
        <v>260.72423398328692</v>
      </c>
      <c r="D263" s="53">
        <v>0.37847848257812838</v>
      </c>
      <c r="E263" s="53">
        <v>0.40825415875804738</v>
      </c>
      <c r="F263" s="53">
        <v>0.40825415875804738</v>
      </c>
    </row>
    <row r="264" spans="3:6">
      <c r="C264" s="50">
        <v>261.72701949860721</v>
      </c>
      <c r="D264" s="53">
        <v>0.37920203697880583</v>
      </c>
      <c r="E264" s="53">
        <v>0.40825700650306251</v>
      </c>
      <c r="F264" s="53">
        <v>0.40825700650306251</v>
      </c>
    </row>
    <row r="265" spans="3:6">
      <c r="C265" s="50">
        <v>262.72980501392755</v>
      </c>
      <c r="D265" s="53">
        <v>0.37990108589451771</v>
      </c>
      <c r="E265" s="53">
        <v>0.40825802780072229</v>
      </c>
      <c r="F265" s="53">
        <v>0.40825802780072229</v>
      </c>
    </row>
    <row r="266" spans="3:6">
      <c r="C266" s="50">
        <v>263.73259052924789</v>
      </c>
      <c r="D266" s="53">
        <v>0.38057488029414333</v>
      </c>
      <c r="E266" s="53">
        <v>0.40825915718633676</v>
      </c>
      <c r="F266" s="53">
        <v>0.40825915718633676</v>
      </c>
    </row>
    <row r="267" spans="3:6">
      <c r="C267" s="50">
        <v>264.73537604456823</v>
      </c>
      <c r="D267" s="53">
        <v>0.381222789213439</v>
      </c>
      <c r="E267" s="53">
        <v>0.40826210671926688</v>
      </c>
      <c r="F267" s="53">
        <v>0.40826210671926688</v>
      </c>
    </row>
    <row r="268" spans="3:6">
      <c r="C268" s="50">
        <v>265.73816155988857</v>
      </c>
      <c r="D268" s="53">
        <v>0.38184429957504534</v>
      </c>
      <c r="E268" s="53">
        <v>0.40826835549113588</v>
      </c>
      <c r="F268" s="53">
        <v>0.40826835549113588</v>
      </c>
    </row>
    <row r="269" spans="3:6">
      <c r="C269" s="50">
        <v>266.74094707520891</v>
      </c>
      <c r="D269" s="53">
        <v>0.38243901544189596</v>
      </c>
      <c r="E269" s="53">
        <v>0.40827914054985881</v>
      </c>
      <c r="F269" s="53">
        <v>0.40827914054985881</v>
      </c>
    </row>
    <row r="270" spans="3:6">
      <c r="C270" s="50">
        <v>267.74373259052925</v>
      </c>
      <c r="D270" s="53">
        <v>0.3830066567116811</v>
      </c>
      <c r="E270" s="53">
        <v>0.40829544928619638</v>
      </c>
      <c r="F270" s="53">
        <v>0.40829544928619638</v>
      </c>
    </row>
    <row r="271" spans="3:6">
      <c r="C271" s="50">
        <v>268.74651810584959</v>
      </c>
      <c r="D271" s="53">
        <v>0.38354705726273319</v>
      </c>
      <c r="E271" s="53">
        <v>0.4083180133220316</v>
      </c>
      <c r="F271" s="53">
        <v>0.4083180133220316</v>
      </c>
    </row>
    <row r="272" spans="3:6">
      <c r="C272" s="50">
        <v>269.74930362116993</v>
      </c>
      <c r="D272" s="53">
        <v>0.38406016256438058</v>
      </c>
      <c r="E272" s="53">
        <v>0.40834730393188173</v>
      </c>
      <c r="F272" s="53">
        <v>0.40834730393188173</v>
      </c>
    </row>
    <row r="273" spans="3:6">
      <c r="C273" s="50">
        <v>270.75208913649021</v>
      </c>
      <c r="D273" s="53">
        <v>0.38454602676738953</v>
      </c>
      <c r="E273" s="53">
        <v>0.40838352902128178</v>
      </c>
      <c r="F273" s="53">
        <v>0.40838352902128178</v>
      </c>
    </row>
    <row r="274" spans="3:6">
      <c r="C274" s="50">
        <v>271.75487465181055</v>
      </c>
      <c r="D274" s="53">
        <v>0.38500480929264713</v>
      </c>
      <c r="E274" s="53">
        <v>0.4084266316777227</v>
      </c>
      <c r="F274" s="53">
        <v>0.4084266316777227</v>
      </c>
    </row>
    <row r="275" spans="3:6">
      <c r="C275" s="50">
        <v>272.75766016713089</v>
      </c>
      <c r="D275" s="53">
        <v>0.38543677093865197</v>
      </c>
      <c r="E275" s="53">
        <v>0.40847629030177229</v>
      </c>
      <c r="F275" s="53">
        <v>0.40847629030177229</v>
      </c>
    </row>
    <row r="276" spans="3:6">
      <c r="C276" s="50">
        <v>273.76044568245123</v>
      </c>
      <c r="D276" s="53">
        <v>0.38584226953069145</v>
      </c>
      <c r="E276" s="53">
        <v>0.40853192031791191</v>
      </c>
      <c r="F276" s="53">
        <v>0.40853192031791191</v>
      </c>
    </row>
    <row r="277" spans="3:6">
      <c r="C277" s="50">
        <v>274.76323119777157</v>
      </c>
      <c r="D277" s="53">
        <v>0.38622175513678753</v>
      </c>
      <c r="E277" s="53">
        <v>0.40859267745654676</v>
      </c>
      <c r="F277" s="53">
        <v>0.40859267745654676</v>
      </c>
    </row>
    <row r="278" spans="3:6">
      <c r="C278" s="50">
        <v>275.76601671309191</v>
      </c>
      <c r="D278" s="53">
        <v>0.38657576487756018</v>
      </c>
      <c r="E278" s="53">
        <v>0.40865746259059477</v>
      </c>
      <c r="F278" s="53">
        <v>0.40865746259059477</v>
      </c>
    </row>
    <row r="279" spans="3:6">
      <c r="C279" s="50">
        <v>276.76880222841226</v>
      </c>
      <c r="D279" s="53">
        <v>0.38690491735909605</v>
      </c>
      <c r="E279" s="53">
        <v>0.4087249281021042</v>
      </c>
      <c r="F279" s="53">
        <v>0.4087249281021042</v>
      </c>
    </row>
    <row r="280" spans="3:6">
      <c r="C280" s="50">
        <v>277.7715877437326</v>
      </c>
      <c r="D280" s="53">
        <v>0.3872099067596888</v>
      </c>
      <c r="E280" s="53">
        <v>0.40879348574650581</v>
      </c>
      <c r="F280" s="53">
        <v>0.40879348574650581</v>
      </c>
    </row>
    <row r="281" spans="3:6">
      <c r="C281" s="50">
        <v>278.77437325905294</v>
      </c>
      <c r="D281" s="53">
        <v>0.3874914966029534</v>
      </c>
      <c r="E281" s="53">
        <v>0.40886131597442205</v>
      </c>
      <c r="F281" s="53">
        <v>0.40886131597442205</v>
      </c>
    </row>
    <row r="282" spans="3:6">
      <c r="C282" s="50">
        <v>279.77715877437322</v>
      </c>
      <c r="D282" s="53">
        <v>0.38775051325128623</v>
      </c>
      <c r="E282" s="53">
        <v>0.40892637866348486</v>
      </c>
      <c r="F282" s="53">
        <v>0.40892637866348486</v>
      </c>
    </row>
    <row r="283" spans="3:6">
      <c r="C283" s="50">
        <v>280.77994428969356</v>
      </c>
      <c r="D283" s="53">
        <v>0.38798783915492979</v>
      </c>
      <c r="E283" s="53">
        <v>0.40898642520535172</v>
      </c>
      <c r="F283" s="53">
        <v>0.40898642520535172</v>
      </c>
    </row>
    <row r="284" spans="3:6">
      <c r="C284" s="50">
        <v>281.7827298050139</v>
      </c>
      <c r="D284" s="53">
        <v>0.38820440589302951</v>
      </c>
      <c r="E284" s="53">
        <v>0.40903901188614356</v>
      </c>
      <c r="F284" s="53">
        <v>0.40903901188614356</v>
      </c>
    </row>
    <row r="285" spans="3:6">
      <c r="C285" s="50">
        <v>282.78551532033424</v>
      </c>
      <c r="D285" s="53">
        <v>0.38840118704400606</v>
      </c>
      <c r="E285" s="53">
        <v>0.40908151449186153</v>
      </c>
      <c r="F285" s="53">
        <v>0.40908151449186153</v>
      </c>
    </row>
    <row r="286" spans="3:6">
      <c r="C286" s="50">
        <v>283.78830083565458</v>
      </c>
      <c r="D286" s="53">
        <v>0.38857919092331072</v>
      </c>
      <c r="E286" s="53">
        <v>0.40911114406399424</v>
      </c>
      <c r="F286" s="53">
        <v>0.40911114406399424</v>
      </c>
    </row>
    <row r="287" spans="3:6">
      <c r="C287" s="50">
        <v>284.79108635097492</v>
      </c>
      <c r="D287" s="53">
        <v>0.38873945322719805</v>
      </c>
      <c r="E287" s="53">
        <v>0.40912496372458157</v>
      </c>
      <c r="F287" s="53">
        <v>0.40912496372458157</v>
      </c>
    </row>
    <row r="288" spans="3:6">
      <c r="C288" s="50">
        <v>285.79387186629526</v>
      </c>
      <c r="D288" s="53">
        <v>0.38888302962151738</v>
      </c>
      <c r="E288" s="53">
        <v>0.40911990648443519</v>
      </c>
      <c r="F288" s="53">
        <v>0.40911990648443519</v>
      </c>
    </row>
    <row r="289" spans="3:6">
      <c r="C289" s="50">
        <v>286.7966573816156</v>
      </c>
      <c r="D289" s="53">
        <v>0.38901098831468961</v>
      </c>
      <c r="E289" s="53">
        <v>0.40909279394307685</v>
      </c>
      <c r="F289" s="53">
        <v>0.40909279394307685</v>
      </c>
    </row>
    <row r="290" spans="3:6">
      <c r="C290" s="50">
        <v>287.79944289693594</v>
      </c>
      <c r="D290" s="53">
        <v>0.3891244026540211</v>
      </c>
      <c r="E290" s="53">
        <v>0.40904035578428244</v>
      </c>
      <c r="F290" s="53">
        <v>0.40904035578428244</v>
      </c>
    </row>
    <row r="291" spans="3:6">
      <c r="C291" s="50">
        <v>288.80222841225623</v>
      </c>
      <c r="D291" s="53">
        <v>0.38922434378428505</v>
      </c>
      <c r="E291" s="53">
        <v>0.40895924996691685</v>
      </c>
      <c r="F291" s="53">
        <v>0.40895924996691685</v>
      </c>
    </row>
    <row r="292" spans="3:6">
      <c r="C292" s="50">
        <v>289.80501392757657</v>
      </c>
      <c r="D292" s="53">
        <v>0.38931187340708656</v>
      </c>
      <c r="E292" s="53">
        <v>0.40884608350703244</v>
      </c>
      <c r="F292" s="53">
        <v>0.40884608350703244</v>
      </c>
    </row>
    <row r="293" spans="3:6">
      <c r="C293" s="50">
        <v>290.80779944289691</v>
      </c>
      <c r="D293" s="53">
        <v>0.38938803667892791</v>
      </c>
      <c r="E293" s="53">
        <v>0.40869743374401479</v>
      </c>
      <c r="F293" s="53">
        <v>0.40869743374401479</v>
      </c>
    </row>
    <row r="294" spans="3:6">
      <c r="C294" s="50">
        <v>291.81058495821725</v>
      </c>
      <c r="D294" s="53">
        <v>0.38945385528509252</v>
      </c>
      <c r="E294" s="53">
        <v>0.40850986998090716</v>
      </c>
      <c r="F294" s="53">
        <v>0.40850986998090716</v>
      </c>
    </row>
    <row r="295" spans="3:6">
      <c r="C295" s="50">
        <v>292.81337047353759</v>
      </c>
      <c r="D295" s="53">
        <v>0.38951032072549391</v>
      </c>
      <c r="E295" s="53">
        <v>0.40827997538692135</v>
      </c>
      <c r="F295" s="53">
        <v>0.40827997538692135</v>
      </c>
    </row>
    <row r="296" spans="3:6">
      <c r="C296" s="50">
        <v>293.81615598885793</v>
      </c>
      <c r="D296" s="53">
        <v>0.3895583878474761</v>
      </c>
      <c r="E296" s="53">
        <v>0.40800436904859577</v>
      </c>
      <c r="F296" s="53">
        <v>0.40800436904859577</v>
      </c>
    </row>
    <row r="297" spans="3:6">
      <c r="C297" s="50">
        <v>294.81894150417827</v>
      </c>
      <c r="D297" s="53">
        <v>0.38959896865921756</v>
      </c>
      <c r="E297" s="53">
        <v>0.40767972805505687</v>
      </c>
      <c r="F297" s="53">
        <v>0.40767972805505687</v>
      </c>
    </row>
    <row r="298" spans="3:6">
      <c r="C298" s="50">
        <v>295.82172701949861</v>
      </c>
      <c r="D298" s="53">
        <v>0.38963292645590281</v>
      </c>
      <c r="E298" s="53">
        <v>0.40730280950242875</v>
      </c>
      <c r="F298" s="53">
        <v>0.40730280950242875</v>
      </c>
    </row>
    <row r="299" spans="3:6">
      <c r="C299" s="50">
        <v>296.82451253481895</v>
      </c>
      <c r="D299" s="53">
        <v>0.38966107028915165</v>
      </c>
      <c r="E299" s="53">
        <v>0.40687047230256956</v>
      </c>
      <c r="F299" s="53">
        <v>0.40687047230256956</v>
      </c>
    </row>
    <row r="300" spans="3:6">
      <c r="C300" s="50">
        <v>297.82729805013929</v>
      </c>
      <c r="D300" s="53">
        <v>0.38968414980840016</v>
      </c>
      <c r="E300" s="53">
        <v>0.40637969868203772</v>
      </c>
      <c r="F300" s="53">
        <v>0.40637969868203772</v>
      </c>
    </row>
    <row r="301" spans="3:6">
      <c r="C301" s="50">
        <v>298.83008356545957</v>
      </c>
      <c r="D301" s="53">
        <v>0.38970285050097198</v>
      </c>
      <c r="E301" s="53">
        <v>0.40582761525848549</v>
      </c>
      <c r="F301" s="53">
        <v>0.40582761525848549</v>
      </c>
    </row>
    <row r="302" spans="3:6">
      <c r="C302" s="50">
        <v>299.83286908077991</v>
      </c>
      <c r="D302" s="53">
        <v>0.38971778935548296</v>
      </c>
      <c r="E302" s="53">
        <v>0.40521151358350149</v>
      </c>
      <c r="F302" s="53">
        <v>0.40521151358350149</v>
      </c>
    </row>
    <row r="303" spans="3:6">
      <c r="C303" s="50">
        <v>300.83565459610026</v>
      </c>
      <c r="D303" s="53">
        <v>0.38972951097103103</v>
      </c>
      <c r="E303" s="53">
        <v>0.40452887004335242</v>
      </c>
      <c r="F303" s="53">
        <v>0.40452887004335242</v>
      </c>
    </row>
    <row r="304" spans="3:6">
      <c r="C304" s="50">
        <v>301.8384401114206</v>
      </c>
      <c r="D304" s="53">
        <v>0.38973848413229595</v>
      </c>
      <c r="E304" s="53">
        <v>0.40377736501200207</v>
      </c>
      <c r="F304" s="53">
        <v>0.40377736501200207</v>
      </c>
    </row>
    <row r="305" spans="3:6">
      <c r="C305" s="50">
        <v>302.84122562674094</v>
      </c>
      <c r="D305" s="53">
        <v>0.38974509886824649</v>
      </c>
      <c r="E305" s="53">
        <v>0.40295490115424792</v>
      </c>
      <c r="F305" s="53">
        <v>0.40295490115424792</v>
      </c>
    </row>
    <row r="306" spans="3:6">
      <c r="C306" s="50">
        <v>303.84401114206128</v>
      </c>
      <c r="D306" s="53">
        <v>0.38974966400966549</v>
      </c>
      <c r="E306" s="53">
        <v>0.40205962078081769</v>
      </c>
      <c r="F306" s="53">
        <v>0.40205962078081769</v>
      </c>
    </row>
    <row r="307" spans="3:6">
      <c r="C307" s="50">
        <v>304.84679665738162</v>
      </c>
      <c r="D307" s="53">
        <v>0.38975240525810229</v>
      </c>
      <c r="E307" s="53">
        <v>0.4010899221617199</v>
      </c>
      <c r="F307" s="53">
        <v>0.4010899221617199</v>
      </c>
    </row>
    <row r="308" spans="3:6">
      <c r="C308" s="50">
        <v>305.84958217270196</v>
      </c>
      <c r="D308" s="53">
        <v>0.38975346377623099</v>
      </c>
      <c r="E308" s="53">
        <v>0.40004447470909876</v>
      </c>
      <c r="F308" s="53">
        <v>0.40004447470909876</v>
      </c>
    </row>
    <row r="309" spans="3:6">
      <c r="C309" s="50">
        <v>306.8523676880223</v>
      </c>
      <c r="D309" s="53">
        <v>0.38975289530688512</v>
      </c>
      <c r="E309" s="53">
        <v>0.39892223294621426</v>
      </c>
      <c r="F309" s="53">
        <v>0.39892223294621426</v>
      </c>
    </row>
    <row r="310" spans="3:6">
      <c r="C310" s="50">
        <v>307.85515320334258</v>
      </c>
      <c r="D310" s="53">
        <v>0.38975066982532369</v>
      </c>
      <c r="E310" s="53">
        <v>0.397722449184994</v>
      </c>
      <c r="F310" s="53">
        <v>0.397722449184994</v>
      </c>
    </row>
    <row r="311" spans="3:6">
      <c r="C311" s="50">
        <v>308.85793871866292</v>
      </c>
      <c r="D311" s="53">
        <v>0.38974667172652344</v>
      </c>
      <c r="E311" s="53">
        <v>0.39644468484078998</v>
      </c>
      <c r="F311" s="53">
        <v>0.39644468484078998</v>
      </c>
    </row>
    <row r="312" spans="3:6">
      <c r="C312" s="50">
        <v>309.86072423398326</v>
      </c>
      <c r="D312" s="53">
        <v>0.38974070054652338</v>
      </c>
      <c r="E312" s="53">
        <v>0.39508882031952902</v>
      </c>
      <c r="F312" s="53">
        <v>0.39508882031952902</v>
      </c>
    </row>
    <row r="313" spans="3:6">
      <c r="C313" s="50">
        <v>310.8635097493036</v>
      </c>
      <c r="D313" s="53">
        <v>0.38973247221410445</v>
      </c>
      <c r="E313" s="53">
        <v>0.39365506341934131</v>
      </c>
      <c r="F313" s="53">
        <v>0.39365506341934131</v>
      </c>
    </row>
    <row r="314" spans="3:6">
      <c r="C314" s="50">
        <v>311.86629526462394</v>
      </c>
      <c r="D314" s="53">
        <v>0.38972162082634387</v>
      </c>
      <c r="E314" s="53">
        <v>0.39214395619593767</v>
      </c>
      <c r="F314" s="53">
        <v>0.39214395619593767</v>
      </c>
    </row>
    <row r="315" spans="3:6">
      <c r="C315" s="50">
        <v>312.86908077994428</v>
      </c>
      <c r="D315" s="53">
        <v>0.38970770093886442</v>
      </c>
      <c r="E315" s="53">
        <v>0.39055638024842959</v>
      </c>
      <c r="F315" s="53">
        <v>0.39055638024842959</v>
      </c>
    </row>
    <row r="316" spans="3:6">
      <c r="C316" s="50">
        <v>313.87186629526462</v>
      </c>
      <c r="D316" s="53">
        <v>0.38969019035896307</v>
      </c>
      <c r="E316" s="53">
        <v>0.38889356038998163</v>
      </c>
      <c r="F316" s="53">
        <v>0.38969019035896307</v>
      </c>
    </row>
    <row r="317" spans="3:6">
      <c r="C317" s="50">
        <v>314.87465181058496</v>
      </c>
      <c r="D317" s="53">
        <v>0.38966849342717413</v>
      </c>
      <c r="E317" s="53">
        <v>0.38715706667551403</v>
      </c>
      <c r="F317" s="53">
        <v>0.38966849342717413</v>
      </c>
    </row>
    <row r="318" spans="3:6">
      <c r="C318" s="50">
        <v>315.8774373259053</v>
      </c>
      <c r="D318" s="53">
        <v>0.38964194477031416</v>
      </c>
      <c r="E318" s="53">
        <v>0.38534881476669341</v>
      </c>
      <c r="F318" s="53">
        <v>0.38964194477031416</v>
      </c>
    </row>
    <row r="319" spans="3:6">
      <c r="C319" s="50">
        <v>316.88022284122559</v>
      </c>
      <c r="D319" s="53">
        <v>0.38960981350659224</v>
      </c>
      <c r="E319" s="53">
        <v>0.38347106462254793</v>
      </c>
      <c r="F319" s="53">
        <v>0.38960981350659224</v>
      </c>
    </row>
    <row r="320" spans="3:6">
      <c r="C320" s="50">
        <v>317.88300835654593</v>
      </c>
      <c r="D320" s="53">
        <v>0.38957130788102967</v>
      </c>
      <c r="E320" s="53">
        <v>0.38152641751222915</v>
      </c>
      <c r="F320" s="53">
        <v>0.38957130788102967</v>
      </c>
    </row>
    <row r="321" spans="3:6">
      <c r="C321" s="50">
        <v>318.88579387186627</v>
      </c>
      <c r="D321" s="53">
        <v>0.38952558030718798</v>
      </c>
      <c r="E321" s="53">
        <v>0.37951781135465512</v>
      </c>
      <c r="F321" s="53">
        <v>0.38952558030718798</v>
      </c>
    </row>
    <row r="322" spans="3:6">
      <c r="C322" s="50">
        <v>319.88857938718661</v>
      </c>
      <c r="D322" s="53">
        <v>0.38947173278907854</v>
      </c>
      <c r="E322" s="53">
        <v>0.37744851439795324</v>
      </c>
      <c r="F322" s="53">
        <v>0.38947173278907854</v>
      </c>
    </row>
    <row r="323" spans="3:6">
      <c r="C323" s="50">
        <v>320.89136490250695</v>
      </c>
      <c r="D323" s="53">
        <v>0.3894088226951371</v>
      </c>
      <c r="E323" s="53">
        <v>0.37532211725978726</v>
      </c>
      <c r="F323" s="53">
        <v>0.3894088226951371</v>
      </c>
    </row>
    <row r="324" spans="3:6">
      <c r="C324" s="50">
        <v>321.89415041782729</v>
      </c>
      <c r="D324" s="53">
        <v>0.38933586885429511</v>
      </c>
      <c r="E324" s="53">
        <v>0.37314252335769521</v>
      </c>
      <c r="F324" s="53">
        <v>0.38933586885429511</v>
      </c>
    </row>
    <row r="325" spans="3:6">
      <c r="C325" s="50">
        <v>322.89693593314763</v>
      </c>
      <c r="D325" s="53">
        <v>0.38925185794246497</v>
      </c>
      <c r="E325" s="53">
        <v>0.3709139377664914</v>
      </c>
      <c r="F325" s="53">
        <v>0.38925185794246497</v>
      </c>
    </row>
    <row r="326" spans="3:6">
      <c r="C326" s="50">
        <v>323.89972144846797</v>
      </c>
      <c r="D326" s="53">
        <v>0.38915575112622275</v>
      </c>
      <c r="E326" s="53">
        <v>0.36864085454754653</v>
      </c>
      <c r="F326" s="53">
        <v>0.38915575112622275</v>
      </c>
    </row>
    <row r="327" spans="3:6">
      <c r="C327" s="50">
        <v>324.90250696378831</v>
      </c>
      <c r="D327" s="53">
        <v>0.38904649092908083</v>
      </c>
      <c r="E327" s="53">
        <v>0.36632804260230578</v>
      </c>
      <c r="F327" s="53">
        <v>0.38904649092908083</v>
      </c>
    </row>
    <row r="328" spans="3:6">
      <c r="C328" s="50">
        <v>325.9052924791086</v>
      </c>
      <c r="D328" s="53">
        <v>0.38892300828453441</v>
      </c>
      <c r="E328" s="53">
        <v>0.36398053010970516</v>
      </c>
      <c r="F328" s="53">
        <v>0.38892300828453441</v>
      </c>
    </row>
    <row r="329" spans="3:6">
      <c r="C329" s="50">
        <v>326.90807799442894</v>
      </c>
      <c r="D329" s="53">
        <v>0.38878422973903276</v>
      </c>
      <c r="E329" s="53">
        <v>0.36160358761416905</v>
      </c>
      <c r="F329" s="53">
        <v>0.38878422973903276</v>
      </c>
    </row>
    <row r="330" spans="3:6">
      <c r="C330" s="50">
        <v>327.91086350974928</v>
      </c>
      <c r="D330" s="53">
        <v>0.38862908476718544</v>
      </c>
      <c r="E330" s="53">
        <v>0.35920270983759045</v>
      </c>
      <c r="F330" s="53">
        <v>0.38862908476718544</v>
      </c>
    </row>
    <row r="331" spans="3:6">
      <c r="C331" s="50">
        <v>328.91364902506962</v>
      </c>
      <c r="D331" s="53">
        <v>0.38845651316084168</v>
      </c>
      <c r="E331" s="53">
        <v>0.35678359629503914</v>
      </c>
      <c r="F331" s="53">
        <v>0.38845651316084168</v>
      </c>
    </row>
    <row r="332" spans="3:6">
      <c r="C332" s="50">
        <v>329.91643454038996</v>
      </c>
      <c r="D332" s="53">
        <v>0.38826547245321236</v>
      </c>
      <c r="E332" s="53">
        <v>0.35435213079993161</v>
      </c>
      <c r="F332" s="53">
        <v>0.38826547245321236</v>
      </c>
    </row>
    <row r="333" spans="3:6">
      <c r="C333" s="50">
        <v>330.9192200557103</v>
      </c>
      <c r="D333" s="53">
        <v>0.38805494533894341</v>
      </c>
      <c r="E333" s="53">
        <v>0.35191435994997672</v>
      </c>
      <c r="F333" s="53">
        <v>0.38805494533894341</v>
      </c>
    </row>
    <row r="334" spans="3:6">
      <c r="C334" s="50">
        <v>331.92200557103064</v>
      </c>
      <c r="D334" s="53">
        <v>0.38782394705094292</v>
      </c>
      <c r="E334" s="53">
        <v>0.34947647069033078</v>
      </c>
      <c r="F334" s="53">
        <v>0.38782394705094292</v>
      </c>
    </row>
    <row r="335" spans="3:6">
      <c r="C335" s="50">
        <v>332.92479108635098</v>
      </c>
      <c r="D335" s="53">
        <v>0.38757153265489541</v>
      </c>
      <c r="E335" s="53">
        <v>0.34704476705507781</v>
      </c>
      <c r="F335" s="53">
        <v>0.38757153265489541</v>
      </c>
    </row>
    <row r="336" spans="3:6">
      <c r="C336" s="50">
        <v>333.92757660167132</v>
      </c>
      <c r="D336" s="53">
        <v>0.38729680422270257</v>
      </c>
      <c r="E336" s="53">
        <v>0.34462564619234765</v>
      </c>
      <c r="F336" s="53">
        <v>0.38729680422270257</v>
      </c>
    </row>
    <row r="337" spans="3:6">
      <c r="C337" s="50">
        <v>334.9303621169916</v>
      </c>
      <c r="D337" s="53">
        <v>0.38699891784659041</v>
      </c>
      <c r="E337" s="53">
        <v>0.3422255737820567</v>
      </c>
      <c r="F337" s="53">
        <v>0.38699891784659041</v>
      </c>
    </row>
    <row r="338" spans="3:6">
      <c r="C338" s="50">
        <v>335.93314763231194</v>
      </c>
      <c r="D338" s="53">
        <v>0.38667709045630905</v>
      </c>
      <c r="E338" s="53">
        <v>0.33985105895841927</v>
      </c>
      <c r="F338" s="53">
        <v>0.38667709045630905</v>
      </c>
    </row>
    <row r="339" spans="3:6">
      <c r="C339" s="50">
        <v>336.93593314763228</v>
      </c>
      <c r="D339" s="53">
        <v>0.38633060640275213</v>
      </c>
      <c r="E339" s="53">
        <v>0.33750862885201183</v>
      </c>
      <c r="F339" s="53">
        <v>0.38633060640275213</v>
      </c>
    </row>
    <row r="340" spans="3:6">
      <c r="C340" s="50">
        <v>337.93871866295262</v>
      </c>
      <c r="D340" s="53">
        <v>0.38595882377236712</v>
      </c>
      <c r="E340" s="53">
        <v>0.33520480286822191</v>
      </c>
      <c r="F340" s="53">
        <v>0.38595882377236712</v>
      </c>
    </row>
    <row r="341" spans="3:6">
      <c r="C341" s="50">
        <v>338.94150417827296</v>
      </c>
      <c r="D341" s="53">
        <v>0.38556118039798404</v>
      </c>
      <c r="E341" s="53">
        <v>0.33294606682043398</v>
      </c>
      <c r="F341" s="53">
        <v>0.38556118039798404</v>
      </c>
    </row>
    <row r="342" spans="3:6">
      <c r="C342" s="50">
        <v>339.9442896935933</v>
      </c>
      <c r="D342" s="53">
        <v>0.38513719953310427</v>
      </c>
      <c r="E342" s="53">
        <v>0.33073884703723488</v>
      </c>
      <c r="F342" s="53">
        <v>0.38513719953310427</v>
      </c>
    </row>
    <row r="343" spans="3:6">
      <c r="C343" s="50">
        <v>340.94707520891365</v>
      </c>
      <c r="D343" s="53">
        <v>0.38468649515827591</v>
      </c>
      <c r="E343" s="53">
        <v>0.32858948456328879</v>
      </c>
      <c r="F343" s="53">
        <v>0.38468649515827591</v>
      </c>
    </row>
    <row r="344" spans="3:6">
      <c r="C344" s="50">
        <v>341.94986072423399</v>
      </c>
      <c r="D344" s="53">
        <v>0.38420877688991101</v>
      </c>
      <c r="E344" s="53">
        <v>0.3265042095732994</v>
      </c>
      <c r="F344" s="53">
        <v>0.38420877688991101</v>
      </c>
    </row>
    <row r="345" spans="3:6">
      <c r="C345" s="50">
        <v>342.95264623955433</v>
      </c>
      <c r="D345" s="53">
        <v>0.38370385446380983</v>
      </c>
      <c r="E345" s="53">
        <v>0.32448911611770437</v>
      </c>
      <c r="F345" s="53">
        <v>0.38370385446380983</v>
      </c>
    </row>
    <row r="346" spans="3:6">
      <c r="C346" s="50">
        <v>343.95543175487461</v>
      </c>
      <c r="D346" s="53">
        <v>0.3831716417676676</v>
      </c>
      <c r="E346" s="53">
        <v>0.32255013731736421</v>
      </c>
      <c r="F346" s="53">
        <v>0.3831716417676676</v>
      </c>
    </row>
    <row r="347" spans="3:6">
      <c r="C347" s="50">
        <v>344.95821727019495</v>
      </c>
      <c r="D347" s="53">
        <v>0.38261216039902013</v>
      </c>
      <c r="E347" s="53">
        <v>0.32069302112258846</v>
      </c>
      <c r="F347" s="53">
        <v>0.38261216039902013</v>
      </c>
    </row>
    <row r="348" spans="3:6">
      <c r="C348" s="50">
        <v>345.96100278551529</v>
      </c>
      <c r="D348" s="53">
        <v>0.38202554272734063</v>
      </c>
      <c r="E348" s="53">
        <v>0.31892330674933472</v>
      </c>
      <c r="F348" s="53">
        <v>0.38202554272734063</v>
      </c>
    </row>
    <row r="349" spans="3:6">
      <c r="C349" s="50">
        <v>346.96378830083563</v>
      </c>
      <c r="D349" s="53">
        <v>0.3814120344414223</v>
      </c>
      <c r="E349" s="53">
        <v>0.31724630190240177</v>
      </c>
      <c r="F349" s="53">
        <v>0.3814120344414223</v>
      </c>
    </row>
    <row r="350" spans="3:6">
      <c r="C350" s="50">
        <v>347.96657381615597</v>
      </c>
      <c r="D350" s="53">
        <v>0.38077199656563898</v>
      </c>
      <c r="E350" s="53">
        <v>0.31566706089185387</v>
      </c>
      <c r="F350" s="53">
        <v>0.38077199656563898</v>
      </c>
    </row>
    <row r="351" spans="3:6">
      <c r="C351" s="50">
        <v>348.96935933147631</v>
      </c>
      <c r="D351" s="53">
        <v>0.38010590693126567</v>
      </c>
      <c r="E351" s="53">
        <v>0.31419036374483889</v>
      </c>
      <c r="F351" s="53">
        <v>0.38010590693126567</v>
      </c>
    </row>
    <row r="352" spans="3:6">
      <c r="C352" s="50">
        <v>349.97214484679665</v>
      </c>
      <c r="D352" s="53">
        <v>0.37941436109168142</v>
      </c>
      <c r="E352" s="53">
        <v>0.31282069641038873</v>
      </c>
      <c r="F352" s="53">
        <v>0.37941436109168142</v>
      </c>
    </row>
    <row r="353" spans="3:6">
      <c r="C353" s="50">
        <v>350.97493036211699</v>
      </c>
      <c r="D353" s="53">
        <v>0.37869807267298322</v>
      </c>
      <c r="E353" s="53">
        <v>0.31156223214974482</v>
      </c>
      <c r="F353" s="53">
        <v>0.37869807267298322</v>
      </c>
    </row>
    <row r="354" spans="3:6">
      <c r="C354" s="50">
        <v>351.97771587743733</v>
      </c>
      <c r="D354" s="53">
        <v>0.37795787315428414</v>
      </c>
      <c r="E354" s="53">
        <v>0.31041881419924622</v>
      </c>
      <c r="F354" s="53">
        <v>0.37795787315428414</v>
      </c>
    </row>
    <row r="355" spans="3:6">
      <c r="C355" s="50">
        <v>352.98050139275767</v>
      </c>
      <c r="D355" s="53">
        <v>0.37719471107476354</v>
      </c>
      <c r="E355" s="53">
        <v>0.30939393978691532</v>
      </c>
      <c r="F355" s="53">
        <v>0.37719471107476354</v>
      </c>
    </row>
    <row r="356" spans="3:6">
      <c r="C356" s="50">
        <v>353.98328690807796</v>
      </c>
      <c r="D356" s="53">
        <v>0.3764096506673314</v>
      </c>
      <c r="E356" s="53">
        <v>0.30849074557755657</v>
      </c>
      <c r="F356" s="53">
        <v>0.3764096506673314</v>
      </c>
    </row>
    <row r="357" spans="3:6">
      <c r="C357" s="50">
        <v>354.9860724233983</v>
      </c>
      <c r="D357" s="53">
        <v>0.37560386992158418</v>
      </c>
      <c r="E357" s="53">
        <v>0.30771199461451598</v>
      </c>
      <c r="F357" s="53">
        <v>0.37560386992158418</v>
      </c>
    </row>
    <row r="358" spans="3:6">
      <c r="C358" s="50">
        <v>355.98885793871864</v>
      </c>
      <c r="D358" s="53">
        <v>0.37477865808152266</v>
      </c>
      <c r="E358" s="53">
        <v>0.30706006481924158</v>
      </c>
      <c r="F358" s="53">
        <v>0.37477865808152266</v>
      </c>
    </row>
    <row r="359" spans="3:6">
      <c r="C359" s="50">
        <v>356.99164345403898</v>
      </c>
      <c r="D359" s="53">
        <v>0.37393541258629281</v>
      </c>
      <c r="E359" s="53">
        <v>0.30653693910250285</v>
      </c>
      <c r="F359" s="53">
        <v>0.37393541258629281</v>
      </c>
    </row>
    <row r="360" spans="3:6">
      <c r="C360" s="50">
        <v>357.99442896935932</v>
      </c>
      <c r="D360" s="53">
        <v>0.37307563546494033</v>
      </c>
      <c r="E360" s="53">
        <v>0.30614419713354429</v>
      </c>
      <c r="F360" s="53">
        <v>0.37307563546494033</v>
      </c>
    </row>
    <row r="361" spans="3:6">
      <c r="C361" s="50">
        <v>358.99721448467966</v>
      </c>
      <c r="D361" s="53">
        <v>0.37220092919887587</v>
      </c>
      <c r="E361" s="53">
        <v>0.30588300880568997</v>
      </c>
      <c r="F361" s="53">
        <v>0.37220092919887587</v>
      </c>
    </row>
    <row r="362" spans="3:6">
      <c r="C362" s="50">
        <v>360</v>
      </c>
      <c r="D362" s="53">
        <v>0.37131299206836987</v>
      </c>
      <c r="E362" s="53">
        <v>0.3057541294289286</v>
      </c>
      <c r="F362" s="53">
        <v>0.37131299206836987</v>
      </c>
    </row>
  </sheetData>
  <phoneticPr fontId="12" type="noConversion"/>
  <printOptions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1500-000000000000}">
  <dimension ref="A1:T234"/>
  <sheetViews>
    <sheetView showFormulas="1" workbookViewId="0"/>
  </sheetViews>
  <sheetFormatPr defaultColWidth="8.90625" defaultRowHeight="12.6"/>
  <cols>
    <col min="1" max="9" width="3.6328125" style="217" customWidth="1"/>
    <col min="10" max="10" width="14.36328125" style="217" customWidth="1"/>
    <col min="11" max="11" width="8.90625" style="217"/>
    <col min="12" max="19" width="2.90625" style="217" customWidth="1"/>
    <col min="20" max="20" width="7.6328125" style="217" customWidth="1"/>
    <col min="21" max="16384" width="8.90625" style="217"/>
  </cols>
  <sheetData>
    <row r="1" spans="1:20">
      <c r="A1" s="216" t="s">
        <v>690</v>
      </c>
      <c r="B1" s="217">
        <v>5.3016666666666694</v>
      </c>
      <c r="C1" s="216" t="s">
        <v>692</v>
      </c>
      <c r="D1" s="217">
        <v>5.3016666666666685</v>
      </c>
      <c r="E1" s="217" t="s">
        <v>861</v>
      </c>
      <c r="J1" s="218"/>
      <c r="K1" s="218"/>
      <c r="M1" s="218"/>
      <c r="N1" s="218"/>
      <c r="O1" s="219"/>
      <c r="P1" s="218"/>
    </row>
    <row r="2" spans="1:20" ht="13.2" thickBot="1">
      <c r="A2" s="217" t="s">
        <v>153</v>
      </c>
      <c r="B2" s="217" t="s">
        <v>660</v>
      </c>
      <c r="C2" s="217">
        <v>5.3016666666666676</v>
      </c>
      <c r="D2" s="217">
        <v>1.8683333333333334</v>
      </c>
      <c r="L2" s="217" t="s">
        <v>862</v>
      </c>
      <c r="T2" s="217" t="s">
        <v>863</v>
      </c>
    </row>
    <row r="3" spans="1:20">
      <c r="A3" s="217" t="s">
        <v>864</v>
      </c>
      <c r="B3" s="217" t="s">
        <v>770</v>
      </c>
      <c r="C3" s="217">
        <v>1.8683333333333334</v>
      </c>
      <c r="D3" s="217">
        <v>5.3016666666666694</v>
      </c>
      <c r="L3" s="220"/>
      <c r="M3" s="221"/>
      <c r="N3" s="221"/>
      <c r="O3" s="221">
        <v>566</v>
      </c>
      <c r="P3" s="221">
        <v>299</v>
      </c>
      <c r="Q3" s="221"/>
      <c r="R3" s="222"/>
      <c r="T3" s="217" t="s">
        <v>865</v>
      </c>
    </row>
    <row r="4" spans="1:20">
      <c r="L4" s="223">
        <v>5</v>
      </c>
      <c r="M4" s="217">
        <v>11</v>
      </c>
      <c r="N4" s="217">
        <v>11</v>
      </c>
      <c r="P4" s="217">
        <v>16</v>
      </c>
      <c r="Q4" s="217" t="s">
        <v>433</v>
      </c>
      <c r="R4" s="224"/>
      <c r="T4" s="217" t="s">
        <v>866</v>
      </c>
    </row>
    <row r="5" spans="1:20">
      <c r="L5" s="223">
        <v>5</v>
      </c>
      <c r="M5" s="217">
        <v>15</v>
      </c>
      <c r="N5" s="217">
        <v>36</v>
      </c>
      <c r="Q5" s="217" t="s">
        <v>867</v>
      </c>
      <c r="R5" s="225"/>
      <c r="T5" s="217" t="s">
        <v>868</v>
      </c>
    </row>
    <row r="6" spans="1:20">
      <c r="L6" s="223">
        <v>5</v>
      </c>
      <c r="M6" s="217">
        <v>15</v>
      </c>
      <c r="N6" s="217">
        <v>60</v>
      </c>
      <c r="Q6" s="217" t="s">
        <v>869</v>
      </c>
      <c r="R6" s="224"/>
      <c r="T6" s="217" t="s">
        <v>870</v>
      </c>
    </row>
    <row r="7" spans="1:20">
      <c r="L7" s="223">
        <v>5</v>
      </c>
      <c r="M7" s="217">
        <v>15</v>
      </c>
      <c r="N7" s="217">
        <v>84</v>
      </c>
      <c r="Q7" s="217" t="s">
        <v>871</v>
      </c>
      <c r="R7" s="224"/>
      <c r="T7" s="217" t="s">
        <v>872</v>
      </c>
    </row>
    <row r="8" spans="1:20">
      <c r="K8" s="218"/>
      <c r="L8" s="223">
        <v>5</v>
      </c>
      <c r="M8" s="217">
        <v>15</v>
      </c>
      <c r="N8" s="217">
        <v>108</v>
      </c>
      <c r="Q8" s="217" t="s">
        <v>873</v>
      </c>
      <c r="R8" s="224"/>
      <c r="T8" s="217" t="s">
        <v>874</v>
      </c>
    </row>
    <row r="9" spans="1:20">
      <c r="L9" s="223">
        <v>5</v>
      </c>
      <c r="M9" s="217">
        <v>15</v>
      </c>
      <c r="N9" s="217">
        <v>132</v>
      </c>
      <c r="P9" s="218"/>
      <c r="Q9" s="217" t="s">
        <v>875</v>
      </c>
      <c r="R9" s="224"/>
      <c r="T9" s="217" t="s">
        <v>876</v>
      </c>
    </row>
    <row r="10" spans="1:20">
      <c r="L10" s="223">
        <v>5</v>
      </c>
      <c r="M10" s="217">
        <v>15</v>
      </c>
      <c r="N10" s="217">
        <v>156</v>
      </c>
      <c r="Q10" s="217" t="s">
        <v>877</v>
      </c>
      <c r="R10" s="224"/>
      <c r="T10" s="217" t="s">
        <v>878</v>
      </c>
    </row>
    <row r="11" spans="1:20">
      <c r="A11" s="226" t="s">
        <v>637</v>
      </c>
      <c r="B11" s="226"/>
      <c r="C11" s="226"/>
      <c r="D11" s="226"/>
      <c r="E11" s="226"/>
      <c r="F11" s="226"/>
      <c r="G11" s="226"/>
      <c r="H11" s="226"/>
      <c r="L11" s="223">
        <v>5</v>
      </c>
      <c r="M11" s="217">
        <v>15</v>
      </c>
      <c r="N11" s="217">
        <v>180</v>
      </c>
      <c r="P11" s="218"/>
      <c r="Q11" s="217" t="s">
        <v>879</v>
      </c>
      <c r="R11" s="224"/>
      <c r="T11" s="217" t="s">
        <v>880</v>
      </c>
    </row>
    <row r="12" spans="1:20">
      <c r="A12" s="226"/>
      <c r="B12" s="226"/>
      <c r="C12" s="226"/>
      <c r="D12" s="226"/>
      <c r="E12" s="226"/>
      <c r="F12" s="226"/>
      <c r="G12" s="226"/>
      <c r="H12" s="226"/>
      <c r="L12" s="223">
        <v>5</v>
      </c>
      <c r="M12" s="218">
        <v>15</v>
      </c>
      <c r="N12" s="218">
        <v>204</v>
      </c>
      <c r="Q12" s="217" t="s">
        <v>881</v>
      </c>
      <c r="R12" s="224"/>
      <c r="T12" s="217" t="s">
        <v>882</v>
      </c>
    </row>
    <row r="13" spans="1:20">
      <c r="A13" s="226" t="s">
        <v>243</v>
      </c>
      <c r="B13" s="226" t="s">
        <v>1562</v>
      </c>
      <c r="C13" s="226" t="s">
        <v>1563</v>
      </c>
      <c r="D13" s="226" t="s">
        <v>1564</v>
      </c>
      <c r="E13" s="226" t="s">
        <v>1565</v>
      </c>
      <c r="F13" s="226"/>
      <c r="G13" s="226"/>
      <c r="H13" s="226"/>
      <c r="L13" s="223">
        <v>5</v>
      </c>
      <c r="M13" s="217">
        <v>183</v>
      </c>
      <c r="N13" s="217">
        <v>36</v>
      </c>
      <c r="Q13" s="217" t="s">
        <v>883</v>
      </c>
      <c r="R13" s="224"/>
      <c r="T13" s="217" t="s">
        <v>884</v>
      </c>
    </row>
    <row r="14" spans="1:20">
      <c r="A14" s="226" t="s">
        <v>537</v>
      </c>
      <c r="B14" s="226">
        <v>45</v>
      </c>
      <c r="C14" s="226">
        <v>90</v>
      </c>
      <c r="D14" s="226">
        <v>45</v>
      </c>
      <c r="E14" s="226">
        <v>-45</v>
      </c>
      <c r="F14" s="226" t="s">
        <v>538</v>
      </c>
      <c r="G14" s="226" t="s">
        <v>645</v>
      </c>
      <c r="H14" s="226" t="s">
        <v>646</v>
      </c>
      <c r="L14" s="223">
        <v>5</v>
      </c>
      <c r="M14" s="217">
        <v>183</v>
      </c>
      <c r="N14" s="217">
        <v>60</v>
      </c>
      <c r="Q14" s="217" t="s">
        <v>885</v>
      </c>
      <c r="R14" s="224"/>
      <c r="T14" s="217" t="s">
        <v>886</v>
      </c>
    </row>
    <row r="15" spans="1:20">
      <c r="A15" s="226" t="s">
        <v>541</v>
      </c>
      <c r="B15" s="226">
        <v>2</v>
      </c>
      <c r="C15" s="226">
        <v>0</v>
      </c>
      <c r="D15" s="226">
        <v>0</v>
      </c>
      <c r="E15" s="226">
        <v>0</v>
      </c>
      <c r="F15" s="226">
        <v>1</v>
      </c>
      <c r="G15" s="226">
        <v>2</v>
      </c>
      <c r="H15" s="226">
        <v>5.0000000000000001E-4</v>
      </c>
      <c r="L15" s="223">
        <v>5</v>
      </c>
      <c r="M15" s="217">
        <v>183</v>
      </c>
      <c r="N15" s="217">
        <v>84</v>
      </c>
      <c r="Q15" s="217" t="s">
        <v>887</v>
      </c>
      <c r="R15" s="224"/>
      <c r="T15" s="217" t="s">
        <v>888</v>
      </c>
    </row>
    <row r="16" spans="1:20">
      <c r="A16" s="226" t="s">
        <v>648</v>
      </c>
      <c r="B16" s="226">
        <v>0.78539816339744828</v>
      </c>
      <c r="C16" s="226">
        <v>1.5707963267948966</v>
      </c>
      <c r="D16" s="226">
        <v>0.78539816339744828</v>
      </c>
      <c r="E16" s="226">
        <v>-0.78539816339744828</v>
      </c>
      <c r="F16" s="226"/>
      <c r="G16" s="226" t="s">
        <v>649</v>
      </c>
      <c r="H16" s="226" t="s">
        <v>632</v>
      </c>
      <c r="L16" s="223">
        <v>5</v>
      </c>
      <c r="M16" s="217">
        <v>183</v>
      </c>
      <c r="N16" s="217">
        <v>108</v>
      </c>
      <c r="Q16" s="217" t="s">
        <v>889</v>
      </c>
      <c r="R16" s="224"/>
      <c r="T16" s="217" t="s">
        <v>890</v>
      </c>
    </row>
    <row r="17" spans="1:20">
      <c r="A17" s="226" t="s">
        <v>653</v>
      </c>
      <c r="B17" s="226">
        <v>0.70710678118654757</v>
      </c>
      <c r="C17" s="226">
        <v>6.1257422745431001E-17</v>
      </c>
      <c r="D17" s="226">
        <v>0.70710678118654757</v>
      </c>
      <c r="E17" s="226">
        <v>0.70710678118654757</v>
      </c>
      <c r="F17" s="226"/>
      <c r="G17" s="226">
        <v>0.05</v>
      </c>
      <c r="H17" s="226">
        <v>10</v>
      </c>
      <c r="L17" s="223">
        <v>5</v>
      </c>
      <c r="M17" s="217">
        <v>183</v>
      </c>
      <c r="N17" s="217">
        <v>132</v>
      </c>
      <c r="Q17" s="217" t="s">
        <v>891</v>
      </c>
      <c r="R17" s="224"/>
      <c r="T17" s="217" t="s">
        <v>892</v>
      </c>
    </row>
    <row r="18" spans="1:20">
      <c r="A18" s="226" t="s">
        <v>654</v>
      </c>
      <c r="B18" s="226">
        <v>0.70710678118654746</v>
      </c>
      <c r="C18" s="226">
        <v>1</v>
      </c>
      <c r="D18" s="226">
        <v>0.70710678118654746</v>
      </c>
      <c r="E18" s="226">
        <v>-0.70710678118654746</v>
      </c>
      <c r="F18" s="226"/>
      <c r="G18" s="226" t="s">
        <v>655</v>
      </c>
      <c r="H18" s="226"/>
      <c r="L18" s="223">
        <v>5</v>
      </c>
      <c r="M18" s="217">
        <v>183</v>
      </c>
      <c r="N18" s="217">
        <v>156</v>
      </c>
      <c r="Q18" s="217" t="s">
        <v>893</v>
      </c>
      <c r="R18" s="224"/>
      <c r="T18" s="217" t="s">
        <v>894</v>
      </c>
    </row>
    <row r="19" spans="1:20">
      <c r="A19" s="226" t="s">
        <v>657</v>
      </c>
      <c r="B19" s="226">
        <v>5.3016666666666676</v>
      </c>
      <c r="C19" s="226">
        <v>3.433333333333334</v>
      </c>
      <c r="D19" s="226">
        <v>5.3016666666666676</v>
      </c>
      <c r="E19" s="226">
        <v>5.3016666666666676</v>
      </c>
      <c r="F19" s="226"/>
      <c r="G19" s="226">
        <v>0.1</v>
      </c>
      <c r="H19" s="226"/>
      <c r="L19" s="223">
        <v>5</v>
      </c>
      <c r="M19" s="217">
        <v>183</v>
      </c>
      <c r="N19" s="217">
        <v>180</v>
      </c>
      <c r="Q19" s="217" t="s">
        <v>895</v>
      </c>
      <c r="R19" s="224"/>
      <c r="T19" s="217" t="s">
        <v>896</v>
      </c>
    </row>
    <row r="20" spans="1:20">
      <c r="A20" s="226" t="s">
        <v>658</v>
      </c>
      <c r="B20" s="226">
        <v>5.3016666666666667</v>
      </c>
      <c r="C20" s="226">
        <v>7.17</v>
      </c>
      <c r="D20" s="226">
        <v>5.3016666666666667</v>
      </c>
      <c r="E20" s="226">
        <v>5.3016666666666667</v>
      </c>
      <c r="F20" s="226"/>
      <c r="G20" s="226"/>
      <c r="H20" s="226"/>
      <c r="L20" s="223">
        <v>5</v>
      </c>
      <c r="M20" s="217">
        <v>183</v>
      </c>
      <c r="N20" s="218">
        <v>204</v>
      </c>
      <c r="Q20" s="217" t="s">
        <v>897</v>
      </c>
      <c r="R20" s="224"/>
      <c r="T20" s="217" t="s">
        <v>898</v>
      </c>
    </row>
    <row r="21" spans="1:20">
      <c r="A21" s="226" t="s">
        <v>660</v>
      </c>
      <c r="B21" s="226">
        <v>1.868333333333333</v>
      </c>
      <c r="C21" s="226">
        <v>2.2889856965876046E-16</v>
      </c>
      <c r="D21" s="226">
        <v>1.868333333333333</v>
      </c>
      <c r="E21" s="226">
        <v>-1.868333333333333</v>
      </c>
      <c r="F21" s="226"/>
      <c r="G21" s="226"/>
      <c r="H21" s="226"/>
      <c r="L21" s="223">
        <v>7</v>
      </c>
      <c r="M21" s="217">
        <v>88</v>
      </c>
      <c r="N21" s="217">
        <v>33</v>
      </c>
      <c r="O21" s="217">
        <v>70</v>
      </c>
      <c r="R21" s="224">
        <v>8</v>
      </c>
      <c r="T21" s="217" t="s">
        <v>899</v>
      </c>
    </row>
    <row r="22" spans="1:20">
      <c r="A22" s="226" t="s">
        <v>662</v>
      </c>
      <c r="B22" s="226">
        <v>0.21536607493466572</v>
      </c>
      <c r="C22" s="226">
        <v>0.1394700139470014</v>
      </c>
      <c r="D22" s="226">
        <v>0.21536607493466572</v>
      </c>
      <c r="E22" s="226">
        <v>0.21536607493466572</v>
      </c>
      <c r="F22" s="226"/>
      <c r="G22" s="226"/>
      <c r="H22" s="226"/>
      <c r="L22" s="223">
        <v>7</v>
      </c>
      <c r="R22" s="224">
        <v>8</v>
      </c>
      <c r="T22" s="217" t="s">
        <v>900</v>
      </c>
    </row>
    <row r="23" spans="1:20">
      <c r="A23" s="226" t="s">
        <v>665</v>
      </c>
      <c r="B23" s="226">
        <v>0.21536607493466567</v>
      </c>
      <c r="C23" s="226">
        <v>0.29126213592233002</v>
      </c>
      <c r="D23" s="226">
        <v>0.21536607493466567</v>
      </c>
      <c r="E23" s="226">
        <v>0.21536607493466567</v>
      </c>
      <c r="F23" s="226"/>
      <c r="G23" s="226"/>
      <c r="H23" s="226"/>
      <c r="L23" s="223">
        <v>7</v>
      </c>
      <c r="R23" s="224">
        <v>8</v>
      </c>
      <c r="T23" s="217" t="s">
        <v>1706</v>
      </c>
    </row>
    <row r="24" spans="1:20">
      <c r="A24" s="226" t="s">
        <v>666</v>
      </c>
      <c r="B24" s="226">
        <v>-7.5896060987664313E-2</v>
      </c>
      <c r="C24" s="226">
        <v>-9.2983941852687333E-18</v>
      </c>
      <c r="D24" s="226">
        <v>-7.5896060987664313E-2</v>
      </c>
      <c r="E24" s="226">
        <v>7.5896060987664313E-2</v>
      </c>
      <c r="F24" s="226"/>
      <c r="G24" s="226"/>
      <c r="H24" s="226"/>
      <c r="L24" s="223">
        <v>7</v>
      </c>
      <c r="R24" s="224">
        <v>8</v>
      </c>
      <c r="T24" s="217" t="s">
        <v>901</v>
      </c>
    </row>
    <row r="25" spans="1:20">
      <c r="A25" s="226" t="s">
        <v>637</v>
      </c>
      <c r="B25" s="226"/>
      <c r="C25" s="226"/>
      <c r="D25" s="226"/>
      <c r="E25" s="226"/>
      <c r="F25" s="226"/>
      <c r="G25" s="226"/>
      <c r="H25" s="226"/>
      <c r="L25" s="223">
        <v>7</v>
      </c>
      <c r="R25" s="224">
        <v>8</v>
      </c>
      <c r="T25" s="217" t="s">
        <v>902</v>
      </c>
    </row>
    <row r="26" spans="1:20">
      <c r="A26" s="226"/>
      <c r="B26" s="226"/>
      <c r="C26" s="226"/>
      <c r="D26" s="226"/>
      <c r="E26" s="226"/>
      <c r="F26" s="226"/>
      <c r="G26" s="226"/>
      <c r="H26" s="226"/>
      <c r="L26" s="223">
        <v>7</v>
      </c>
      <c r="R26" s="224">
        <v>8</v>
      </c>
      <c r="T26" s="217" t="s">
        <v>903</v>
      </c>
    </row>
    <row r="27" spans="1:20">
      <c r="A27" s="226" t="s">
        <v>243</v>
      </c>
      <c r="B27" s="226" t="s">
        <v>1562</v>
      </c>
      <c r="C27" s="226" t="s">
        <v>1563</v>
      </c>
      <c r="D27" s="226" t="s">
        <v>1564</v>
      </c>
      <c r="E27" s="226" t="s">
        <v>1565</v>
      </c>
      <c r="F27" s="226"/>
      <c r="G27" s="226"/>
      <c r="H27" s="226"/>
      <c r="L27" s="223">
        <v>7</v>
      </c>
      <c r="R27" s="224">
        <v>8</v>
      </c>
    </row>
    <row r="28" spans="1:20">
      <c r="A28" s="226" t="s">
        <v>537</v>
      </c>
      <c r="B28" s="226">
        <v>0</v>
      </c>
      <c r="C28" s="226">
        <v>-30</v>
      </c>
      <c r="D28" s="226">
        <v>45</v>
      </c>
      <c r="E28" s="226">
        <v>-45</v>
      </c>
      <c r="F28" s="226" t="s">
        <v>538</v>
      </c>
      <c r="G28" s="226" t="s">
        <v>652</v>
      </c>
      <c r="H28" s="226"/>
      <c r="L28" s="223">
        <v>7</v>
      </c>
      <c r="R28" s="224">
        <v>8</v>
      </c>
    </row>
    <row r="29" spans="1:20">
      <c r="A29" s="226" t="s">
        <v>541</v>
      </c>
      <c r="B29" s="226">
        <v>0</v>
      </c>
      <c r="C29" s="226">
        <v>0</v>
      </c>
      <c r="D29" s="226">
        <v>0</v>
      </c>
      <c r="E29" s="226">
        <v>0</v>
      </c>
      <c r="F29" s="226">
        <v>0</v>
      </c>
      <c r="G29" s="226">
        <v>0</v>
      </c>
      <c r="H29" s="226"/>
      <c r="L29" s="223">
        <v>7</v>
      </c>
      <c r="M29" s="217">
        <v>263</v>
      </c>
      <c r="N29" s="217">
        <v>33</v>
      </c>
      <c r="O29" s="217">
        <v>70</v>
      </c>
      <c r="R29" s="224">
        <v>8</v>
      </c>
    </row>
    <row r="30" spans="1:20">
      <c r="A30" s="226" t="s">
        <v>648</v>
      </c>
      <c r="B30" s="226">
        <v>0</v>
      </c>
      <c r="C30" s="226">
        <v>-0.52359877559829882</v>
      </c>
      <c r="D30" s="226">
        <v>0.78539816339744828</v>
      </c>
      <c r="E30" s="226">
        <v>-0.78539816339744828</v>
      </c>
      <c r="F30" s="226"/>
      <c r="G30" s="226" t="s">
        <v>683</v>
      </c>
      <c r="H30" s="226"/>
      <c r="L30" s="223">
        <v>7</v>
      </c>
      <c r="R30" s="224">
        <v>8</v>
      </c>
    </row>
    <row r="31" spans="1:20">
      <c r="A31" s="226" t="s">
        <v>653</v>
      </c>
      <c r="B31" s="226">
        <v>1</v>
      </c>
      <c r="C31" s="226">
        <v>0.86602540378443871</v>
      </c>
      <c r="D31" s="226">
        <v>0.70710678118654757</v>
      </c>
      <c r="E31" s="226">
        <v>0.70710678118654757</v>
      </c>
      <c r="F31" s="226"/>
      <c r="G31" s="226">
        <v>0.05</v>
      </c>
      <c r="H31" s="226"/>
      <c r="L31" s="223">
        <v>7</v>
      </c>
      <c r="R31" s="224">
        <v>8</v>
      </c>
    </row>
    <row r="32" spans="1:20">
      <c r="A32" s="226" t="s">
        <v>654</v>
      </c>
      <c r="B32" s="226">
        <v>0</v>
      </c>
      <c r="C32" s="226">
        <v>-0.5</v>
      </c>
      <c r="D32" s="226">
        <v>0.70710678118654746</v>
      </c>
      <c r="E32" s="226">
        <v>-0.70710678118654746</v>
      </c>
      <c r="F32" s="226"/>
      <c r="G32" s="226" t="s">
        <v>655</v>
      </c>
      <c r="H32" s="226"/>
      <c r="L32" s="223">
        <v>7</v>
      </c>
      <c r="R32" s="224">
        <v>8</v>
      </c>
    </row>
    <row r="33" spans="1:18">
      <c r="A33" s="226" t="s">
        <v>690</v>
      </c>
      <c r="B33" s="226">
        <v>7.17</v>
      </c>
      <c r="C33" s="226">
        <v>6.2358333333333338</v>
      </c>
      <c r="D33" s="226">
        <v>5.3016666666666676</v>
      </c>
      <c r="E33" s="226">
        <v>5.3016666666666676</v>
      </c>
      <c r="F33" s="226"/>
      <c r="G33" s="226">
        <v>0</v>
      </c>
      <c r="H33" s="226"/>
      <c r="L33" s="223">
        <v>7</v>
      </c>
      <c r="R33" s="224">
        <v>8</v>
      </c>
    </row>
    <row r="34" spans="1:18">
      <c r="A34" s="226" t="s">
        <v>692</v>
      </c>
      <c r="B34" s="226">
        <v>3.433333333333334</v>
      </c>
      <c r="C34" s="226">
        <v>4.3674999999999997</v>
      </c>
      <c r="D34" s="226">
        <v>5.3016666666666667</v>
      </c>
      <c r="E34" s="226">
        <v>5.3016666666666667</v>
      </c>
      <c r="F34" s="226"/>
      <c r="G34" s="226"/>
      <c r="H34" s="226"/>
      <c r="L34" s="223">
        <v>7</v>
      </c>
      <c r="R34" s="225">
        <v>8</v>
      </c>
    </row>
    <row r="35" spans="1:18">
      <c r="A35" s="226" t="s">
        <v>660</v>
      </c>
      <c r="B35" s="226">
        <v>0</v>
      </c>
      <c r="C35" s="226">
        <v>-1.6180241294039257</v>
      </c>
      <c r="D35" s="226">
        <v>1.868333333333333</v>
      </c>
      <c r="E35" s="226">
        <v>-1.868333333333333</v>
      </c>
      <c r="F35" s="226"/>
      <c r="G35" s="226"/>
      <c r="H35" s="226"/>
      <c r="L35" s="223">
        <v>7</v>
      </c>
      <c r="R35" s="224">
        <v>8</v>
      </c>
    </row>
    <row r="36" spans="1:18">
      <c r="A36" s="226" t="s">
        <v>662</v>
      </c>
      <c r="B36" s="226">
        <v>0.29126213592233002</v>
      </c>
      <c r="C36" s="226">
        <v>0.25331410542849786</v>
      </c>
      <c r="D36" s="226">
        <v>0.21536607493466572</v>
      </c>
      <c r="E36" s="226">
        <v>0.21536607493466572</v>
      </c>
      <c r="F36" s="226"/>
      <c r="G36" s="226"/>
      <c r="H36" s="226"/>
      <c r="L36" s="223">
        <v>7</v>
      </c>
      <c r="R36" s="224">
        <v>8</v>
      </c>
    </row>
    <row r="37" spans="1:18">
      <c r="A37" s="226" t="s">
        <v>665</v>
      </c>
      <c r="B37" s="226">
        <v>0.1394700139470014</v>
      </c>
      <c r="C37" s="226">
        <v>0.17741804444083353</v>
      </c>
      <c r="D37" s="226">
        <v>0.21536607493466567</v>
      </c>
      <c r="E37" s="226">
        <v>0.21536607493466567</v>
      </c>
      <c r="F37" s="226"/>
      <c r="G37" s="226"/>
      <c r="H37" s="226"/>
      <c r="L37" s="223">
        <v>15</v>
      </c>
      <c r="M37" s="217">
        <v>365</v>
      </c>
      <c r="N37" s="217">
        <v>11</v>
      </c>
      <c r="O37" s="217">
        <v>177</v>
      </c>
      <c r="P37" s="217">
        <v>227</v>
      </c>
      <c r="Q37" s="217" t="s">
        <v>904</v>
      </c>
      <c r="R37" s="224">
        <v>9</v>
      </c>
    </row>
    <row r="38" spans="1:18">
      <c r="A38" s="226" t="s">
        <v>666</v>
      </c>
      <c r="B38" s="226">
        <v>0</v>
      </c>
      <c r="C38" s="226">
        <v>6.5727916862490354E-2</v>
      </c>
      <c r="D38" s="226">
        <v>-7.5896060987664313E-2</v>
      </c>
      <c r="E38" s="226">
        <v>7.5896060987664313E-2</v>
      </c>
      <c r="F38" s="226"/>
      <c r="G38" s="226"/>
      <c r="H38" s="226"/>
      <c r="L38" s="223">
        <v>1</v>
      </c>
      <c r="M38" s="217">
        <v>260</v>
      </c>
      <c r="N38" s="217">
        <v>258</v>
      </c>
      <c r="O38" s="218">
        <v>88</v>
      </c>
      <c r="Q38" s="217" t="s">
        <v>462</v>
      </c>
      <c r="R38" s="224"/>
    </row>
    <row r="39" spans="1:18">
      <c r="A39" s="226" t="s">
        <v>637</v>
      </c>
      <c r="B39" s="226"/>
      <c r="C39" s="226"/>
      <c r="D39" s="226"/>
      <c r="E39" s="226"/>
      <c r="F39" s="226"/>
      <c r="G39" s="226"/>
      <c r="H39" s="226"/>
      <c r="L39" s="223">
        <v>2</v>
      </c>
      <c r="M39" s="217">
        <v>147</v>
      </c>
      <c r="N39" s="217">
        <v>258</v>
      </c>
      <c r="O39" s="217">
        <v>88</v>
      </c>
      <c r="Q39" s="217" t="s">
        <v>464</v>
      </c>
      <c r="R39" s="224"/>
    </row>
    <row r="40" spans="1:18" ht="13.2" thickBot="1">
      <c r="A40" s="226"/>
      <c r="B40" s="226"/>
      <c r="C40" s="226"/>
      <c r="D40" s="226"/>
      <c r="E40" s="226"/>
      <c r="F40" s="226"/>
      <c r="G40" s="226"/>
      <c r="H40" s="226"/>
      <c r="L40" s="227">
        <v>13</v>
      </c>
      <c r="M40" s="228">
        <v>33</v>
      </c>
      <c r="N40" s="228">
        <v>252</v>
      </c>
      <c r="O40" s="228">
        <v>84</v>
      </c>
      <c r="P40" s="228">
        <v>33</v>
      </c>
      <c r="Q40" s="228" t="s">
        <v>306</v>
      </c>
      <c r="R40" s="229" t="b">
        <v>0</v>
      </c>
    </row>
    <row r="41" spans="1:18">
      <c r="A41" s="226" t="s">
        <v>243</v>
      </c>
      <c r="B41" s="226" t="s">
        <v>1562</v>
      </c>
      <c r="C41" s="226" t="s">
        <v>1563</v>
      </c>
      <c r="D41" s="226" t="s">
        <v>1564</v>
      </c>
      <c r="E41" s="226" t="s">
        <v>1565</v>
      </c>
      <c r="F41" s="226"/>
      <c r="G41" s="226"/>
      <c r="H41" s="226"/>
    </row>
    <row r="42" spans="1:18">
      <c r="A42" s="226" t="s">
        <v>537</v>
      </c>
      <c r="B42" s="226">
        <v>0</v>
      </c>
      <c r="C42" s="226">
        <v>90</v>
      </c>
      <c r="D42" s="226">
        <v>0</v>
      </c>
      <c r="E42" s="226">
        <v>90</v>
      </c>
      <c r="F42" s="226" t="s">
        <v>538</v>
      </c>
      <c r="G42" s="226" t="s">
        <v>652</v>
      </c>
      <c r="H42" s="226"/>
    </row>
    <row r="43" spans="1:18">
      <c r="A43" s="226" t="s">
        <v>541</v>
      </c>
      <c r="B43" s="226">
        <v>0</v>
      </c>
      <c r="C43" s="226">
        <v>0</v>
      </c>
      <c r="D43" s="226">
        <v>0</v>
      </c>
      <c r="E43" s="226">
        <v>0</v>
      </c>
      <c r="F43" s="226">
        <v>1</v>
      </c>
      <c r="G43" s="226">
        <v>0</v>
      </c>
      <c r="H43" s="226"/>
      <c r="P43" s="218"/>
    </row>
    <row r="44" spans="1:18">
      <c r="A44" s="226" t="s">
        <v>648</v>
      </c>
      <c r="B44" s="226">
        <v>0</v>
      </c>
      <c r="C44" s="226">
        <v>1.5707963267948966</v>
      </c>
      <c r="D44" s="226">
        <v>0</v>
      </c>
      <c r="E44" s="226">
        <v>1.5707963267948966</v>
      </c>
      <c r="F44" s="226"/>
      <c r="G44" s="226" t="s">
        <v>683</v>
      </c>
      <c r="H44" s="226"/>
    </row>
    <row r="45" spans="1:18">
      <c r="A45" s="226" t="s">
        <v>653</v>
      </c>
      <c r="B45" s="226">
        <v>1</v>
      </c>
      <c r="C45" s="226">
        <v>6.1257422745431001E-17</v>
      </c>
      <c r="D45" s="226">
        <v>1</v>
      </c>
      <c r="E45" s="226">
        <v>6.1257422745431001E-17</v>
      </c>
      <c r="F45" s="226"/>
      <c r="G45" s="226">
        <v>0.05</v>
      </c>
      <c r="H45" s="226"/>
    </row>
    <row r="46" spans="1:18">
      <c r="A46" s="226" t="s">
        <v>654</v>
      </c>
      <c r="B46" s="226">
        <v>0</v>
      </c>
      <c r="C46" s="226">
        <v>1</v>
      </c>
      <c r="D46" s="226">
        <v>0</v>
      </c>
      <c r="E46" s="226">
        <v>1</v>
      </c>
      <c r="F46" s="226"/>
      <c r="G46" s="226" t="s">
        <v>655</v>
      </c>
      <c r="H46" s="226"/>
    </row>
    <row r="47" spans="1:18">
      <c r="A47" s="226" t="s">
        <v>690</v>
      </c>
      <c r="B47" s="226">
        <v>7.17</v>
      </c>
      <c r="C47" s="226">
        <v>3.433333333333334</v>
      </c>
      <c r="D47" s="226">
        <v>7.17</v>
      </c>
      <c r="E47" s="226">
        <v>3.433333333333334</v>
      </c>
      <c r="F47" s="226"/>
      <c r="G47" s="226">
        <v>0</v>
      </c>
      <c r="H47" s="226"/>
    </row>
    <row r="48" spans="1:18">
      <c r="A48" s="226" t="s">
        <v>692</v>
      </c>
      <c r="B48" s="226">
        <v>3.433333333333334</v>
      </c>
      <c r="C48" s="226">
        <v>7.17</v>
      </c>
      <c r="D48" s="226">
        <v>3.433333333333334</v>
      </c>
      <c r="E48" s="226">
        <v>7.17</v>
      </c>
      <c r="F48" s="226"/>
      <c r="G48" s="226"/>
      <c r="H48" s="226"/>
    </row>
    <row r="49" spans="1:8">
      <c r="A49" s="226" t="s">
        <v>660</v>
      </c>
      <c r="B49" s="226">
        <v>0</v>
      </c>
      <c r="C49" s="226">
        <v>2.2889856965876046E-16</v>
      </c>
      <c r="D49" s="226">
        <v>0</v>
      </c>
      <c r="E49" s="226">
        <v>2.2889856965876046E-16</v>
      </c>
      <c r="F49" s="226"/>
      <c r="G49" s="226"/>
      <c r="H49" s="226"/>
    </row>
    <row r="50" spans="1:8">
      <c r="A50" s="226" t="s">
        <v>662</v>
      </c>
      <c r="B50" s="226">
        <v>0.29126213592233002</v>
      </c>
      <c r="C50" s="226">
        <v>0.1394700139470014</v>
      </c>
      <c r="D50" s="226">
        <v>0.29126213592233002</v>
      </c>
      <c r="E50" s="226">
        <v>0.1394700139470014</v>
      </c>
      <c r="F50" s="226"/>
      <c r="G50" s="226"/>
      <c r="H50" s="226"/>
    </row>
    <row r="51" spans="1:8">
      <c r="A51" s="226" t="s">
        <v>665</v>
      </c>
      <c r="B51" s="226">
        <v>0.1394700139470014</v>
      </c>
      <c r="C51" s="226">
        <v>0.29126213592233002</v>
      </c>
      <c r="D51" s="226">
        <v>0.1394700139470014</v>
      </c>
      <c r="E51" s="226">
        <v>0.29126213592233002</v>
      </c>
      <c r="F51" s="226"/>
      <c r="G51" s="226"/>
      <c r="H51" s="226"/>
    </row>
    <row r="52" spans="1:8">
      <c r="A52" s="226" t="s">
        <v>666</v>
      </c>
      <c r="B52" s="226">
        <v>0</v>
      </c>
      <c r="C52" s="226">
        <v>-9.2983941852687333E-18</v>
      </c>
      <c r="D52" s="226">
        <v>0</v>
      </c>
      <c r="E52" s="226">
        <v>-9.2983941852687333E-18</v>
      </c>
      <c r="F52" s="226"/>
      <c r="G52" s="226"/>
      <c r="H52" s="226"/>
    </row>
    <row r="53" spans="1:8">
      <c r="A53" s="226" t="s">
        <v>637</v>
      </c>
      <c r="B53" s="226"/>
      <c r="C53" s="226"/>
      <c r="D53" s="226"/>
      <c r="E53" s="226"/>
      <c r="F53" s="226"/>
      <c r="G53" s="226"/>
      <c r="H53" s="226"/>
    </row>
    <row r="54" spans="1:8">
      <c r="A54" s="226"/>
      <c r="B54" s="226"/>
      <c r="C54" s="226"/>
      <c r="D54" s="226"/>
      <c r="E54" s="226"/>
      <c r="F54" s="226"/>
      <c r="G54" s="226"/>
      <c r="H54" s="226"/>
    </row>
    <row r="55" spans="1:8">
      <c r="A55" s="226" t="s">
        <v>243</v>
      </c>
      <c r="B55" s="226" t="s">
        <v>1562</v>
      </c>
      <c r="C55" s="226" t="s">
        <v>1563</v>
      </c>
      <c r="D55" s="226" t="s">
        <v>1564</v>
      </c>
      <c r="E55" s="226" t="s">
        <v>1565</v>
      </c>
      <c r="F55" s="226"/>
      <c r="G55" s="226"/>
      <c r="H55" s="226"/>
    </row>
    <row r="56" spans="1:8">
      <c r="A56" s="226" t="s">
        <v>537</v>
      </c>
      <c r="B56" s="226">
        <v>0</v>
      </c>
      <c r="C56" s="226">
        <v>90</v>
      </c>
      <c r="D56" s="226">
        <v>0</v>
      </c>
      <c r="E56" s="226">
        <v>90</v>
      </c>
      <c r="F56" s="226" t="s">
        <v>538</v>
      </c>
      <c r="G56" s="226" t="s">
        <v>652</v>
      </c>
      <c r="H56" s="226"/>
    </row>
    <row r="57" spans="1:8">
      <c r="A57" s="226" t="s">
        <v>541</v>
      </c>
      <c r="B57" s="226">
        <v>0</v>
      </c>
      <c r="C57" s="226">
        <v>0</v>
      </c>
      <c r="D57" s="226">
        <v>0</v>
      </c>
      <c r="E57" s="226">
        <v>0</v>
      </c>
      <c r="F57" s="226">
        <v>1</v>
      </c>
      <c r="G57" s="226">
        <v>0</v>
      </c>
      <c r="H57" s="226"/>
    </row>
    <row r="58" spans="1:8">
      <c r="A58" s="226" t="s">
        <v>648</v>
      </c>
      <c r="B58" s="226">
        <v>0</v>
      </c>
      <c r="C58" s="226">
        <v>1.5707963267948966</v>
      </c>
      <c r="D58" s="226">
        <v>0</v>
      </c>
      <c r="E58" s="226">
        <v>1.5707963267948966</v>
      </c>
      <c r="F58" s="226"/>
      <c r="G58" s="226" t="s">
        <v>683</v>
      </c>
      <c r="H58" s="226"/>
    </row>
    <row r="59" spans="1:8">
      <c r="A59" s="226" t="s">
        <v>653</v>
      </c>
      <c r="B59" s="226">
        <v>1</v>
      </c>
      <c r="C59" s="226">
        <v>6.1257422745431001E-17</v>
      </c>
      <c r="D59" s="226">
        <v>1</v>
      </c>
      <c r="E59" s="226">
        <v>6.1257422745431001E-17</v>
      </c>
      <c r="F59" s="226"/>
      <c r="G59" s="226">
        <v>0.05</v>
      </c>
      <c r="H59" s="226"/>
    </row>
    <row r="60" spans="1:8">
      <c r="A60" s="226" t="s">
        <v>654</v>
      </c>
      <c r="B60" s="226">
        <v>0</v>
      </c>
      <c r="C60" s="226">
        <v>1</v>
      </c>
      <c r="D60" s="226">
        <v>0</v>
      </c>
      <c r="E60" s="226">
        <v>1</v>
      </c>
      <c r="F60" s="226"/>
      <c r="G60" s="226" t="s">
        <v>655</v>
      </c>
      <c r="H60" s="226"/>
    </row>
    <row r="61" spans="1:8">
      <c r="A61" s="226" t="s">
        <v>690</v>
      </c>
      <c r="B61" s="226">
        <v>7.17</v>
      </c>
      <c r="C61" s="226">
        <v>3.433333333333334</v>
      </c>
      <c r="D61" s="226">
        <v>7.17</v>
      </c>
      <c r="E61" s="226">
        <v>3.433333333333334</v>
      </c>
      <c r="F61" s="226"/>
      <c r="G61" s="226">
        <v>0</v>
      </c>
      <c r="H61" s="226"/>
    </row>
    <row r="62" spans="1:8">
      <c r="A62" s="226" t="s">
        <v>692</v>
      </c>
      <c r="B62" s="226">
        <v>3.433333333333334</v>
      </c>
      <c r="C62" s="226">
        <v>7.17</v>
      </c>
      <c r="D62" s="226">
        <v>3.433333333333334</v>
      </c>
      <c r="E62" s="226">
        <v>7.17</v>
      </c>
      <c r="F62" s="226"/>
      <c r="G62" s="226"/>
      <c r="H62" s="226"/>
    </row>
    <row r="63" spans="1:8">
      <c r="A63" s="226" t="s">
        <v>660</v>
      </c>
      <c r="B63" s="226">
        <v>0</v>
      </c>
      <c r="C63" s="226">
        <v>2.2889856965876046E-16</v>
      </c>
      <c r="D63" s="226">
        <v>0</v>
      </c>
      <c r="E63" s="226">
        <v>2.2889856965876046E-16</v>
      </c>
      <c r="F63" s="226"/>
      <c r="G63" s="226"/>
      <c r="H63" s="226"/>
    </row>
    <row r="64" spans="1:8">
      <c r="A64" s="226" t="s">
        <v>662</v>
      </c>
      <c r="B64" s="226">
        <v>0.29126213592233002</v>
      </c>
      <c r="C64" s="226">
        <v>0.1394700139470014</v>
      </c>
      <c r="D64" s="226">
        <v>0.29126213592233002</v>
      </c>
      <c r="E64" s="226">
        <v>0.1394700139470014</v>
      </c>
      <c r="F64" s="226"/>
      <c r="G64" s="226"/>
      <c r="H64" s="226"/>
    </row>
    <row r="65" spans="1:8">
      <c r="A65" s="226" t="s">
        <v>665</v>
      </c>
      <c r="B65" s="226">
        <v>0.1394700139470014</v>
      </c>
      <c r="C65" s="226">
        <v>0.29126213592233002</v>
      </c>
      <c r="D65" s="226">
        <v>0.1394700139470014</v>
      </c>
      <c r="E65" s="226">
        <v>0.29126213592233002</v>
      </c>
      <c r="F65" s="226"/>
      <c r="G65" s="226"/>
      <c r="H65" s="226"/>
    </row>
    <row r="66" spans="1:8">
      <c r="A66" s="226" t="s">
        <v>666</v>
      </c>
      <c r="B66" s="226">
        <v>0</v>
      </c>
      <c r="C66" s="226">
        <v>-9.2983941852687333E-18</v>
      </c>
      <c r="D66" s="226">
        <v>0</v>
      </c>
      <c r="E66" s="226">
        <v>-9.2983941852687333E-18</v>
      </c>
      <c r="F66" s="226"/>
      <c r="G66" s="226"/>
      <c r="H66" s="226"/>
    </row>
    <row r="67" spans="1:8">
      <c r="A67" s="226" t="s">
        <v>637</v>
      </c>
      <c r="B67" s="226"/>
      <c r="C67" s="226"/>
      <c r="D67" s="226"/>
      <c r="E67" s="226"/>
      <c r="F67" s="226"/>
      <c r="G67" s="226"/>
      <c r="H67" s="226"/>
    </row>
    <row r="68" spans="1:8">
      <c r="A68" s="226"/>
      <c r="B68" s="226"/>
      <c r="C68" s="226"/>
      <c r="D68" s="226"/>
      <c r="E68" s="226"/>
      <c r="F68" s="226"/>
      <c r="G68" s="226"/>
      <c r="H68" s="226"/>
    </row>
    <row r="69" spans="1:8">
      <c r="A69" s="226" t="s">
        <v>243</v>
      </c>
      <c r="B69" s="226" t="s">
        <v>1562</v>
      </c>
      <c r="C69" s="226" t="s">
        <v>1563</v>
      </c>
      <c r="D69" s="226" t="s">
        <v>1564</v>
      </c>
      <c r="E69" s="226" t="s">
        <v>1565</v>
      </c>
      <c r="F69" s="226"/>
      <c r="G69" s="226"/>
      <c r="H69" s="226"/>
    </row>
    <row r="70" spans="1:8">
      <c r="A70" s="226" t="s">
        <v>537</v>
      </c>
      <c r="B70" s="226">
        <v>0</v>
      </c>
      <c r="C70" s="226">
        <v>90</v>
      </c>
      <c r="D70" s="226">
        <v>0</v>
      </c>
      <c r="E70" s="226">
        <v>90</v>
      </c>
      <c r="F70" s="226" t="s">
        <v>538</v>
      </c>
      <c r="G70" s="226" t="s">
        <v>652</v>
      </c>
      <c r="H70" s="226"/>
    </row>
    <row r="71" spans="1:8">
      <c r="A71" s="226" t="s">
        <v>541</v>
      </c>
      <c r="B71" s="226">
        <v>0</v>
      </c>
      <c r="C71" s="226">
        <v>0</v>
      </c>
      <c r="D71" s="226">
        <v>0</v>
      </c>
      <c r="E71" s="226">
        <v>0</v>
      </c>
      <c r="F71" s="226">
        <v>1</v>
      </c>
      <c r="G71" s="226">
        <v>0</v>
      </c>
      <c r="H71" s="226"/>
    </row>
    <row r="72" spans="1:8">
      <c r="A72" s="226" t="s">
        <v>648</v>
      </c>
      <c r="B72" s="226">
        <v>0</v>
      </c>
      <c r="C72" s="226">
        <v>1.5707963267948966</v>
      </c>
      <c r="D72" s="226">
        <v>0</v>
      </c>
      <c r="E72" s="226">
        <v>1.5707963267948966</v>
      </c>
      <c r="F72" s="226"/>
      <c r="G72" s="226" t="s">
        <v>683</v>
      </c>
      <c r="H72" s="226"/>
    </row>
    <row r="73" spans="1:8">
      <c r="A73" s="226" t="s">
        <v>653</v>
      </c>
      <c r="B73" s="226">
        <v>1</v>
      </c>
      <c r="C73" s="226">
        <v>6.1257422745431001E-17</v>
      </c>
      <c r="D73" s="226">
        <v>1</v>
      </c>
      <c r="E73" s="226">
        <v>6.1257422745431001E-17</v>
      </c>
      <c r="F73" s="226"/>
      <c r="G73" s="226">
        <v>0.05</v>
      </c>
      <c r="H73" s="226"/>
    </row>
    <row r="74" spans="1:8">
      <c r="A74" s="226" t="s">
        <v>654</v>
      </c>
      <c r="B74" s="226">
        <v>0</v>
      </c>
      <c r="C74" s="226">
        <v>1</v>
      </c>
      <c r="D74" s="226">
        <v>0</v>
      </c>
      <c r="E74" s="226">
        <v>1</v>
      </c>
      <c r="F74" s="226"/>
      <c r="G74" s="226" t="s">
        <v>655</v>
      </c>
      <c r="H74" s="226"/>
    </row>
    <row r="75" spans="1:8">
      <c r="A75" s="226" t="s">
        <v>690</v>
      </c>
      <c r="B75" s="226">
        <v>7.17</v>
      </c>
      <c r="C75" s="226">
        <v>3.433333333333334</v>
      </c>
      <c r="D75" s="226">
        <v>7.17</v>
      </c>
      <c r="E75" s="226">
        <v>3.433333333333334</v>
      </c>
      <c r="F75" s="226"/>
      <c r="G75" s="226">
        <v>0</v>
      </c>
      <c r="H75" s="226"/>
    </row>
    <row r="76" spans="1:8">
      <c r="A76" s="226" t="s">
        <v>692</v>
      </c>
      <c r="B76" s="226">
        <v>3.433333333333334</v>
      </c>
      <c r="C76" s="226">
        <v>7.17</v>
      </c>
      <c r="D76" s="226">
        <v>3.433333333333334</v>
      </c>
      <c r="E76" s="226">
        <v>7.17</v>
      </c>
      <c r="F76" s="226"/>
      <c r="G76" s="226"/>
      <c r="H76" s="226"/>
    </row>
    <row r="77" spans="1:8">
      <c r="A77" s="226" t="s">
        <v>660</v>
      </c>
      <c r="B77" s="226">
        <v>0</v>
      </c>
      <c r="C77" s="226">
        <v>2.2889856965876046E-16</v>
      </c>
      <c r="D77" s="226">
        <v>0</v>
      </c>
      <c r="E77" s="226">
        <v>2.2889856965876046E-16</v>
      </c>
      <c r="F77" s="226"/>
      <c r="G77" s="226"/>
      <c r="H77" s="226"/>
    </row>
    <row r="78" spans="1:8">
      <c r="A78" s="226" t="s">
        <v>662</v>
      </c>
      <c r="B78" s="226">
        <v>0.29126213592233002</v>
      </c>
      <c r="C78" s="226">
        <v>0.1394700139470014</v>
      </c>
      <c r="D78" s="226">
        <v>0.29126213592233002</v>
      </c>
      <c r="E78" s="226">
        <v>0.1394700139470014</v>
      </c>
      <c r="F78" s="226"/>
      <c r="G78" s="226"/>
      <c r="H78" s="226"/>
    </row>
    <row r="79" spans="1:8">
      <c r="A79" s="226" t="s">
        <v>665</v>
      </c>
      <c r="B79" s="226">
        <v>0.1394700139470014</v>
      </c>
      <c r="C79" s="226">
        <v>0.29126213592233002</v>
      </c>
      <c r="D79" s="226">
        <v>0.1394700139470014</v>
      </c>
      <c r="E79" s="226">
        <v>0.29126213592233002</v>
      </c>
      <c r="F79" s="226"/>
      <c r="G79" s="226"/>
      <c r="H79" s="226"/>
    </row>
    <row r="80" spans="1:8">
      <c r="A80" s="226" t="s">
        <v>666</v>
      </c>
      <c r="B80" s="226">
        <v>0</v>
      </c>
      <c r="C80" s="226">
        <v>-9.2983941852687333E-18</v>
      </c>
      <c r="D80" s="226">
        <v>0</v>
      </c>
      <c r="E80" s="226">
        <v>-9.2983941852687333E-18</v>
      </c>
      <c r="F80" s="226"/>
      <c r="G80" s="226"/>
      <c r="H80" s="226"/>
    </row>
    <row r="81" spans="1:8">
      <c r="A81" s="226" t="s">
        <v>637</v>
      </c>
      <c r="B81" s="226"/>
      <c r="C81" s="226"/>
      <c r="D81" s="226"/>
      <c r="E81" s="226"/>
      <c r="F81" s="226"/>
      <c r="G81" s="226"/>
      <c r="H81" s="226"/>
    </row>
    <row r="82" spans="1:8">
      <c r="A82" s="226"/>
      <c r="B82" s="226"/>
      <c r="C82" s="226"/>
      <c r="D82" s="226"/>
      <c r="E82" s="226"/>
      <c r="F82" s="226"/>
      <c r="G82" s="226"/>
      <c r="H82" s="226"/>
    </row>
    <row r="83" spans="1:8">
      <c r="A83" s="226" t="s">
        <v>243</v>
      </c>
      <c r="B83" s="226" t="s">
        <v>1562</v>
      </c>
      <c r="C83" s="226" t="s">
        <v>1563</v>
      </c>
      <c r="D83" s="226" t="s">
        <v>1564</v>
      </c>
      <c r="E83" s="226" t="s">
        <v>1565</v>
      </c>
      <c r="F83" s="226"/>
      <c r="G83" s="226"/>
      <c r="H83" s="226"/>
    </row>
    <row r="84" spans="1:8">
      <c r="A84" s="226" t="s">
        <v>537</v>
      </c>
      <c r="B84" s="226">
        <v>0</v>
      </c>
      <c r="C84" s="226">
        <v>90</v>
      </c>
      <c r="D84" s="226">
        <v>0</v>
      </c>
      <c r="E84" s="226">
        <v>90</v>
      </c>
      <c r="F84" s="226" t="s">
        <v>538</v>
      </c>
      <c r="G84" s="226" t="s">
        <v>652</v>
      </c>
      <c r="H84" s="226"/>
    </row>
    <row r="85" spans="1:8">
      <c r="A85" s="226" t="s">
        <v>541</v>
      </c>
      <c r="B85" s="226">
        <v>0</v>
      </c>
      <c r="C85" s="226">
        <v>0</v>
      </c>
      <c r="D85" s="226">
        <v>0</v>
      </c>
      <c r="E85" s="226">
        <v>0</v>
      </c>
      <c r="F85" s="226">
        <v>1</v>
      </c>
      <c r="G85" s="226">
        <v>0</v>
      </c>
      <c r="H85" s="226"/>
    </row>
    <row r="86" spans="1:8">
      <c r="A86" s="226" t="s">
        <v>648</v>
      </c>
      <c r="B86" s="226">
        <v>0</v>
      </c>
      <c r="C86" s="226">
        <v>1.5707963267948966</v>
      </c>
      <c r="D86" s="226">
        <v>0</v>
      </c>
      <c r="E86" s="226">
        <v>1.5707963267948966</v>
      </c>
      <c r="F86" s="226"/>
      <c r="G86" s="226" t="s">
        <v>683</v>
      </c>
      <c r="H86" s="226"/>
    </row>
    <row r="87" spans="1:8">
      <c r="A87" s="226" t="s">
        <v>653</v>
      </c>
      <c r="B87" s="226">
        <v>1</v>
      </c>
      <c r="C87" s="226">
        <v>6.1257422745431001E-17</v>
      </c>
      <c r="D87" s="226">
        <v>1</v>
      </c>
      <c r="E87" s="226">
        <v>6.1257422745431001E-17</v>
      </c>
      <c r="F87" s="226"/>
      <c r="G87" s="226">
        <v>0.05</v>
      </c>
      <c r="H87" s="226"/>
    </row>
    <row r="88" spans="1:8">
      <c r="A88" s="226" t="s">
        <v>654</v>
      </c>
      <c r="B88" s="226">
        <v>0</v>
      </c>
      <c r="C88" s="226">
        <v>1</v>
      </c>
      <c r="D88" s="226">
        <v>0</v>
      </c>
      <c r="E88" s="226">
        <v>1</v>
      </c>
      <c r="F88" s="226"/>
      <c r="G88" s="226" t="s">
        <v>655</v>
      </c>
      <c r="H88" s="226"/>
    </row>
    <row r="89" spans="1:8">
      <c r="A89" s="226" t="s">
        <v>690</v>
      </c>
      <c r="B89" s="226">
        <v>7.17</v>
      </c>
      <c r="C89" s="226">
        <v>3.433333333333334</v>
      </c>
      <c r="D89" s="226">
        <v>7.17</v>
      </c>
      <c r="E89" s="226">
        <v>3.433333333333334</v>
      </c>
      <c r="F89" s="226"/>
      <c r="G89" s="226">
        <v>0</v>
      </c>
      <c r="H89" s="226"/>
    </row>
    <row r="90" spans="1:8">
      <c r="A90" s="226" t="s">
        <v>692</v>
      </c>
      <c r="B90" s="226">
        <v>3.433333333333334</v>
      </c>
      <c r="C90" s="226">
        <v>7.17</v>
      </c>
      <c r="D90" s="226">
        <v>3.433333333333334</v>
      </c>
      <c r="E90" s="226">
        <v>7.17</v>
      </c>
      <c r="F90" s="226"/>
      <c r="G90" s="226"/>
      <c r="H90" s="226"/>
    </row>
    <row r="91" spans="1:8">
      <c r="A91" s="226" t="s">
        <v>660</v>
      </c>
      <c r="B91" s="226">
        <v>0</v>
      </c>
      <c r="C91" s="226">
        <v>2.2889856965876046E-16</v>
      </c>
      <c r="D91" s="226">
        <v>0</v>
      </c>
      <c r="E91" s="226">
        <v>2.2889856965876046E-16</v>
      </c>
      <c r="F91" s="226"/>
      <c r="G91" s="226"/>
      <c r="H91" s="226"/>
    </row>
    <row r="92" spans="1:8">
      <c r="A92" s="226" t="s">
        <v>662</v>
      </c>
      <c r="B92" s="226">
        <v>0.29126213592233002</v>
      </c>
      <c r="C92" s="226">
        <v>0.1394700139470014</v>
      </c>
      <c r="D92" s="226">
        <v>0.29126213592233002</v>
      </c>
      <c r="E92" s="226">
        <v>0.1394700139470014</v>
      </c>
      <c r="F92" s="226"/>
      <c r="G92" s="226"/>
      <c r="H92" s="226"/>
    </row>
    <row r="93" spans="1:8">
      <c r="A93" s="226" t="s">
        <v>665</v>
      </c>
      <c r="B93" s="226">
        <v>0.1394700139470014</v>
      </c>
      <c r="C93" s="226">
        <v>0.29126213592233002</v>
      </c>
      <c r="D93" s="226">
        <v>0.1394700139470014</v>
      </c>
      <c r="E93" s="226">
        <v>0.29126213592233002</v>
      </c>
      <c r="F93" s="226"/>
      <c r="G93" s="226"/>
      <c r="H93" s="226"/>
    </row>
    <row r="94" spans="1:8">
      <c r="A94" s="226" t="s">
        <v>666</v>
      </c>
      <c r="B94" s="226">
        <v>0</v>
      </c>
      <c r="C94" s="226">
        <v>-9.2983941852687333E-18</v>
      </c>
      <c r="D94" s="226">
        <v>0</v>
      </c>
      <c r="E94" s="226">
        <v>-9.2983941852687333E-18</v>
      </c>
      <c r="F94" s="226"/>
      <c r="G94" s="226"/>
      <c r="H94" s="226"/>
    </row>
    <row r="95" spans="1:8">
      <c r="A95" s="226" t="s">
        <v>637</v>
      </c>
      <c r="B95" s="226"/>
      <c r="C95" s="226"/>
      <c r="D95" s="226"/>
      <c r="E95" s="226"/>
      <c r="F95" s="226"/>
      <c r="G95" s="226"/>
      <c r="H95" s="226"/>
    </row>
    <row r="96" spans="1:8">
      <c r="A96" s="226"/>
      <c r="B96" s="226"/>
      <c r="C96" s="226"/>
      <c r="D96" s="226"/>
      <c r="E96" s="226"/>
      <c r="F96" s="226"/>
      <c r="G96" s="226"/>
      <c r="H96" s="226"/>
    </row>
    <row r="97" spans="1:8">
      <c r="A97" s="226" t="s">
        <v>243</v>
      </c>
      <c r="B97" s="226" t="s">
        <v>1562</v>
      </c>
      <c r="C97" s="226" t="s">
        <v>1563</v>
      </c>
      <c r="D97" s="226" t="s">
        <v>1564</v>
      </c>
      <c r="E97" s="226" t="s">
        <v>1565</v>
      </c>
      <c r="F97" s="226"/>
      <c r="G97" s="226"/>
      <c r="H97" s="226"/>
    </row>
    <row r="98" spans="1:8">
      <c r="A98" s="226" t="s">
        <v>537</v>
      </c>
      <c r="B98" s="226">
        <v>0</v>
      </c>
      <c r="C98" s="226">
        <v>90</v>
      </c>
      <c r="D98" s="226">
        <v>0</v>
      </c>
      <c r="E98" s="226">
        <v>90</v>
      </c>
      <c r="F98" s="226" t="s">
        <v>538</v>
      </c>
      <c r="G98" s="226" t="s">
        <v>652</v>
      </c>
      <c r="H98" s="226"/>
    </row>
    <row r="99" spans="1:8">
      <c r="A99" s="226" t="s">
        <v>541</v>
      </c>
      <c r="B99" s="226">
        <v>0</v>
      </c>
      <c r="C99" s="226">
        <v>0</v>
      </c>
      <c r="D99" s="226">
        <v>0</v>
      </c>
      <c r="E99" s="226">
        <v>0</v>
      </c>
      <c r="F99" s="226">
        <v>1</v>
      </c>
      <c r="G99" s="226">
        <v>0</v>
      </c>
      <c r="H99" s="226"/>
    </row>
    <row r="100" spans="1:8">
      <c r="A100" s="226" t="s">
        <v>648</v>
      </c>
      <c r="B100" s="226">
        <v>0</v>
      </c>
      <c r="C100" s="226">
        <v>1.5707963267948966</v>
      </c>
      <c r="D100" s="226">
        <v>0</v>
      </c>
      <c r="E100" s="226">
        <v>1.5707963267948966</v>
      </c>
      <c r="F100" s="226"/>
      <c r="G100" s="226" t="s">
        <v>683</v>
      </c>
      <c r="H100" s="226"/>
    </row>
    <row r="101" spans="1:8">
      <c r="A101" s="226" t="s">
        <v>653</v>
      </c>
      <c r="B101" s="226">
        <v>1</v>
      </c>
      <c r="C101" s="226">
        <v>6.1257422745431001E-17</v>
      </c>
      <c r="D101" s="226">
        <v>1</v>
      </c>
      <c r="E101" s="226">
        <v>6.1257422745431001E-17</v>
      </c>
      <c r="F101" s="226"/>
      <c r="G101" s="226">
        <v>0.05</v>
      </c>
      <c r="H101" s="226"/>
    </row>
    <row r="102" spans="1:8">
      <c r="A102" s="226" t="s">
        <v>654</v>
      </c>
      <c r="B102" s="226">
        <v>0</v>
      </c>
      <c r="C102" s="226">
        <v>1</v>
      </c>
      <c r="D102" s="226">
        <v>0</v>
      </c>
      <c r="E102" s="226">
        <v>1</v>
      </c>
      <c r="F102" s="226"/>
      <c r="G102" s="226" t="s">
        <v>655</v>
      </c>
      <c r="H102" s="226"/>
    </row>
    <row r="103" spans="1:8">
      <c r="A103" s="226" t="s">
        <v>690</v>
      </c>
      <c r="B103" s="226">
        <v>7.17</v>
      </c>
      <c r="C103" s="226">
        <v>3.433333333333334</v>
      </c>
      <c r="D103" s="226">
        <v>7.17</v>
      </c>
      <c r="E103" s="226">
        <v>3.433333333333334</v>
      </c>
      <c r="F103" s="226"/>
      <c r="G103" s="226">
        <v>0</v>
      </c>
      <c r="H103" s="226"/>
    </row>
    <row r="104" spans="1:8">
      <c r="A104" s="226" t="s">
        <v>692</v>
      </c>
      <c r="B104" s="226">
        <v>3.433333333333334</v>
      </c>
      <c r="C104" s="226">
        <v>7.17</v>
      </c>
      <c r="D104" s="226">
        <v>3.433333333333334</v>
      </c>
      <c r="E104" s="226">
        <v>7.17</v>
      </c>
      <c r="F104" s="226"/>
      <c r="G104" s="226"/>
      <c r="H104" s="226"/>
    </row>
    <row r="105" spans="1:8">
      <c r="A105" s="226" t="s">
        <v>660</v>
      </c>
      <c r="B105" s="226">
        <v>0</v>
      </c>
      <c r="C105" s="226">
        <v>2.2889856965876046E-16</v>
      </c>
      <c r="D105" s="226">
        <v>0</v>
      </c>
      <c r="E105" s="226">
        <v>2.2889856965876046E-16</v>
      </c>
      <c r="F105" s="226"/>
      <c r="G105" s="226"/>
      <c r="H105" s="226"/>
    </row>
    <row r="106" spans="1:8">
      <c r="A106" s="226" t="s">
        <v>662</v>
      </c>
      <c r="B106" s="226">
        <v>0.29126213592233002</v>
      </c>
      <c r="C106" s="226">
        <v>0.1394700139470014</v>
      </c>
      <c r="D106" s="226">
        <v>0.29126213592233002</v>
      </c>
      <c r="E106" s="226">
        <v>0.1394700139470014</v>
      </c>
      <c r="F106" s="226"/>
      <c r="G106" s="226"/>
      <c r="H106" s="226"/>
    </row>
    <row r="107" spans="1:8">
      <c r="A107" s="226" t="s">
        <v>665</v>
      </c>
      <c r="B107" s="226">
        <v>0.1394700139470014</v>
      </c>
      <c r="C107" s="226">
        <v>0.29126213592233002</v>
      </c>
      <c r="D107" s="226">
        <v>0.1394700139470014</v>
      </c>
      <c r="E107" s="226">
        <v>0.29126213592233002</v>
      </c>
      <c r="F107" s="226"/>
      <c r="G107" s="226"/>
      <c r="H107" s="226"/>
    </row>
    <row r="108" spans="1:8">
      <c r="A108" s="226" t="s">
        <v>666</v>
      </c>
      <c r="B108" s="226">
        <v>0</v>
      </c>
      <c r="C108" s="226">
        <v>-9.2983941852687333E-18</v>
      </c>
      <c r="D108" s="226">
        <v>0</v>
      </c>
      <c r="E108" s="226">
        <v>-9.2983941852687333E-18</v>
      </c>
      <c r="F108" s="226"/>
      <c r="G108" s="226"/>
      <c r="H108" s="226"/>
    </row>
    <row r="109" spans="1:8">
      <c r="A109" s="226" t="s">
        <v>637</v>
      </c>
      <c r="B109" s="226"/>
      <c r="C109" s="226"/>
      <c r="D109" s="226"/>
      <c r="E109" s="226"/>
      <c r="F109" s="226"/>
      <c r="G109" s="226"/>
      <c r="H109" s="226"/>
    </row>
    <row r="110" spans="1:8">
      <c r="A110" s="226"/>
      <c r="B110" s="226"/>
      <c r="C110" s="226"/>
      <c r="D110" s="226"/>
      <c r="E110" s="226"/>
      <c r="F110" s="226"/>
      <c r="G110" s="226"/>
      <c r="H110" s="226"/>
    </row>
    <row r="111" spans="1:8">
      <c r="A111" s="226" t="s">
        <v>243</v>
      </c>
      <c r="B111" s="226" t="s">
        <v>1562</v>
      </c>
      <c r="C111" s="226" t="s">
        <v>1563</v>
      </c>
      <c r="D111" s="226" t="s">
        <v>1564</v>
      </c>
      <c r="E111" s="226" t="s">
        <v>1565</v>
      </c>
      <c r="F111" s="226"/>
      <c r="G111" s="226"/>
      <c r="H111" s="226"/>
    </row>
    <row r="112" spans="1:8">
      <c r="A112" s="226" t="s">
        <v>537</v>
      </c>
      <c r="B112" s="226">
        <v>0</v>
      </c>
      <c r="C112" s="226">
        <v>90</v>
      </c>
      <c r="D112" s="226">
        <v>0</v>
      </c>
      <c r="E112" s="226">
        <v>90</v>
      </c>
      <c r="F112" s="226" t="s">
        <v>538</v>
      </c>
      <c r="G112" s="226" t="s">
        <v>652</v>
      </c>
      <c r="H112" s="226"/>
    </row>
    <row r="113" spans="1:8">
      <c r="A113" s="226" t="s">
        <v>541</v>
      </c>
      <c r="B113" s="226">
        <v>0</v>
      </c>
      <c r="C113" s="226">
        <v>0</v>
      </c>
      <c r="D113" s="226">
        <v>0</v>
      </c>
      <c r="E113" s="226">
        <v>0</v>
      </c>
      <c r="F113" s="226">
        <v>1</v>
      </c>
      <c r="G113" s="226">
        <v>0</v>
      </c>
      <c r="H113" s="226"/>
    </row>
    <row r="114" spans="1:8">
      <c r="A114" s="226" t="s">
        <v>648</v>
      </c>
      <c r="B114" s="226">
        <v>0</v>
      </c>
      <c r="C114" s="226">
        <v>1.5707963267948966</v>
      </c>
      <c r="D114" s="226">
        <v>0</v>
      </c>
      <c r="E114" s="226">
        <v>1.5707963267948966</v>
      </c>
      <c r="F114" s="226"/>
      <c r="G114" s="226" t="s">
        <v>683</v>
      </c>
      <c r="H114" s="226"/>
    </row>
    <row r="115" spans="1:8">
      <c r="A115" s="226" t="s">
        <v>653</v>
      </c>
      <c r="B115" s="226">
        <v>1</v>
      </c>
      <c r="C115" s="226">
        <v>6.1257422745431001E-17</v>
      </c>
      <c r="D115" s="226">
        <v>1</v>
      </c>
      <c r="E115" s="226">
        <v>6.1257422745431001E-17</v>
      </c>
      <c r="F115" s="226"/>
      <c r="G115" s="226">
        <v>0.05</v>
      </c>
      <c r="H115" s="226"/>
    </row>
    <row r="116" spans="1:8">
      <c r="A116" s="226" t="s">
        <v>654</v>
      </c>
      <c r="B116" s="226">
        <v>0</v>
      </c>
      <c r="C116" s="226">
        <v>1</v>
      </c>
      <c r="D116" s="226">
        <v>0</v>
      </c>
      <c r="E116" s="226">
        <v>1</v>
      </c>
      <c r="F116" s="226"/>
      <c r="G116" s="226" t="s">
        <v>655</v>
      </c>
      <c r="H116" s="226"/>
    </row>
    <row r="117" spans="1:8">
      <c r="A117" s="226" t="s">
        <v>690</v>
      </c>
      <c r="B117" s="226">
        <v>7.17</v>
      </c>
      <c r="C117" s="226">
        <v>3.433333333333334</v>
      </c>
      <c r="D117" s="226">
        <v>7.17</v>
      </c>
      <c r="E117" s="226">
        <v>3.433333333333334</v>
      </c>
      <c r="F117" s="226"/>
      <c r="G117" s="226">
        <v>0</v>
      </c>
      <c r="H117" s="226"/>
    </row>
    <row r="118" spans="1:8">
      <c r="A118" s="226" t="s">
        <v>692</v>
      </c>
      <c r="B118" s="226">
        <v>3.433333333333334</v>
      </c>
      <c r="C118" s="226">
        <v>7.17</v>
      </c>
      <c r="D118" s="226">
        <v>3.433333333333334</v>
      </c>
      <c r="E118" s="226">
        <v>7.17</v>
      </c>
      <c r="F118" s="226"/>
      <c r="G118" s="226"/>
      <c r="H118" s="226"/>
    </row>
    <row r="119" spans="1:8">
      <c r="A119" s="226" t="s">
        <v>660</v>
      </c>
      <c r="B119" s="226">
        <v>0</v>
      </c>
      <c r="C119" s="226">
        <v>2.2889856965876046E-16</v>
      </c>
      <c r="D119" s="226">
        <v>0</v>
      </c>
      <c r="E119" s="226">
        <v>2.2889856965876046E-16</v>
      </c>
      <c r="F119" s="226"/>
      <c r="G119" s="226"/>
      <c r="H119" s="226"/>
    </row>
    <row r="120" spans="1:8">
      <c r="A120" s="226" t="s">
        <v>662</v>
      </c>
      <c r="B120" s="226">
        <v>0.29126213592233002</v>
      </c>
      <c r="C120" s="226">
        <v>0.1394700139470014</v>
      </c>
      <c r="D120" s="226">
        <v>0.29126213592233002</v>
      </c>
      <c r="E120" s="226">
        <v>0.1394700139470014</v>
      </c>
      <c r="F120" s="226"/>
      <c r="G120" s="226"/>
      <c r="H120" s="226"/>
    </row>
    <row r="121" spans="1:8">
      <c r="A121" s="226" t="s">
        <v>665</v>
      </c>
      <c r="B121" s="226">
        <v>0.1394700139470014</v>
      </c>
      <c r="C121" s="226">
        <v>0.29126213592233002</v>
      </c>
      <c r="D121" s="226">
        <v>0.1394700139470014</v>
      </c>
      <c r="E121" s="226">
        <v>0.29126213592233002</v>
      </c>
      <c r="F121" s="226"/>
      <c r="G121" s="226"/>
      <c r="H121" s="226"/>
    </row>
    <row r="122" spans="1:8">
      <c r="A122" s="226" t="s">
        <v>666</v>
      </c>
      <c r="B122" s="226">
        <v>0</v>
      </c>
      <c r="C122" s="226">
        <v>-9.2983941852687333E-18</v>
      </c>
      <c r="D122" s="226">
        <v>0</v>
      </c>
      <c r="E122" s="226">
        <v>-9.2983941852687333E-18</v>
      </c>
      <c r="F122" s="226"/>
      <c r="G122" s="226"/>
      <c r="H122" s="226"/>
    </row>
    <row r="123" spans="1:8">
      <c r="A123" s="226" t="s">
        <v>637</v>
      </c>
      <c r="B123" s="226"/>
      <c r="C123" s="226"/>
      <c r="D123" s="226"/>
      <c r="E123" s="226"/>
      <c r="F123" s="226"/>
      <c r="G123" s="226"/>
      <c r="H123" s="226"/>
    </row>
    <row r="124" spans="1:8">
      <c r="A124" s="226"/>
      <c r="B124" s="226"/>
      <c r="C124" s="226"/>
      <c r="D124" s="226"/>
      <c r="E124" s="226"/>
      <c r="F124" s="226"/>
      <c r="G124" s="226"/>
      <c r="H124" s="226"/>
    </row>
    <row r="125" spans="1:8">
      <c r="A125" s="226" t="s">
        <v>243</v>
      </c>
      <c r="B125" s="226" t="s">
        <v>1562</v>
      </c>
      <c r="C125" s="226" t="s">
        <v>1563</v>
      </c>
      <c r="D125" s="226" t="s">
        <v>1564</v>
      </c>
      <c r="E125" s="226" t="s">
        <v>1565</v>
      </c>
      <c r="F125" s="226"/>
      <c r="G125" s="226"/>
      <c r="H125" s="226"/>
    </row>
    <row r="126" spans="1:8">
      <c r="A126" s="226" t="s">
        <v>537</v>
      </c>
      <c r="B126" s="226">
        <v>0</v>
      </c>
      <c r="C126" s="226">
        <v>90</v>
      </c>
      <c r="D126" s="226">
        <v>0</v>
      </c>
      <c r="E126" s="226">
        <v>90</v>
      </c>
      <c r="F126" s="226" t="s">
        <v>538</v>
      </c>
      <c r="G126" s="226" t="s">
        <v>652</v>
      </c>
      <c r="H126" s="226"/>
    </row>
    <row r="127" spans="1:8">
      <c r="A127" s="226" t="s">
        <v>541</v>
      </c>
      <c r="B127" s="226">
        <v>0</v>
      </c>
      <c r="C127" s="226">
        <v>0</v>
      </c>
      <c r="D127" s="226">
        <v>0</v>
      </c>
      <c r="E127" s="226">
        <v>0</v>
      </c>
      <c r="F127" s="226">
        <v>1</v>
      </c>
      <c r="G127" s="226">
        <v>0</v>
      </c>
      <c r="H127" s="226"/>
    </row>
    <row r="128" spans="1:8">
      <c r="A128" s="226" t="s">
        <v>648</v>
      </c>
      <c r="B128" s="226">
        <v>0</v>
      </c>
      <c r="C128" s="226">
        <v>1.5707963267948966</v>
      </c>
      <c r="D128" s="226">
        <v>0</v>
      </c>
      <c r="E128" s="226">
        <v>1.5707963267948966</v>
      </c>
      <c r="F128" s="226"/>
      <c r="G128" s="226" t="s">
        <v>683</v>
      </c>
      <c r="H128" s="226"/>
    </row>
    <row r="129" spans="1:8">
      <c r="A129" s="226" t="s">
        <v>653</v>
      </c>
      <c r="B129" s="226">
        <v>1</v>
      </c>
      <c r="C129" s="226">
        <v>6.1257422745431001E-17</v>
      </c>
      <c r="D129" s="226">
        <v>1</v>
      </c>
      <c r="E129" s="226">
        <v>6.1257422745431001E-17</v>
      </c>
      <c r="F129" s="226"/>
      <c r="G129" s="226">
        <v>0.05</v>
      </c>
      <c r="H129" s="226"/>
    </row>
    <row r="130" spans="1:8">
      <c r="A130" s="226" t="s">
        <v>654</v>
      </c>
      <c r="B130" s="226">
        <v>0</v>
      </c>
      <c r="C130" s="226">
        <v>1</v>
      </c>
      <c r="D130" s="226">
        <v>0</v>
      </c>
      <c r="E130" s="226">
        <v>1</v>
      </c>
      <c r="F130" s="226"/>
      <c r="G130" s="226" t="s">
        <v>655</v>
      </c>
      <c r="H130" s="226"/>
    </row>
    <row r="131" spans="1:8">
      <c r="A131" s="226" t="s">
        <v>690</v>
      </c>
      <c r="B131" s="226">
        <v>7.17</v>
      </c>
      <c r="C131" s="226">
        <v>3.433333333333334</v>
      </c>
      <c r="D131" s="226">
        <v>7.17</v>
      </c>
      <c r="E131" s="226">
        <v>3.433333333333334</v>
      </c>
      <c r="F131" s="226"/>
      <c r="G131" s="226">
        <v>0</v>
      </c>
      <c r="H131" s="226"/>
    </row>
    <row r="132" spans="1:8">
      <c r="A132" s="226" t="s">
        <v>692</v>
      </c>
      <c r="B132" s="226">
        <v>3.433333333333334</v>
      </c>
      <c r="C132" s="226">
        <v>7.17</v>
      </c>
      <c r="D132" s="226">
        <v>3.433333333333334</v>
      </c>
      <c r="E132" s="226">
        <v>7.17</v>
      </c>
      <c r="F132" s="226"/>
      <c r="G132" s="226"/>
      <c r="H132" s="226"/>
    </row>
    <row r="133" spans="1:8">
      <c r="A133" s="226" t="s">
        <v>660</v>
      </c>
      <c r="B133" s="226">
        <v>0</v>
      </c>
      <c r="C133" s="226">
        <v>2.2889856965876046E-16</v>
      </c>
      <c r="D133" s="226">
        <v>0</v>
      </c>
      <c r="E133" s="226">
        <v>2.2889856965876046E-16</v>
      </c>
      <c r="F133" s="226"/>
      <c r="G133" s="226"/>
      <c r="H133" s="226"/>
    </row>
    <row r="134" spans="1:8">
      <c r="A134" s="226" t="s">
        <v>662</v>
      </c>
      <c r="B134" s="226">
        <v>0.29126213592233002</v>
      </c>
      <c r="C134" s="226">
        <v>0.1394700139470014</v>
      </c>
      <c r="D134" s="226">
        <v>0.29126213592233002</v>
      </c>
      <c r="E134" s="226">
        <v>0.1394700139470014</v>
      </c>
      <c r="F134" s="226"/>
      <c r="G134" s="226"/>
      <c r="H134" s="226"/>
    </row>
    <row r="135" spans="1:8">
      <c r="A135" s="226" t="s">
        <v>665</v>
      </c>
      <c r="B135" s="226">
        <v>0.1394700139470014</v>
      </c>
      <c r="C135" s="226">
        <v>0.29126213592233002</v>
      </c>
      <c r="D135" s="226">
        <v>0.1394700139470014</v>
      </c>
      <c r="E135" s="226">
        <v>0.29126213592233002</v>
      </c>
      <c r="F135" s="226"/>
      <c r="G135" s="226"/>
      <c r="H135" s="226"/>
    </row>
    <row r="136" spans="1:8">
      <c r="A136" s="226" t="s">
        <v>666</v>
      </c>
      <c r="B136" s="226">
        <v>0</v>
      </c>
      <c r="C136" s="226">
        <v>-9.2983941852687333E-18</v>
      </c>
      <c r="D136" s="226">
        <v>0</v>
      </c>
      <c r="E136" s="226">
        <v>-9.2983941852687333E-18</v>
      </c>
      <c r="F136" s="226"/>
      <c r="G136" s="226"/>
      <c r="H136" s="226"/>
    </row>
    <row r="137" spans="1:8">
      <c r="A137" s="226" t="s">
        <v>637</v>
      </c>
      <c r="B137" s="226"/>
      <c r="C137" s="226"/>
      <c r="D137" s="226"/>
      <c r="E137" s="226"/>
      <c r="F137" s="226"/>
      <c r="G137" s="226"/>
      <c r="H137" s="226"/>
    </row>
    <row r="138" spans="1:8">
      <c r="A138" s="226"/>
      <c r="B138" s="226"/>
      <c r="C138" s="226"/>
      <c r="D138" s="226"/>
      <c r="E138" s="226"/>
      <c r="F138" s="226"/>
      <c r="G138" s="226"/>
      <c r="H138" s="226"/>
    </row>
    <row r="139" spans="1:8">
      <c r="A139" s="226" t="s">
        <v>243</v>
      </c>
      <c r="B139" s="226" t="s">
        <v>1562</v>
      </c>
      <c r="C139" s="226" t="s">
        <v>1563</v>
      </c>
      <c r="D139" s="226" t="s">
        <v>1564</v>
      </c>
      <c r="E139" s="226" t="s">
        <v>1565</v>
      </c>
      <c r="F139" s="226"/>
      <c r="G139" s="226"/>
      <c r="H139" s="226"/>
    </row>
    <row r="140" spans="1:8">
      <c r="A140" s="226" t="s">
        <v>537</v>
      </c>
      <c r="B140" s="226">
        <v>0</v>
      </c>
      <c r="C140" s="226">
        <v>90</v>
      </c>
      <c r="D140" s="226">
        <v>0</v>
      </c>
      <c r="E140" s="226">
        <v>90</v>
      </c>
      <c r="F140" s="226" t="s">
        <v>538</v>
      </c>
      <c r="G140" s="226" t="s">
        <v>652</v>
      </c>
      <c r="H140" s="226"/>
    </row>
    <row r="141" spans="1:8">
      <c r="A141" s="226" t="s">
        <v>541</v>
      </c>
      <c r="B141" s="226">
        <v>0</v>
      </c>
      <c r="C141" s="226">
        <v>0</v>
      </c>
      <c r="D141" s="226">
        <v>0</v>
      </c>
      <c r="E141" s="226">
        <v>0</v>
      </c>
      <c r="F141" s="226">
        <v>1</v>
      </c>
      <c r="G141" s="226">
        <v>0</v>
      </c>
      <c r="H141" s="226"/>
    </row>
    <row r="142" spans="1:8">
      <c r="A142" s="226" t="s">
        <v>648</v>
      </c>
      <c r="B142" s="226">
        <v>0</v>
      </c>
      <c r="C142" s="226">
        <v>1.5707963267948966</v>
      </c>
      <c r="D142" s="226">
        <v>0</v>
      </c>
      <c r="E142" s="226">
        <v>1.5707963267948966</v>
      </c>
      <c r="F142" s="226"/>
      <c r="G142" s="226" t="s">
        <v>683</v>
      </c>
      <c r="H142" s="226"/>
    </row>
    <row r="143" spans="1:8">
      <c r="A143" s="226" t="s">
        <v>653</v>
      </c>
      <c r="B143" s="226">
        <v>1</v>
      </c>
      <c r="C143" s="226">
        <v>6.1257422745431001E-17</v>
      </c>
      <c r="D143" s="226">
        <v>1</v>
      </c>
      <c r="E143" s="226">
        <v>6.1257422745431001E-17</v>
      </c>
      <c r="F143" s="226"/>
      <c r="G143" s="226">
        <v>0.05</v>
      </c>
      <c r="H143" s="226"/>
    </row>
    <row r="144" spans="1:8">
      <c r="A144" s="226" t="s">
        <v>654</v>
      </c>
      <c r="B144" s="226">
        <v>0</v>
      </c>
      <c r="C144" s="226">
        <v>1</v>
      </c>
      <c r="D144" s="226">
        <v>0</v>
      </c>
      <c r="E144" s="226">
        <v>1</v>
      </c>
      <c r="F144" s="226"/>
      <c r="G144" s="226" t="s">
        <v>655</v>
      </c>
      <c r="H144" s="226"/>
    </row>
    <row r="145" spans="1:8">
      <c r="A145" s="226" t="s">
        <v>690</v>
      </c>
      <c r="B145" s="226">
        <v>7.17</v>
      </c>
      <c r="C145" s="226">
        <v>3.433333333333334</v>
      </c>
      <c r="D145" s="226">
        <v>7.17</v>
      </c>
      <c r="E145" s="226">
        <v>3.433333333333334</v>
      </c>
      <c r="F145" s="226"/>
      <c r="G145" s="226">
        <v>0</v>
      </c>
      <c r="H145" s="226"/>
    </row>
    <row r="146" spans="1:8">
      <c r="A146" s="226" t="s">
        <v>692</v>
      </c>
      <c r="B146" s="226">
        <v>3.433333333333334</v>
      </c>
      <c r="C146" s="226">
        <v>7.17</v>
      </c>
      <c r="D146" s="226">
        <v>3.433333333333334</v>
      </c>
      <c r="E146" s="226">
        <v>7.17</v>
      </c>
      <c r="F146" s="226"/>
      <c r="G146" s="226"/>
      <c r="H146" s="226"/>
    </row>
    <row r="147" spans="1:8">
      <c r="A147" s="226" t="s">
        <v>660</v>
      </c>
      <c r="B147" s="226">
        <v>0</v>
      </c>
      <c r="C147" s="226">
        <v>2.2889856965876046E-16</v>
      </c>
      <c r="D147" s="226">
        <v>0</v>
      </c>
      <c r="E147" s="226">
        <v>2.2889856965876046E-16</v>
      </c>
      <c r="F147" s="226"/>
      <c r="G147" s="226"/>
      <c r="H147" s="226"/>
    </row>
    <row r="148" spans="1:8">
      <c r="A148" s="226" t="s">
        <v>662</v>
      </c>
      <c r="B148" s="226">
        <v>0.29126213592233002</v>
      </c>
      <c r="C148" s="226">
        <v>0.1394700139470014</v>
      </c>
      <c r="D148" s="226">
        <v>0.29126213592233002</v>
      </c>
      <c r="E148" s="226">
        <v>0.1394700139470014</v>
      </c>
      <c r="F148" s="226"/>
      <c r="G148" s="226"/>
      <c r="H148" s="226"/>
    </row>
    <row r="149" spans="1:8">
      <c r="A149" s="226" t="s">
        <v>665</v>
      </c>
      <c r="B149" s="226">
        <v>0.1394700139470014</v>
      </c>
      <c r="C149" s="226">
        <v>0.29126213592233002</v>
      </c>
      <c r="D149" s="226">
        <v>0.1394700139470014</v>
      </c>
      <c r="E149" s="226">
        <v>0.29126213592233002</v>
      </c>
      <c r="F149" s="226"/>
      <c r="G149" s="226"/>
      <c r="H149" s="226"/>
    </row>
    <row r="150" spans="1:8">
      <c r="A150" s="226" t="s">
        <v>666</v>
      </c>
      <c r="B150" s="226">
        <v>0</v>
      </c>
      <c r="C150" s="226">
        <v>-9.2983941852687333E-18</v>
      </c>
      <c r="D150" s="226">
        <v>0</v>
      </c>
      <c r="E150" s="226">
        <v>-9.2983941852687333E-18</v>
      </c>
      <c r="F150" s="226"/>
      <c r="G150" s="226"/>
      <c r="H150" s="226"/>
    </row>
    <row r="151" spans="1:8">
      <c r="A151" s="226" t="s">
        <v>637</v>
      </c>
      <c r="B151" s="226"/>
      <c r="C151" s="226"/>
      <c r="D151" s="226"/>
      <c r="E151" s="226"/>
      <c r="F151" s="226"/>
      <c r="G151" s="226"/>
      <c r="H151" s="226"/>
    </row>
    <row r="152" spans="1:8">
      <c r="A152" s="226"/>
      <c r="B152" s="226"/>
      <c r="C152" s="226"/>
      <c r="D152" s="226"/>
      <c r="E152" s="226"/>
      <c r="F152" s="226"/>
      <c r="G152" s="226"/>
      <c r="H152" s="226"/>
    </row>
    <row r="153" spans="1:8">
      <c r="A153" s="226" t="s">
        <v>243</v>
      </c>
      <c r="B153" s="226" t="s">
        <v>1562</v>
      </c>
      <c r="C153" s="226" t="s">
        <v>1563</v>
      </c>
      <c r="D153" s="226" t="s">
        <v>1564</v>
      </c>
      <c r="E153" s="226" t="s">
        <v>1565</v>
      </c>
      <c r="F153" s="226"/>
      <c r="G153" s="226"/>
      <c r="H153" s="226"/>
    </row>
    <row r="154" spans="1:8">
      <c r="A154" s="226" t="s">
        <v>537</v>
      </c>
      <c r="B154" s="226">
        <v>0</v>
      </c>
      <c r="C154" s="226">
        <v>90</v>
      </c>
      <c r="D154" s="226">
        <v>0</v>
      </c>
      <c r="E154" s="226">
        <v>90</v>
      </c>
      <c r="F154" s="226" t="s">
        <v>538</v>
      </c>
      <c r="G154" s="226" t="s">
        <v>652</v>
      </c>
      <c r="H154" s="226"/>
    </row>
    <row r="155" spans="1:8">
      <c r="A155" s="226" t="s">
        <v>541</v>
      </c>
      <c r="B155" s="226">
        <v>0</v>
      </c>
      <c r="C155" s="226">
        <v>0</v>
      </c>
      <c r="D155" s="226">
        <v>0</v>
      </c>
      <c r="E155" s="226">
        <v>0</v>
      </c>
      <c r="F155" s="226">
        <v>1</v>
      </c>
      <c r="G155" s="226">
        <v>0</v>
      </c>
      <c r="H155" s="226"/>
    </row>
    <row r="156" spans="1:8">
      <c r="A156" s="226" t="s">
        <v>648</v>
      </c>
      <c r="B156" s="226">
        <v>0</v>
      </c>
      <c r="C156" s="226">
        <v>1.5707963267948966</v>
      </c>
      <c r="D156" s="226">
        <v>0</v>
      </c>
      <c r="E156" s="226">
        <v>1.5707963267948966</v>
      </c>
      <c r="F156" s="226"/>
      <c r="G156" s="226" t="s">
        <v>683</v>
      </c>
      <c r="H156" s="226"/>
    </row>
    <row r="157" spans="1:8">
      <c r="A157" s="226" t="s">
        <v>653</v>
      </c>
      <c r="B157" s="226">
        <v>1</v>
      </c>
      <c r="C157" s="226">
        <v>6.1257422745431001E-17</v>
      </c>
      <c r="D157" s="226">
        <v>1</v>
      </c>
      <c r="E157" s="226">
        <v>6.1257422745431001E-17</v>
      </c>
      <c r="F157" s="226"/>
      <c r="G157" s="226">
        <v>0.05</v>
      </c>
      <c r="H157" s="226"/>
    </row>
    <row r="158" spans="1:8">
      <c r="A158" s="226" t="s">
        <v>654</v>
      </c>
      <c r="B158" s="226">
        <v>0</v>
      </c>
      <c r="C158" s="226">
        <v>1</v>
      </c>
      <c r="D158" s="226">
        <v>0</v>
      </c>
      <c r="E158" s="226">
        <v>1</v>
      </c>
      <c r="F158" s="226"/>
      <c r="G158" s="226" t="s">
        <v>655</v>
      </c>
      <c r="H158" s="226"/>
    </row>
    <row r="159" spans="1:8">
      <c r="A159" s="226" t="s">
        <v>690</v>
      </c>
      <c r="B159" s="226">
        <v>7.17</v>
      </c>
      <c r="C159" s="226">
        <v>3.433333333333334</v>
      </c>
      <c r="D159" s="226">
        <v>7.17</v>
      </c>
      <c r="E159" s="226">
        <v>3.433333333333334</v>
      </c>
      <c r="F159" s="226"/>
      <c r="G159" s="226">
        <v>0</v>
      </c>
      <c r="H159" s="226"/>
    </row>
    <row r="160" spans="1:8">
      <c r="A160" s="226" t="s">
        <v>692</v>
      </c>
      <c r="B160" s="226">
        <v>3.433333333333334</v>
      </c>
      <c r="C160" s="226">
        <v>7.17</v>
      </c>
      <c r="D160" s="226">
        <v>3.433333333333334</v>
      </c>
      <c r="E160" s="226">
        <v>7.17</v>
      </c>
      <c r="F160" s="226"/>
      <c r="G160" s="226"/>
      <c r="H160" s="226"/>
    </row>
    <row r="161" spans="1:8">
      <c r="A161" s="226" t="s">
        <v>660</v>
      </c>
      <c r="B161" s="226">
        <v>0</v>
      </c>
      <c r="C161" s="226">
        <v>2.2889856965876046E-16</v>
      </c>
      <c r="D161" s="226">
        <v>0</v>
      </c>
      <c r="E161" s="226">
        <v>2.2889856965876046E-16</v>
      </c>
      <c r="F161" s="226"/>
      <c r="G161" s="226"/>
      <c r="H161" s="226"/>
    </row>
    <row r="162" spans="1:8">
      <c r="A162" s="226" t="s">
        <v>662</v>
      </c>
      <c r="B162" s="226">
        <v>0.29126213592233002</v>
      </c>
      <c r="C162" s="226">
        <v>0.1394700139470014</v>
      </c>
      <c r="D162" s="226">
        <v>0.29126213592233002</v>
      </c>
      <c r="E162" s="226">
        <v>0.1394700139470014</v>
      </c>
      <c r="F162" s="226"/>
      <c r="G162" s="226"/>
      <c r="H162" s="226"/>
    </row>
    <row r="163" spans="1:8">
      <c r="A163" s="226" t="s">
        <v>665</v>
      </c>
      <c r="B163" s="226">
        <v>0.1394700139470014</v>
      </c>
      <c r="C163" s="226">
        <v>0.29126213592233002</v>
      </c>
      <c r="D163" s="226">
        <v>0.1394700139470014</v>
      </c>
      <c r="E163" s="226">
        <v>0.29126213592233002</v>
      </c>
      <c r="F163" s="226"/>
      <c r="G163" s="226"/>
      <c r="H163" s="226"/>
    </row>
    <row r="164" spans="1:8">
      <c r="A164" s="226" t="s">
        <v>666</v>
      </c>
      <c r="B164" s="226">
        <v>0</v>
      </c>
      <c r="C164" s="226">
        <v>-9.2983941852687333E-18</v>
      </c>
      <c r="D164" s="226">
        <v>0</v>
      </c>
      <c r="E164" s="226">
        <v>-9.2983941852687333E-18</v>
      </c>
      <c r="F164" s="226"/>
      <c r="G164" s="226"/>
      <c r="H164" s="226"/>
    </row>
    <row r="165" spans="1:8">
      <c r="A165" s="226" t="s">
        <v>637</v>
      </c>
      <c r="B165" s="226"/>
      <c r="C165" s="226"/>
      <c r="D165" s="226"/>
      <c r="E165" s="226"/>
      <c r="F165" s="226"/>
      <c r="G165" s="226"/>
      <c r="H165" s="226"/>
    </row>
    <row r="166" spans="1:8">
      <c r="A166" s="226"/>
      <c r="B166" s="226"/>
      <c r="C166" s="226"/>
      <c r="D166" s="226"/>
      <c r="E166" s="226"/>
      <c r="F166" s="226"/>
      <c r="G166" s="226"/>
      <c r="H166" s="226"/>
    </row>
    <row r="167" spans="1:8">
      <c r="A167" s="226" t="s">
        <v>243</v>
      </c>
      <c r="B167" s="226" t="s">
        <v>1562</v>
      </c>
      <c r="C167" s="226" t="s">
        <v>1563</v>
      </c>
      <c r="D167" s="226" t="s">
        <v>1564</v>
      </c>
      <c r="E167" s="226" t="s">
        <v>1565</v>
      </c>
      <c r="F167" s="226"/>
      <c r="G167" s="226"/>
      <c r="H167" s="226"/>
    </row>
    <row r="168" spans="1:8">
      <c r="A168" s="226" t="s">
        <v>537</v>
      </c>
      <c r="B168" s="226">
        <v>0</v>
      </c>
      <c r="C168" s="226">
        <v>90</v>
      </c>
      <c r="D168" s="226">
        <v>0</v>
      </c>
      <c r="E168" s="226">
        <v>90</v>
      </c>
      <c r="F168" s="226" t="s">
        <v>538</v>
      </c>
      <c r="G168" s="226" t="s">
        <v>652</v>
      </c>
      <c r="H168" s="226"/>
    </row>
    <row r="169" spans="1:8">
      <c r="A169" s="226" t="s">
        <v>541</v>
      </c>
      <c r="B169" s="226">
        <v>0</v>
      </c>
      <c r="C169" s="226">
        <v>0</v>
      </c>
      <c r="D169" s="226">
        <v>0</v>
      </c>
      <c r="E169" s="226">
        <v>0</v>
      </c>
      <c r="F169" s="226">
        <v>1</v>
      </c>
      <c r="G169" s="226">
        <v>0</v>
      </c>
      <c r="H169" s="226"/>
    </row>
    <row r="170" spans="1:8">
      <c r="A170" s="226" t="s">
        <v>648</v>
      </c>
      <c r="B170" s="226">
        <v>0</v>
      </c>
      <c r="C170" s="226">
        <v>1.5707963267948966</v>
      </c>
      <c r="D170" s="226">
        <v>0</v>
      </c>
      <c r="E170" s="226">
        <v>1.5707963267948966</v>
      </c>
      <c r="F170" s="226"/>
      <c r="G170" s="226" t="s">
        <v>683</v>
      </c>
      <c r="H170" s="226"/>
    </row>
    <row r="171" spans="1:8">
      <c r="A171" s="226" t="s">
        <v>653</v>
      </c>
      <c r="B171" s="226">
        <v>1</v>
      </c>
      <c r="C171" s="226">
        <v>6.1257422745431001E-17</v>
      </c>
      <c r="D171" s="226">
        <v>1</v>
      </c>
      <c r="E171" s="226">
        <v>6.1257422745431001E-17</v>
      </c>
      <c r="F171" s="226"/>
      <c r="G171" s="226">
        <v>0.05</v>
      </c>
      <c r="H171" s="226"/>
    </row>
    <row r="172" spans="1:8">
      <c r="A172" s="226" t="s">
        <v>654</v>
      </c>
      <c r="B172" s="226">
        <v>0</v>
      </c>
      <c r="C172" s="226">
        <v>1</v>
      </c>
      <c r="D172" s="226">
        <v>0</v>
      </c>
      <c r="E172" s="226">
        <v>1</v>
      </c>
      <c r="F172" s="226"/>
      <c r="G172" s="226" t="s">
        <v>655</v>
      </c>
      <c r="H172" s="226"/>
    </row>
    <row r="173" spans="1:8">
      <c r="A173" s="226" t="s">
        <v>690</v>
      </c>
      <c r="B173" s="226">
        <v>7.17</v>
      </c>
      <c r="C173" s="226">
        <v>3.433333333333334</v>
      </c>
      <c r="D173" s="226">
        <v>7.17</v>
      </c>
      <c r="E173" s="226">
        <v>3.433333333333334</v>
      </c>
      <c r="F173" s="226"/>
      <c r="G173" s="226">
        <v>0</v>
      </c>
      <c r="H173" s="226"/>
    </row>
    <row r="174" spans="1:8">
      <c r="A174" s="226" t="s">
        <v>692</v>
      </c>
      <c r="B174" s="226">
        <v>3.433333333333334</v>
      </c>
      <c r="C174" s="226">
        <v>7.17</v>
      </c>
      <c r="D174" s="226">
        <v>3.433333333333334</v>
      </c>
      <c r="E174" s="226">
        <v>7.17</v>
      </c>
      <c r="F174" s="226"/>
      <c r="G174" s="226"/>
      <c r="H174" s="226"/>
    </row>
    <row r="175" spans="1:8">
      <c r="A175" s="226" t="s">
        <v>660</v>
      </c>
      <c r="B175" s="226">
        <v>0</v>
      </c>
      <c r="C175" s="226">
        <v>2.2889856965876046E-16</v>
      </c>
      <c r="D175" s="226">
        <v>0</v>
      </c>
      <c r="E175" s="226">
        <v>2.2889856965876046E-16</v>
      </c>
      <c r="F175" s="226"/>
      <c r="G175" s="226"/>
      <c r="H175" s="226"/>
    </row>
    <row r="176" spans="1:8">
      <c r="A176" s="226" t="s">
        <v>662</v>
      </c>
      <c r="B176" s="226">
        <v>0.29126213592233002</v>
      </c>
      <c r="C176" s="226">
        <v>0.1394700139470014</v>
      </c>
      <c r="D176" s="226">
        <v>0.29126213592233002</v>
      </c>
      <c r="E176" s="226">
        <v>0.1394700139470014</v>
      </c>
      <c r="F176" s="226"/>
      <c r="G176" s="226"/>
      <c r="H176" s="226"/>
    </row>
    <row r="177" spans="1:8">
      <c r="A177" s="226" t="s">
        <v>665</v>
      </c>
      <c r="B177" s="226">
        <v>0.1394700139470014</v>
      </c>
      <c r="C177" s="226">
        <v>0.29126213592233002</v>
      </c>
      <c r="D177" s="226">
        <v>0.1394700139470014</v>
      </c>
      <c r="E177" s="226">
        <v>0.29126213592233002</v>
      </c>
      <c r="F177" s="226"/>
      <c r="G177" s="226"/>
      <c r="H177" s="226"/>
    </row>
    <row r="178" spans="1:8">
      <c r="A178" s="226" t="s">
        <v>666</v>
      </c>
      <c r="B178" s="226">
        <v>0</v>
      </c>
      <c r="C178" s="226">
        <v>-9.2983941852687333E-18</v>
      </c>
      <c r="D178" s="226">
        <v>0</v>
      </c>
      <c r="E178" s="226">
        <v>-9.2983941852687333E-18</v>
      </c>
      <c r="F178" s="226"/>
      <c r="G178" s="226"/>
      <c r="H178" s="226"/>
    </row>
    <row r="179" spans="1:8">
      <c r="A179" s="226" t="s">
        <v>637</v>
      </c>
      <c r="B179" s="226"/>
      <c r="C179" s="226"/>
      <c r="D179" s="226"/>
      <c r="E179" s="226"/>
      <c r="F179" s="226"/>
      <c r="G179" s="226"/>
      <c r="H179" s="226"/>
    </row>
    <row r="180" spans="1:8">
      <c r="A180" s="226"/>
      <c r="B180" s="226"/>
      <c r="C180" s="226"/>
      <c r="D180" s="226"/>
      <c r="E180" s="226"/>
      <c r="F180" s="226"/>
      <c r="G180" s="226"/>
      <c r="H180" s="226"/>
    </row>
    <row r="181" spans="1:8">
      <c r="A181" s="226" t="s">
        <v>243</v>
      </c>
      <c r="B181" s="226" t="s">
        <v>1562</v>
      </c>
      <c r="C181" s="226" t="s">
        <v>1563</v>
      </c>
      <c r="D181" s="226" t="s">
        <v>1564</v>
      </c>
      <c r="E181" s="226" t="s">
        <v>1565</v>
      </c>
      <c r="F181" s="226"/>
      <c r="G181" s="226"/>
      <c r="H181" s="226"/>
    </row>
    <row r="182" spans="1:8">
      <c r="A182" s="226" t="s">
        <v>537</v>
      </c>
      <c r="B182" s="226">
        <v>0</v>
      </c>
      <c r="C182" s="226">
        <v>90</v>
      </c>
      <c r="D182" s="226">
        <v>0</v>
      </c>
      <c r="E182" s="226">
        <v>90</v>
      </c>
      <c r="F182" s="226" t="s">
        <v>538</v>
      </c>
      <c r="G182" s="226" t="s">
        <v>652</v>
      </c>
      <c r="H182" s="226"/>
    </row>
    <row r="183" spans="1:8">
      <c r="A183" s="226" t="s">
        <v>541</v>
      </c>
      <c r="B183" s="226">
        <v>0</v>
      </c>
      <c r="C183" s="226">
        <v>0</v>
      </c>
      <c r="D183" s="226">
        <v>0</v>
      </c>
      <c r="E183" s="226">
        <v>0</v>
      </c>
      <c r="F183" s="226">
        <v>1</v>
      </c>
      <c r="G183" s="226">
        <v>0</v>
      </c>
      <c r="H183" s="226"/>
    </row>
    <row r="184" spans="1:8">
      <c r="A184" s="226" t="s">
        <v>648</v>
      </c>
      <c r="B184" s="226">
        <v>0</v>
      </c>
      <c r="C184" s="226">
        <v>1.5707963267948966</v>
      </c>
      <c r="D184" s="226">
        <v>0</v>
      </c>
      <c r="E184" s="226">
        <v>1.5707963267948966</v>
      </c>
      <c r="F184" s="226"/>
      <c r="G184" s="226" t="s">
        <v>683</v>
      </c>
      <c r="H184" s="226"/>
    </row>
    <row r="185" spans="1:8">
      <c r="A185" s="226" t="s">
        <v>653</v>
      </c>
      <c r="B185" s="226">
        <v>1</v>
      </c>
      <c r="C185" s="226">
        <v>6.1257422745431001E-17</v>
      </c>
      <c r="D185" s="226">
        <v>1</v>
      </c>
      <c r="E185" s="226">
        <v>6.1257422745431001E-17</v>
      </c>
      <c r="F185" s="226"/>
      <c r="G185" s="226">
        <v>0.05</v>
      </c>
      <c r="H185" s="226"/>
    </row>
    <row r="186" spans="1:8">
      <c r="A186" s="217" t="s">
        <v>654</v>
      </c>
      <c r="B186" s="217">
        <v>0</v>
      </c>
      <c r="C186" s="217">
        <v>1</v>
      </c>
      <c r="D186" s="217">
        <v>0</v>
      </c>
      <c r="E186" s="217">
        <v>1</v>
      </c>
      <c r="G186" s="217" t="s">
        <v>655</v>
      </c>
    </row>
    <row r="187" spans="1:8">
      <c r="A187" s="217" t="s">
        <v>690</v>
      </c>
      <c r="B187" s="217">
        <v>7.17</v>
      </c>
      <c r="C187" s="217">
        <v>3.433333333333334</v>
      </c>
      <c r="D187" s="217">
        <v>7.17</v>
      </c>
      <c r="E187" s="217">
        <v>3.433333333333334</v>
      </c>
      <c r="G187" s="217">
        <v>0</v>
      </c>
    </row>
    <row r="188" spans="1:8">
      <c r="A188" s="217" t="s">
        <v>692</v>
      </c>
      <c r="B188" s="217">
        <v>3.433333333333334</v>
      </c>
      <c r="C188" s="217">
        <v>7.17</v>
      </c>
      <c r="D188" s="217">
        <v>3.433333333333334</v>
      </c>
      <c r="E188" s="217">
        <v>7.17</v>
      </c>
    </row>
    <row r="189" spans="1:8">
      <c r="A189" s="217" t="s">
        <v>660</v>
      </c>
      <c r="B189" s="217">
        <v>0</v>
      </c>
      <c r="C189" s="217">
        <v>2.2889856965876046E-16</v>
      </c>
      <c r="D189" s="217">
        <v>0</v>
      </c>
      <c r="E189" s="217">
        <v>2.2889856965876046E-16</v>
      </c>
    </row>
    <row r="190" spans="1:8">
      <c r="A190" s="217" t="s">
        <v>662</v>
      </c>
      <c r="B190" s="217">
        <v>0.29126213592233002</v>
      </c>
      <c r="C190" s="217">
        <v>0.1394700139470014</v>
      </c>
      <c r="D190" s="217">
        <v>0.29126213592233002</v>
      </c>
      <c r="E190" s="217">
        <v>0.1394700139470014</v>
      </c>
    </row>
    <row r="191" spans="1:8">
      <c r="A191" s="217" t="s">
        <v>665</v>
      </c>
      <c r="B191" s="217">
        <v>0.1394700139470014</v>
      </c>
      <c r="C191" s="217">
        <v>0.29126213592233002</v>
      </c>
      <c r="D191" s="217">
        <v>0.1394700139470014</v>
      </c>
      <c r="E191" s="217">
        <v>0.29126213592233002</v>
      </c>
    </row>
    <row r="192" spans="1:8">
      <c r="A192" s="217" t="s">
        <v>666</v>
      </c>
      <c r="B192" s="217">
        <v>0</v>
      </c>
      <c r="C192" s="217">
        <v>-9.2983941852687333E-18</v>
      </c>
      <c r="D192" s="217">
        <v>0</v>
      </c>
      <c r="E192" s="217">
        <v>-9.2983941852687333E-18</v>
      </c>
    </row>
    <row r="193" spans="1:7">
      <c r="A193" s="217" t="s">
        <v>637</v>
      </c>
    </row>
    <row r="195" spans="1:7">
      <c r="A195" s="217" t="s">
        <v>243</v>
      </c>
      <c r="B195" s="217" t="s">
        <v>1562</v>
      </c>
      <c r="C195" s="217" t="s">
        <v>1563</v>
      </c>
      <c r="D195" s="217" t="s">
        <v>1564</v>
      </c>
      <c r="E195" s="217" t="s">
        <v>1565</v>
      </c>
    </row>
    <row r="196" spans="1:7">
      <c r="A196" s="217" t="s">
        <v>537</v>
      </c>
      <c r="B196" s="217">
        <v>0</v>
      </c>
      <c r="C196" s="217">
        <v>90</v>
      </c>
      <c r="D196" s="217">
        <v>0</v>
      </c>
      <c r="E196" s="217">
        <v>90</v>
      </c>
      <c r="F196" s="217" t="s">
        <v>538</v>
      </c>
      <c r="G196" s="217" t="s">
        <v>652</v>
      </c>
    </row>
    <row r="197" spans="1:7">
      <c r="A197" s="217" t="s">
        <v>541</v>
      </c>
      <c r="B197" s="217">
        <v>0</v>
      </c>
      <c r="C197" s="217">
        <v>0</v>
      </c>
      <c r="D197" s="217">
        <v>0</v>
      </c>
      <c r="E197" s="217">
        <v>0</v>
      </c>
      <c r="F197" s="217">
        <v>1</v>
      </c>
      <c r="G197" s="217">
        <v>0</v>
      </c>
    </row>
    <row r="198" spans="1:7">
      <c r="A198" s="217" t="s">
        <v>648</v>
      </c>
      <c r="B198" s="217">
        <v>0</v>
      </c>
      <c r="C198" s="217">
        <v>1.5707963267948966</v>
      </c>
      <c r="D198" s="217">
        <v>0</v>
      </c>
      <c r="E198" s="217">
        <v>1.5707963267948966</v>
      </c>
      <c r="G198" s="217" t="s">
        <v>683</v>
      </c>
    </row>
    <row r="199" spans="1:7">
      <c r="A199" s="217" t="s">
        <v>653</v>
      </c>
      <c r="B199" s="217">
        <v>1</v>
      </c>
      <c r="C199" s="217">
        <v>6.1257422745431001E-17</v>
      </c>
      <c r="D199" s="217">
        <v>1</v>
      </c>
      <c r="E199" s="217">
        <v>6.1257422745431001E-17</v>
      </c>
      <c r="G199" s="217">
        <v>0.05</v>
      </c>
    </row>
    <row r="200" spans="1:7">
      <c r="A200" s="217" t="s">
        <v>654</v>
      </c>
      <c r="B200" s="217">
        <v>0</v>
      </c>
      <c r="C200" s="217">
        <v>1</v>
      </c>
      <c r="D200" s="217">
        <v>0</v>
      </c>
      <c r="E200" s="217">
        <v>1</v>
      </c>
      <c r="G200" s="217" t="s">
        <v>655</v>
      </c>
    </row>
    <row r="201" spans="1:7">
      <c r="A201" s="217" t="s">
        <v>690</v>
      </c>
      <c r="B201" s="217">
        <v>7.17</v>
      </c>
      <c r="C201" s="217">
        <v>3.433333333333334</v>
      </c>
      <c r="D201" s="217">
        <v>7.17</v>
      </c>
      <c r="E201" s="217">
        <v>3.433333333333334</v>
      </c>
      <c r="G201" s="217">
        <v>0</v>
      </c>
    </row>
    <row r="202" spans="1:7">
      <c r="A202" s="217" t="s">
        <v>692</v>
      </c>
      <c r="B202" s="217">
        <v>3.433333333333334</v>
      </c>
      <c r="C202" s="217">
        <v>7.17</v>
      </c>
      <c r="D202" s="217">
        <v>3.433333333333334</v>
      </c>
      <c r="E202" s="217">
        <v>7.17</v>
      </c>
    </row>
    <row r="203" spans="1:7">
      <c r="A203" s="217" t="s">
        <v>660</v>
      </c>
      <c r="B203" s="217">
        <v>0</v>
      </c>
      <c r="C203" s="217">
        <v>2.2889856965876046E-16</v>
      </c>
      <c r="D203" s="217">
        <v>0</v>
      </c>
      <c r="E203" s="217">
        <v>2.2889856965876046E-16</v>
      </c>
    </row>
    <row r="204" spans="1:7">
      <c r="A204" s="217" t="s">
        <v>662</v>
      </c>
      <c r="B204" s="217">
        <v>0.29126213592233002</v>
      </c>
      <c r="C204" s="217">
        <v>0.1394700139470014</v>
      </c>
      <c r="D204" s="217">
        <v>0.29126213592233002</v>
      </c>
      <c r="E204" s="217">
        <v>0.1394700139470014</v>
      </c>
    </row>
    <row r="205" spans="1:7">
      <c r="A205" s="217" t="s">
        <v>665</v>
      </c>
      <c r="B205" s="217">
        <v>0.1394700139470014</v>
      </c>
      <c r="C205" s="217">
        <v>0.29126213592233002</v>
      </c>
      <c r="D205" s="217">
        <v>0.1394700139470014</v>
      </c>
      <c r="E205" s="217">
        <v>0.29126213592233002</v>
      </c>
    </row>
    <row r="206" spans="1:7">
      <c r="A206" s="217" t="s">
        <v>666</v>
      </c>
      <c r="B206" s="217">
        <v>0</v>
      </c>
      <c r="C206" s="217">
        <v>-9.2983941852687333E-18</v>
      </c>
      <c r="D206" s="217">
        <v>0</v>
      </c>
      <c r="E206" s="217">
        <v>-9.2983941852687333E-18</v>
      </c>
    </row>
    <row r="207" spans="1:7">
      <c r="A207" s="217" t="s">
        <v>637</v>
      </c>
    </row>
    <row r="209" spans="1:7">
      <c r="A209" s="217" t="s">
        <v>243</v>
      </c>
      <c r="B209" s="217" t="s">
        <v>1562</v>
      </c>
      <c r="C209" s="217" t="s">
        <v>1563</v>
      </c>
      <c r="D209" s="217" t="s">
        <v>1564</v>
      </c>
      <c r="E209" s="217" t="s">
        <v>1565</v>
      </c>
    </row>
    <row r="210" spans="1:7">
      <c r="A210" s="217" t="s">
        <v>537</v>
      </c>
      <c r="B210" s="217">
        <v>0</v>
      </c>
      <c r="C210" s="217">
        <v>90</v>
      </c>
      <c r="D210" s="217">
        <v>0</v>
      </c>
      <c r="E210" s="217">
        <v>90</v>
      </c>
      <c r="F210" s="217" t="s">
        <v>538</v>
      </c>
      <c r="G210" s="217" t="s">
        <v>652</v>
      </c>
    </row>
    <row r="211" spans="1:7">
      <c r="A211" s="217" t="s">
        <v>541</v>
      </c>
      <c r="B211" s="217">
        <v>0</v>
      </c>
      <c r="C211" s="217">
        <v>0</v>
      </c>
      <c r="D211" s="217">
        <v>0</v>
      </c>
      <c r="E211" s="217">
        <v>0</v>
      </c>
      <c r="F211" s="217">
        <v>1</v>
      </c>
      <c r="G211" s="217">
        <v>0</v>
      </c>
    </row>
    <row r="212" spans="1:7">
      <c r="A212" s="217" t="s">
        <v>648</v>
      </c>
      <c r="B212" s="217">
        <v>0</v>
      </c>
      <c r="C212" s="217">
        <v>1.5707963267948966</v>
      </c>
      <c r="D212" s="217">
        <v>0</v>
      </c>
      <c r="E212" s="217">
        <v>1.5707963267948966</v>
      </c>
      <c r="G212" s="217" t="s">
        <v>683</v>
      </c>
    </row>
    <row r="213" spans="1:7">
      <c r="A213" s="217" t="s">
        <v>653</v>
      </c>
      <c r="B213" s="217">
        <v>1</v>
      </c>
      <c r="C213" s="217">
        <v>6.1257422745431001E-17</v>
      </c>
      <c r="D213" s="217">
        <v>1</v>
      </c>
      <c r="E213" s="217">
        <v>6.1257422745431001E-17</v>
      </c>
      <c r="G213" s="217">
        <v>0.05</v>
      </c>
    </row>
    <row r="214" spans="1:7">
      <c r="A214" s="217" t="s">
        <v>654</v>
      </c>
      <c r="B214" s="217">
        <v>0</v>
      </c>
      <c r="C214" s="217">
        <v>1</v>
      </c>
      <c r="D214" s="217">
        <v>0</v>
      </c>
      <c r="E214" s="217">
        <v>1</v>
      </c>
      <c r="G214" s="217" t="s">
        <v>655</v>
      </c>
    </row>
    <row r="215" spans="1:7">
      <c r="A215" s="217" t="s">
        <v>690</v>
      </c>
      <c r="B215" s="217">
        <v>7.17</v>
      </c>
      <c r="C215" s="217">
        <v>3.433333333333334</v>
      </c>
      <c r="D215" s="217">
        <v>7.17</v>
      </c>
      <c r="E215" s="217">
        <v>3.433333333333334</v>
      </c>
      <c r="G215" s="217">
        <v>0</v>
      </c>
    </row>
    <row r="216" spans="1:7">
      <c r="A216" s="217" t="s">
        <v>692</v>
      </c>
      <c r="B216" s="217">
        <v>3.433333333333334</v>
      </c>
      <c r="C216" s="217">
        <v>7.17</v>
      </c>
      <c r="D216" s="217">
        <v>3.433333333333334</v>
      </c>
      <c r="E216" s="217">
        <v>7.17</v>
      </c>
    </row>
    <row r="217" spans="1:7">
      <c r="A217" s="217" t="s">
        <v>660</v>
      </c>
      <c r="B217" s="217">
        <v>0</v>
      </c>
      <c r="C217" s="217">
        <v>2.2889856965876046E-16</v>
      </c>
      <c r="D217" s="217">
        <v>0</v>
      </c>
      <c r="E217" s="217">
        <v>2.2889856965876046E-16</v>
      </c>
    </row>
    <row r="218" spans="1:7">
      <c r="A218" s="217" t="s">
        <v>662</v>
      </c>
      <c r="B218" s="217">
        <v>0.29126213592233002</v>
      </c>
      <c r="C218" s="217">
        <v>0.1394700139470014</v>
      </c>
      <c r="D218" s="217">
        <v>0.29126213592233002</v>
      </c>
      <c r="E218" s="217">
        <v>0.1394700139470014</v>
      </c>
    </row>
    <row r="219" spans="1:7">
      <c r="A219" s="217" t="s">
        <v>665</v>
      </c>
      <c r="B219" s="217">
        <v>0.1394700139470014</v>
      </c>
      <c r="C219" s="217">
        <v>0.29126213592233002</v>
      </c>
      <c r="D219" s="217">
        <v>0.1394700139470014</v>
      </c>
      <c r="E219" s="217">
        <v>0.29126213592233002</v>
      </c>
    </row>
    <row r="220" spans="1:7">
      <c r="A220" s="217" t="s">
        <v>666</v>
      </c>
      <c r="B220" s="217">
        <v>0</v>
      </c>
      <c r="C220" s="217">
        <v>-9.2983941852687333E-18</v>
      </c>
      <c r="D220" s="217">
        <v>0</v>
      </c>
      <c r="E220" s="217">
        <v>-9.2983941852687333E-18</v>
      </c>
    </row>
    <row r="221" spans="1:7">
      <c r="A221" s="217" t="s">
        <v>637</v>
      </c>
    </row>
    <row r="223" spans="1:7">
      <c r="A223" s="217" t="s">
        <v>243</v>
      </c>
      <c r="B223" s="217" t="s">
        <v>1562</v>
      </c>
      <c r="C223" s="217" t="s">
        <v>1563</v>
      </c>
      <c r="D223" s="217" t="s">
        <v>1564</v>
      </c>
      <c r="E223" s="217" t="s">
        <v>1565</v>
      </c>
    </row>
    <row r="224" spans="1:7">
      <c r="A224" s="217" t="s">
        <v>537</v>
      </c>
      <c r="B224" s="217">
        <v>0</v>
      </c>
      <c r="C224" s="217">
        <v>90</v>
      </c>
      <c r="D224" s="217">
        <v>0</v>
      </c>
      <c r="E224" s="217">
        <v>90</v>
      </c>
      <c r="F224" s="217" t="s">
        <v>538</v>
      </c>
      <c r="G224" s="217" t="s">
        <v>652</v>
      </c>
    </row>
    <row r="225" spans="1:7">
      <c r="A225" s="217" t="s">
        <v>541</v>
      </c>
      <c r="B225" s="217">
        <v>0</v>
      </c>
      <c r="C225" s="217">
        <v>0</v>
      </c>
      <c r="D225" s="217">
        <v>0</v>
      </c>
      <c r="E225" s="217">
        <v>0</v>
      </c>
      <c r="F225" s="217">
        <v>1</v>
      </c>
      <c r="G225" s="217">
        <v>0</v>
      </c>
    </row>
    <row r="226" spans="1:7">
      <c r="A226" s="217" t="s">
        <v>648</v>
      </c>
      <c r="B226" s="217">
        <v>0</v>
      </c>
      <c r="C226" s="217">
        <v>1.5707963267948966</v>
      </c>
      <c r="D226" s="217">
        <v>0</v>
      </c>
      <c r="E226" s="217">
        <v>1.5707963267948966</v>
      </c>
      <c r="G226" s="217" t="s">
        <v>683</v>
      </c>
    </row>
    <row r="227" spans="1:7">
      <c r="A227" s="217" t="s">
        <v>653</v>
      </c>
      <c r="B227" s="217">
        <v>1</v>
      </c>
      <c r="C227" s="217">
        <v>6.1257422745431001E-17</v>
      </c>
      <c r="D227" s="217">
        <v>1</v>
      </c>
      <c r="E227" s="217">
        <v>6.1257422745431001E-17</v>
      </c>
      <c r="G227" s="217">
        <v>0.05</v>
      </c>
    </row>
    <row r="228" spans="1:7">
      <c r="A228" s="217" t="s">
        <v>654</v>
      </c>
      <c r="B228" s="217">
        <v>0</v>
      </c>
      <c r="C228" s="217">
        <v>1</v>
      </c>
      <c r="D228" s="217">
        <v>0</v>
      </c>
      <c r="E228" s="217">
        <v>1</v>
      </c>
      <c r="G228" s="217" t="s">
        <v>655</v>
      </c>
    </row>
    <row r="229" spans="1:7">
      <c r="A229" s="217" t="s">
        <v>690</v>
      </c>
      <c r="B229" s="217">
        <v>7.17</v>
      </c>
      <c r="C229" s="217">
        <v>3.433333333333334</v>
      </c>
      <c r="D229" s="217">
        <v>7.17</v>
      </c>
      <c r="E229" s="217">
        <v>3.433333333333334</v>
      </c>
      <c r="G229" s="217">
        <v>0</v>
      </c>
    </row>
    <row r="230" spans="1:7">
      <c r="A230" s="217" t="s">
        <v>692</v>
      </c>
      <c r="B230" s="217">
        <v>3.433333333333334</v>
      </c>
      <c r="C230" s="217">
        <v>7.17</v>
      </c>
      <c r="D230" s="217">
        <v>3.433333333333334</v>
      </c>
      <c r="E230" s="217">
        <v>7.17</v>
      </c>
    </row>
    <row r="231" spans="1:7">
      <c r="A231" s="217" t="s">
        <v>660</v>
      </c>
      <c r="B231" s="217">
        <v>0</v>
      </c>
      <c r="C231" s="217">
        <v>2.2889856965876046E-16</v>
      </c>
      <c r="D231" s="217">
        <v>0</v>
      </c>
      <c r="E231" s="217">
        <v>2.2889856965876046E-16</v>
      </c>
    </row>
    <row r="232" spans="1:7">
      <c r="A232" s="217" t="s">
        <v>662</v>
      </c>
      <c r="B232" s="217">
        <v>0.29126213592233002</v>
      </c>
      <c r="C232" s="217">
        <v>0.1394700139470014</v>
      </c>
      <c r="D232" s="217">
        <v>0.29126213592233002</v>
      </c>
      <c r="E232" s="217">
        <v>0.1394700139470014</v>
      </c>
    </row>
    <row r="233" spans="1:7">
      <c r="A233" s="217" t="s">
        <v>665</v>
      </c>
      <c r="B233" s="217">
        <v>0.1394700139470014</v>
      </c>
      <c r="C233" s="217">
        <v>0.29126213592233002</v>
      </c>
      <c r="D233" s="217">
        <v>0.1394700139470014</v>
      </c>
      <c r="E233" s="217">
        <v>0.29126213592233002</v>
      </c>
    </row>
    <row r="234" spans="1:7">
      <c r="A234" s="217" t="s">
        <v>666</v>
      </c>
      <c r="B234" s="217">
        <v>0</v>
      </c>
      <c r="C234" s="217">
        <v>-9.2983941852687333E-18</v>
      </c>
      <c r="D234" s="217">
        <v>0</v>
      </c>
      <c r="E234" s="217">
        <v>-9.2983941852687333E-18</v>
      </c>
    </row>
  </sheetData>
  <phoneticPr fontId="5" type="noConversion"/>
  <printOptions gridLines="1" gridLinesSet="0"/>
  <pageMargins left="0.75" right="0.75" top="1" bottom="1" header="0.5" footer="0.5"/>
  <pageSetup orientation="portrait" horizontalDpi="300" verticalDpi="4294967292"/>
  <headerFooter alignWithMargins="0">
    <oddHeader>&amp;F</oddHeader>
    <oddFooter>Page &amp;P</oddFooter>
  </headerFooter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4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9" Type="http://schemas.openxmlformats.org/officeDocument/2006/relationships/comments" Target="../comments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142"/>
  <sheetViews>
    <sheetView zoomScale="125" zoomScaleNormal="125" zoomScalePageLayoutView="125" workbookViewId="0">
      <selection activeCell="A73" sqref="A73:H77"/>
    </sheetView>
  </sheetViews>
  <sheetFormatPr defaultColWidth="7" defaultRowHeight="12.6"/>
  <cols>
    <col min="1" max="1" width="9.6328125" style="30" customWidth="1"/>
    <col min="2" max="3" width="6" style="30" customWidth="1"/>
    <col min="4" max="5" width="6" style="35" customWidth="1"/>
    <col min="6" max="9" width="6" style="30" customWidth="1"/>
    <col min="10" max="10" width="7" style="30"/>
    <col min="11" max="11" width="10.08984375" style="30" customWidth="1"/>
    <col min="12" max="16384" width="7" style="30"/>
  </cols>
  <sheetData>
    <row r="1" spans="1:18">
      <c r="A1" s="31" t="s">
        <v>1583</v>
      </c>
      <c r="B1" s="31" t="s">
        <v>1577</v>
      </c>
      <c r="C1" s="31" t="s">
        <v>1578</v>
      </c>
      <c r="D1" s="31" t="s">
        <v>266</v>
      </c>
      <c r="E1" s="31" t="s">
        <v>267</v>
      </c>
      <c r="F1" s="31" t="s">
        <v>268</v>
      </c>
      <c r="G1" s="31" t="s">
        <v>1584</v>
      </c>
      <c r="H1" s="31" t="s">
        <v>1585</v>
      </c>
      <c r="I1" s="31"/>
      <c r="K1" s="31" t="s">
        <v>1586</v>
      </c>
      <c r="L1" s="31" t="s">
        <v>307</v>
      </c>
      <c r="M1" s="31" t="s">
        <v>308</v>
      </c>
      <c r="N1" s="31" t="s">
        <v>266</v>
      </c>
      <c r="O1" s="31" t="s">
        <v>309</v>
      </c>
      <c r="P1" s="31" t="s">
        <v>310</v>
      </c>
      <c r="Q1" s="31" t="s">
        <v>1584</v>
      </c>
      <c r="R1" s="31" t="s">
        <v>1585</v>
      </c>
    </row>
    <row r="2" spans="1:18">
      <c r="A2" s="31" t="s">
        <v>269</v>
      </c>
      <c r="B2" s="31" t="s">
        <v>270</v>
      </c>
      <c r="C2" s="31" t="s">
        <v>271</v>
      </c>
      <c r="D2" s="31" t="s">
        <v>272</v>
      </c>
      <c r="E2" s="31" t="s">
        <v>273</v>
      </c>
      <c r="F2" s="31" t="s">
        <v>1587</v>
      </c>
      <c r="G2" s="31" t="s">
        <v>1588</v>
      </c>
      <c r="H2" s="31" t="s">
        <v>275</v>
      </c>
      <c r="I2" s="31" t="s">
        <v>1423</v>
      </c>
      <c r="K2" s="31" t="s">
        <v>311</v>
      </c>
      <c r="L2" s="31" t="s">
        <v>312</v>
      </c>
      <c r="M2" s="31" t="s">
        <v>313</v>
      </c>
      <c r="N2" s="31" t="s">
        <v>314</v>
      </c>
      <c r="O2" s="31" t="s">
        <v>315</v>
      </c>
      <c r="P2" s="31" t="s">
        <v>1587</v>
      </c>
      <c r="Q2" s="31" t="s">
        <v>1588</v>
      </c>
      <c r="R2" s="31" t="s">
        <v>275</v>
      </c>
    </row>
    <row r="3" spans="1:18">
      <c r="A3" s="31" t="s">
        <v>1568</v>
      </c>
      <c r="B3" s="31" t="s">
        <v>276</v>
      </c>
      <c r="C3" s="31" t="s">
        <v>277</v>
      </c>
      <c r="D3" s="31" t="s">
        <v>1589</v>
      </c>
      <c r="E3" s="31" t="s">
        <v>279</v>
      </c>
      <c r="F3" s="31" t="s">
        <v>280</v>
      </c>
      <c r="G3" s="31" t="s">
        <v>281</v>
      </c>
      <c r="H3" s="31" t="s">
        <v>282</v>
      </c>
      <c r="I3" s="31" t="s">
        <v>1427</v>
      </c>
      <c r="K3" s="31" t="s">
        <v>1568</v>
      </c>
      <c r="L3" s="31" t="s">
        <v>1701</v>
      </c>
      <c r="M3" s="31" t="s">
        <v>277</v>
      </c>
      <c r="N3" s="31" t="s">
        <v>1589</v>
      </c>
      <c r="O3" s="31" t="s">
        <v>279</v>
      </c>
      <c r="P3" s="31" t="s">
        <v>280</v>
      </c>
      <c r="Q3" s="31" t="s">
        <v>281</v>
      </c>
      <c r="R3" s="31" t="s">
        <v>282</v>
      </c>
    </row>
    <row r="4" spans="1:18">
      <c r="A4" s="31" t="s">
        <v>1591</v>
      </c>
      <c r="B4" s="31" t="s">
        <v>1592</v>
      </c>
      <c r="C4" s="31" t="s">
        <v>1537</v>
      </c>
      <c r="D4" s="31" t="s">
        <v>1539</v>
      </c>
      <c r="E4" s="31" t="s">
        <v>295</v>
      </c>
      <c r="F4" s="31" t="s">
        <v>283</v>
      </c>
      <c r="G4" s="31" t="s">
        <v>284</v>
      </c>
      <c r="H4" s="31" t="s">
        <v>285</v>
      </c>
      <c r="I4" s="31"/>
      <c r="K4" s="31" t="s">
        <v>1591</v>
      </c>
      <c r="L4" s="31" t="s">
        <v>1592</v>
      </c>
      <c r="M4" s="31" t="s">
        <v>1537</v>
      </c>
      <c r="N4" s="31" t="s">
        <v>1539</v>
      </c>
      <c r="O4" s="31" t="s">
        <v>295</v>
      </c>
      <c r="P4" s="31" t="s">
        <v>283</v>
      </c>
      <c r="Q4" s="31" t="s">
        <v>284</v>
      </c>
      <c r="R4" s="31" t="s">
        <v>285</v>
      </c>
    </row>
    <row r="5" spans="1:18">
      <c r="A5" s="31" t="s">
        <v>286</v>
      </c>
      <c r="B5" s="31" t="s">
        <v>287</v>
      </c>
      <c r="C5" s="31" t="s">
        <v>288</v>
      </c>
      <c r="D5" s="31" t="s">
        <v>289</v>
      </c>
      <c r="E5" s="31" t="s">
        <v>290</v>
      </c>
      <c r="F5" s="30" t="s">
        <v>1581</v>
      </c>
      <c r="G5" s="31"/>
      <c r="H5" s="31"/>
      <c r="I5" s="31"/>
      <c r="K5" s="31" t="s">
        <v>286</v>
      </c>
      <c r="L5" s="31" t="s">
        <v>287</v>
      </c>
      <c r="M5" s="31" t="s">
        <v>288</v>
      </c>
      <c r="N5" s="31" t="s">
        <v>289</v>
      </c>
      <c r="O5" s="31" t="s">
        <v>290</v>
      </c>
      <c r="Q5" s="31"/>
      <c r="R5" s="31"/>
    </row>
    <row r="7" spans="1:18">
      <c r="A7" s="30" t="s">
        <v>1593</v>
      </c>
      <c r="K7" s="30" t="s">
        <v>1594</v>
      </c>
    </row>
    <row r="8" spans="1:18">
      <c r="A8" s="32" t="s">
        <v>1703</v>
      </c>
      <c r="B8" s="30">
        <v>138</v>
      </c>
      <c r="C8" s="30">
        <v>8.9600000000000009</v>
      </c>
      <c r="D8" s="35">
        <v>0.3</v>
      </c>
      <c r="E8" s="35">
        <v>7.1</v>
      </c>
      <c r="F8" s="30">
        <v>3.4</v>
      </c>
      <c r="G8" s="30">
        <v>122</v>
      </c>
      <c r="H8" s="30">
        <v>160</v>
      </c>
      <c r="K8" s="33" t="s">
        <v>1704</v>
      </c>
      <c r="L8" s="33">
        <v>20.029027576196999</v>
      </c>
      <c r="M8" s="33">
        <v>1.3004354136430001</v>
      </c>
      <c r="N8" s="33">
        <v>0.3</v>
      </c>
      <c r="O8" s="33">
        <v>1.0304789550072999</v>
      </c>
      <c r="P8" s="30">
        <v>0.49346879535559002</v>
      </c>
      <c r="Q8" s="30">
        <v>251.6</v>
      </c>
      <c r="R8" s="30">
        <v>320</v>
      </c>
    </row>
    <row r="9" spans="1:18">
      <c r="A9" s="30">
        <v>1447</v>
      </c>
      <c r="B9" s="30">
        <v>1447</v>
      </c>
      <c r="C9" s="30">
        <v>52</v>
      </c>
      <c r="D9" s="35">
        <v>206</v>
      </c>
      <c r="E9" s="35">
        <v>93</v>
      </c>
      <c r="F9" s="30">
        <v>1.2</v>
      </c>
      <c r="G9" s="30">
        <v>22</v>
      </c>
      <c r="H9" s="30">
        <v>5.0000000000000001E-3</v>
      </c>
      <c r="I9" s="35">
        <v>10.4855072463768</v>
      </c>
      <c r="K9" s="33">
        <v>210.0145137881</v>
      </c>
      <c r="L9" s="33">
        <v>210.0145137881</v>
      </c>
      <c r="M9" s="33">
        <v>7.5471698113208001</v>
      </c>
      <c r="N9" s="33">
        <v>29.898403483309</v>
      </c>
      <c r="O9" s="33">
        <v>13.497822931785</v>
      </c>
      <c r="P9" s="30">
        <v>1.2</v>
      </c>
      <c r="Q9" s="30">
        <v>71.599999999999994</v>
      </c>
      <c r="R9" s="30">
        <v>5.0000000000000001E-3</v>
      </c>
    </row>
    <row r="10" spans="1:18">
      <c r="A10" s="30">
        <v>-0.5</v>
      </c>
      <c r="B10" s="30">
        <v>125</v>
      </c>
      <c r="C10" s="30">
        <v>0.66</v>
      </c>
      <c r="D10" s="35">
        <v>1.6</v>
      </c>
      <c r="E10" s="35">
        <v>0.51600000000000001</v>
      </c>
      <c r="F10" s="30">
        <v>0.5</v>
      </c>
      <c r="G10" s="30">
        <v>0.2</v>
      </c>
      <c r="H10" s="30">
        <v>0.9</v>
      </c>
      <c r="I10" s="35">
        <v>10.4855072463768</v>
      </c>
      <c r="K10" s="30">
        <v>-0.5</v>
      </c>
      <c r="L10" s="34">
        <v>4925</v>
      </c>
      <c r="M10" s="30">
        <v>0.66</v>
      </c>
      <c r="N10" s="30">
        <v>1.6</v>
      </c>
      <c r="O10" s="30">
        <v>0.51600000000000001</v>
      </c>
      <c r="P10" s="30">
        <v>0.5</v>
      </c>
      <c r="Q10" s="30">
        <v>0.2</v>
      </c>
      <c r="R10" s="30">
        <v>0.9</v>
      </c>
    </row>
    <row r="11" spans="1:18">
      <c r="A11" s="30">
        <v>-0.3</v>
      </c>
      <c r="B11" s="30">
        <v>28.1</v>
      </c>
      <c r="C11" s="35">
        <v>0</v>
      </c>
      <c r="D11" s="35">
        <v>0.44</v>
      </c>
      <c r="E11" s="35">
        <v>0.316</v>
      </c>
      <c r="F11" s="30">
        <v>4.0000000000000001E-3</v>
      </c>
      <c r="G11" s="30">
        <v>4.0000000000000001E-3</v>
      </c>
      <c r="H11" s="30">
        <v>2000</v>
      </c>
      <c r="I11" s="35">
        <f>C9/C8</f>
        <v>5.8035714285714279</v>
      </c>
      <c r="J11" s="33">
        <f>I11/I9</f>
        <v>0.55348504294599721</v>
      </c>
      <c r="K11" s="33">
        <v>-0.16666666666666999</v>
      </c>
      <c r="L11" s="33">
        <v>15.611111111111001</v>
      </c>
      <c r="M11" s="30">
        <v>0</v>
      </c>
      <c r="N11" s="30">
        <v>0.44</v>
      </c>
      <c r="O11" s="30">
        <v>0.316</v>
      </c>
      <c r="P11" s="30">
        <v>4.0000000000000001E-3</v>
      </c>
      <c r="Q11" s="30">
        <v>4.0000000000000001E-3</v>
      </c>
      <c r="R11" s="30">
        <v>3600</v>
      </c>
    </row>
    <row r="12" spans="1:18">
      <c r="A12" s="30">
        <v>0.15</v>
      </c>
      <c r="B12" s="30">
        <v>0.01</v>
      </c>
      <c r="C12" s="30">
        <v>1</v>
      </c>
      <c r="D12" s="35">
        <v>1</v>
      </c>
      <c r="E12" s="35">
        <v>0</v>
      </c>
      <c r="F12" s="30">
        <v>0.5</v>
      </c>
      <c r="I12" s="35"/>
      <c r="K12" s="30">
        <v>0.15</v>
      </c>
      <c r="L12" s="33">
        <v>0.01</v>
      </c>
      <c r="M12" s="30">
        <v>1</v>
      </c>
      <c r="N12" s="30">
        <v>0</v>
      </c>
      <c r="O12" s="30">
        <v>0.1</v>
      </c>
    </row>
    <row r="13" spans="1:18">
      <c r="A13" s="32" t="s">
        <v>1707</v>
      </c>
      <c r="B13" s="30">
        <v>134</v>
      </c>
      <c r="C13" s="30">
        <v>8.9</v>
      </c>
      <c r="D13" s="35">
        <v>0.28000000000000003</v>
      </c>
      <c r="E13" s="35">
        <v>5.0999999999999996</v>
      </c>
      <c r="F13" s="30">
        <v>3.4</v>
      </c>
      <c r="G13" s="30">
        <v>200</v>
      </c>
      <c r="H13" s="30">
        <v>400</v>
      </c>
      <c r="I13" s="36"/>
      <c r="K13" s="30" t="s">
        <v>1708</v>
      </c>
      <c r="L13" s="33">
        <v>19.448476052250001</v>
      </c>
      <c r="M13" s="30">
        <v>1.2917271407837001</v>
      </c>
      <c r="N13" s="30">
        <v>0.28000000000000003</v>
      </c>
      <c r="O13" s="30">
        <v>0.74020319303338</v>
      </c>
      <c r="P13" s="30">
        <v>0.49346879535559002</v>
      </c>
      <c r="Q13" s="30">
        <v>392</v>
      </c>
      <c r="R13" s="30">
        <v>752</v>
      </c>
    </row>
    <row r="14" spans="1:18">
      <c r="A14" s="30">
        <v>2130</v>
      </c>
      <c r="B14" s="30">
        <v>1100</v>
      </c>
      <c r="C14" s="30">
        <v>80</v>
      </c>
      <c r="D14" s="35">
        <v>200</v>
      </c>
      <c r="E14" s="35">
        <v>160</v>
      </c>
      <c r="F14" s="30">
        <v>1.2</v>
      </c>
      <c r="G14" s="30">
        <v>22</v>
      </c>
      <c r="H14" s="30">
        <v>0</v>
      </c>
      <c r="I14" s="35">
        <v>15.8955223880597</v>
      </c>
      <c r="K14" s="33">
        <v>309.14368650218</v>
      </c>
      <c r="L14" s="33">
        <v>159.65166908563</v>
      </c>
      <c r="M14" s="30">
        <v>11.611030478955</v>
      </c>
      <c r="N14" s="30">
        <v>29.027576197388001</v>
      </c>
      <c r="O14" s="30">
        <v>23.222060957909999</v>
      </c>
      <c r="P14" s="30">
        <v>1.2</v>
      </c>
      <c r="Q14" s="30">
        <v>71.599999999999994</v>
      </c>
      <c r="R14" s="30">
        <v>5.0000000000000001E-3</v>
      </c>
    </row>
    <row r="15" spans="1:18">
      <c r="A15" s="30">
        <v>-0.5</v>
      </c>
      <c r="B15" s="30">
        <v>125</v>
      </c>
      <c r="C15" s="30">
        <v>0.66</v>
      </c>
      <c r="D15" s="35">
        <v>1.6</v>
      </c>
      <c r="E15" s="35">
        <v>0.51600000000000001</v>
      </c>
      <c r="F15" s="30">
        <v>0.5</v>
      </c>
      <c r="G15" s="30">
        <v>0.2</v>
      </c>
      <c r="H15" s="30">
        <v>0.9</v>
      </c>
      <c r="I15" s="35">
        <v>8.2089552238806007</v>
      </c>
      <c r="K15" s="30">
        <v>-0.5</v>
      </c>
      <c r="L15" s="34">
        <v>4925</v>
      </c>
      <c r="M15" s="30">
        <v>0.66</v>
      </c>
      <c r="N15" s="30">
        <v>1.6</v>
      </c>
      <c r="O15" s="30">
        <v>0.51600000000000001</v>
      </c>
      <c r="P15" s="30">
        <v>0.5</v>
      </c>
      <c r="Q15" s="30">
        <v>0.2</v>
      </c>
      <c r="R15" s="30">
        <v>0.9</v>
      </c>
    </row>
    <row r="16" spans="1:18">
      <c r="A16" s="30">
        <v>-0.3</v>
      </c>
      <c r="B16" s="30">
        <v>28.1</v>
      </c>
      <c r="C16" s="35">
        <v>0</v>
      </c>
      <c r="D16" s="35">
        <v>0</v>
      </c>
      <c r="E16" s="35">
        <v>0.316</v>
      </c>
      <c r="F16" s="30">
        <v>4.0000000000000001E-3</v>
      </c>
      <c r="G16" s="30">
        <v>4.0000000000000001E-3</v>
      </c>
      <c r="H16" s="30">
        <v>2000</v>
      </c>
      <c r="I16" s="35"/>
      <c r="J16" s="33"/>
      <c r="K16" s="33">
        <v>-0.16666666666666999</v>
      </c>
      <c r="L16" s="33">
        <v>15.611111111111001</v>
      </c>
      <c r="M16" s="30">
        <v>0</v>
      </c>
      <c r="N16" s="30">
        <v>0</v>
      </c>
      <c r="O16" s="30">
        <v>0.316</v>
      </c>
      <c r="P16" s="30">
        <v>4.0000000000000001E-3</v>
      </c>
      <c r="Q16" s="30">
        <v>4.0000000000000001E-3</v>
      </c>
      <c r="R16" s="30">
        <v>3600</v>
      </c>
    </row>
    <row r="17" spans="1:18">
      <c r="A17" s="30">
        <v>7.0000000000000007E-2</v>
      </c>
      <c r="B17" s="30">
        <v>0.01</v>
      </c>
      <c r="C17" s="30">
        <v>1</v>
      </c>
      <c r="D17" s="35">
        <v>1</v>
      </c>
      <c r="E17" s="35">
        <v>0</v>
      </c>
      <c r="F17" s="30">
        <v>0.5</v>
      </c>
      <c r="I17" s="36"/>
      <c r="K17" s="30">
        <v>7.0000000000000007E-2</v>
      </c>
      <c r="L17" s="33">
        <v>0.01</v>
      </c>
      <c r="M17" s="30">
        <v>1</v>
      </c>
      <c r="N17" s="30">
        <v>0</v>
      </c>
      <c r="O17" s="30">
        <v>0.04</v>
      </c>
    </row>
    <row r="18" spans="1:18">
      <c r="A18" s="32" t="s">
        <v>1599</v>
      </c>
      <c r="B18" s="30">
        <v>204</v>
      </c>
      <c r="C18" s="30">
        <v>18.5</v>
      </c>
      <c r="D18" s="35">
        <v>0.23</v>
      </c>
      <c r="E18" s="35">
        <v>5.59</v>
      </c>
      <c r="F18" s="30">
        <v>3.4</v>
      </c>
      <c r="G18" s="30">
        <v>122</v>
      </c>
      <c r="H18" s="30">
        <v>160</v>
      </c>
      <c r="I18" s="609"/>
      <c r="K18" s="30" t="s">
        <v>1600</v>
      </c>
      <c r="L18" s="33">
        <v>29.608127721334998</v>
      </c>
      <c r="M18" s="33">
        <v>2.6850507982582998</v>
      </c>
      <c r="N18" s="33">
        <v>0.23</v>
      </c>
      <c r="O18" s="33">
        <v>0.81132075471697995</v>
      </c>
      <c r="P18" s="30">
        <v>0.49346879535559002</v>
      </c>
      <c r="Q18" s="30">
        <v>251.6</v>
      </c>
      <c r="R18" s="30">
        <v>320</v>
      </c>
    </row>
    <row r="19" spans="1:18">
      <c r="A19" s="30">
        <v>1260</v>
      </c>
      <c r="B19" s="30">
        <v>2500</v>
      </c>
      <c r="C19" s="30">
        <v>61</v>
      </c>
      <c r="D19" s="35">
        <v>202</v>
      </c>
      <c r="E19" s="35">
        <v>67</v>
      </c>
      <c r="F19" s="30">
        <v>1.2</v>
      </c>
      <c r="G19" s="30">
        <v>22</v>
      </c>
      <c r="H19" s="30">
        <v>5.0000000000000001E-3</v>
      </c>
      <c r="I19" s="35">
        <v>6.1764705882352899</v>
      </c>
      <c r="K19" s="33">
        <v>182.87373004354001</v>
      </c>
      <c r="L19" s="33">
        <v>362.84470246734003</v>
      </c>
      <c r="M19" s="33">
        <v>8.8534107402032003</v>
      </c>
      <c r="N19" s="33">
        <v>29.317851959361001</v>
      </c>
      <c r="O19" s="33">
        <v>9.7242380261247998</v>
      </c>
      <c r="P19" s="30">
        <v>1.2</v>
      </c>
      <c r="Q19" s="30">
        <v>71.599999999999994</v>
      </c>
      <c r="R19" s="30">
        <v>5.0000000000000001E-3</v>
      </c>
    </row>
    <row r="20" spans="1:18">
      <c r="A20" s="30">
        <v>-0.5</v>
      </c>
      <c r="B20" s="30">
        <v>125</v>
      </c>
      <c r="C20" s="30">
        <v>0.5</v>
      </c>
      <c r="D20" s="35">
        <v>2</v>
      </c>
      <c r="E20" s="35">
        <v>0.215</v>
      </c>
      <c r="F20" s="30">
        <v>0.5</v>
      </c>
      <c r="G20" s="30">
        <v>0.2</v>
      </c>
      <c r="H20" s="30">
        <v>0.9</v>
      </c>
      <c r="I20" s="35">
        <v>12.2549019607843</v>
      </c>
      <c r="K20" s="30">
        <v>-0.5</v>
      </c>
      <c r="L20" s="34">
        <v>4925</v>
      </c>
      <c r="M20" s="30">
        <v>0.5</v>
      </c>
      <c r="N20" s="30">
        <v>2</v>
      </c>
      <c r="O20" s="30">
        <v>0.215</v>
      </c>
      <c r="P20" s="30">
        <v>0.5</v>
      </c>
      <c r="Q20" s="30">
        <v>0.2</v>
      </c>
      <c r="R20" s="30">
        <v>0.9</v>
      </c>
    </row>
    <row r="21" spans="1:18">
      <c r="A21" s="30">
        <v>6.1</v>
      </c>
      <c r="B21" s="30">
        <v>30.3</v>
      </c>
      <c r="C21" s="35">
        <v>0</v>
      </c>
      <c r="D21" s="35">
        <v>0.6</v>
      </c>
      <c r="E21" s="35">
        <v>0.28199999999999997</v>
      </c>
      <c r="F21" s="30">
        <v>4.0000000000000001E-3</v>
      </c>
      <c r="G21" s="30">
        <v>4.0000000000000001E-3</v>
      </c>
      <c r="H21" s="30">
        <v>2000</v>
      </c>
      <c r="I21" s="35"/>
      <c r="J21" s="33"/>
      <c r="K21" s="33">
        <v>3.3888888888888999</v>
      </c>
      <c r="L21" s="33">
        <v>16.833333333333002</v>
      </c>
      <c r="M21" s="30">
        <v>0</v>
      </c>
      <c r="N21" s="30">
        <v>0.6</v>
      </c>
      <c r="O21" s="30">
        <v>0.28199999999999997</v>
      </c>
      <c r="P21" s="30">
        <v>4.0000000000000001E-3</v>
      </c>
      <c r="Q21" s="30">
        <v>4.0000000000000001E-3</v>
      </c>
      <c r="R21" s="30">
        <v>3600</v>
      </c>
    </row>
    <row r="22" spans="1:18">
      <c r="A22" s="30">
        <v>0.2</v>
      </c>
      <c r="B22" s="30">
        <v>0.01</v>
      </c>
      <c r="C22" s="30">
        <v>1</v>
      </c>
      <c r="D22" s="35">
        <v>1</v>
      </c>
      <c r="E22" s="35">
        <v>0</v>
      </c>
      <c r="F22" s="30">
        <v>0.5</v>
      </c>
      <c r="I22" s="35"/>
      <c r="K22" s="30">
        <v>0.2</v>
      </c>
      <c r="L22" s="30">
        <v>0.01</v>
      </c>
      <c r="M22" s="30">
        <v>1</v>
      </c>
      <c r="N22" s="30">
        <v>0</v>
      </c>
      <c r="O22" s="30">
        <v>0.1</v>
      </c>
    </row>
    <row r="23" spans="1:18">
      <c r="A23" s="32" t="s">
        <v>1601</v>
      </c>
      <c r="B23" s="30">
        <v>203</v>
      </c>
      <c r="C23" s="30">
        <v>11.2</v>
      </c>
      <c r="D23" s="35">
        <v>0.32</v>
      </c>
      <c r="E23" s="35">
        <v>8.4</v>
      </c>
      <c r="F23" s="30">
        <v>3.4</v>
      </c>
      <c r="G23" s="30">
        <v>122</v>
      </c>
      <c r="H23" s="30">
        <v>160</v>
      </c>
      <c r="I23" s="36"/>
      <c r="K23" s="30" t="s">
        <v>1709</v>
      </c>
      <c r="L23" s="33">
        <v>29.462989840348001</v>
      </c>
      <c r="M23" s="30">
        <v>1.6255442670536999</v>
      </c>
      <c r="N23" s="30">
        <v>0.32</v>
      </c>
      <c r="O23" s="33">
        <v>1.2191582002903001</v>
      </c>
      <c r="P23" s="30">
        <v>0.49346879535559002</v>
      </c>
      <c r="Q23" s="30">
        <v>251.6</v>
      </c>
      <c r="R23" s="30">
        <v>320</v>
      </c>
    </row>
    <row r="24" spans="1:18">
      <c r="A24" s="30">
        <v>3500</v>
      </c>
      <c r="B24" s="30">
        <v>1540</v>
      </c>
      <c r="C24" s="30">
        <v>56</v>
      </c>
      <c r="D24" s="35">
        <v>150</v>
      </c>
      <c r="E24" s="35">
        <v>98</v>
      </c>
      <c r="F24" s="30">
        <v>1.2</v>
      </c>
      <c r="G24" s="30">
        <v>22</v>
      </c>
      <c r="H24" s="30">
        <v>5.0000000000000001E-3</v>
      </c>
      <c r="I24" s="35">
        <v>17.241379310344801</v>
      </c>
      <c r="K24" s="33">
        <v>507.98258345428002</v>
      </c>
      <c r="L24" s="33">
        <v>223.51233671988001</v>
      </c>
      <c r="M24" s="33">
        <v>8.1277213352685003</v>
      </c>
      <c r="N24" s="33">
        <v>21.770682148041001</v>
      </c>
      <c r="O24" s="33">
        <v>14.223512336720001</v>
      </c>
      <c r="P24" s="30">
        <v>1.2</v>
      </c>
      <c r="Q24" s="30">
        <v>71.599999999999994</v>
      </c>
      <c r="R24" s="30">
        <v>5.0000000000000001E-3</v>
      </c>
    </row>
    <row r="25" spans="1:18">
      <c r="A25" s="30">
        <v>-0.5</v>
      </c>
      <c r="B25" s="30">
        <v>125</v>
      </c>
      <c r="C25" s="30">
        <v>0.66</v>
      </c>
      <c r="D25" s="35">
        <v>1.6</v>
      </c>
      <c r="E25" s="35">
        <v>0.51600000000000001</v>
      </c>
      <c r="F25" s="30">
        <v>0.5</v>
      </c>
      <c r="G25" s="30">
        <v>0.2</v>
      </c>
      <c r="H25" s="30">
        <v>0.9</v>
      </c>
      <c r="I25" s="35">
        <v>7.5862068965517198</v>
      </c>
      <c r="K25" s="30">
        <v>-0.5</v>
      </c>
      <c r="L25" s="34">
        <v>4925</v>
      </c>
      <c r="M25" s="30">
        <v>0.66</v>
      </c>
      <c r="N25" s="30">
        <v>1.6</v>
      </c>
      <c r="O25" s="30">
        <v>0.51600000000000001</v>
      </c>
      <c r="P25" s="30">
        <v>0.5</v>
      </c>
      <c r="Q25" s="30">
        <v>0.2</v>
      </c>
      <c r="R25" s="30">
        <v>0.9</v>
      </c>
    </row>
    <row r="26" spans="1:18">
      <c r="A26" s="30">
        <v>-0.3</v>
      </c>
      <c r="B26" s="30">
        <v>28.1</v>
      </c>
      <c r="C26" s="35">
        <v>0</v>
      </c>
      <c r="D26" s="35">
        <v>0.6</v>
      </c>
      <c r="E26" s="35">
        <v>0.316</v>
      </c>
      <c r="F26" s="30">
        <v>4.0000000000000001E-3</v>
      </c>
      <c r="G26" s="30">
        <v>4.0000000000000001E-3</v>
      </c>
      <c r="H26" s="30">
        <v>2000</v>
      </c>
      <c r="I26" s="35">
        <f>C24/C23</f>
        <v>5</v>
      </c>
      <c r="J26" s="33">
        <f>I26/I24</f>
        <v>0.29000000000000042</v>
      </c>
      <c r="K26" s="33">
        <v>-0.16666666666666999</v>
      </c>
      <c r="L26" s="33">
        <v>15.611111111111001</v>
      </c>
      <c r="M26" s="30">
        <v>0</v>
      </c>
      <c r="N26" s="30">
        <v>0.6</v>
      </c>
      <c r="O26" s="30">
        <v>0.316</v>
      </c>
      <c r="P26" s="30">
        <v>4.0000000000000001E-3</v>
      </c>
      <c r="Q26" s="30">
        <v>4.0000000000000001E-3</v>
      </c>
      <c r="R26" s="30">
        <v>3600</v>
      </c>
    </row>
    <row r="27" spans="1:18">
      <c r="A27" s="30">
        <v>0.04</v>
      </c>
      <c r="B27" s="30">
        <v>0.01</v>
      </c>
      <c r="C27" s="30">
        <v>1</v>
      </c>
      <c r="D27" s="35">
        <v>1</v>
      </c>
      <c r="E27" s="35">
        <v>0</v>
      </c>
      <c r="F27" s="30">
        <v>0.5</v>
      </c>
      <c r="I27" s="35"/>
      <c r="K27" s="30">
        <v>0.04</v>
      </c>
      <c r="L27" s="33">
        <v>0.01</v>
      </c>
      <c r="M27" s="30">
        <v>1</v>
      </c>
      <c r="N27" s="30">
        <v>0</v>
      </c>
      <c r="O27" s="30">
        <v>0.02</v>
      </c>
    </row>
    <row r="28" spans="1:18">
      <c r="A28" s="32" t="s">
        <v>1764</v>
      </c>
      <c r="B28" s="30">
        <v>76</v>
      </c>
      <c r="C28" s="30">
        <v>5.5</v>
      </c>
      <c r="D28" s="35">
        <v>0.34</v>
      </c>
      <c r="E28" s="35">
        <v>2.2999999999999998</v>
      </c>
      <c r="F28" s="30">
        <v>3.4</v>
      </c>
      <c r="G28" s="30">
        <v>62</v>
      </c>
      <c r="H28" s="30">
        <v>160</v>
      </c>
      <c r="I28" s="35"/>
      <c r="K28" s="30" t="s">
        <v>1710</v>
      </c>
      <c r="L28" s="33">
        <v>11.030478955007</v>
      </c>
      <c r="M28" s="33">
        <v>0.79825834542815999</v>
      </c>
      <c r="N28" s="33">
        <v>0.34</v>
      </c>
      <c r="O28" s="33">
        <v>0.33381712626996002</v>
      </c>
      <c r="P28" s="30">
        <v>0.49346879535559002</v>
      </c>
      <c r="Q28" s="30">
        <v>143.6</v>
      </c>
      <c r="R28" s="30">
        <v>320</v>
      </c>
    </row>
    <row r="29" spans="1:18">
      <c r="A29" s="30">
        <v>1400</v>
      </c>
      <c r="B29" s="30">
        <v>235</v>
      </c>
      <c r="C29" s="30">
        <v>12</v>
      </c>
      <c r="D29" s="35">
        <v>53</v>
      </c>
      <c r="E29" s="35">
        <v>34</v>
      </c>
      <c r="F29" s="30">
        <v>1.2</v>
      </c>
      <c r="G29" s="30">
        <v>22</v>
      </c>
      <c r="H29" s="30">
        <v>5.0000000000000001E-3</v>
      </c>
      <c r="I29" s="35">
        <v>18.421052631578899</v>
      </c>
      <c r="K29" s="33">
        <v>203.19303338170999</v>
      </c>
      <c r="L29" s="33">
        <v>34.10740203193</v>
      </c>
      <c r="M29" s="33">
        <v>1.7416545718433001</v>
      </c>
      <c r="N29" s="33">
        <v>7.6923076923076996</v>
      </c>
      <c r="O29" s="33">
        <v>4.9346879535559003</v>
      </c>
      <c r="P29" s="30">
        <v>1.2</v>
      </c>
      <c r="Q29" s="30">
        <v>71.599999999999994</v>
      </c>
      <c r="R29" s="30">
        <v>5.0000000000000001E-3</v>
      </c>
    </row>
    <row r="30" spans="1:18">
      <c r="A30" s="30">
        <v>-0.5</v>
      </c>
      <c r="B30" s="30">
        <v>125</v>
      </c>
      <c r="C30" s="30">
        <v>0.6</v>
      </c>
      <c r="D30" s="35">
        <v>1.46</v>
      </c>
      <c r="E30" s="35">
        <v>0.51600000000000001</v>
      </c>
      <c r="F30" s="30">
        <v>0.5</v>
      </c>
      <c r="G30" s="30">
        <v>0.2</v>
      </c>
      <c r="H30" s="30">
        <v>0.9</v>
      </c>
      <c r="I30" s="35">
        <v>3.0921052631578898</v>
      </c>
      <c r="K30" s="30">
        <v>-0.5</v>
      </c>
      <c r="L30" s="34">
        <v>4925</v>
      </c>
      <c r="M30" s="30">
        <v>0.6</v>
      </c>
      <c r="N30" s="30">
        <v>1.46</v>
      </c>
      <c r="O30" s="30">
        <v>0.51600000000000001</v>
      </c>
      <c r="P30" s="30">
        <v>0.5</v>
      </c>
      <c r="Q30" s="30">
        <v>0.2</v>
      </c>
      <c r="R30" s="30">
        <v>0.9</v>
      </c>
    </row>
    <row r="31" spans="1:18">
      <c r="A31" s="30">
        <v>-4</v>
      </c>
      <c r="B31" s="30">
        <v>79</v>
      </c>
      <c r="C31" s="35">
        <v>0</v>
      </c>
      <c r="D31" s="35">
        <v>0.6</v>
      </c>
      <c r="E31" s="35">
        <v>0.316</v>
      </c>
      <c r="F31" s="30">
        <v>0.01</v>
      </c>
      <c r="G31" s="30">
        <v>0.01</v>
      </c>
      <c r="H31" s="30">
        <v>2000</v>
      </c>
      <c r="I31" s="35"/>
      <c r="J31" s="33"/>
      <c r="K31" s="33">
        <v>-2.2222222222222001</v>
      </c>
      <c r="L31" s="33">
        <v>43.888888888888999</v>
      </c>
      <c r="M31" s="30">
        <v>0</v>
      </c>
      <c r="N31" s="30">
        <v>0.6</v>
      </c>
      <c r="O31" s="30">
        <v>0.316</v>
      </c>
      <c r="P31" s="30">
        <v>0.01</v>
      </c>
      <c r="Q31" s="30">
        <v>0.01</v>
      </c>
      <c r="R31" s="30">
        <v>3600</v>
      </c>
    </row>
    <row r="32" spans="1:18">
      <c r="A32" s="30">
        <v>0.02</v>
      </c>
      <c r="B32" s="30">
        <v>0.01</v>
      </c>
      <c r="C32" s="30">
        <v>1</v>
      </c>
      <c r="D32" s="35">
        <v>1</v>
      </c>
      <c r="E32" s="35">
        <v>0</v>
      </c>
      <c r="F32" s="30">
        <v>0.5</v>
      </c>
      <c r="I32" s="35"/>
      <c r="K32" s="30">
        <v>0.02</v>
      </c>
      <c r="L32" s="33">
        <v>0.01</v>
      </c>
      <c r="M32" s="30">
        <v>1</v>
      </c>
      <c r="N32" s="30">
        <v>0</v>
      </c>
      <c r="O32" s="30">
        <v>0</v>
      </c>
    </row>
    <row r="33" spans="1:18">
      <c r="A33" s="30" t="s">
        <v>1605</v>
      </c>
      <c r="B33" s="30">
        <v>38.6</v>
      </c>
      <c r="C33" s="30">
        <v>8.27</v>
      </c>
      <c r="D33" s="35">
        <v>0.26</v>
      </c>
      <c r="E33" s="35">
        <v>4.1399999999999997</v>
      </c>
      <c r="F33" s="30">
        <v>3.4</v>
      </c>
      <c r="G33" s="30">
        <v>122</v>
      </c>
      <c r="H33" s="30">
        <v>160</v>
      </c>
      <c r="I33" s="36"/>
      <c r="K33" s="33" t="s">
        <v>1606</v>
      </c>
      <c r="L33" s="33">
        <v>5.6023222060958</v>
      </c>
      <c r="M33" s="33">
        <v>1.200290275762</v>
      </c>
      <c r="N33" s="33">
        <v>0.26</v>
      </c>
      <c r="O33" s="33">
        <v>0.60087082728592001</v>
      </c>
      <c r="P33" s="30">
        <v>0.49346879535559002</v>
      </c>
      <c r="Q33" s="30">
        <v>251.6</v>
      </c>
      <c r="R33" s="30">
        <v>320</v>
      </c>
    </row>
    <row r="34" spans="1:18">
      <c r="A34" s="30">
        <v>1062</v>
      </c>
      <c r="B34" s="30">
        <v>610</v>
      </c>
      <c r="C34" s="30">
        <v>31</v>
      </c>
      <c r="D34" s="35">
        <v>118</v>
      </c>
      <c r="E34" s="35">
        <v>72</v>
      </c>
      <c r="F34" s="30">
        <v>1.2</v>
      </c>
      <c r="G34" s="30">
        <v>22</v>
      </c>
      <c r="H34" s="30">
        <v>5.0000000000000001E-3</v>
      </c>
      <c r="I34" s="35">
        <v>27.5129533678756</v>
      </c>
      <c r="K34" s="33">
        <v>154.13642960812999</v>
      </c>
      <c r="L34" s="33">
        <v>88.534107402032006</v>
      </c>
      <c r="M34" s="33">
        <v>4.4992743105950996</v>
      </c>
      <c r="N34" s="33">
        <v>17.126269956459002</v>
      </c>
      <c r="O34" s="33">
        <v>10.449927431060001</v>
      </c>
      <c r="P34" s="30">
        <v>1.2</v>
      </c>
      <c r="Q34" s="30">
        <v>71.599999999999994</v>
      </c>
      <c r="R34" s="30">
        <v>5.0000000000000001E-3</v>
      </c>
    </row>
    <row r="35" spans="1:18">
      <c r="A35" s="30">
        <v>-0.5</v>
      </c>
      <c r="B35" s="30">
        <v>125</v>
      </c>
      <c r="C35" s="30">
        <v>0.45</v>
      </c>
      <c r="D35" s="35">
        <v>1.8</v>
      </c>
      <c r="E35" s="35">
        <v>0.51600000000000001</v>
      </c>
      <c r="F35" s="30">
        <v>0.5</v>
      </c>
      <c r="G35" s="30">
        <v>0.2</v>
      </c>
      <c r="H35" s="30">
        <v>0.9</v>
      </c>
      <c r="I35" s="35">
        <v>15.803108808290199</v>
      </c>
      <c r="K35" s="30">
        <v>-0.5</v>
      </c>
      <c r="L35" s="34">
        <v>4925</v>
      </c>
      <c r="M35" s="30">
        <v>0.45</v>
      </c>
      <c r="N35" s="30">
        <v>1.8</v>
      </c>
      <c r="O35" s="30">
        <v>0.51600000000000001</v>
      </c>
      <c r="P35" s="30">
        <v>0.5</v>
      </c>
      <c r="Q35" s="30">
        <v>0.2</v>
      </c>
      <c r="R35" s="30">
        <v>0.9</v>
      </c>
    </row>
    <row r="36" spans="1:18">
      <c r="A36" s="30">
        <v>8.6</v>
      </c>
      <c r="B36" s="30">
        <v>22.1</v>
      </c>
      <c r="C36" s="30">
        <v>0</v>
      </c>
      <c r="D36" s="35">
        <v>0.6</v>
      </c>
      <c r="E36" s="35">
        <v>0.316</v>
      </c>
      <c r="F36" s="30">
        <v>0.1</v>
      </c>
      <c r="G36" s="30">
        <v>0.1</v>
      </c>
      <c r="H36" s="30">
        <v>2000</v>
      </c>
      <c r="I36" s="35"/>
      <c r="J36" s="33"/>
      <c r="K36" s="33">
        <v>4.7777777777777999</v>
      </c>
      <c r="L36" s="33">
        <v>12.277777777778001</v>
      </c>
      <c r="M36" s="30">
        <v>0</v>
      </c>
      <c r="N36" s="30">
        <v>0.6</v>
      </c>
      <c r="O36" s="30">
        <v>0.316</v>
      </c>
      <c r="P36" s="30">
        <v>0.01</v>
      </c>
      <c r="Q36" s="30">
        <v>0.01</v>
      </c>
      <c r="R36" s="30">
        <v>3600</v>
      </c>
    </row>
    <row r="37" spans="1:18">
      <c r="A37" s="30">
        <v>0.15</v>
      </c>
      <c r="B37" s="30">
        <v>0.01</v>
      </c>
      <c r="C37" s="30">
        <v>1</v>
      </c>
      <c r="D37" s="35">
        <v>1</v>
      </c>
      <c r="E37" s="35">
        <v>0</v>
      </c>
      <c r="F37" s="30">
        <v>0.5</v>
      </c>
      <c r="I37" s="36"/>
      <c r="K37" s="30">
        <v>0.04</v>
      </c>
      <c r="L37" s="33">
        <v>0.01</v>
      </c>
      <c r="M37" s="30">
        <v>1</v>
      </c>
      <c r="N37" s="30">
        <v>0</v>
      </c>
      <c r="O37" s="30">
        <v>0.04</v>
      </c>
    </row>
    <row r="38" spans="1:18">
      <c r="A38" s="32" t="s">
        <v>1607</v>
      </c>
      <c r="B38" s="30">
        <v>148</v>
      </c>
      <c r="C38" s="30">
        <v>9.65</v>
      </c>
      <c r="D38" s="35">
        <v>0.3</v>
      </c>
      <c r="E38" s="35">
        <v>4.55</v>
      </c>
      <c r="F38" s="30">
        <v>3.4</v>
      </c>
      <c r="G38" s="30">
        <v>122</v>
      </c>
      <c r="H38" s="30">
        <v>160</v>
      </c>
      <c r="I38" s="609"/>
      <c r="K38" s="30" t="s">
        <v>1608</v>
      </c>
      <c r="L38" s="33">
        <v>21.480406386066999</v>
      </c>
      <c r="M38" s="33">
        <v>1.4005805515239</v>
      </c>
      <c r="N38" s="33">
        <v>0.3</v>
      </c>
      <c r="O38" s="33">
        <v>0.66037735849057</v>
      </c>
      <c r="P38" s="33">
        <v>0.49346879535559002</v>
      </c>
      <c r="Q38" s="30">
        <v>251.6</v>
      </c>
      <c r="R38" s="30">
        <v>320</v>
      </c>
    </row>
    <row r="39" spans="1:18">
      <c r="A39" s="30">
        <v>1314</v>
      </c>
      <c r="B39" s="30">
        <v>1220</v>
      </c>
      <c r="C39" s="30">
        <v>43</v>
      </c>
      <c r="D39" s="35">
        <v>168</v>
      </c>
      <c r="E39" s="35">
        <v>48</v>
      </c>
      <c r="F39" s="30">
        <v>1.2</v>
      </c>
      <c r="G39" s="30">
        <v>22</v>
      </c>
      <c r="H39" s="30">
        <v>5.0000000000000001E-3</v>
      </c>
      <c r="I39" s="35">
        <v>8.8783783783783807</v>
      </c>
      <c r="K39" s="33">
        <v>190.71117561683999</v>
      </c>
      <c r="L39" s="33">
        <v>177.06821480406001</v>
      </c>
      <c r="M39" s="33">
        <v>6.2409288824382996</v>
      </c>
      <c r="N39" s="33">
        <v>24.383164005806002</v>
      </c>
      <c r="O39" s="33">
        <v>6.9666182873729996</v>
      </c>
      <c r="P39" s="33">
        <v>1.2</v>
      </c>
      <c r="Q39" s="30">
        <v>71.599999999999994</v>
      </c>
      <c r="R39" s="30">
        <v>5.0000000000000001E-3</v>
      </c>
    </row>
    <row r="40" spans="1:18">
      <c r="A40" s="30">
        <v>-0.5</v>
      </c>
      <c r="B40" s="30">
        <v>100</v>
      </c>
      <c r="C40" s="30">
        <v>0.6</v>
      </c>
      <c r="D40" s="35">
        <v>1.5</v>
      </c>
      <c r="E40" s="35">
        <v>0.51600000000000001</v>
      </c>
      <c r="F40" s="30">
        <v>0.5</v>
      </c>
      <c r="G40" s="30">
        <v>0.2</v>
      </c>
      <c r="H40" s="30">
        <v>0.9</v>
      </c>
      <c r="I40" s="35">
        <v>8.2432432432432403</v>
      </c>
      <c r="K40" s="30">
        <v>-0.5</v>
      </c>
      <c r="L40" s="34">
        <v>3940</v>
      </c>
      <c r="M40" s="30">
        <v>0.6</v>
      </c>
      <c r="N40" s="30">
        <v>1.5</v>
      </c>
      <c r="O40" s="30">
        <v>0.51600000000000001</v>
      </c>
      <c r="P40" s="30">
        <v>0.5</v>
      </c>
      <c r="Q40" s="30">
        <v>0.2</v>
      </c>
      <c r="R40" s="30">
        <v>0.9</v>
      </c>
    </row>
    <row r="41" spans="1:18">
      <c r="A41" s="30">
        <v>-0.3</v>
      </c>
      <c r="B41" s="30">
        <v>28.1</v>
      </c>
      <c r="C41" s="35">
        <v>0</v>
      </c>
      <c r="D41" s="35">
        <v>0.6</v>
      </c>
      <c r="E41" s="35">
        <v>0.316</v>
      </c>
      <c r="F41" s="30">
        <v>4.0000000000000001E-3</v>
      </c>
      <c r="G41" s="30">
        <v>4.0000000000000001E-3</v>
      </c>
      <c r="H41" s="30">
        <v>2000</v>
      </c>
      <c r="I41" s="35">
        <f>C39/C38</f>
        <v>4.4559585492227978</v>
      </c>
      <c r="J41" s="33">
        <f>I41/I39</f>
        <v>0.50188878636603795</v>
      </c>
      <c r="K41" s="33" t="s">
        <v>1925</v>
      </c>
      <c r="L41" s="33">
        <v>15.611111111111001</v>
      </c>
      <c r="M41" s="30">
        <v>0</v>
      </c>
      <c r="N41" s="30">
        <v>0.6</v>
      </c>
      <c r="O41" s="30">
        <v>0.316</v>
      </c>
      <c r="P41" s="30">
        <v>4.0000000000000001E-3</v>
      </c>
      <c r="Q41" s="30">
        <v>4.0000000000000001E-3</v>
      </c>
      <c r="R41" s="30">
        <v>3600</v>
      </c>
    </row>
    <row r="42" spans="1:18">
      <c r="A42" s="30">
        <v>0.15</v>
      </c>
      <c r="B42" s="30">
        <v>0.01</v>
      </c>
      <c r="C42" s="30">
        <v>1</v>
      </c>
      <c r="D42" s="35">
        <v>1</v>
      </c>
      <c r="E42" s="35">
        <v>0</v>
      </c>
      <c r="F42" s="30">
        <v>0.5</v>
      </c>
      <c r="K42" s="30">
        <v>0.15</v>
      </c>
      <c r="L42" s="30">
        <v>0.01</v>
      </c>
      <c r="M42" s="30">
        <v>1</v>
      </c>
      <c r="N42" s="30">
        <v>0</v>
      </c>
      <c r="O42" s="30">
        <v>0.1</v>
      </c>
    </row>
    <row r="43" spans="1:18">
      <c r="A43" s="32" t="s">
        <v>1582</v>
      </c>
      <c r="B43" s="30">
        <v>181</v>
      </c>
      <c r="C43" s="30">
        <v>10.3</v>
      </c>
      <c r="D43" s="35">
        <v>0.28000000000000003</v>
      </c>
      <c r="E43" s="35">
        <v>7.17</v>
      </c>
      <c r="F43" s="30">
        <v>3.4</v>
      </c>
      <c r="G43" s="30">
        <v>122</v>
      </c>
      <c r="H43" s="30">
        <v>160</v>
      </c>
      <c r="K43" s="30" t="s">
        <v>1609</v>
      </c>
      <c r="L43" s="33">
        <v>26.269956458635999</v>
      </c>
      <c r="M43" s="33">
        <v>1.4949201741655</v>
      </c>
      <c r="N43" s="33">
        <v>0.28000000000000003</v>
      </c>
      <c r="O43" s="33">
        <v>1.0406386066763</v>
      </c>
      <c r="P43" s="30">
        <v>0.49346879535559002</v>
      </c>
      <c r="Q43" s="30">
        <v>251.6</v>
      </c>
      <c r="R43" s="30">
        <v>320</v>
      </c>
    </row>
    <row r="44" spans="1:18">
      <c r="A44" s="30">
        <v>1500</v>
      </c>
      <c r="B44" s="30">
        <v>1500</v>
      </c>
      <c r="C44" s="30">
        <v>40</v>
      </c>
      <c r="D44" s="35">
        <v>246</v>
      </c>
      <c r="E44" s="35">
        <v>68</v>
      </c>
      <c r="F44" s="30">
        <v>1.2</v>
      </c>
      <c r="G44" s="30">
        <v>22</v>
      </c>
      <c r="H44" s="30">
        <v>5.0000000000000001E-3</v>
      </c>
      <c r="I44" s="33">
        <v>8.2872928176795604</v>
      </c>
      <c r="K44" s="33">
        <v>217.70682148041001</v>
      </c>
      <c r="L44" s="33">
        <v>217.70682148041001</v>
      </c>
      <c r="M44" s="33">
        <v>5.8055152394774998</v>
      </c>
      <c r="N44" s="33">
        <v>35.703918722787002</v>
      </c>
      <c r="O44" s="33">
        <v>9.8693759071118006</v>
      </c>
      <c r="P44" s="30">
        <v>1.2</v>
      </c>
      <c r="Q44" s="30">
        <v>71.599999999999994</v>
      </c>
      <c r="R44" s="30">
        <v>5.0000000000000001E-3</v>
      </c>
    </row>
    <row r="45" spans="1:18">
      <c r="A45" s="30">
        <v>-0.5</v>
      </c>
      <c r="B45" s="30">
        <v>125</v>
      </c>
      <c r="C45" s="30">
        <v>0.7</v>
      </c>
      <c r="D45" s="35">
        <v>1.6</v>
      </c>
      <c r="E45" s="35">
        <v>0.51600000000000001</v>
      </c>
      <c r="F45" s="30">
        <v>0.5</v>
      </c>
      <c r="G45" s="30">
        <v>0.2</v>
      </c>
      <c r="H45" s="30">
        <v>0.9</v>
      </c>
      <c r="I45" s="33">
        <v>8.2872928176795604</v>
      </c>
      <c r="K45" s="30">
        <v>-0.5</v>
      </c>
      <c r="L45" s="34">
        <v>4925</v>
      </c>
      <c r="M45" s="30">
        <v>0.7</v>
      </c>
      <c r="N45" s="30">
        <v>1.6</v>
      </c>
      <c r="O45" s="30">
        <v>0.51600000000000001</v>
      </c>
      <c r="P45" s="30">
        <v>0.5</v>
      </c>
      <c r="Q45" s="30">
        <v>0.2</v>
      </c>
      <c r="R45" s="30">
        <v>0.9</v>
      </c>
    </row>
    <row r="46" spans="1:18">
      <c r="A46" s="30">
        <v>0.02</v>
      </c>
      <c r="B46" s="30">
        <v>22.5</v>
      </c>
      <c r="C46" s="35">
        <v>0</v>
      </c>
      <c r="D46" s="35">
        <v>0.6</v>
      </c>
      <c r="E46" s="35">
        <v>0.316</v>
      </c>
      <c r="F46" s="30">
        <v>4.0000000000000001E-3</v>
      </c>
      <c r="G46" s="30">
        <v>4.0000000000000001E-3</v>
      </c>
      <c r="H46" s="30">
        <v>2000</v>
      </c>
      <c r="I46" s="35">
        <f>C44/C43</f>
        <v>3.8834951456310676</v>
      </c>
      <c r="J46" s="33">
        <f>I46/I44</f>
        <v>0.46860841423948202</v>
      </c>
      <c r="K46" s="33">
        <v>1.1111111111111001E-2</v>
      </c>
      <c r="L46" s="33">
        <v>12.5</v>
      </c>
      <c r="M46" s="30">
        <v>0</v>
      </c>
      <c r="N46" s="30">
        <v>0.6</v>
      </c>
      <c r="O46" s="30">
        <v>0.316</v>
      </c>
      <c r="P46" s="30">
        <v>4.0000000000000001E-3</v>
      </c>
      <c r="Q46" s="30">
        <v>4.0000000000000001E-3</v>
      </c>
      <c r="R46" s="30">
        <v>3600</v>
      </c>
    </row>
    <row r="47" spans="1:18">
      <c r="A47" s="30">
        <v>0.15</v>
      </c>
      <c r="B47" s="30">
        <v>0.01</v>
      </c>
      <c r="C47" s="30">
        <v>1</v>
      </c>
      <c r="D47" s="35">
        <v>1</v>
      </c>
      <c r="E47" s="35">
        <v>0</v>
      </c>
      <c r="F47" s="30">
        <v>0.5</v>
      </c>
      <c r="K47" s="30">
        <v>0.15</v>
      </c>
      <c r="L47" s="30">
        <v>0.01</v>
      </c>
      <c r="M47" s="30">
        <v>1</v>
      </c>
      <c r="N47" s="30">
        <v>0</v>
      </c>
      <c r="O47" s="30">
        <v>0.1</v>
      </c>
    </row>
    <row r="48" spans="1:18">
      <c r="A48" s="30" t="s">
        <v>1765</v>
      </c>
      <c r="B48" s="30">
        <v>68.900000000000006</v>
      </c>
      <c r="C48" s="30">
        <v>68.900000000000006</v>
      </c>
      <c r="D48" s="35">
        <v>0.3</v>
      </c>
      <c r="E48" s="35">
        <v>26.5</v>
      </c>
      <c r="F48" s="30">
        <v>68.900000000000006</v>
      </c>
      <c r="G48" s="30">
        <v>22</v>
      </c>
      <c r="K48" s="30" t="s">
        <v>1711</v>
      </c>
      <c r="L48" s="30">
        <v>10</v>
      </c>
      <c r="M48" s="30">
        <v>10</v>
      </c>
      <c r="N48" s="30">
        <v>0.3</v>
      </c>
      <c r="O48" s="30">
        <v>3.8461538461538498</v>
      </c>
      <c r="P48" s="30">
        <v>10</v>
      </c>
      <c r="Q48" s="30">
        <v>72</v>
      </c>
    </row>
    <row r="49" spans="1:19">
      <c r="A49" s="30">
        <v>206</v>
      </c>
      <c r="B49" s="30">
        <v>206</v>
      </c>
      <c r="C49" s="30">
        <v>206</v>
      </c>
      <c r="D49" s="35">
        <v>206</v>
      </c>
      <c r="E49" s="35">
        <v>118.934155453063</v>
      </c>
      <c r="F49" s="30">
        <v>2.6</v>
      </c>
      <c r="G49" s="30">
        <v>22</v>
      </c>
      <c r="I49" s="33">
        <v>2.9898403483309099</v>
      </c>
      <c r="K49" s="30">
        <v>30</v>
      </c>
      <c r="L49" s="30">
        <v>30</v>
      </c>
      <c r="M49" s="30">
        <v>30</v>
      </c>
      <c r="N49" s="30">
        <v>30</v>
      </c>
      <c r="O49" s="30">
        <v>17.320508075688799</v>
      </c>
      <c r="P49" s="30">
        <v>2.6</v>
      </c>
      <c r="Q49" s="30">
        <v>72</v>
      </c>
    </row>
    <row r="50" spans="1:19">
      <c r="A50" s="30">
        <v>-0.5</v>
      </c>
      <c r="B50" s="30">
        <v>125</v>
      </c>
      <c r="C50" s="30">
        <v>0.99990000000000001</v>
      </c>
      <c r="D50" s="35">
        <v>2.6</v>
      </c>
      <c r="E50" s="35">
        <v>1</v>
      </c>
      <c r="F50" s="30">
        <v>1</v>
      </c>
      <c r="G50" s="30">
        <v>1</v>
      </c>
      <c r="I50" s="33">
        <v>2.9898403483309099</v>
      </c>
      <c r="K50" s="30">
        <v>-0.5</v>
      </c>
      <c r="L50" s="30">
        <v>4925</v>
      </c>
      <c r="M50" s="30">
        <v>0.99990000000000001</v>
      </c>
      <c r="N50" s="30">
        <v>2.6</v>
      </c>
      <c r="O50" s="30">
        <v>1</v>
      </c>
      <c r="P50" s="30">
        <v>1</v>
      </c>
      <c r="Q50" s="30">
        <v>1</v>
      </c>
    </row>
    <row r="51" spans="1:19">
      <c r="A51" s="30">
        <v>23.58</v>
      </c>
      <c r="B51" s="30">
        <v>23.58</v>
      </c>
      <c r="C51" s="30">
        <v>1</v>
      </c>
      <c r="D51" s="35">
        <v>1</v>
      </c>
      <c r="E51" s="35">
        <v>1</v>
      </c>
      <c r="F51" s="30">
        <v>1</v>
      </c>
      <c r="G51" s="30">
        <v>1</v>
      </c>
      <c r="I51" s="35"/>
      <c r="J51" s="33">
        <f>J7</f>
        <v>0</v>
      </c>
      <c r="K51" s="30">
        <v>13.1</v>
      </c>
      <c r="L51" s="30">
        <v>13.1</v>
      </c>
      <c r="M51" s="30">
        <v>0</v>
      </c>
      <c r="N51" s="30">
        <v>0</v>
      </c>
      <c r="O51" s="30">
        <v>1</v>
      </c>
      <c r="P51" s="30">
        <v>1</v>
      </c>
      <c r="Q51" s="30">
        <v>1</v>
      </c>
    </row>
    <row r="52" spans="1:19">
      <c r="A52" s="30">
        <v>0.99999990000000005</v>
      </c>
      <c r="B52" s="30">
        <v>1E-3</v>
      </c>
      <c r="C52" s="30">
        <v>1</v>
      </c>
      <c r="D52" s="35">
        <v>1</v>
      </c>
      <c r="E52" s="35">
        <v>0</v>
      </c>
      <c r="F52" s="30">
        <v>0.3</v>
      </c>
      <c r="K52" s="30">
        <v>0.99999999900000003</v>
      </c>
      <c r="L52" s="30">
        <v>1E-3</v>
      </c>
      <c r="M52" s="30">
        <v>1</v>
      </c>
      <c r="N52" s="30">
        <v>0</v>
      </c>
      <c r="O52" s="30">
        <v>1</v>
      </c>
    </row>
    <row r="53" spans="1:19">
      <c r="A53" s="32" t="s">
        <v>1712</v>
      </c>
      <c r="B53" s="30">
        <v>121</v>
      </c>
      <c r="C53" s="30">
        <v>8</v>
      </c>
      <c r="D53" s="35">
        <v>0.3</v>
      </c>
      <c r="E53" s="35">
        <v>4.7</v>
      </c>
      <c r="F53" s="30">
        <v>3.4</v>
      </c>
      <c r="G53" s="30">
        <v>122</v>
      </c>
      <c r="H53" s="30">
        <v>160</v>
      </c>
      <c r="K53" s="31" t="s">
        <v>1926</v>
      </c>
      <c r="L53" s="31">
        <v>30</v>
      </c>
      <c r="M53" s="31">
        <v>30</v>
      </c>
      <c r="N53" s="31">
        <v>0.3</v>
      </c>
      <c r="O53" s="31">
        <v>11.538461538461499</v>
      </c>
      <c r="P53" s="31">
        <v>30</v>
      </c>
      <c r="Q53" s="31">
        <v>72</v>
      </c>
      <c r="R53" s="31"/>
    </row>
    <row r="54" spans="1:19">
      <c r="A54" s="30">
        <v>2530</v>
      </c>
      <c r="B54" s="30">
        <v>1669</v>
      </c>
      <c r="C54" s="30">
        <v>66</v>
      </c>
      <c r="D54" s="35">
        <v>220</v>
      </c>
      <c r="E54" s="35">
        <v>93</v>
      </c>
      <c r="F54" s="30">
        <v>1.2</v>
      </c>
      <c r="G54" s="30">
        <v>22</v>
      </c>
      <c r="H54" s="30">
        <v>5.0000000000000001E-3</v>
      </c>
      <c r="I54" s="35">
        <v>20.909090909090899</v>
      </c>
      <c r="K54" s="31">
        <v>40</v>
      </c>
      <c r="L54" s="31">
        <v>40</v>
      </c>
      <c r="M54" s="31">
        <v>40</v>
      </c>
      <c r="N54" s="31">
        <v>40</v>
      </c>
      <c r="O54" s="31">
        <v>23.094010767585001</v>
      </c>
      <c r="P54" s="31">
        <v>7.8</v>
      </c>
      <c r="Q54" s="31">
        <v>72</v>
      </c>
      <c r="R54" s="31"/>
    </row>
    <row r="55" spans="1:19">
      <c r="A55" s="30">
        <v>-0.5</v>
      </c>
      <c r="B55" s="30">
        <v>72</v>
      </c>
      <c r="C55" s="30">
        <v>0.55000000000000004</v>
      </c>
      <c r="D55" s="35">
        <v>1.6</v>
      </c>
      <c r="E55" s="35">
        <v>0.51600000000000001</v>
      </c>
      <c r="F55" s="30">
        <v>0.5</v>
      </c>
      <c r="G55" s="30">
        <v>0.2</v>
      </c>
      <c r="H55" s="30">
        <v>0.9</v>
      </c>
      <c r="I55" s="35">
        <v>13.793388429752101</v>
      </c>
      <c r="K55" s="31">
        <v>-0.5</v>
      </c>
      <c r="L55" s="31">
        <v>4925</v>
      </c>
      <c r="M55" s="31">
        <v>0.99990000000000001</v>
      </c>
      <c r="N55" s="31">
        <v>7.8</v>
      </c>
      <c r="O55" s="31">
        <v>1</v>
      </c>
      <c r="P55" s="31">
        <v>1</v>
      </c>
      <c r="Q55" s="31">
        <v>1</v>
      </c>
      <c r="R55" s="31"/>
    </row>
    <row r="56" spans="1:19">
      <c r="A56" s="30">
        <v>0.02</v>
      </c>
      <c r="B56" s="30">
        <v>22.5</v>
      </c>
      <c r="C56" s="35">
        <v>0</v>
      </c>
      <c r="D56" s="35">
        <v>0.6</v>
      </c>
      <c r="E56" s="35">
        <v>0.316</v>
      </c>
      <c r="F56" s="30">
        <v>4.0000000000000001E-3</v>
      </c>
      <c r="G56" s="30">
        <v>4.0000000000000001E-3</v>
      </c>
      <c r="H56" s="30">
        <v>2000</v>
      </c>
      <c r="I56" s="35">
        <f>C54/C53</f>
        <v>8.25</v>
      </c>
      <c r="J56" s="33">
        <f>I56/I54</f>
        <v>0.39456521739130451</v>
      </c>
      <c r="K56" s="31">
        <v>6.9</v>
      </c>
      <c r="L56" s="31">
        <v>6.9</v>
      </c>
      <c r="M56" s="31">
        <v>0</v>
      </c>
      <c r="N56" s="31">
        <v>0</v>
      </c>
      <c r="O56" s="31">
        <v>1</v>
      </c>
      <c r="P56" s="31">
        <v>1</v>
      </c>
      <c r="Q56" s="31">
        <v>1</v>
      </c>
      <c r="R56" s="31"/>
    </row>
    <row r="57" spans="1:19">
      <c r="A57" s="30">
        <v>0.15</v>
      </c>
      <c r="B57" s="30">
        <v>0.01</v>
      </c>
      <c r="C57" s="30">
        <v>1</v>
      </c>
      <c r="D57" s="35">
        <v>1</v>
      </c>
      <c r="E57" s="35">
        <v>0</v>
      </c>
      <c r="F57" s="30">
        <v>0.5</v>
      </c>
      <c r="I57" s="35"/>
      <c r="K57" s="31">
        <v>0.99999999900000003</v>
      </c>
      <c r="L57" s="31">
        <v>1E-3</v>
      </c>
      <c r="M57" s="31">
        <v>1</v>
      </c>
      <c r="N57" s="31">
        <v>0</v>
      </c>
      <c r="O57" s="31">
        <v>1</v>
      </c>
      <c r="Q57" s="31"/>
      <c r="R57" s="31"/>
    </row>
    <row r="58" spans="1:19">
      <c r="A58" s="32" t="s">
        <v>1763</v>
      </c>
      <c r="B58" s="30">
        <v>140.80000000000001</v>
      </c>
      <c r="C58" s="30">
        <v>9.3000000000000007</v>
      </c>
      <c r="D58" s="35">
        <v>0.3</v>
      </c>
      <c r="E58" s="35">
        <v>5.8</v>
      </c>
      <c r="F58" s="30">
        <v>3.4</v>
      </c>
      <c r="G58" s="30">
        <v>122</v>
      </c>
      <c r="H58" s="30">
        <v>160</v>
      </c>
      <c r="I58" s="36"/>
      <c r="K58" s="30" t="s">
        <v>1927</v>
      </c>
      <c r="L58" s="33">
        <v>20.1142857142857</v>
      </c>
      <c r="M58" s="33">
        <v>1.3285714285714301</v>
      </c>
      <c r="N58" s="33">
        <v>0.3</v>
      </c>
      <c r="O58" s="33">
        <v>0.82857142857142896</v>
      </c>
      <c r="P58" s="33">
        <v>0.49346879535559002</v>
      </c>
      <c r="Q58" s="30">
        <v>251.6</v>
      </c>
      <c r="R58" s="30">
        <v>320</v>
      </c>
    </row>
    <row r="59" spans="1:19">
      <c r="A59" s="30">
        <v>2944</v>
      </c>
      <c r="B59" s="30">
        <v>1983</v>
      </c>
      <c r="C59" s="30">
        <v>66</v>
      </c>
      <c r="D59" s="35">
        <v>220</v>
      </c>
      <c r="E59" s="35">
        <v>93</v>
      </c>
      <c r="F59" s="30">
        <v>1.2</v>
      </c>
      <c r="G59" s="30">
        <v>22</v>
      </c>
      <c r="H59" s="30">
        <v>5.0000000000000001E-3</v>
      </c>
      <c r="I59" s="35">
        <v>20.909090909090899</v>
      </c>
      <c r="K59" s="33">
        <v>420.57142857142901</v>
      </c>
      <c r="L59" s="33">
        <v>283.28571428571399</v>
      </c>
      <c r="M59" s="33">
        <v>9.4285714285714306</v>
      </c>
      <c r="N59" s="33">
        <v>31.428571428571399</v>
      </c>
      <c r="O59" s="33">
        <v>13.285714285714301</v>
      </c>
      <c r="P59" s="30">
        <v>1.2</v>
      </c>
      <c r="Q59" s="30">
        <v>71.599999999999994</v>
      </c>
      <c r="R59" s="30">
        <v>5.0000000000000001E-3</v>
      </c>
      <c r="S59" s="30">
        <v>20.909090909090899</v>
      </c>
    </row>
    <row r="60" spans="1:19">
      <c r="A60" s="30">
        <v>-0.5</v>
      </c>
      <c r="B60" s="30">
        <v>72</v>
      </c>
      <c r="C60" s="30">
        <v>0.64</v>
      </c>
      <c r="D60" s="35">
        <v>1.6</v>
      </c>
      <c r="E60" s="35">
        <v>0.51600000000000001</v>
      </c>
      <c r="F60" s="30">
        <v>0.5</v>
      </c>
      <c r="G60" s="30">
        <v>0.2</v>
      </c>
      <c r="H60" s="30">
        <v>0.9</v>
      </c>
      <c r="I60" s="35">
        <v>14.083806818181801</v>
      </c>
      <c r="K60" s="606">
        <v>-0.5</v>
      </c>
      <c r="L60" s="608">
        <v>4925</v>
      </c>
      <c r="M60" s="606">
        <v>0.64</v>
      </c>
      <c r="N60" s="608">
        <v>1.6</v>
      </c>
      <c r="O60" s="636">
        <v>0.51600000000000001</v>
      </c>
      <c r="P60" s="30">
        <v>0.5</v>
      </c>
      <c r="Q60" s="30">
        <v>0.2</v>
      </c>
      <c r="R60" s="30">
        <v>0.9</v>
      </c>
      <c r="S60" s="30">
        <v>14.083806818181801</v>
      </c>
    </row>
    <row r="61" spans="1:19">
      <c r="A61" s="30">
        <v>0.02</v>
      </c>
      <c r="B61" s="30">
        <v>22.5</v>
      </c>
      <c r="C61" s="35">
        <v>0</v>
      </c>
      <c r="D61" s="35">
        <v>0.6</v>
      </c>
      <c r="E61" s="35">
        <v>0.316</v>
      </c>
      <c r="F61" s="30">
        <v>4.0000000000000001E-3</v>
      </c>
      <c r="G61" s="30">
        <v>4.0000000000000001E-3</v>
      </c>
      <c r="H61" s="30">
        <v>2000</v>
      </c>
      <c r="I61" s="35">
        <f>C59/C58</f>
        <v>7.0967741935483861</v>
      </c>
      <c r="J61" s="33">
        <f>I61/I59</f>
        <v>0.3394109396914447</v>
      </c>
      <c r="K61" s="33">
        <v>1.1111111111111001E-2</v>
      </c>
      <c r="L61" s="33">
        <v>12.5</v>
      </c>
      <c r="M61" s="30">
        <v>0</v>
      </c>
      <c r="N61" s="30">
        <v>0.6</v>
      </c>
      <c r="O61" s="636">
        <v>0.316</v>
      </c>
      <c r="P61" s="30">
        <v>4.0000000000000001E-3</v>
      </c>
      <c r="Q61" s="30">
        <v>4.0000000000000001E-3</v>
      </c>
      <c r="R61" s="30">
        <v>3600</v>
      </c>
    </row>
    <row r="62" spans="1:19">
      <c r="A62" s="30">
        <v>0.15</v>
      </c>
      <c r="B62" s="30">
        <v>0.01</v>
      </c>
      <c r="C62" s="30">
        <v>1</v>
      </c>
      <c r="D62" s="35">
        <v>1</v>
      </c>
      <c r="E62" s="35">
        <v>0</v>
      </c>
      <c r="F62" s="30">
        <v>0.5</v>
      </c>
      <c r="I62" s="36"/>
      <c r="K62" s="606">
        <v>0.15</v>
      </c>
      <c r="L62" s="608">
        <v>0.01</v>
      </c>
      <c r="M62" s="606">
        <v>1</v>
      </c>
      <c r="N62" s="608">
        <v>1</v>
      </c>
      <c r="O62" s="636">
        <v>0</v>
      </c>
      <c r="P62" s="30">
        <v>0.5</v>
      </c>
    </row>
    <row r="63" spans="1:19">
      <c r="A63" s="605" t="s">
        <v>1767</v>
      </c>
      <c r="B63" s="605">
        <v>191</v>
      </c>
      <c r="C63" s="605">
        <v>9.94</v>
      </c>
      <c r="D63" s="636">
        <v>0.35</v>
      </c>
      <c r="E63" s="636">
        <v>7.79</v>
      </c>
      <c r="F63" s="606">
        <v>3.4</v>
      </c>
      <c r="G63" s="606">
        <v>122</v>
      </c>
      <c r="H63" s="606">
        <v>160</v>
      </c>
      <c r="I63" s="609"/>
      <c r="K63" s="36" t="s">
        <v>1928</v>
      </c>
      <c r="L63" s="36">
        <v>27.285714285714299</v>
      </c>
      <c r="M63" s="36">
        <v>1.42</v>
      </c>
      <c r="N63" s="36">
        <v>0.35</v>
      </c>
      <c r="O63" s="36">
        <v>1.1128571428571401</v>
      </c>
      <c r="P63" s="36">
        <v>0.49346879535559002</v>
      </c>
      <c r="Q63" s="36">
        <v>251.6</v>
      </c>
      <c r="R63" s="36">
        <v>320</v>
      </c>
    </row>
    <row r="64" spans="1:19">
      <c r="A64" s="605">
        <v>3250</v>
      </c>
      <c r="B64" s="605">
        <v>1600</v>
      </c>
      <c r="C64" s="605">
        <v>62</v>
      </c>
      <c r="D64" s="636">
        <v>98</v>
      </c>
      <c r="E64" s="636">
        <v>75</v>
      </c>
      <c r="F64" s="606">
        <v>1.2</v>
      </c>
      <c r="G64" s="606">
        <v>22</v>
      </c>
      <c r="H64" s="634">
        <v>5.0000000000000001E-3</v>
      </c>
      <c r="I64" s="35">
        <v>17.015706806282701</v>
      </c>
      <c r="K64" s="36">
        <v>464.28571428571399</v>
      </c>
      <c r="L64" s="36">
        <v>228.57142857142901</v>
      </c>
      <c r="M64" s="36">
        <v>8.8571428571428594</v>
      </c>
      <c r="N64" s="36">
        <v>14</v>
      </c>
      <c r="O64" s="36">
        <v>10.714285714285699</v>
      </c>
      <c r="P64" s="36">
        <v>1.2</v>
      </c>
      <c r="Q64" s="36">
        <v>71.599999999999994</v>
      </c>
      <c r="R64" s="36">
        <v>5.0000000000000001E-3</v>
      </c>
      <c r="S64" s="30">
        <v>17.015706806282701</v>
      </c>
    </row>
    <row r="65" spans="1:19">
      <c r="A65" s="606">
        <v>-0.5</v>
      </c>
      <c r="B65" s="606">
        <v>125</v>
      </c>
      <c r="C65" s="606">
        <v>0.64</v>
      </c>
      <c r="D65" s="636">
        <v>1.6</v>
      </c>
      <c r="E65" s="636">
        <v>0.52</v>
      </c>
      <c r="F65" s="606">
        <v>0.5</v>
      </c>
      <c r="G65" s="606">
        <v>0.2</v>
      </c>
      <c r="H65" s="606">
        <v>0.9</v>
      </c>
      <c r="I65" s="35">
        <v>8.3769633507853403</v>
      </c>
      <c r="K65" s="36">
        <v>-0.5</v>
      </c>
      <c r="L65" s="36">
        <v>4925</v>
      </c>
      <c r="M65" s="36">
        <v>0.64</v>
      </c>
      <c r="N65" s="36">
        <v>1.6</v>
      </c>
      <c r="O65" s="36">
        <v>0.51600000000000001</v>
      </c>
      <c r="P65" s="36">
        <v>0.5</v>
      </c>
      <c r="Q65" s="36">
        <v>0.2</v>
      </c>
      <c r="R65" s="36">
        <v>0.9</v>
      </c>
      <c r="S65" s="30">
        <v>8.3769633507853403</v>
      </c>
    </row>
    <row r="66" spans="1:19">
      <c r="A66" s="606">
        <v>0.02</v>
      </c>
      <c r="B66" s="606">
        <v>22.5</v>
      </c>
      <c r="C66" s="606">
        <v>0</v>
      </c>
      <c r="D66" s="636">
        <v>0.6</v>
      </c>
      <c r="E66" s="636">
        <v>0.32</v>
      </c>
      <c r="F66" s="606">
        <v>0</v>
      </c>
      <c r="G66" s="606">
        <v>0</v>
      </c>
      <c r="H66" s="606">
        <v>2000</v>
      </c>
      <c r="I66" s="35">
        <f>C64/C63</f>
        <v>6.2374245472837027</v>
      </c>
      <c r="J66" s="33">
        <f>I66/I64</f>
        <v>0.36656864262498112</v>
      </c>
      <c r="K66" s="36">
        <v>1.1111111111111001E-2</v>
      </c>
      <c r="L66" s="36">
        <v>12.5</v>
      </c>
      <c r="M66" s="36">
        <v>0</v>
      </c>
      <c r="N66" s="36">
        <v>0.6</v>
      </c>
      <c r="O66" s="36">
        <v>0.316</v>
      </c>
      <c r="P66" s="36">
        <v>4.0000000000000001E-3</v>
      </c>
      <c r="Q66" s="36">
        <v>4.0000000000000001E-3</v>
      </c>
      <c r="R66" s="36">
        <v>3600</v>
      </c>
    </row>
    <row r="67" spans="1:19">
      <c r="A67" s="606">
        <v>0.15</v>
      </c>
      <c r="B67" s="606">
        <v>0.01</v>
      </c>
      <c r="C67" s="606">
        <v>1</v>
      </c>
      <c r="D67" s="636">
        <v>1</v>
      </c>
      <c r="E67" s="636">
        <v>0</v>
      </c>
      <c r="F67" s="606">
        <v>0.5</v>
      </c>
      <c r="G67" s="606"/>
      <c r="H67" s="606"/>
      <c r="I67" s="35"/>
      <c r="K67" s="36">
        <v>0.15</v>
      </c>
      <c r="L67" s="36">
        <v>0.01</v>
      </c>
      <c r="M67" s="36">
        <v>1</v>
      </c>
      <c r="N67" s="36">
        <v>1</v>
      </c>
      <c r="O67" s="36">
        <v>0</v>
      </c>
      <c r="P67" s="37">
        <v>0.5</v>
      </c>
      <c r="Q67" s="36"/>
      <c r="R67" s="36"/>
    </row>
    <row r="68" spans="1:19">
      <c r="A68" s="607" t="s">
        <v>1766</v>
      </c>
      <c r="B68" s="606">
        <v>162</v>
      </c>
      <c r="C68" s="606">
        <v>9</v>
      </c>
      <c r="D68" s="636">
        <v>0.4</v>
      </c>
      <c r="E68" s="636">
        <v>5</v>
      </c>
      <c r="F68" s="606">
        <v>3.4</v>
      </c>
      <c r="G68" s="606">
        <v>122</v>
      </c>
      <c r="H68" s="606">
        <v>160</v>
      </c>
      <c r="I68" s="36"/>
      <c r="K68" s="36" t="s">
        <v>1929</v>
      </c>
      <c r="L68" s="36">
        <v>23.1428571428571</v>
      </c>
      <c r="M68" s="36">
        <v>1.28571428571429</v>
      </c>
      <c r="N68" s="36">
        <v>0.4</v>
      </c>
      <c r="O68" s="36">
        <v>0.71428571428571397</v>
      </c>
      <c r="P68" s="36">
        <v>0.49346879535559002</v>
      </c>
      <c r="Q68" s="36">
        <v>251.6</v>
      </c>
      <c r="R68" s="36">
        <v>320</v>
      </c>
    </row>
    <row r="69" spans="1:19">
      <c r="A69" s="608">
        <v>3768</v>
      </c>
      <c r="B69" s="608">
        <v>1656</v>
      </c>
      <c r="C69" s="608">
        <v>56</v>
      </c>
      <c r="D69" s="636">
        <v>150</v>
      </c>
      <c r="E69" s="636">
        <v>98</v>
      </c>
      <c r="F69" s="606">
        <v>1.2</v>
      </c>
      <c r="G69" s="606">
        <v>22</v>
      </c>
      <c r="H69" s="634">
        <v>5.0000000000000001E-3</v>
      </c>
      <c r="I69" s="35">
        <v>23.259259259259299</v>
      </c>
      <c r="K69" s="36">
        <v>538.28571428571399</v>
      </c>
      <c r="L69" s="36">
        <v>236.57142857142901</v>
      </c>
      <c r="M69" s="36">
        <v>8</v>
      </c>
      <c r="N69" s="36">
        <v>21.428571428571399</v>
      </c>
      <c r="O69" s="36">
        <v>14</v>
      </c>
      <c r="P69" s="36">
        <v>1.2</v>
      </c>
      <c r="Q69" s="36">
        <v>71.599999999999994</v>
      </c>
      <c r="R69" s="36">
        <v>5.0000000000000001E-3</v>
      </c>
      <c r="S69" s="30">
        <v>23.259259259259299</v>
      </c>
    </row>
    <row r="70" spans="1:19">
      <c r="A70" s="606">
        <v>-0.5</v>
      </c>
      <c r="B70" s="606">
        <v>125</v>
      </c>
      <c r="C70" s="606">
        <v>0.64</v>
      </c>
      <c r="D70" s="636">
        <v>1.6</v>
      </c>
      <c r="E70" s="636">
        <v>0.52</v>
      </c>
      <c r="F70" s="606">
        <v>0.5</v>
      </c>
      <c r="G70" s="606">
        <v>0.2</v>
      </c>
      <c r="H70" s="606">
        <v>0.9</v>
      </c>
      <c r="I70" s="35">
        <v>10.2222222222222</v>
      </c>
      <c r="K70" s="36">
        <v>-0.5</v>
      </c>
      <c r="L70" s="36">
        <v>4925</v>
      </c>
      <c r="M70" s="36">
        <v>0.64</v>
      </c>
      <c r="N70" s="36">
        <v>1.6</v>
      </c>
      <c r="O70" s="36">
        <v>0.51600000000000001</v>
      </c>
      <c r="P70" s="36">
        <v>0.5</v>
      </c>
      <c r="Q70" s="36">
        <v>0.2</v>
      </c>
      <c r="R70" s="36">
        <v>0.9</v>
      </c>
      <c r="S70" s="30">
        <v>10.2222222222222</v>
      </c>
    </row>
    <row r="71" spans="1:19">
      <c r="A71" s="606">
        <v>0.02</v>
      </c>
      <c r="B71" s="606">
        <v>22.5</v>
      </c>
      <c r="C71" s="606">
        <v>0</v>
      </c>
      <c r="D71" s="636">
        <v>0.6</v>
      </c>
      <c r="E71" s="636">
        <v>0.32</v>
      </c>
      <c r="F71" s="606">
        <v>0</v>
      </c>
      <c r="G71" s="606">
        <v>0</v>
      </c>
      <c r="H71" s="606">
        <v>2000</v>
      </c>
      <c r="I71" s="35">
        <f>C69/C68</f>
        <v>6.2222222222222223</v>
      </c>
      <c r="J71" s="33">
        <f>I71/I69</f>
        <v>0.26751592356687853</v>
      </c>
      <c r="K71" s="36">
        <v>1.1111111111111001E-2</v>
      </c>
      <c r="L71" s="36">
        <v>12.5</v>
      </c>
      <c r="M71" s="36">
        <v>0</v>
      </c>
      <c r="N71" s="36">
        <v>0.6</v>
      </c>
      <c r="O71" s="36">
        <v>0.316</v>
      </c>
      <c r="P71" s="36">
        <v>4.0000000000000001E-3</v>
      </c>
      <c r="Q71" s="36">
        <v>4.0000000000000001E-3</v>
      </c>
      <c r="R71" s="36">
        <v>3600</v>
      </c>
    </row>
    <row r="72" spans="1:19">
      <c r="A72" s="606">
        <v>0.15</v>
      </c>
      <c r="B72" s="606">
        <v>0.01</v>
      </c>
      <c r="C72" s="606">
        <v>1</v>
      </c>
      <c r="D72" s="636">
        <v>1</v>
      </c>
      <c r="E72" s="636">
        <v>0</v>
      </c>
      <c r="F72" s="606">
        <v>0.5</v>
      </c>
      <c r="G72" s="606"/>
      <c r="H72" s="606"/>
      <c r="I72" s="35"/>
      <c r="K72" s="36">
        <v>0.15</v>
      </c>
      <c r="L72" s="36">
        <v>0.01</v>
      </c>
      <c r="M72" s="36">
        <v>1</v>
      </c>
      <c r="N72" s="36">
        <v>1</v>
      </c>
      <c r="O72" s="36">
        <v>0</v>
      </c>
      <c r="P72" s="37">
        <v>0.5</v>
      </c>
      <c r="Q72" s="36"/>
      <c r="R72" s="36"/>
    </row>
    <row r="73" spans="1:19">
      <c r="A73" s="639" t="s">
        <v>1768</v>
      </c>
      <c r="B73" s="640">
        <v>0.88</v>
      </c>
      <c r="C73" s="640">
        <v>5.1999999999999998E-2</v>
      </c>
      <c r="D73" s="640">
        <v>0.32</v>
      </c>
      <c r="E73" s="640">
        <v>3.1E-2</v>
      </c>
      <c r="F73" s="606">
        <v>3.4</v>
      </c>
      <c r="G73" s="606">
        <v>122</v>
      </c>
      <c r="H73" s="606">
        <v>160</v>
      </c>
      <c r="I73" s="35"/>
      <c r="K73" s="36" t="s">
        <v>1768</v>
      </c>
      <c r="L73" s="36">
        <v>0.88</v>
      </c>
      <c r="M73" s="36">
        <v>5.1999999999999998E-2</v>
      </c>
      <c r="N73" s="36">
        <v>0.32</v>
      </c>
      <c r="O73" s="36">
        <v>3.1E-2</v>
      </c>
      <c r="P73" s="36">
        <v>0.49346879535559002</v>
      </c>
      <c r="Q73" s="36">
        <v>251.6</v>
      </c>
      <c r="R73" s="36">
        <v>320</v>
      </c>
    </row>
    <row r="74" spans="1:19">
      <c r="A74" s="638">
        <v>2530</v>
      </c>
      <c r="B74" s="638">
        <v>1669</v>
      </c>
      <c r="C74" s="638">
        <v>66</v>
      </c>
      <c r="D74" s="637">
        <v>220</v>
      </c>
      <c r="E74" s="637">
        <v>93</v>
      </c>
      <c r="F74" s="606">
        <v>1.2</v>
      </c>
      <c r="G74" s="606">
        <v>22</v>
      </c>
      <c r="H74" s="634">
        <v>5.0000000000000001E-3</v>
      </c>
      <c r="I74" s="35">
        <v>2875</v>
      </c>
      <c r="K74" s="36">
        <v>332.28571428571399</v>
      </c>
      <c r="L74" s="36">
        <v>171.42857142857099</v>
      </c>
      <c r="M74" s="36">
        <v>8.8571428571428594</v>
      </c>
      <c r="N74" s="36">
        <v>28.571428571428601</v>
      </c>
      <c r="O74" s="36">
        <v>11.6428571428571</v>
      </c>
      <c r="P74" s="36">
        <v>1.2</v>
      </c>
      <c r="Q74" s="36">
        <v>71.599999999999994</v>
      </c>
      <c r="R74" s="36">
        <v>5.0000000000000001E-3</v>
      </c>
      <c r="S74" s="30">
        <v>377.597402597403</v>
      </c>
    </row>
    <row r="75" spans="1:19">
      <c r="A75" s="606">
        <v>-0.5</v>
      </c>
      <c r="B75" s="606">
        <v>125</v>
      </c>
      <c r="C75" s="606">
        <v>0.55000000000000004</v>
      </c>
      <c r="D75" s="636">
        <v>1.6</v>
      </c>
      <c r="E75" s="636">
        <v>0.52</v>
      </c>
      <c r="F75" s="606">
        <v>0.5</v>
      </c>
      <c r="G75" s="606">
        <v>0.2</v>
      </c>
      <c r="H75" s="606">
        <v>0.9</v>
      </c>
      <c r="I75" s="35">
        <v>1896.5909090909099</v>
      </c>
      <c r="K75" s="36">
        <v>-0.5</v>
      </c>
      <c r="L75" s="36">
        <v>4925</v>
      </c>
      <c r="M75" s="36">
        <v>0.64</v>
      </c>
      <c r="N75" s="36">
        <v>1.6</v>
      </c>
      <c r="O75" s="36">
        <v>0.51600000000000001</v>
      </c>
      <c r="P75" s="36">
        <v>0.5</v>
      </c>
      <c r="Q75" s="36">
        <v>0.2</v>
      </c>
      <c r="R75" s="36">
        <v>0.9</v>
      </c>
      <c r="S75" s="30">
        <v>194.80519480519499</v>
      </c>
    </row>
    <row r="76" spans="1:19">
      <c r="A76" s="606">
        <v>0.02</v>
      </c>
      <c r="B76" s="606">
        <v>22.5</v>
      </c>
      <c r="C76" s="606">
        <v>0</v>
      </c>
      <c r="D76" s="636">
        <v>0.6</v>
      </c>
      <c r="E76" s="636">
        <v>0.32</v>
      </c>
      <c r="F76" s="606">
        <v>0</v>
      </c>
      <c r="G76" s="606">
        <v>0</v>
      </c>
      <c r="H76" s="606">
        <v>2000</v>
      </c>
      <c r="I76" s="35">
        <f>C74/C73</f>
        <v>1269.2307692307693</v>
      </c>
      <c r="J76" s="33"/>
      <c r="K76" s="36">
        <v>1.1111111111111001E-2</v>
      </c>
      <c r="L76" s="36">
        <v>12.5</v>
      </c>
      <c r="M76" s="36">
        <v>0</v>
      </c>
      <c r="N76" s="36">
        <v>0.6</v>
      </c>
      <c r="O76" s="36">
        <v>0.316</v>
      </c>
      <c r="P76" s="36">
        <v>4.0000000000000001E-3</v>
      </c>
      <c r="Q76" s="36">
        <v>4.0000000000000001E-3</v>
      </c>
      <c r="R76" s="36">
        <v>3600</v>
      </c>
    </row>
    <row r="77" spans="1:19">
      <c r="A77" s="606">
        <v>0.15</v>
      </c>
      <c r="B77" s="606">
        <v>0.01</v>
      </c>
      <c r="C77" s="606">
        <v>1</v>
      </c>
      <c r="D77" s="636">
        <v>1</v>
      </c>
      <c r="E77" s="636">
        <v>0</v>
      </c>
      <c r="F77" s="606">
        <v>0.5</v>
      </c>
      <c r="G77" s="606"/>
      <c r="H77" s="606"/>
      <c r="I77" s="35"/>
      <c r="K77" s="36">
        <v>0.15</v>
      </c>
      <c r="L77" s="36">
        <v>0.01</v>
      </c>
      <c r="M77" s="36">
        <v>1</v>
      </c>
      <c r="N77" s="36">
        <v>1</v>
      </c>
      <c r="O77" s="36">
        <v>0</v>
      </c>
      <c r="P77" s="37">
        <v>0.5</v>
      </c>
      <c r="Q77" s="36"/>
      <c r="R77" s="36"/>
    </row>
    <row r="78" spans="1:19">
      <c r="A78" s="605" t="s">
        <v>1773</v>
      </c>
      <c r="B78" s="605">
        <v>171</v>
      </c>
      <c r="C78" s="605">
        <v>9.08</v>
      </c>
      <c r="D78" s="636">
        <v>0.32</v>
      </c>
      <c r="E78" s="636">
        <v>5.29</v>
      </c>
      <c r="F78" s="606">
        <v>3.4</v>
      </c>
      <c r="G78" s="606">
        <v>122</v>
      </c>
      <c r="H78" s="606">
        <v>160</v>
      </c>
      <c r="I78" s="36"/>
      <c r="J78" s="33">
        <v>0</v>
      </c>
      <c r="K78" s="36" t="s">
        <v>1930</v>
      </c>
      <c r="L78" s="36">
        <v>24.428571428571399</v>
      </c>
      <c r="M78" s="36">
        <v>1.29714285714286</v>
      </c>
      <c r="N78" s="36">
        <v>0.32</v>
      </c>
      <c r="O78" s="36">
        <v>0.755714285714286</v>
      </c>
      <c r="P78" s="36">
        <v>0.49346879535559002</v>
      </c>
      <c r="Q78" s="36">
        <v>251.6</v>
      </c>
      <c r="R78" s="36">
        <v>320</v>
      </c>
    </row>
    <row r="79" spans="1:19">
      <c r="A79" s="605">
        <v>2326</v>
      </c>
      <c r="B79" s="605">
        <v>1200</v>
      </c>
      <c r="C79" s="605">
        <v>62</v>
      </c>
      <c r="D79" s="636">
        <v>200</v>
      </c>
      <c r="E79" s="636">
        <v>81.5</v>
      </c>
      <c r="F79" s="606">
        <v>1.2</v>
      </c>
      <c r="G79" s="606">
        <v>22</v>
      </c>
      <c r="H79" s="634">
        <v>5.0000000000000001E-3</v>
      </c>
      <c r="I79" s="35">
        <v>13.602339181286499</v>
      </c>
      <c r="J79" s="33"/>
      <c r="K79" s="36">
        <v>332.28571428571399</v>
      </c>
      <c r="L79" s="36">
        <v>171.42857142857099</v>
      </c>
      <c r="M79" s="36">
        <v>8.8571428571428594</v>
      </c>
      <c r="N79" s="36">
        <v>28.571428571428601</v>
      </c>
      <c r="O79" s="36">
        <v>11.6428571428571</v>
      </c>
      <c r="P79" s="36">
        <v>1.2</v>
      </c>
      <c r="Q79" s="36">
        <v>71.599999999999994</v>
      </c>
      <c r="R79" s="36">
        <v>5.0000000000000001E-3</v>
      </c>
      <c r="S79" s="30">
        <v>13.602339181286601</v>
      </c>
    </row>
    <row r="80" spans="1:19">
      <c r="A80" s="606">
        <v>-0.5</v>
      </c>
      <c r="B80" s="606">
        <v>125</v>
      </c>
      <c r="C80" s="606">
        <v>0.56999999999999995</v>
      </c>
      <c r="D80" s="636">
        <v>1.6</v>
      </c>
      <c r="E80" s="636">
        <v>0.52</v>
      </c>
      <c r="F80" s="606">
        <v>0.5</v>
      </c>
      <c r="G80" s="606">
        <v>0.2</v>
      </c>
      <c r="H80" s="606">
        <v>0.9</v>
      </c>
      <c r="I80" s="35">
        <f>C78/C77</f>
        <v>9.08</v>
      </c>
      <c r="J80" s="33"/>
      <c r="K80" s="36">
        <v>-0.5</v>
      </c>
      <c r="L80" s="36">
        <v>4925</v>
      </c>
      <c r="M80" s="36">
        <v>0.64</v>
      </c>
      <c r="N80" s="36">
        <v>1.6</v>
      </c>
      <c r="O80" s="36">
        <v>0.51600000000000001</v>
      </c>
      <c r="P80" s="36">
        <v>0.5</v>
      </c>
      <c r="Q80" s="36">
        <v>0.2</v>
      </c>
      <c r="R80" s="36">
        <v>0.9</v>
      </c>
      <c r="S80" s="30">
        <v>7.0175438596491198</v>
      </c>
    </row>
    <row r="81" spans="1:19">
      <c r="A81" s="606">
        <v>0.02</v>
      </c>
      <c r="B81" s="608">
        <v>22.5</v>
      </c>
      <c r="C81" s="606">
        <v>0</v>
      </c>
      <c r="D81" s="636">
        <v>0.6</v>
      </c>
      <c r="E81" s="636">
        <v>0.32</v>
      </c>
      <c r="F81" s="606">
        <v>0</v>
      </c>
      <c r="G81" s="606">
        <v>0</v>
      </c>
      <c r="H81" s="606">
        <v>2000</v>
      </c>
      <c r="I81" s="35">
        <f>C79/C78</f>
        <v>6.8281938325991192</v>
      </c>
      <c r="J81" s="33">
        <f>I81/I79</f>
        <v>0.50198673489873336</v>
      </c>
      <c r="K81" s="36">
        <v>1.1111111111111001E-2</v>
      </c>
      <c r="L81" s="36">
        <v>12.5</v>
      </c>
      <c r="M81" s="36">
        <v>0</v>
      </c>
      <c r="N81" s="36">
        <v>0.6</v>
      </c>
      <c r="O81" s="36">
        <v>0.316</v>
      </c>
      <c r="P81" s="36">
        <v>4.0000000000000001E-3</v>
      </c>
      <c r="Q81" s="36">
        <v>4.0000000000000001E-3</v>
      </c>
      <c r="R81" s="36">
        <v>3600</v>
      </c>
    </row>
    <row r="82" spans="1:19">
      <c r="A82" s="606">
        <v>0.15</v>
      </c>
      <c r="B82" s="608">
        <v>0.01</v>
      </c>
      <c r="C82" s="606">
        <v>1</v>
      </c>
      <c r="D82" s="636">
        <v>1</v>
      </c>
      <c r="E82" s="636">
        <v>0</v>
      </c>
      <c r="F82" s="606">
        <v>0.5</v>
      </c>
      <c r="G82" s="606"/>
      <c r="H82" s="606"/>
      <c r="I82" s="36"/>
      <c r="J82" s="33"/>
      <c r="K82" s="36">
        <v>0.15</v>
      </c>
      <c r="L82" s="36">
        <v>0.01</v>
      </c>
      <c r="M82" s="36">
        <v>1</v>
      </c>
      <c r="N82" s="36">
        <v>1</v>
      </c>
      <c r="O82" s="36">
        <v>0</v>
      </c>
      <c r="P82" s="37">
        <v>0.5</v>
      </c>
      <c r="Q82" s="36"/>
      <c r="R82" s="36"/>
    </row>
    <row r="83" spans="1:19">
      <c r="A83" s="605" t="s">
        <v>1931</v>
      </c>
      <c r="B83" s="608">
        <v>175</v>
      </c>
      <c r="C83" s="605">
        <v>8.1999999999999993</v>
      </c>
      <c r="D83" s="636">
        <v>0.33</v>
      </c>
      <c r="E83" s="636">
        <v>5.5</v>
      </c>
      <c r="F83" s="606">
        <v>3.4</v>
      </c>
      <c r="G83" s="606">
        <v>122</v>
      </c>
      <c r="H83" s="606">
        <v>160</v>
      </c>
      <c r="I83" s="609"/>
      <c r="J83" s="140"/>
      <c r="K83" s="36" t="s">
        <v>1932</v>
      </c>
      <c r="L83" s="36">
        <v>25</v>
      </c>
      <c r="M83" s="36">
        <v>1.1714285714285699</v>
      </c>
      <c r="N83" s="36">
        <v>0.33</v>
      </c>
      <c r="O83" s="36">
        <v>0.78571428571428603</v>
      </c>
      <c r="P83" s="36">
        <v>0.49346879535559002</v>
      </c>
      <c r="Q83" s="36">
        <v>251.6</v>
      </c>
      <c r="R83" s="36">
        <v>320</v>
      </c>
    </row>
    <row r="84" spans="1:19">
      <c r="A84" s="605">
        <v>2500</v>
      </c>
      <c r="B84" s="608">
        <v>1700</v>
      </c>
      <c r="C84" s="605">
        <v>69</v>
      </c>
      <c r="D84" s="608">
        <v>169</v>
      </c>
      <c r="E84" s="636">
        <v>43</v>
      </c>
      <c r="F84" s="606">
        <v>1.2</v>
      </c>
      <c r="G84" s="606">
        <v>22</v>
      </c>
      <c r="H84" s="634">
        <v>5.0000000000000001E-3</v>
      </c>
      <c r="I84" s="35">
        <v>14.285714285714301</v>
      </c>
      <c r="J84" s="33"/>
      <c r="K84" s="36">
        <v>357.142857142857</v>
      </c>
      <c r="L84" s="36">
        <v>242.857142857143</v>
      </c>
      <c r="M84" s="36">
        <v>9.8571428571428594</v>
      </c>
      <c r="N84" s="36">
        <v>24.1428571428571</v>
      </c>
      <c r="O84" s="36">
        <v>6.1428571428571397</v>
      </c>
      <c r="P84" s="36">
        <v>1.2</v>
      </c>
      <c r="Q84" s="36">
        <v>71.599999999999994</v>
      </c>
      <c r="R84" s="36">
        <v>5.0000000000000001E-3</v>
      </c>
      <c r="S84" s="30">
        <v>14.285714285714301</v>
      </c>
    </row>
    <row r="85" spans="1:19">
      <c r="A85" s="606">
        <v>-0.5</v>
      </c>
      <c r="B85" s="608">
        <v>125</v>
      </c>
      <c r="C85" s="606">
        <v>0.59</v>
      </c>
      <c r="D85" s="608">
        <v>1.6</v>
      </c>
      <c r="E85" s="636">
        <v>0.52</v>
      </c>
      <c r="F85" s="606">
        <v>0.5</v>
      </c>
      <c r="G85" s="606">
        <v>0.2</v>
      </c>
      <c r="H85" s="606">
        <v>0.9</v>
      </c>
      <c r="I85" s="35">
        <v>9.71428571428571</v>
      </c>
      <c r="J85" s="33"/>
      <c r="K85" s="36">
        <v>-0.5</v>
      </c>
      <c r="L85" s="36">
        <v>4925</v>
      </c>
      <c r="M85" s="36">
        <v>0.64</v>
      </c>
      <c r="N85" s="36">
        <v>1.6</v>
      </c>
      <c r="O85" s="36">
        <v>0.51600000000000001</v>
      </c>
      <c r="P85" s="36">
        <v>0.5</v>
      </c>
      <c r="Q85" s="36">
        <v>0.2</v>
      </c>
      <c r="R85" s="36">
        <v>0.9</v>
      </c>
      <c r="S85" s="30">
        <v>9.7142857142857206</v>
      </c>
    </row>
    <row r="86" spans="1:19">
      <c r="A86" s="606">
        <v>0.02</v>
      </c>
      <c r="B86" s="608">
        <v>22.5</v>
      </c>
      <c r="C86" s="606">
        <v>0</v>
      </c>
      <c r="D86" s="608">
        <v>0.6</v>
      </c>
      <c r="E86" s="636">
        <v>0.32</v>
      </c>
      <c r="F86" s="606">
        <v>0</v>
      </c>
      <c r="G86" s="606">
        <v>0</v>
      </c>
      <c r="H86" s="606">
        <v>2000</v>
      </c>
      <c r="I86" s="35">
        <f>C84/C83</f>
        <v>8.4146341463414647</v>
      </c>
      <c r="J86" s="33">
        <f>I86/I84</f>
        <v>0.58902439024390196</v>
      </c>
      <c r="K86" s="36">
        <v>1.1111111111111001E-2</v>
      </c>
      <c r="L86" s="36">
        <v>12.5</v>
      </c>
      <c r="M86" s="36">
        <v>0</v>
      </c>
      <c r="N86" s="36">
        <v>0.6</v>
      </c>
      <c r="O86" s="36">
        <v>0.316</v>
      </c>
      <c r="P86" s="36">
        <v>4.0000000000000001E-3</v>
      </c>
      <c r="Q86" s="36">
        <v>4.0000000000000001E-3</v>
      </c>
      <c r="R86" s="36">
        <v>3600</v>
      </c>
    </row>
    <row r="87" spans="1:19">
      <c r="A87" s="606">
        <v>0.15</v>
      </c>
      <c r="B87" s="608">
        <v>0.01</v>
      </c>
      <c r="C87" s="606">
        <v>1</v>
      </c>
      <c r="D87" s="608">
        <v>1</v>
      </c>
      <c r="E87" s="636">
        <v>0</v>
      </c>
      <c r="F87" s="606">
        <v>0.5</v>
      </c>
      <c r="G87" s="606"/>
      <c r="H87" s="606"/>
      <c r="I87" s="35"/>
      <c r="J87" s="33"/>
      <c r="K87" s="36">
        <v>0.15</v>
      </c>
      <c r="L87" s="36">
        <v>0.01</v>
      </c>
      <c r="M87" s="36">
        <v>1</v>
      </c>
      <c r="N87" s="36">
        <v>1</v>
      </c>
      <c r="O87" s="36">
        <v>0</v>
      </c>
      <c r="P87" s="37">
        <v>0.5</v>
      </c>
      <c r="Q87" s="36"/>
      <c r="R87" s="36"/>
    </row>
    <row r="88" spans="1:19">
      <c r="A88" s="605" t="s">
        <v>1933</v>
      </c>
      <c r="B88" s="605">
        <v>126</v>
      </c>
      <c r="C88" s="605">
        <v>8.4</v>
      </c>
      <c r="D88" s="608">
        <v>0.309</v>
      </c>
      <c r="E88" s="636">
        <v>4.2300000000000004</v>
      </c>
      <c r="F88" s="606">
        <v>3.4</v>
      </c>
      <c r="G88" s="606">
        <v>122</v>
      </c>
      <c r="H88" s="606">
        <v>160</v>
      </c>
      <c r="I88" s="36"/>
      <c r="J88" s="33"/>
      <c r="K88" s="36" t="s">
        <v>1934</v>
      </c>
      <c r="L88" s="36">
        <v>18</v>
      </c>
      <c r="M88" s="36">
        <v>1.2</v>
      </c>
      <c r="N88" s="36">
        <v>0.309</v>
      </c>
      <c r="O88" s="36">
        <v>0.60428571428571398</v>
      </c>
      <c r="P88" s="36">
        <v>0.49346879535559002</v>
      </c>
      <c r="Q88" s="36">
        <v>251.6</v>
      </c>
      <c r="R88" s="36">
        <v>320</v>
      </c>
    </row>
    <row r="89" spans="1:19">
      <c r="A89" s="605">
        <v>2172</v>
      </c>
      <c r="B89" s="605">
        <v>1450</v>
      </c>
      <c r="C89" s="605">
        <v>48.8</v>
      </c>
      <c r="D89" s="608">
        <v>199</v>
      </c>
      <c r="E89" s="637">
        <v>155</v>
      </c>
      <c r="F89" s="606">
        <v>1.2</v>
      </c>
      <c r="G89" s="606">
        <v>22</v>
      </c>
      <c r="H89" s="634">
        <v>5.0000000000000001E-3</v>
      </c>
      <c r="I89" s="35">
        <v>17.238095238095202</v>
      </c>
      <c r="J89" s="33"/>
      <c r="K89" s="36">
        <v>310.28571428571399</v>
      </c>
      <c r="L89" s="36">
        <v>207.142857142857</v>
      </c>
      <c r="M89" s="36">
        <v>6.9714285714285698</v>
      </c>
      <c r="N89" s="36">
        <v>28.428571428571399</v>
      </c>
      <c r="O89" s="36">
        <v>22.1428571428571</v>
      </c>
      <c r="P89" s="36">
        <v>1.2</v>
      </c>
      <c r="Q89" s="36">
        <v>71.599999999999994</v>
      </c>
      <c r="R89" s="36">
        <v>5.0000000000000001E-3</v>
      </c>
      <c r="S89" s="30">
        <v>17.238095238095202</v>
      </c>
    </row>
    <row r="90" spans="1:19">
      <c r="A90" s="606">
        <v>-0.5</v>
      </c>
      <c r="B90" s="608">
        <v>125</v>
      </c>
      <c r="C90" s="606">
        <v>0.59</v>
      </c>
      <c r="D90" s="608">
        <v>1.6</v>
      </c>
      <c r="E90" s="636">
        <v>0.52</v>
      </c>
      <c r="F90" s="606">
        <v>0.5</v>
      </c>
      <c r="G90" s="606">
        <v>0.2</v>
      </c>
      <c r="H90" s="606">
        <v>0.9</v>
      </c>
      <c r="I90" s="35">
        <v>11.507936507936501</v>
      </c>
      <c r="J90" s="33"/>
      <c r="K90" s="36">
        <v>-0.5</v>
      </c>
      <c r="L90" s="36">
        <v>4925</v>
      </c>
      <c r="M90" s="36">
        <v>0.64</v>
      </c>
      <c r="N90" s="36">
        <v>1.6</v>
      </c>
      <c r="O90" s="36">
        <v>0.51600000000000001</v>
      </c>
      <c r="P90" s="36">
        <v>0.5</v>
      </c>
      <c r="Q90" s="36">
        <v>0.2</v>
      </c>
      <c r="R90" s="36">
        <v>0.9</v>
      </c>
      <c r="S90" s="30">
        <v>11.507936507936501</v>
      </c>
    </row>
    <row r="91" spans="1:19">
      <c r="A91" s="606">
        <v>0.02</v>
      </c>
      <c r="B91" s="608">
        <v>22.5</v>
      </c>
      <c r="C91" s="606">
        <v>0</v>
      </c>
      <c r="D91" s="608">
        <v>0.6</v>
      </c>
      <c r="E91" s="636">
        <v>0.32</v>
      </c>
      <c r="F91" s="606">
        <v>0</v>
      </c>
      <c r="G91" s="606">
        <v>0</v>
      </c>
      <c r="H91" s="606">
        <v>2000</v>
      </c>
      <c r="I91" s="35">
        <f>C89/C88</f>
        <v>5.8095238095238093</v>
      </c>
      <c r="J91" s="33">
        <f>I91/I89</f>
        <v>0.33701657458563605</v>
      </c>
      <c r="K91" s="36">
        <v>1.1111111111111001E-2</v>
      </c>
      <c r="L91" s="36">
        <v>12.5</v>
      </c>
      <c r="M91" s="36">
        <v>0</v>
      </c>
      <c r="N91" s="36">
        <v>0.6</v>
      </c>
      <c r="O91" s="36">
        <v>0.316</v>
      </c>
      <c r="P91" s="36">
        <v>4.0000000000000001E-3</v>
      </c>
      <c r="Q91" s="36">
        <v>4.0000000000000001E-3</v>
      </c>
      <c r="R91" s="36">
        <v>3600</v>
      </c>
    </row>
    <row r="92" spans="1:19">
      <c r="A92" s="606">
        <v>0.15</v>
      </c>
      <c r="B92" s="608">
        <v>0.01</v>
      </c>
      <c r="C92" s="606">
        <v>1</v>
      </c>
      <c r="D92" s="608">
        <v>1</v>
      </c>
      <c r="E92" s="636">
        <v>0</v>
      </c>
      <c r="F92" s="606">
        <v>0.5</v>
      </c>
      <c r="G92" s="606"/>
      <c r="H92" s="606"/>
      <c r="I92" s="35"/>
      <c r="J92" s="33"/>
      <c r="K92" s="36">
        <v>0.15</v>
      </c>
      <c r="L92" s="36">
        <v>0.01</v>
      </c>
      <c r="M92" s="36">
        <v>1</v>
      </c>
      <c r="N92" s="36">
        <v>1</v>
      </c>
      <c r="O92" s="36">
        <v>0</v>
      </c>
      <c r="P92" s="37">
        <v>0.5</v>
      </c>
      <c r="Q92" s="36"/>
      <c r="R92" s="36"/>
    </row>
    <row r="93" spans="1:19">
      <c r="A93" s="605" t="s">
        <v>1935</v>
      </c>
      <c r="B93" s="608">
        <v>139</v>
      </c>
      <c r="C93" s="605">
        <v>9.4</v>
      </c>
      <c r="D93" s="634">
        <v>0.316</v>
      </c>
      <c r="E93" s="636">
        <v>5.51</v>
      </c>
      <c r="F93" s="606">
        <v>3.4</v>
      </c>
      <c r="G93" s="606">
        <v>122</v>
      </c>
      <c r="H93" s="606">
        <v>160</v>
      </c>
      <c r="I93" s="35"/>
      <c r="J93" s="33"/>
      <c r="K93" s="36" t="s">
        <v>1936</v>
      </c>
      <c r="L93" s="36">
        <v>19.8571428571429</v>
      </c>
      <c r="M93" s="36">
        <v>1.3428571428571401</v>
      </c>
      <c r="N93" s="36">
        <v>0.316</v>
      </c>
      <c r="O93" s="36">
        <v>0.78714285714285703</v>
      </c>
      <c r="P93" s="36">
        <v>0.49346879535559002</v>
      </c>
      <c r="Q93" s="36">
        <v>251.6</v>
      </c>
      <c r="R93" s="36">
        <v>320</v>
      </c>
    </row>
    <row r="94" spans="1:19">
      <c r="A94" s="605">
        <v>2194</v>
      </c>
      <c r="B94" s="608">
        <v>1653</v>
      </c>
      <c r="C94" s="605">
        <v>60.5</v>
      </c>
      <c r="D94" s="608">
        <v>261</v>
      </c>
      <c r="E94" s="637">
        <v>149</v>
      </c>
      <c r="F94" s="606">
        <v>1.2</v>
      </c>
      <c r="G94" s="606">
        <v>22</v>
      </c>
      <c r="H94" s="634">
        <v>5.0000000000000001E-3</v>
      </c>
      <c r="I94" s="35">
        <v>15.7841726618705</v>
      </c>
      <c r="K94" s="36">
        <v>313.42857142857099</v>
      </c>
      <c r="L94" s="36">
        <v>236.142857142857</v>
      </c>
      <c r="M94" s="36">
        <v>8.6428571428571406</v>
      </c>
      <c r="N94" s="36">
        <v>37.285714285714299</v>
      </c>
      <c r="O94" s="36">
        <v>21.285714285714299</v>
      </c>
      <c r="P94" s="36">
        <v>1.2</v>
      </c>
      <c r="Q94" s="36">
        <v>71.599999999999994</v>
      </c>
      <c r="R94" s="36">
        <v>5.0000000000000001E-3</v>
      </c>
      <c r="S94" s="30">
        <v>15.7841726618705</v>
      </c>
    </row>
    <row r="95" spans="1:19">
      <c r="A95" s="606">
        <v>-0.5</v>
      </c>
      <c r="B95" s="608">
        <v>125</v>
      </c>
      <c r="C95" s="606">
        <v>0.59</v>
      </c>
      <c r="D95" s="608">
        <v>1.6</v>
      </c>
      <c r="E95" s="636">
        <v>0.52</v>
      </c>
      <c r="F95" s="606">
        <v>0.5</v>
      </c>
      <c r="G95" s="606">
        <v>0.2</v>
      </c>
      <c r="H95" s="606">
        <v>0.9</v>
      </c>
      <c r="I95" s="35">
        <v>11.8920863309353</v>
      </c>
      <c r="K95" s="36">
        <v>-0.5</v>
      </c>
      <c r="L95" s="36">
        <v>4925</v>
      </c>
      <c r="M95" s="36">
        <v>0.64</v>
      </c>
      <c r="N95" s="36">
        <v>1.6</v>
      </c>
      <c r="O95" s="36">
        <v>0.51600000000000001</v>
      </c>
      <c r="P95" s="36">
        <v>0.5</v>
      </c>
      <c r="Q95" s="36">
        <v>0.2</v>
      </c>
      <c r="R95" s="36">
        <v>0.9</v>
      </c>
      <c r="S95" s="30">
        <v>11.8920863309353</v>
      </c>
    </row>
    <row r="96" spans="1:19">
      <c r="A96" s="606">
        <v>0.02</v>
      </c>
      <c r="B96" s="608">
        <v>22.5</v>
      </c>
      <c r="C96" s="606">
        <v>0</v>
      </c>
      <c r="D96" s="608">
        <v>0.6</v>
      </c>
      <c r="E96" s="636">
        <v>0.32</v>
      </c>
      <c r="F96" s="606">
        <v>0</v>
      </c>
      <c r="G96" s="606">
        <v>0</v>
      </c>
      <c r="H96" s="606">
        <v>2000</v>
      </c>
      <c r="I96" s="35">
        <f>C94/C93</f>
        <v>6.4361702127659575</v>
      </c>
      <c r="J96" s="33">
        <f>I96/I94</f>
        <v>0.40776101165654893</v>
      </c>
      <c r="K96" s="36">
        <v>1.1111111111111001E-2</v>
      </c>
      <c r="L96" s="36">
        <v>12.5</v>
      </c>
      <c r="M96" s="36">
        <v>0</v>
      </c>
      <c r="N96" s="36">
        <v>0.6</v>
      </c>
      <c r="O96" s="36">
        <v>0.316</v>
      </c>
      <c r="P96" s="36">
        <v>4.0000000000000001E-3</v>
      </c>
      <c r="Q96" s="36">
        <v>4.0000000000000001E-3</v>
      </c>
      <c r="R96" s="36">
        <v>3600</v>
      </c>
    </row>
    <row r="97" spans="1:19">
      <c r="A97" s="606">
        <v>0.15</v>
      </c>
      <c r="B97" s="608">
        <v>0.01</v>
      </c>
      <c r="C97" s="606">
        <v>1</v>
      </c>
      <c r="D97" s="608">
        <v>1</v>
      </c>
      <c r="E97" s="636">
        <v>0</v>
      </c>
      <c r="F97" s="606">
        <v>0.5</v>
      </c>
      <c r="G97" s="606"/>
      <c r="H97" s="606"/>
      <c r="I97" s="35"/>
      <c r="K97" s="36">
        <v>0.15</v>
      </c>
      <c r="L97" s="36">
        <v>0.01</v>
      </c>
      <c r="M97" s="36">
        <v>1</v>
      </c>
      <c r="N97" s="36">
        <v>1</v>
      </c>
      <c r="O97" s="36">
        <v>0</v>
      </c>
      <c r="P97" s="37">
        <v>0.5</v>
      </c>
      <c r="Q97" s="36"/>
      <c r="R97" s="36"/>
    </row>
    <row r="98" spans="1:19">
      <c r="A98" s="605" t="s">
        <v>1937</v>
      </c>
      <c r="B98" s="608">
        <v>159</v>
      </c>
      <c r="C98" s="605">
        <v>8.9600000000000009</v>
      </c>
      <c r="D98" s="608">
        <v>0.316</v>
      </c>
      <c r="E98" s="636">
        <v>5.5</v>
      </c>
      <c r="F98" s="606">
        <v>3.4</v>
      </c>
      <c r="G98" s="606">
        <v>122</v>
      </c>
      <c r="H98" s="606">
        <v>160</v>
      </c>
      <c r="I98" s="36"/>
      <c r="J98" s="33"/>
      <c r="K98" s="605" t="s">
        <v>1938</v>
      </c>
      <c r="L98" s="36">
        <v>22.714285714285701</v>
      </c>
      <c r="M98" s="36">
        <v>1.28</v>
      </c>
      <c r="N98" s="36">
        <v>0.316</v>
      </c>
      <c r="O98" s="36">
        <v>0.78571428571428603</v>
      </c>
      <c r="P98" s="30">
        <v>0.49346879535559002</v>
      </c>
      <c r="Q98" s="30">
        <v>251.6</v>
      </c>
      <c r="R98" s="30">
        <v>320</v>
      </c>
    </row>
    <row r="99" spans="1:19">
      <c r="A99" s="605">
        <v>2501</v>
      </c>
      <c r="B99" s="608">
        <v>1700</v>
      </c>
      <c r="C99" s="605">
        <v>64.099999999999994</v>
      </c>
      <c r="D99" s="638">
        <v>220</v>
      </c>
      <c r="E99" s="637">
        <v>98</v>
      </c>
      <c r="F99" s="606">
        <v>1.2</v>
      </c>
      <c r="G99" s="606">
        <v>22</v>
      </c>
      <c r="H99" s="634">
        <v>5.0000000000000001E-3</v>
      </c>
      <c r="I99" s="35">
        <v>15.7295597484277</v>
      </c>
      <c r="J99" s="33"/>
      <c r="K99" s="642">
        <v>357.28571428571399</v>
      </c>
      <c r="L99" s="642">
        <v>242.857142857143</v>
      </c>
      <c r="M99" s="642">
        <v>9.1571428571428601</v>
      </c>
      <c r="N99" s="642">
        <v>31.428571428571399</v>
      </c>
      <c r="O99" s="642">
        <v>14</v>
      </c>
      <c r="P99" s="30">
        <v>1.2</v>
      </c>
      <c r="Q99" s="30">
        <v>71.599999999999994</v>
      </c>
      <c r="R99" s="30">
        <v>5.0000000000000001E-3</v>
      </c>
      <c r="S99" s="35">
        <v>15.7295597484277</v>
      </c>
    </row>
    <row r="100" spans="1:19">
      <c r="A100" s="606">
        <v>-0.5</v>
      </c>
      <c r="B100" s="608">
        <v>125</v>
      </c>
      <c r="C100" s="606">
        <v>0.59</v>
      </c>
      <c r="D100" s="608">
        <v>1.6</v>
      </c>
      <c r="E100" s="636">
        <v>0.52</v>
      </c>
      <c r="F100" s="606">
        <v>0.5</v>
      </c>
      <c r="G100" s="606">
        <v>0.2</v>
      </c>
      <c r="H100" s="606">
        <v>0.9</v>
      </c>
      <c r="I100" s="35">
        <v>10.6918238993711</v>
      </c>
      <c r="J100" s="33"/>
      <c r="K100" s="606">
        <v>-0.5</v>
      </c>
      <c r="L100" s="608">
        <v>4925</v>
      </c>
      <c r="M100" s="606">
        <v>0.64</v>
      </c>
      <c r="N100" s="608">
        <v>1.6</v>
      </c>
      <c r="O100" s="636">
        <v>0.51600000000000001</v>
      </c>
      <c r="P100" s="606">
        <v>0.5</v>
      </c>
      <c r="Q100" s="606">
        <v>0.2</v>
      </c>
      <c r="R100" s="606">
        <v>0.9</v>
      </c>
      <c r="S100" s="35">
        <v>10.6918238993711</v>
      </c>
    </row>
    <row r="101" spans="1:19">
      <c r="A101" s="606">
        <v>0.02</v>
      </c>
      <c r="B101" s="608">
        <v>22.5</v>
      </c>
      <c r="C101" s="606">
        <v>0</v>
      </c>
      <c r="D101" s="608">
        <v>0.6</v>
      </c>
      <c r="E101" s="636">
        <v>0.32</v>
      </c>
      <c r="F101" s="606">
        <v>0</v>
      </c>
      <c r="G101" s="606">
        <v>0</v>
      </c>
      <c r="H101" s="606">
        <v>2000</v>
      </c>
      <c r="I101" s="35">
        <f>C99/C98</f>
        <v>7.1540178571428559</v>
      </c>
      <c r="J101" s="33">
        <f>I101/I99</f>
        <v>0.45481361027017675</v>
      </c>
      <c r="K101" s="33">
        <v>1.1111111111111001E-2</v>
      </c>
      <c r="L101" s="33">
        <v>12.5</v>
      </c>
      <c r="M101" s="30">
        <v>0</v>
      </c>
      <c r="N101" s="30">
        <v>0.6</v>
      </c>
      <c r="O101" s="636">
        <v>0.316</v>
      </c>
      <c r="P101" s="606">
        <v>4.0000000000000001E-3</v>
      </c>
      <c r="Q101" s="606">
        <v>4.0000000000000001E-3</v>
      </c>
      <c r="R101" s="606">
        <v>3600</v>
      </c>
      <c r="S101" s="36"/>
    </row>
    <row r="102" spans="1:19">
      <c r="A102" s="606">
        <v>0.15</v>
      </c>
      <c r="B102" s="608">
        <v>0.01</v>
      </c>
      <c r="C102" s="606">
        <v>1</v>
      </c>
      <c r="D102" s="608">
        <v>1</v>
      </c>
      <c r="E102" s="636">
        <v>0</v>
      </c>
      <c r="F102" s="606">
        <v>0.5</v>
      </c>
      <c r="G102" s="606"/>
      <c r="H102" s="606"/>
      <c r="I102" s="36"/>
      <c r="J102" s="33"/>
      <c r="K102" s="606">
        <v>0.15</v>
      </c>
      <c r="L102" s="608">
        <v>0.01</v>
      </c>
      <c r="M102" s="606">
        <v>1</v>
      </c>
      <c r="N102" s="608">
        <v>1</v>
      </c>
      <c r="O102" s="636">
        <v>0</v>
      </c>
      <c r="P102" s="606">
        <v>0.5</v>
      </c>
      <c r="Q102" s="606"/>
      <c r="R102" s="606"/>
      <c r="S102" s="36"/>
    </row>
    <row r="103" spans="1:19">
      <c r="A103" s="605" t="s">
        <v>1939</v>
      </c>
      <c r="B103" s="608">
        <v>142</v>
      </c>
      <c r="C103" s="605">
        <v>7.72</v>
      </c>
      <c r="D103" s="608">
        <v>0.33700000000000002</v>
      </c>
      <c r="E103" s="636">
        <v>3.79</v>
      </c>
      <c r="F103" s="606">
        <v>3.4</v>
      </c>
      <c r="G103" s="606">
        <v>122</v>
      </c>
      <c r="H103" s="606">
        <v>160</v>
      </c>
      <c r="I103" s="609"/>
      <c r="J103" s="33"/>
      <c r="K103" s="36" t="s">
        <v>1940</v>
      </c>
      <c r="L103" s="36">
        <v>20.285714285714299</v>
      </c>
      <c r="M103" s="36">
        <v>1.1028571428571401</v>
      </c>
      <c r="N103" s="36">
        <v>0.33700000000000002</v>
      </c>
      <c r="O103" s="36">
        <v>0.54142857142857104</v>
      </c>
      <c r="P103" s="36">
        <v>0.49346879535559002</v>
      </c>
      <c r="Q103" s="36">
        <v>251.6</v>
      </c>
      <c r="R103" s="36">
        <v>320</v>
      </c>
    </row>
    <row r="104" spans="1:19">
      <c r="A104" s="605">
        <v>2524</v>
      </c>
      <c r="B104" s="608">
        <v>1700</v>
      </c>
      <c r="C104" s="605">
        <v>39.6</v>
      </c>
      <c r="D104" s="608">
        <v>165</v>
      </c>
      <c r="E104" s="637">
        <v>48</v>
      </c>
      <c r="F104" s="606">
        <v>1.2</v>
      </c>
      <c r="G104" s="606">
        <v>22</v>
      </c>
      <c r="H104" s="634">
        <v>5.0000000000000001E-3</v>
      </c>
      <c r="I104" s="35">
        <v>17.774647887323901</v>
      </c>
      <c r="J104" s="33"/>
      <c r="K104" s="36">
        <v>360.57142857142901</v>
      </c>
      <c r="L104" s="36">
        <v>242.857142857143</v>
      </c>
      <c r="M104" s="36">
        <v>5.6571428571428601</v>
      </c>
      <c r="N104" s="36">
        <v>23.571428571428601</v>
      </c>
      <c r="O104" s="36">
        <v>6.8571428571428603</v>
      </c>
      <c r="P104" s="36">
        <v>1.2</v>
      </c>
      <c r="Q104" s="36">
        <v>71.599999999999994</v>
      </c>
      <c r="R104" s="36">
        <v>5.0000000000000001E-3</v>
      </c>
      <c r="S104" s="30">
        <v>17.774647887323901</v>
      </c>
    </row>
    <row r="105" spans="1:19">
      <c r="A105" s="606">
        <v>-0.5</v>
      </c>
      <c r="B105" s="608">
        <v>125</v>
      </c>
      <c r="C105" s="606">
        <v>0.59</v>
      </c>
      <c r="D105" s="608">
        <v>1.6</v>
      </c>
      <c r="E105" s="636">
        <v>0.52</v>
      </c>
      <c r="F105" s="606">
        <v>0.5</v>
      </c>
      <c r="G105" s="606">
        <v>0.2</v>
      </c>
      <c r="H105" s="606">
        <v>0.9</v>
      </c>
      <c r="I105" s="35">
        <v>11.971830985915499</v>
      </c>
      <c r="J105" s="33"/>
      <c r="K105" s="36">
        <v>-0.5</v>
      </c>
      <c r="L105" s="36">
        <v>4925</v>
      </c>
      <c r="M105" s="36">
        <v>0.64</v>
      </c>
      <c r="N105" s="36">
        <v>1.6</v>
      </c>
      <c r="O105" s="36">
        <v>0.51600000000000001</v>
      </c>
      <c r="P105" s="36">
        <v>0.5</v>
      </c>
      <c r="Q105" s="36">
        <v>0.2</v>
      </c>
      <c r="R105" s="36">
        <v>0.9</v>
      </c>
      <c r="S105" s="30">
        <v>11.971830985915499</v>
      </c>
    </row>
    <row r="106" spans="1:19">
      <c r="A106" s="606">
        <v>0.02</v>
      </c>
      <c r="B106" s="608">
        <v>22.5</v>
      </c>
      <c r="C106" s="606">
        <v>0</v>
      </c>
      <c r="D106" s="608">
        <v>0.6</v>
      </c>
      <c r="E106" s="636">
        <v>0.32</v>
      </c>
      <c r="F106" s="606">
        <v>0</v>
      </c>
      <c r="G106" s="606">
        <v>0</v>
      </c>
      <c r="H106" s="606">
        <v>2000</v>
      </c>
      <c r="I106" s="35">
        <f>C104/C103</f>
        <v>5.1295336787564771</v>
      </c>
      <c r="J106" s="33">
        <f>I106/I104</f>
        <v>0.28858707701403385</v>
      </c>
      <c r="K106" s="36">
        <v>1.1111111111111001E-2</v>
      </c>
      <c r="L106" s="36">
        <v>12.5</v>
      </c>
      <c r="M106" s="36">
        <v>0</v>
      </c>
      <c r="N106" s="36">
        <v>0.6</v>
      </c>
      <c r="O106" s="36">
        <v>0.316</v>
      </c>
      <c r="P106" s="36">
        <v>4.0000000000000001E-3</v>
      </c>
      <c r="Q106" s="36">
        <v>4.0000000000000001E-3</v>
      </c>
      <c r="R106" s="36">
        <v>3600</v>
      </c>
    </row>
    <row r="107" spans="1:19">
      <c r="A107" s="606">
        <v>0.15</v>
      </c>
      <c r="B107" s="608">
        <v>0.01</v>
      </c>
      <c r="C107" s="606">
        <v>1</v>
      </c>
      <c r="D107" s="608">
        <v>1</v>
      </c>
      <c r="E107" s="636">
        <v>0</v>
      </c>
      <c r="F107" s="606">
        <v>0.5</v>
      </c>
      <c r="G107" s="606"/>
      <c r="H107" s="606"/>
      <c r="I107" s="35"/>
      <c r="J107" s="33"/>
      <c r="K107" s="36">
        <v>0.15</v>
      </c>
      <c r="L107" s="36">
        <v>0.01</v>
      </c>
      <c r="M107" s="36">
        <v>1</v>
      </c>
      <c r="N107" s="36">
        <v>1</v>
      </c>
      <c r="O107" s="36">
        <v>0</v>
      </c>
      <c r="P107" s="37">
        <v>0.5</v>
      </c>
      <c r="Q107" s="36"/>
      <c r="R107" s="36"/>
    </row>
    <row r="108" spans="1:19">
      <c r="A108" s="605" t="s">
        <v>1941</v>
      </c>
      <c r="B108" s="608">
        <v>127</v>
      </c>
      <c r="C108" s="605">
        <v>7.93</v>
      </c>
      <c r="D108" s="608">
        <v>0.3</v>
      </c>
      <c r="E108" s="636">
        <v>3.56</v>
      </c>
      <c r="F108" s="606">
        <v>3.4</v>
      </c>
      <c r="G108" s="606">
        <v>122</v>
      </c>
      <c r="H108" s="606">
        <v>160</v>
      </c>
      <c r="I108" s="36"/>
      <c r="J108" s="33"/>
      <c r="K108" s="36" t="s">
        <v>1942</v>
      </c>
      <c r="L108" s="36">
        <v>18.1428571428571</v>
      </c>
      <c r="M108" s="36">
        <v>1.1328571428571399</v>
      </c>
      <c r="N108" s="36">
        <v>0.3</v>
      </c>
      <c r="O108" s="36">
        <v>0.50857142857142901</v>
      </c>
      <c r="P108" s="36">
        <v>0.49346879535559002</v>
      </c>
      <c r="Q108" s="36">
        <v>251.6</v>
      </c>
      <c r="R108" s="36">
        <v>320</v>
      </c>
    </row>
    <row r="109" spans="1:19">
      <c r="A109" s="605">
        <v>1867</v>
      </c>
      <c r="B109" s="608">
        <v>1398</v>
      </c>
      <c r="C109" s="605">
        <v>47.7</v>
      </c>
      <c r="D109" s="608">
        <v>185</v>
      </c>
      <c r="E109" s="637">
        <v>150</v>
      </c>
      <c r="F109" s="606">
        <v>1.2</v>
      </c>
      <c r="G109" s="606">
        <v>22</v>
      </c>
      <c r="H109" s="634">
        <v>5.0000000000000001E-3</v>
      </c>
      <c r="I109" s="35">
        <v>14.7007874015748</v>
      </c>
      <c r="J109" s="33"/>
      <c r="K109" s="36">
        <v>266.71428571428601</v>
      </c>
      <c r="L109" s="36">
        <v>199.71428571428601</v>
      </c>
      <c r="M109" s="36">
        <v>6.8142857142857096</v>
      </c>
      <c r="N109" s="36">
        <v>26.428571428571399</v>
      </c>
      <c r="O109" s="36">
        <v>21.428571428571399</v>
      </c>
      <c r="P109" s="36">
        <v>1.2</v>
      </c>
      <c r="Q109" s="36">
        <v>71.599999999999994</v>
      </c>
      <c r="R109" s="36">
        <v>5.0000000000000001E-3</v>
      </c>
      <c r="S109" s="30">
        <v>14.7007874015748</v>
      </c>
    </row>
    <row r="110" spans="1:19">
      <c r="A110" s="606">
        <v>-0.5</v>
      </c>
      <c r="B110" s="608">
        <v>125</v>
      </c>
      <c r="C110" s="606">
        <v>0.59</v>
      </c>
      <c r="D110" s="608">
        <v>1.6</v>
      </c>
      <c r="E110" s="636">
        <v>0.52</v>
      </c>
      <c r="F110" s="606">
        <v>0.5</v>
      </c>
      <c r="G110" s="606">
        <v>0.2</v>
      </c>
      <c r="H110" s="606">
        <v>0.9</v>
      </c>
      <c r="I110" s="35">
        <v>11.007874015748</v>
      </c>
      <c r="J110" s="33"/>
      <c r="K110" s="36">
        <v>-0.5</v>
      </c>
      <c r="L110" s="36">
        <v>4925</v>
      </c>
      <c r="M110" s="36">
        <v>0.64</v>
      </c>
      <c r="N110" s="36">
        <v>1.6</v>
      </c>
      <c r="O110" s="36">
        <v>0.51600000000000001</v>
      </c>
      <c r="P110" s="36">
        <v>0.5</v>
      </c>
      <c r="Q110" s="36">
        <v>0.2</v>
      </c>
      <c r="R110" s="36">
        <v>0.9</v>
      </c>
      <c r="S110" s="30">
        <v>11.007874015748</v>
      </c>
    </row>
    <row r="111" spans="1:19">
      <c r="A111" s="606">
        <v>0.02</v>
      </c>
      <c r="B111" s="608">
        <v>22.5</v>
      </c>
      <c r="C111" s="606">
        <v>0</v>
      </c>
      <c r="D111" s="608">
        <v>0.6</v>
      </c>
      <c r="E111" s="636">
        <v>0.32</v>
      </c>
      <c r="F111" s="606">
        <v>0</v>
      </c>
      <c r="G111" s="606">
        <v>0</v>
      </c>
      <c r="H111" s="606">
        <v>2000</v>
      </c>
      <c r="I111" s="35">
        <f>C109/C108</f>
        <v>6.015132408575032</v>
      </c>
      <c r="J111" s="33">
        <f>I111/I109</f>
        <v>0.40917076373274197</v>
      </c>
      <c r="K111" s="36">
        <v>1.1111111111111001E-2</v>
      </c>
      <c r="L111" s="36">
        <v>12.5</v>
      </c>
      <c r="M111" s="36">
        <v>0</v>
      </c>
      <c r="N111" s="36">
        <v>0.6</v>
      </c>
      <c r="O111" s="36">
        <v>0.316</v>
      </c>
      <c r="P111" s="36">
        <v>4.0000000000000001E-3</v>
      </c>
      <c r="Q111" s="36">
        <v>4.0000000000000001E-3</v>
      </c>
      <c r="R111" s="36">
        <v>3600</v>
      </c>
    </row>
    <row r="112" spans="1:19">
      <c r="A112" s="606">
        <v>0.15</v>
      </c>
      <c r="B112" s="608">
        <v>0.01</v>
      </c>
      <c r="C112" s="606">
        <v>1</v>
      </c>
      <c r="D112" s="608">
        <v>1</v>
      </c>
      <c r="E112" s="636">
        <v>0</v>
      </c>
      <c r="F112" s="606">
        <v>0.5</v>
      </c>
      <c r="G112" s="606"/>
      <c r="H112" s="606"/>
      <c r="I112" s="35" t="s">
        <v>1970</v>
      </c>
      <c r="J112" s="33"/>
      <c r="K112" s="36">
        <v>0.15</v>
      </c>
      <c r="L112" s="36">
        <v>0.01</v>
      </c>
      <c r="M112" s="36">
        <v>1</v>
      </c>
      <c r="N112" s="36">
        <v>1</v>
      </c>
      <c r="O112" s="36">
        <v>0</v>
      </c>
      <c r="P112" s="37">
        <v>0.5</v>
      </c>
      <c r="Q112" s="36"/>
      <c r="R112" s="36"/>
    </row>
    <row r="113" spans="1:19">
      <c r="A113" s="609" t="s">
        <v>1943</v>
      </c>
      <c r="B113" s="36">
        <v>151</v>
      </c>
      <c r="C113" s="36">
        <v>8.1999999999999993</v>
      </c>
      <c r="D113" s="36">
        <v>0.33</v>
      </c>
      <c r="E113" s="36">
        <v>4</v>
      </c>
      <c r="F113" s="36">
        <v>3.4</v>
      </c>
      <c r="G113" s="36">
        <v>122</v>
      </c>
      <c r="H113" s="36">
        <v>160</v>
      </c>
      <c r="I113" s="36"/>
      <c r="J113" s="33"/>
      <c r="K113" s="36" t="s">
        <v>1944</v>
      </c>
      <c r="L113" s="36">
        <v>21.571428571428601</v>
      </c>
      <c r="M113" s="36">
        <v>1.1714285714285699</v>
      </c>
      <c r="N113" s="36">
        <v>0.33</v>
      </c>
      <c r="O113" s="36">
        <v>0.57142857142857095</v>
      </c>
      <c r="P113" s="36">
        <v>0.49346879535559002</v>
      </c>
      <c r="Q113" s="36">
        <v>251.6</v>
      </c>
      <c r="R113" s="36">
        <v>320</v>
      </c>
    </row>
    <row r="114" spans="1:19">
      <c r="A114" s="36">
        <v>3000</v>
      </c>
      <c r="B114" s="36">
        <v>2500</v>
      </c>
      <c r="C114" s="36">
        <v>110</v>
      </c>
      <c r="D114" s="36">
        <v>220</v>
      </c>
      <c r="E114" s="36">
        <v>98</v>
      </c>
      <c r="F114" s="36">
        <v>1.2</v>
      </c>
      <c r="G114" s="36">
        <v>22</v>
      </c>
      <c r="H114" s="36">
        <v>5.0000000000000001E-3</v>
      </c>
      <c r="I114" s="35">
        <v>19.867549668874201</v>
      </c>
      <c r="J114" s="33"/>
      <c r="K114" s="36">
        <v>428.57142857142901</v>
      </c>
      <c r="L114" s="36">
        <v>357.142857142857</v>
      </c>
      <c r="M114" s="36">
        <v>15.714285714285699</v>
      </c>
      <c r="N114" s="36">
        <v>31.428571428571399</v>
      </c>
      <c r="O114" s="36">
        <v>14</v>
      </c>
      <c r="P114" s="36">
        <v>1.2</v>
      </c>
      <c r="Q114" s="36">
        <v>71.599999999999994</v>
      </c>
      <c r="R114" s="36">
        <v>5.0000000000000001E-3</v>
      </c>
      <c r="S114" s="30">
        <v>19.867549668874201</v>
      </c>
    </row>
    <row r="115" spans="1:19">
      <c r="A115" s="36">
        <v>-0.5</v>
      </c>
      <c r="B115" s="36">
        <v>125</v>
      </c>
      <c r="C115" s="36">
        <v>0.57999999999999996</v>
      </c>
      <c r="D115" s="36">
        <v>1.6</v>
      </c>
      <c r="E115" s="36">
        <v>0.52</v>
      </c>
      <c r="F115" s="36">
        <v>0.5</v>
      </c>
      <c r="G115" s="36">
        <v>0.2</v>
      </c>
      <c r="H115" s="36">
        <v>0.9</v>
      </c>
      <c r="I115" s="35">
        <v>16.5562913907285</v>
      </c>
      <c r="J115" s="33"/>
      <c r="K115" s="36">
        <v>-0.5</v>
      </c>
      <c r="L115" s="36">
        <v>4925</v>
      </c>
      <c r="M115" s="36">
        <v>0.64</v>
      </c>
      <c r="N115" s="36">
        <v>1.6</v>
      </c>
      <c r="O115" s="36">
        <v>0.51600000000000001</v>
      </c>
      <c r="P115" s="36">
        <v>0.5</v>
      </c>
      <c r="Q115" s="36">
        <v>0.2</v>
      </c>
      <c r="R115" s="36">
        <v>0.9</v>
      </c>
      <c r="S115" s="30">
        <v>16.5562913907285</v>
      </c>
    </row>
    <row r="116" spans="1:19">
      <c r="A116" s="36">
        <v>0.02</v>
      </c>
      <c r="B116" s="36">
        <v>22.5</v>
      </c>
      <c r="C116" s="36">
        <v>0</v>
      </c>
      <c r="D116" s="36">
        <v>0.6</v>
      </c>
      <c r="E116" s="36">
        <v>0.32</v>
      </c>
      <c r="F116" s="36">
        <v>0</v>
      </c>
      <c r="G116" s="36">
        <v>0</v>
      </c>
      <c r="H116" s="36">
        <v>2000</v>
      </c>
      <c r="I116" s="35">
        <f>C114/C113</f>
        <v>13.414634146341465</v>
      </c>
      <c r="J116" s="33">
        <f>I116/I114</f>
        <v>0.67520325203251941</v>
      </c>
      <c r="K116" s="36">
        <v>1.1111111111111001E-2</v>
      </c>
      <c r="L116" s="36">
        <v>12.5</v>
      </c>
      <c r="M116" s="36">
        <v>0</v>
      </c>
      <c r="N116" s="36">
        <v>0.6</v>
      </c>
      <c r="O116" s="36">
        <v>0.316</v>
      </c>
      <c r="P116" s="36">
        <v>4.0000000000000001E-3</v>
      </c>
      <c r="Q116" s="36">
        <v>4.0000000000000001E-3</v>
      </c>
      <c r="R116" s="36">
        <v>3600</v>
      </c>
    </row>
    <row r="117" spans="1:19">
      <c r="A117" s="36">
        <v>0.15</v>
      </c>
      <c r="B117" s="36">
        <v>0.01</v>
      </c>
      <c r="C117" s="30">
        <v>1</v>
      </c>
      <c r="D117" s="36">
        <v>1</v>
      </c>
      <c r="E117" s="36">
        <v>0</v>
      </c>
      <c r="F117" s="37">
        <v>0.5</v>
      </c>
      <c r="G117" s="36"/>
      <c r="H117" s="36"/>
      <c r="I117" s="36"/>
      <c r="J117" s="33"/>
      <c r="K117" s="36">
        <v>0.15</v>
      </c>
      <c r="L117" s="36">
        <v>0.01</v>
      </c>
      <c r="M117" s="36">
        <v>1</v>
      </c>
      <c r="N117" s="36">
        <v>1</v>
      </c>
      <c r="O117" s="36">
        <v>0</v>
      </c>
      <c r="P117" s="37">
        <v>0.5</v>
      </c>
      <c r="Q117" s="36"/>
      <c r="R117" s="36"/>
    </row>
    <row r="118" spans="1:19">
      <c r="A118" s="30" t="s">
        <v>1875</v>
      </c>
      <c r="B118" s="30">
        <v>67.3</v>
      </c>
      <c r="C118" s="30">
        <v>68.5</v>
      </c>
      <c r="D118" s="35">
        <v>0.06</v>
      </c>
      <c r="E118" s="35">
        <v>5.65</v>
      </c>
      <c r="F118" s="30">
        <v>3.4</v>
      </c>
      <c r="G118" s="30">
        <v>122</v>
      </c>
      <c r="H118" s="30">
        <v>160</v>
      </c>
      <c r="I118" s="609"/>
      <c r="J118" s="33"/>
      <c r="K118" s="36" t="s">
        <v>1945</v>
      </c>
      <c r="L118" s="36">
        <v>9.6142857142857103</v>
      </c>
      <c r="M118" s="36">
        <v>9.78571428571429</v>
      </c>
      <c r="N118" s="36">
        <v>0.06</v>
      </c>
      <c r="O118" s="36">
        <v>0.80714285714285705</v>
      </c>
      <c r="P118" s="36">
        <v>0.49346879535559002</v>
      </c>
      <c r="Q118" s="36">
        <v>251.6</v>
      </c>
      <c r="R118" s="36">
        <v>320</v>
      </c>
    </row>
    <row r="119" spans="1:19">
      <c r="A119" s="30">
        <v>978</v>
      </c>
      <c r="B119" s="30">
        <v>771</v>
      </c>
      <c r="C119" s="30">
        <v>956</v>
      </c>
      <c r="D119" s="35">
        <v>728</v>
      </c>
      <c r="E119" s="35">
        <v>141</v>
      </c>
      <c r="F119" s="30">
        <v>1.2</v>
      </c>
      <c r="G119" s="30">
        <v>22</v>
      </c>
      <c r="H119" s="30">
        <v>0.01</v>
      </c>
      <c r="I119" s="35">
        <v>14.5319465081724</v>
      </c>
      <c r="K119" s="36">
        <v>139.71428571428601</v>
      </c>
      <c r="L119" s="36">
        <v>110.142857142857</v>
      </c>
      <c r="M119" s="36">
        <v>136.57142857142901</v>
      </c>
      <c r="N119" s="36">
        <v>104</v>
      </c>
      <c r="O119" s="36">
        <v>20.1428571428571</v>
      </c>
      <c r="P119" s="36">
        <v>1.2</v>
      </c>
      <c r="Q119" s="36">
        <v>71.599999999999994</v>
      </c>
      <c r="R119" s="36">
        <v>5.0000000000000001E-3</v>
      </c>
      <c r="S119" s="30">
        <v>14.5319465081724</v>
      </c>
    </row>
    <row r="120" spans="1:19">
      <c r="A120" s="30">
        <v>-0.5</v>
      </c>
      <c r="B120" s="30">
        <v>125</v>
      </c>
      <c r="C120" s="30">
        <v>0.59</v>
      </c>
      <c r="D120" s="35">
        <v>1.6</v>
      </c>
      <c r="E120" s="35">
        <v>0.52</v>
      </c>
      <c r="F120" s="30">
        <v>0.5</v>
      </c>
      <c r="G120" s="30">
        <v>0.2</v>
      </c>
      <c r="H120" s="30">
        <v>0.9</v>
      </c>
      <c r="I120" s="35">
        <v>11.456166419019301</v>
      </c>
      <c r="K120" s="36">
        <v>-0.5</v>
      </c>
      <c r="L120" s="36">
        <v>4925</v>
      </c>
      <c r="M120" s="36">
        <v>0.64</v>
      </c>
      <c r="N120" s="36">
        <v>1.6</v>
      </c>
      <c r="O120" s="36">
        <v>0.51600000000000001</v>
      </c>
      <c r="P120" s="36">
        <v>0.5</v>
      </c>
      <c r="Q120" s="36">
        <v>0.2</v>
      </c>
      <c r="R120" s="36">
        <v>0.9</v>
      </c>
      <c r="S120" s="30">
        <v>11.456166419019301</v>
      </c>
    </row>
    <row r="121" spans="1:19">
      <c r="A121" s="30">
        <v>0.02</v>
      </c>
      <c r="B121" s="30">
        <v>22.5</v>
      </c>
      <c r="C121" s="30">
        <v>0</v>
      </c>
      <c r="D121" s="35">
        <v>0.6</v>
      </c>
      <c r="E121" s="35">
        <v>0.32</v>
      </c>
      <c r="F121" s="30">
        <v>0</v>
      </c>
      <c r="G121" s="30">
        <v>0</v>
      </c>
      <c r="H121" s="30">
        <v>2000</v>
      </c>
      <c r="I121" s="35"/>
      <c r="K121" s="36">
        <v>1.1111111111111001E-2</v>
      </c>
      <c r="L121" s="36">
        <v>12.5</v>
      </c>
      <c r="M121" s="36">
        <v>0</v>
      </c>
      <c r="N121" s="36">
        <v>0.6</v>
      </c>
      <c r="O121" s="36">
        <v>0.316</v>
      </c>
      <c r="P121" s="36">
        <v>4.0000000000000001E-3</v>
      </c>
      <c r="Q121" s="36">
        <v>4.0000000000000001E-3</v>
      </c>
      <c r="R121" s="36">
        <v>3600</v>
      </c>
    </row>
    <row r="122" spans="1:19">
      <c r="A122" s="30">
        <v>0.15</v>
      </c>
      <c r="B122" s="30">
        <v>0.01</v>
      </c>
      <c r="C122" s="30">
        <v>1</v>
      </c>
      <c r="D122" s="35">
        <v>1</v>
      </c>
      <c r="E122" s="35">
        <v>0</v>
      </c>
      <c r="F122" s="30">
        <v>0.5</v>
      </c>
      <c r="I122" s="857" t="s">
        <v>1718</v>
      </c>
      <c r="K122" s="36">
        <v>0.15</v>
      </c>
      <c r="L122" s="36">
        <v>0.01</v>
      </c>
      <c r="M122" s="36">
        <v>1</v>
      </c>
      <c r="N122" s="36">
        <v>1</v>
      </c>
      <c r="O122" s="36">
        <v>0</v>
      </c>
      <c r="P122" s="37">
        <v>0.5</v>
      </c>
      <c r="Q122" s="36"/>
      <c r="R122" s="36"/>
    </row>
    <row r="123" spans="1:19">
      <c r="A123" s="858" t="s">
        <v>1977</v>
      </c>
      <c r="B123" s="858">
        <f>265*C125</f>
        <v>159</v>
      </c>
      <c r="C123" s="859">
        <f>I123*0.05</f>
        <v>9.0340909090909101</v>
      </c>
      <c r="D123" s="862">
        <v>0.28000000000000003</v>
      </c>
      <c r="E123" s="859">
        <f>I123*0.03</f>
        <v>5.420454545454545</v>
      </c>
      <c r="F123" s="861">
        <v>3.4</v>
      </c>
      <c r="G123" s="861">
        <v>122</v>
      </c>
      <c r="H123" s="861">
        <v>160</v>
      </c>
      <c r="I123" s="860">
        <f>B123/0.88</f>
        <v>180.68181818181819</v>
      </c>
      <c r="K123" s="36" t="s">
        <v>1946</v>
      </c>
      <c r="L123" s="36">
        <v>6.1</v>
      </c>
      <c r="M123" s="36">
        <v>1.1814285714285699</v>
      </c>
      <c r="N123" s="36">
        <v>0.28000000000000003</v>
      </c>
      <c r="O123" s="36">
        <v>0.59142857142857097</v>
      </c>
      <c r="P123" s="36">
        <v>0.49346879535559002</v>
      </c>
      <c r="Q123" s="36">
        <v>251.6</v>
      </c>
      <c r="R123" s="36">
        <v>320</v>
      </c>
    </row>
    <row r="124" spans="1:19">
      <c r="A124" s="858">
        <f>5880*C125</f>
        <v>3528</v>
      </c>
      <c r="B124" s="858">
        <f>A124/2</f>
        <v>1764</v>
      </c>
      <c r="C124" s="861">
        <v>31</v>
      </c>
      <c r="D124" s="863">
        <v>118</v>
      </c>
      <c r="E124" s="863">
        <v>72</v>
      </c>
      <c r="F124" s="861">
        <v>1.2</v>
      </c>
      <c r="G124" s="861">
        <v>22</v>
      </c>
      <c r="H124" s="861">
        <v>5.0000000000000001E-3</v>
      </c>
      <c r="I124" s="862">
        <v>27.5129533678756</v>
      </c>
      <c r="K124" s="36">
        <v>142.42857142857099</v>
      </c>
      <c r="L124" s="36">
        <v>83.714285714285694</v>
      </c>
      <c r="M124" s="36">
        <v>4.4285714285714297</v>
      </c>
      <c r="N124" s="36">
        <v>16.8571428571429</v>
      </c>
      <c r="O124" s="36">
        <v>10.285714285714301</v>
      </c>
      <c r="P124" s="36">
        <v>1.2</v>
      </c>
      <c r="Q124" s="36">
        <v>71.599999999999994</v>
      </c>
      <c r="R124" s="36">
        <v>5.0000000000000001E-3</v>
      </c>
      <c r="S124" s="30">
        <v>27.5129533678756</v>
      </c>
    </row>
    <row r="125" spans="1:19">
      <c r="A125" s="861">
        <v>-0.5</v>
      </c>
      <c r="B125" s="861">
        <v>125</v>
      </c>
      <c r="C125" s="861">
        <v>0.6</v>
      </c>
      <c r="D125" s="862">
        <v>1.8</v>
      </c>
      <c r="E125" s="862">
        <v>0.51600000000000001</v>
      </c>
      <c r="F125" s="861">
        <v>0.5</v>
      </c>
      <c r="G125" s="861">
        <v>0.2</v>
      </c>
      <c r="H125" s="861">
        <v>0.9</v>
      </c>
      <c r="I125" s="862">
        <v>15.803108808290199</v>
      </c>
      <c r="K125" s="36">
        <v>-0.5</v>
      </c>
      <c r="L125" s="36">
        <v>4925</v>
      </c>
      <c r="M125" s="36">
        <v>0.64</v>
      </c>
      <c r="N125" s="36">
        <v>1.6</v>
      </c>
      <c r="O125" s="36">
        <v>0.51600000000000001</v>
      </c>
      <c r="P125" s="36">
        <v>0.5</v>
      </c>
      <c r="Q125" s="36">
        <v>0.2</v>
      </c>
      <c r="R125" s="36">
        <v>0.9</v>
      </c>
      <c r="S125" s="30">
        <v>15.803108808290199</v>
      </c>
    </row>
    <row r="126" spans="1:19">
      <c r="A126" s="861">
        <v>0.02</v>
      </c>
      <c r="B126" s="861">
        <v>22.5</v>
      </c>
      <c r="C126" s="861">
        <v>0</v>
      </c>
      <c r="D126" s="862">
        <v>0.6</v>
      </c>
      <c r="E126" s="862">
        <v>0.316</v>
      </c>
      <c r="F126" s="861">
        <v>0.1</v>
      </c>
      <c r="G126" s="861">
        <v>0.1</v>
      </c>
      <c r="H126" s="861">
        <v>2000</v>
      </c>
      <c r="I126" s="862"/>
      <c r="K126" s="36">
        <v>1.1111111111111001E-2</v>
      </c>
      <c r="L126" s="36">
        <v>12.5</v>
      </c>
      <c r="M126" s="36">
        <v>0</v>
      </c>
      <c r="N126" s="36">
        <v>0.6</v>
      </c>
      <c r="O126" s="36">
        <v>0.316</v>
      </c>
      <c r="P126" s="36">
        <v>4.0000000000000001E-3</v>
      </c>
      <c r="Q126" s="36">
        <v>4.0000000000000001E-3</v>
      </c>
      <c r="R126" s="36">
        <v>3600</v>
      </c>
    </row>
    <row r="127" spans="1:19">
      <c r="A127" s="861">
        <v>0.15</v>
      </c>
      <c r="B127" s="861">
        <v>0.01</v>
      </c>
      <c r="C127" s="861">
        <v>1</v>
      </c>
      <c r="D127" s="862">
        <v>1</v>
      </c>
      <c r="E127" s="862">
        <v>0</v>
      </c>
      <c r="F127" s="861">
        <v>0.5</v>
      </c>
      <c r="G127" s="861"/>
      <c r="H127" s="861"/>
      <c r="I127" s="862"/>
      <c r="K127" s="36">
        <v>0.15</v>
      </c>
      <c r="L127" s="36">
        <v>0.01</v>
      </c>
      <c r="M127" s="36">
        <v>1</v>
      </c>
      <c r="N127" s="36">
        <v>1</v>
      </c>
      <c r="O127" s="36">
        <v>0</v>
      </c>
      <c r="P127" s="37">
        <v>0.5</v>
      </c>
      <c r="Q127" s="36"/>
      <c r="R127" s="36"/>
    </row>
    <row r="128" spans="1:19">
      <c r="A128" s="30" t="s">
        <v>1610</v>
      </c>
      <c r="B128" s="30">
        <v>206.7</v>
      </c>
      <c r="C128" s="30">
        <v>206.7</v>
      </c>
      <c r="D128" s="35">
        <v>0.3</v>
      </c>
      <c r="E128" s="35">
        <v>79.5</v>
      </c>
      <c r="F128" s="30">
        <v>206.7</v>
      </c>
      <c r="G128" s="30">
        <v>22</v>
      </c>
      <c r="I128" s="35"/>
      <c r="K128" s="30" t="s">
        <v>1926</v>
      </c>
      <c r="L128" s="30">
        <v>29.5285714285714</v>
      </c>
      <c r="M128" s="30">
        <v>29.5285714285714</v>
      </c>
      <c r="N128" s="30">
        <v>0.3</v>
      </c>
      <c r="O128" s="30">
        <v>11.3571428571429</v>
      </c>
      <c r="P128" s="30">
        <v>0.49346879535559002</v>
      </c>
      <c r="Q128" s="30">
        <v>251.6</v>
      </c>
      <c r="R128" s="30">
        <v>320</v>
      </c>
    </row>
    <row r="129" spans="1:19">
      <c r="A129" s="30">
        <v>275</v>
      </c>
      <c r="B129" s="30">
        <v>275</v>
      </c>
      <c r="C129" s="30">
        <v>275</v>
      </c>
      <c r="D129" s="35">
        <v>275</v>
      </c>
      <c r="E129" s="35">
        <v>158.77132402714699</v>
      </c>
      <c r="F129" s="30">
        <v>7.8</v>
      </c>
      <c r="G129" s="30">
        <v>22</v>
      </c>
      <c r="I129" s="30">
        <v>1.3304305757135899</v>
      </c>
      <c r="K129" s="30">
        <v>39.285714285714299</v>
      </c>
      <c r="L129" s="30">
        <v>39.285714285714299</v>
      </c>
      <c r="M129" s="30">
        <v>39.285714285714299</v>
      </c>
      <c r="N129" s="30">
        <v>39.285714285714299</v>
      </c>
      <c r="O129" s="30">
        <v>22.681617718163899</v>
      </c>
      <c r="P129" s="30">
        <v>1.2</v>
      </c>
      <c r="Q129" s="30">
        <v>71.599999999999994</v>
      </c>
      <c r="R129" s="30">
        <v>5.0000000000000001E-3</v>
      </c>
      <c r="S129" s="30">
        <v>1.3304305757135899</v>
      </c>
    </row>
    <row r="130" spans="1:19">
      <c r="A130" s="30">
        <v>-0.5</v>
      </c>
      <c r="B130" s="30">
        <v>125</v>
      </c>
      <c r="C130" s="30">
        <v>1</v>
      </c>
      <c r="D130" s="35">
        <v>7.8</v>
      </c>
      <c r="E130" s="35">
        <v>1</v>
      </c>
      <c r="F130" s="30">
        <v>1</v>
      </c>
      <c r="G130" s="30">
        <v>1</v>
      </c>
      <c r="I130" s="30">
        <v>1.3304305757135899</v>
      </c>
      <c r="K130" s="30">
        <v>-0.5</v>
      </c>
      <c r="L130" s="30">
        <v>4925</v>
      </c>
      <c r="M130" s="30">
        <v>0.64</v>
      </c>
      <c r="N130" s="30">
        <v>1.6</v>
      </c>
      <c r="O130" s="30">
        <v>0.51600000000000001</v>
      </c>
      <c r="P130" s="30">
        <v>0.5</v>
      </c>
      <c r="Q130" s="30">
        <v>0.2</v>
      </c>
      <c r="R130" s="30">
        <v>0.9</v>
      </c>
      <c r="S130" s="30">
        <v>1.3304305757135899</v>
      </c>
    </row>
    <row r="131" spans="1:19">
      <c r="A131" s="30">
        <v>12.4</v>
      </c>
      <c r="B131" s="30">
        <v>12.4</v>
      </c>
      <c r="C131" s="30">
        <v>0</v>
      </c>
      <c r="D131" s="35">
        <v>0</v>
      </c>
      <c r="E131" s="35">
        <v>1</v>
      </c>
      <c r="F131" s="30">
        <v>1</v>
      </c>
      <c r="G131" s="30">
        <v>1</v>
      </c>
      <c r="K131" s="30">
        <v>1.1111111111111001E-2</v>
      </c>
      <c r="L131" s="30">
        <v>12.5</v>
      </c>
      <c r="M131" s="30">
        <v>0</v>
      </c>
      <c r="N131" s="30">
        <v>0.6</v>
      </c>
      <c r="O131" s="30">
        <v>0.316</v>
      </c>
      <c r="P131" s="30">
        <v>4.0000000000000001E-3</v>
      </c>
      <c r="Q131" s="30">
        <v>4.0000000000000001E-3</v>
      </c>
      <c r="R131" s="30">
        <v>3600</v>
      </c>
    </row>
    <row r="132" spans="1:19">
      <c r="A132" s="30">
        <v>1</v>
      </c>
      <c r="B132" s="30">
        <v>1E-3</v>
      </c>
      <c r="C132" s="30">
        <v>1</v>
      </c>
      <c r="D132" s="35">
        <v>1</v>
      </c>
      <c r="E132" s="35">
        <v>0</v>
      </c>
      <c r="F132" s="30">
        <v>0.3</v>
      </c>
      <c r="K132" s="30">
        <v>0.15</v>
      </c>
      <c r="L132" s="30">
        <v>0.01</v>
      </c>
      <c r="M132" s="30">
        <v>1</v>
      </c>
      <c r="N132" s="30">
        <v>1</v>
      </c>
      <c r="O132" s="30">
        <v>0</v>
      </c>
      <c r="P132" s="30">
        <v>0.5</v>
      </c>
    </row>
    <row r="133" spans="1:19">
      <c r="I133" s="30" t="s">
        <v>1971</v>
      </c>
      <c r="J133" s="33">
        <f>AVERAGE(J11,J26,J41,J46,J56,J61,J66,J71,J81,J86,J91,J96,J101,J106,J111,J116)</f>
        <v>0.42785039882877618</v>
      </c>
    </row>
    <row r="134" spans="1:19">
      <c r="I134" s="30" t="s">
        <v>1906</v>
      </c>
      <c r="J134" s="30">
        <f>STDEV(J11,J26,J41,J51,J56,J61,J66,J71,J81,J86,J91,J96,J101,J106,J116,J111)</f>
        <v>0.15700809652215239</v>
      </c>
    </row>
    <row r="135" spans="1:19">
      <c r="I135" s="30" t="s">
        <v>1776</v>
      </c>
      <c r="J135" s="795">
        <f>J134/J133</f>
        <v>0.36696961590302579</v>
      </c>
    </row>
    <row r="136" spans="1:19">
      <c r="J136" s="795">
        <f>STDEVP(J11,J26,J41,J46,J56,J61,J66,J71,J81,J86,J91,J96,J101,J106,J111,J116)</f>
        <v>0.11238966895733291</v>
      </c>
    </row>
    <row r="137" spans="1:19">
      <c r="I137" s="30" t="s">
        <v>1906</v>
      </c>
      <c r="J137" s="30">
        <f>STDEV(J11,J26,J41,J46,J56,J61,J66,J71,J81,J86,J91,J96,J101,J106,J111,J116)</f>
        <v>0.11607555097533735</v>
      </c>
    </row>
    <row r="138" spans="1:19">
      <c r="J138" s="30">
        <f>J137/J133</f>
        <v>0.27129938710607648</v>
      </c>
    </row>
    <row r="139" spans="1:19">
      <c r="H139" s="796" t="s">
        <v>1973</v>
      </c>
      <c r="I139" s="33">
        <f>AVERAGE(I11,I26,I41,I46,I56,I61,I66,I71,I81,I86,I91,I96,I101,I106,I111)</f>
        <v>6.1824434688122869</v>
      </c>
    </row>
    <row r="140" spans="1:19">
      <c r="H140" s="30" t="s">
        <v>1972</v>
      </c>
      <c r="I140" s="33">
        <f>STDEVP(I11,I26,I41,I46,I56,I61,I66,I71,I81,I86,I91,I96,I101,I106,I111)</f>
        <v>1.2276457142867756</v>
      </c>
    </row>
    <row r="141" spans="1:19">
      <c r="H141" s="30" t="s">
        <v>1776</v>
      </c>
      <c r="I141" s="795">
        <f>I140/I139</f>
        <v>0.19856966270370432</v>
      </c>
    </row>
    <row r="142" spans="1:19">
      <c r="I142" s="795"/>
    </row>
  </sheetData>
  <phoneticPr fontId="1" type="noConversion"/>
  <printOptions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AZ613"/>
  <sheetViews>
    <sheetView tabSelected="1" zoomScaleNormal="100" zoomScalePageLayoutView="130" workbookViewId="0">
      <selection activeCell="C7" sqref="C7"/>
    </sheetView>
  </sheetViews>
  <sheetFormatPr defaultColWidth="10.453125" defaultRowHeight="15.6"/>
  <cols>
    <col min="1" max="1" width="10.453125" style="650"/>
    <col min="2" max="2" width="7.54296875" style="650" customWidth="1"/>
    <col min="3" max="3" width="7" style="650" customWidth="1"/>
    <col min="4" max="4" width="7.90625" style="650" customWidth="1"/>
    <col min="5" max="5" width="7.08984375" style="650" customWidth="1"/>
    <col min="6" max="6" width="8.1796875" style="650" customWidth="1"/>
    <col min="7" max="7" width="5.36328125" style="650" customWidth="1"/>
    <col min="8" max="8" width="6.1796875" style="650" customWidth="1"/>
    <col min="9" max="9" width="7.08984375" style="650" customWidth="1"/>
    <col min="10" max="10" width="5.90625" style="650" customWidth="1"/>
    <col min="11" max="11" width="4.6328125" style="650" customWidth="1"/>
    <col min="12" max="12" width="5.6328125" style="650" customWidth="1"/>
    <col min="13" max="16" width="6.6328125" style="650" customWidth="1"/>
    <col min="17" max="17" width="7.08984375" style="650" customWidth="1"/>
    <col min="18" max="18" width="7.36328125" style="650" customWidth="1"/>
    <col min="19" max="19" width="6.6328125" style="650" customWidth="1"/>
    <col min="20" max="20" width="7.08984375" style="655" customWidth="1"/>
    <col min="21" max="21" width="7.36328125" style="655" customWidth="1"/>
    <col min="22" max="23" width="6.6328125" style="650" customWidth="1"/>
    <col min="24" max="24" width="10.36328125" style="655" customWidth="1"/>
    <col min="25" max="25" width="9.453125" style="655" customWidth="1"/>
    <col min="26" max="27" width="6.6328125" style="650" customWidth="1"/>
    <col min="28" max="28" width="5.6328125" style="650" customWidth="1"/>
    <col min="29" max="30" width="7.6328125" style="650" customWidth="1"/>
    <col min="31" max="31" width="8.08984375" style="650" customWidth="1"/>
    <col min="32" max="32" width="7.6328125" style="650" customWidth="1"/>
    <col min="33" max="33" width="5.6328125" style="655" customWidth="1"/>
    <col min="34" max="34" width="11" style="650" customWidth="1"/>
    <col min="35" max="39" width="7.6328125" style="650" customWidth="1"/>
    <col min="40" max="40" width="8.6328125" style="650" customWidth="1"/>
    <col min="41" max="41" width="5.36328125" style="650" customWidth="1"/>
    <col min="42" max="44" width="5.90625" style="650" customWidth="1"/>
    <col min="45" max="45" width="1.90625" style="650" customWidth="1"/>
    <col min="46" max="46" width="6.6328125" style="650" customWidth="1"/>
    <col min="47" max="49" width="6.36328125" style="650" customWidth="1"/>
    <col min="50" max="50" width="2.08984375" style="650" customWidth="1"/>
    <col min="51" max="51" width="7.90625" style="650" customWidth="1"/>
    <col min="52" max="52" width="5.90625" style="650" customWidth="1"/>
    <col min="53" max="53" width="5.453125" style="650" customWidth="1"/>
    <col min="54" max="56" width="16.6328125" style="650" customWidth="1"/>
    <col min="57" max="16384" width="10.453125" style="650"/>
  </cols>
  <sheetData>
    <row r="1" spans="2:39" ht="58.5" customHeight="1">
      <c r="B1" s="649" t="s">
        <v>1873</v>
      </c>
      <c r="F1" s="651"/>
      <c r="G1" s="651"/>
      <c r="H1" s="651"/>
      <c r="I1" s="652"/>
      <c r="K1" s="653" t="s">
        <v>1550</v>
      </c>
      <c r="L1" s="652"/>
      <c r="M1" s="652"/>
      <c r="O1" s="650" t="s">
        <v>1551</v>
      </c>
      <c r="Q1" s="654"/>
      <c r="S1" s="650" t="s">
        <v>528</v>
      </c>
      <c r="AA1" s="650" t="s">
        <v>529</v>
      </c>
      <c r="AH1" s="650" t="s">
        <v>530</v>
      </c>
    </row>
    <row r="2" spans="2:39">
      <c r="B2" s="650" t="s">
        <v>1561</v>
      </c>
      <c r="C2" s="656" t="s">
        <v>1562</v>
      </c>
      <c r="D2" s="656" t="s">
        <v>1563</v>
      </c>
      <c r="E2" s="656" t="s">
        <v>1564</v>
      </c>
      <c r="F2" s="657" t="s">
        <v>1565</v>
      </c>
      <c r="G2" s="651"/>
      <c r="H2" s="658" t="s">
        <v>1566</v>
      </c>
      <c r="I2" s="653" t="str">
        <f>K2</f>
        <v>T800/Cyt[SI]</v>
      </c>
      <c r="K2" s="653" t="str">
        <f>$B$28</f>
        <v>T800/Cyt[SI]</v>
      </c>
      <c r="L2" s="653"/>
      <c r="M2" s="652"/>
      <c r="O2" s="652" t="s">
        <v>1567</v>
      </c>
      <c r="P2" s="659">
        <f>$H$29</f>
        <v>22</v>
      </c>
      <c r="Q2" s="659">
        <f>C18</f>
        <v>22</v>
      </c>
      <c r="R2" s="660">
        <f t="shared" ref="R2:R7" si="0">Q2/P2</f>
        <v>1</v>
      </c>
      <c r="S2" s="653"/>
      <c r="Y2" s="656"/>
      <c r="AA2" s="652" t="s">
        <v>531</v>
      </c>
      <c r="AB2" s="661">
        <f t="shared" ref="AB2:AE4" si="1">T4</f>
        <v>0</v>
      </c>
      <c r="AC2" s="661">
        <f t="shared" si="1"/>
        <v>45</v>
      </c>
      <c r="AD2" s="661">
        <f t="shared" si="1"/>
        <v>90</v>
      </c>
      <c r="AE2" s="661">
        <f t="shared" si="1"/>
        <v>-45</v>
      </c>
      <c r="AF2" s="652" t="s">
        <v>532</v>
      </c>
      <c r="AG2" s="656" t="s">
        <v>533</v>
      </c>
      <c r="AH2" s="652" t="s">
        <v>531</v>
      </c>
      <c r="AI2" s="661">
        <f t="shared" ref="AI2:AL4" si="2">AB2</f>
        <v>0</v>
      </c>
      <c r="AJ2" s="661">
        <f t="shared" si="2"/>
        <v>45</v>
      </c>
      <c r="AK2" s="661">
        <f t="shared" si="2"/>
        <v>90</v>
      </c>
      <c r="AL2" s="661">
        <f t="shared" si="2"/>
        <v>-45</v>
      </c>
    </row>
    <row r="3" spans="2:39">
      <c r="B3" s="1064" t="s">
        <v>292</v>
      </c>
      <c r="C3" s="866">
        <v>0</v>
      </c>
      <c r="D3" s="866">
        <v>45</v>
      </c>
      <c r="E3" s="866">
        <v>90</v>
      </c>
      <c r="F3" s="866">
        <v>-45</v>
      </c>
      <c r="G3" s="1404" t="s">
        <v>1570</v>
      </c>
      <c r="H3" s="1404" t="s">
        <v>534</v>
      </c>
      <c r="I3" s="1064" t="s">
        <v>54</v>
      </c>
      <c r="J3" s="663" t="s">
        <v>1572</v>
      </c>
      <c r="K3" s="652"/>
      <c r="L3" s="652"/>
      <c r="M3" s="652"/>
      <c r="O3" s="652" t="s">
        <v>1573</v>
      </c>
      <c r="P3" s="651">
        <f>$I$29</f>
        <v>5.0000000000000001E-3</v>
      </c>
      <c r="Q3" s="651">
        <f>D18</f>
        <v>5.0000000000000001E-3</v>
      </c>
      <c r="R3" s="660">
        <f t="shared" si="0"/>
        <v>1</v>
      </c>
      <c r="S3" s="652" t="s">
        <v>535</v>
      </c>
      <c r="T3" s="656" t="s">
        <v>1562</v>
      </c>
      <c r="U3" s="656" t="s">
        <v>1563</v>
      </c>
      <c r="V3" s="656" t="s">
        <v>1564</v>
      </c>
      <c r="W3" s="656" t="s">
        <v>1565</v>
      </c>
      <c r="X3" s="656"/>
      <c r="Y3" s="656"/>
      <c r="AA3" s="652" t="s">
        <v>536</v>
      </c>
      <c r="AB3" s="661">
        <f t="shared" si="1"/>
        <v>1</v>
      </c>
      <c r="AC3" s="661">
        <f t="shared" si="1"/>
        <v>1</v>
      </c>
      <c r="AD3" s="661">
        <f t="shared" si="1"/>
        <v>1</v>
      </c>
      <c r="AE3" s="661">
        <f t="shared" si="1"/>
        <v>1</v>
      </c>
      <c r="AF3" s="652">
        <f>X5</f>
        <v>2</v>
      </c>
      <c r="AG3" s="661">
        <f>Y5</f>
        <v>0</v>
      </c>
      <c r="AH3" s="652" t="s">
        <v>536</v>
      </c>
      <c r="AI3" s="661">
        <f t="shared" si="2"/>
        <v>1</v>
      </c>
      <c r="AJ3" s="661">
        <f t="shared" si="2"/>
        <v>1</v>
      </c>
      <c r="AK3" s="661">
        <f t="shared" si="2"/>
        <v>1</v>
      </c>
      <c r="AL3" s="661">
        <f t="shared" si="2"/>
        <v>1</v>
      </c>
    </row>
    <row r="4" spans="2:39">
      <c r="B4" s="1064" t="s">
        <v>1552</v>
      </c>
      <c r="C4" s="866">
        <v>1</v>
      </c>
      <c r="D4" s="866">
        <v>1</v>
      </c>
      <c r="E4" s="866">
        <v>1</v>
      </c>
      <c r="F4" s="866">
        <v>1</v>
      </c>
      <c r="G4" s="1405">
        <v>2</v>
      </c>
      <c r="H4" s="1125">
        <f>(C4+D4+E4+F4)*G4*2</f>
        <v>16</v>
      </c>
      <c r="I4" s="865">
        <f>H4*M9/1000</f>
        <v>2</v>
      </c>
      <c r="J4" s="662">
        <v>0</v>
      </c>
      <c r="K4" s="652" t="s">
        <v>1553</v>
      </c>
      <c r="L4" s="652" t="s">
        <v>1554</v>
      </c>
      <c r="M4" s="652" t="s">
        <v>1555</v>
      </c>
      <c r="N4" s="665" t="s">
        <v>1556</v>
      </c>
      <c r="O4" s="652" t="s">
        <v>1557</v>
      </c>
      <c r="P4" s="659">
        <f>$H$28</f>
        <v>122</v>
      </c>
      <c r="Q4" s="659">
        <f>P4</f>
        <v>122</v>
      </c>
      <c r="R4" s="660">
        <f t="shared" si="0"/>
        <v>1</v>
      </c>
      <c r="S4" s="652" t="s">
        <v>537</v>
      </c>
      <c r="T4" s="666">
        <f>C3+$J$4</f>
        <v>0</v>
      </c>
      <c r="U4" s="666">
        <f>D3+$J$4</f>
        <v>45</v>
      </c>
      <c r="V4" s="666">
        <f>E3+$J$4</f>
        <v>90</v>
      </c>
      <c r="W4" s="666">
        <f>F3+$J$4</f>
        <v>-45</v>
      </c>
      <c r="X4" s="656" t="s">
        <v>538</v>
      </c>
      <c r="Y4" s="656"/>
      <c r="AA4" s="652" t="s">
        <v>539</v>
      </c>
      <c r="AB4" s="661">
        <f t="shared" si="1"/>
        <v>0</v>
      </c>
      <c r="AC4" s="661">
        <f t="shared" si="1"/>
        <v>1.5707963267948966</v>
      </c>
      <c r="AD4" s="661">
        <f t="shared" si="1"/>
        <v>3.1415926535897931</v>
      </c>
      <c r="AE4" s="661">
        <f t="shared" si="1"/>
        <v>-1.5707963267948966</v>
      </c>
      <c r="AF4" s="652" t="s">
        <v>540</v>
      </c>
      <c r="AG4" s="655">
        <f>$X$12</f>
        <v>2E-3</v>
      </c>
      <c r="AH4" s="652" t="s">
        <v>539</v>
      </c>
      <c r="AI4" s="661">
        <f t="shared" si="2"/>
        <v>0</v>
      </c>
      <c r="AJ4" s="661">
        <f t="shared" si="2"/>
        <v>1.5707963267948966</v>
      </c>
      <c r="AK4" s="661">
        <f t="shared" si="2"/>
        <v>3.1415926535897931</v>
      </c>
      <c r="AL4" s="661">
        <f t="shared" si="2"/>
        <v>-1.5707963267948966</v>
      </c>
    </row>
    <row r="5" spans="2:39">
      <c r="C5" s="650">
        <f>C4/H4*2</f>
        <v>0.125</v>
      </c>
      <c r="D5" s="650">
        <v>0</v>
      </c>
      <c r="E5" s="650">
        <f>E4/H4*2</f>
        <v>0.125</v>
      </c>
      <c r="F5" s="664">
        <f>D15</f>
        <v>28</v>
      </c>
      <c r="G5" s="654">
        <f>SUM(C5:F5)</f>
        <v>28.25</v>
      </c>
      <c r="H5" s="664">
        <f>D15</f>
        <v>28</v>
      </c>
      <c r="I5" s="653" t="s">
        <v>1575</v>
      </c>
      <c r="J5" s="667">
        <v>1</v>
      </c>
      <c r="K5" s="652" t="s">
        <v>298</v>
      </c>
      <c r="L5" s="659">
        <f>$C$28</f>
        <v>162</v>
      </c>
      <c r="M5" s="659">
        <f>M12*M11</f>
        <v>162</v>
      </c>
      <c r="N5" s="660">
        <f>M5/L5</f>
        <v>1</v>
      </c>
      <c r="O5" s="652" t="s">
        <v>299</v>
      </c>
      <c r="P5" s="659">
        <f>$I$28</f>
        <v>160</v>
      </c>
      <c r="Q5" s="659">
        <f>P5-$I$31*(Q3-P3)</f>
        <v>160</v>
      </c>
      <c r="R5" s="660">
        <f t="shared" si="0"/>
        <v>1</v>
      </c>
      <c r="S5" s="652" t="s">
        <v>541</v>
      </c>
      <c r="T5" s="666">
        <f>$C$4</f>
        <v>1</v>
      </c>
      <c r="U5" s="666">
        <f>$D$4</f>
        <v>1</v>
      </c>
      <c r="V5" s="666">
        <f>$E$4</f>
        <v>1</v>
      </c>
      <c r="W5" s="666">
        <f>$F$4</f>
        <v>1</v>
      </c>
      <c r="X5" s="668">
        <f>G4</f>
        <v>2</v>
      </c>
      <c r="Y5" s="661"/>
      <c r="AA5" s="652"/>
      <c r="AB5" s="655"/>
      <c r="AC5" s="655"/>
      <c r="AD5" s="655"/>
      <c r="AE5" s="655"/>
      <c r="AF5" s="656"/>
    </row>
    <row r="6" spans="2:39">
      <c r="B6" s="653" t="s">
        <v>300</v>
      </c>
      <c r="C6" s="669"/>
      <c r="D6" s="663" t="s">
        <v>542</v>
      </c>
      <c r="E6" s="658" t="s">
        <v>544</v>
      </c>
      <c r="F6" s="650" t="s">
        <v>2110</v>
      </c>
      <c r="G6" s="658" t="s">
        <v>545</v>
      </c>
      <c r="H6" s="658" t="s">
        <v>1292</v>
      </c>
      <c r="I6" s="670" t="s">
        <v>1293</v>
      </c>
      <c r="J6" s="670" t="s">
        <v>1294</v>
      </c>
      <c r="K6" s="652" t="s">
        <v>1579</v>
      </c>
      <c r="L6" s="664">
        <f>$D$28</f>
        <v>9</v>
      </c>
      <c r="M6" s="664">
        <f>(1+M15)/(1/M16+M15/M13)</f>
        <v>9</v>
      </c>
      <c r="N6" s="660">
        <f>M6/L6</f>
        <v>1</v>
      </c>
      <c r="O6" s="652" t="s">
        <v>1580</v>
      </c>
      <c r="P6" s="654">
        <f>(P5-P2)/(P5-P2)</f>
        <v>1</v>
      </c>
      <c r="Q6" s="654">
        <f>(Q5-Q2)/(Q5-P2)</f>
        <v>1</v>
      </c>
      <c r="R6" s="660">
        <f t="shared" si="0"/>
        <v>1</v>
      </c>
      <c r="S6" s="652" t="s">
        <v>1295</v>
      </c>
      <c r="T6" s="660">
        <f>T4*PI()/90</f>
        <v>0</v>
      </c>
      <c r="U6" s="660">
        <f>U4*PI()/90</f>
        <v>1.5707963267948966</v>
      </c>
      <c r="V6" s="660">
        <f>V4*PI()/90</f>
        <v>3.1415926535897931</v>
      </c>
      <c r="W6" s="660">
        <f>W4*PI()/90</f>
        <v>-1.5707963267948966</v>
      </c>
      <c r="X6" s="656" t="s">
        <v>1296</v>
      </c>
      <c r="Y6" s="669"/>
      <c r="Z6" s="652"/>
      <c r="AA6" s="653" t="s">
        <v>1297</v>
      </c>
      <c r="AB6" s="656"/>
      <c r="AC6" s="656"/>
      <c r="AD6" s="655"/>
      <c r="AE6" s="655"/>
      <c r="AF6" s="655"/>
      <c r="AH6" s="653" t="s">
        <v>1298</v>
      </c>
      <c r="AM6" s="652" t="s">
        <v>1299</v>
      </c>
    </row>
    <row r="7" spans="2:39">
      <c r="B7" s="652">
        <v>1</v>
      </c>
      <c r="C7" s="662">
        <v>-1</v>
      </c>
      <c r="D7" s="654">
        <f>C7*$H$23</f>
        <v>-1.4720142628253292</v>
      </c>
      <c r="E7" s="654">
        <f>C7*$J$23</f>
        <v>-1.4720142628253292</v>
      </c>
      <c r="F7" s="664">
        <f>Y15</f>
        <v>68.108183856502251</v>
      </c>
      <c r="G7" s="664">
        <f>X23</f>
        <v>61.136273341645875</v>
      </c>
      <c r="H7" s="671">
        <f>$X$62/$G$7</f>
        <v>0.91031671321891183</v>
      </c>
      <c r="I7" s="651">
        <f t="shared" ref="I7:J9" si="3">X34</f>
        <v>1.6094949494949489</v>
      </c>
      <c r="J7" s="654">
        <f t="shared" si="3"/>
        <v>4.242424242424242E-2</v>
      </c>
      <c r="K7" s="652" t="s">
        <v>259</v>
      </c>
      <c r="L7" s="664">
        <f>$E$28</f>
        <v>0.4</v>
      </c>
      <c r="M7" s="664">
        <f>L7</f>
        <v>0.4</v>
      </c>
      <c r="N7" s="660">
        <f>M7/L7</f>
        <v>1</v>
      </c>
      <c r="O7" s="652" t="s">
        <v>260</v>
      </c>
      <c r="P7" s="659">
        <f>P2-P4</f>
        <v>-100</v>
      </c>
      <c r="Q7" s="659">
        <f>Q2-Q4</f>
        <v>-100</v>
      </c>
      <c r="R7" s="660">
        <f t="shared" si="0"/>
        <v>1</v>
      </c>
      <c r="S7" s="652" t="s">
        <v>1300</v>
      </c>
      <c r="T7" s="660">
        <f>2*T6</f>
        <v>0</v>
      </c>
      <c r="U7" s="660">
        <f>2*U6</f>
        <v>3.1415926535897931</v>
      </c>
      <c r="V7" s="660">
        <f>2*V6</f>
        <v>6.2831853071795862</v>
      </c>
      <c r="W7" s="660">
        <f>2*W6</f>
        <v>-3.1415926535897931</v>
      </c>
      <c r="X7" s="668">
        <f>H4/X5/2</f>
        <v>4</v>
      </c>
      <c r="Y7" s="1160" t="s">
        <v>1863</v>
      </c>
      <c r="Z7" s="867">
        <v>0.16800000000000001</v>
      </c>
      <c r="AA7" s="652"/>
      <c r="AB7" s="656" t="s">
        <v>1301</v>
      </c>
      <c r="AC7" s="656"/>
      <c r="AD7" s="672" t="s">
        <v>1302</v>
      </c>
      <c r="AE7" s="650" t="s">
        <v>1922</v>
      </c>
      <c r="AF7" s="656" t="s">
        <v>1303</v>
      </c>
      <c r="AG7" s="656" t="s">
        <v>1304</v>
      </c>
      <c r="AH7" s="652" t="s">
        <v>1305</v>
      </c>
      <c r="AI7" s="651">
        <f t="shared" ref="AI7:AL9" si="4">AB13/1000</f>
        <v>-8.1784507407879781E-3</v>
      </c>
      <c r="AJ7" s="651">
        <f t="shared" si="4"/>
        <v>-2.7808953734879665E-3</v>
      </c>
      <c r="AK7" s="651">
        <f t="shared" si="4"/>
        <v>2.6166599938120465E-3</v>
      </c>
      <c r="AL7" s="651">
        <f t="shared" si="4"/>
        <v>-2.7808953734879665E-3</v>
      </c>
      <c r="AM7" s="651">
        <f>($U$37+$U$38)/2</f>
        <v>5.1171717171717197E-5</v>
      </c>
    </row>
    <row r="8" spans="2:39">
      <c r="B8" s="652">
        <v>2</v>
      </c>
      <c r="C8" s="662">
        <v>0</v>
      </c>
      <c r="D8" s="654">
        <f>C8*$H$23</f>
        <v>0</v>
      </c>
      <c r="E8" s="654">
        <f>C8*$J$23</f>
        <v>0</v>
      </c>
      <c r="F8" s="664">
        <f>Y16</f>
        <v>68.108183856502237</v>
      </c>
      <c r="G8" s="664">
        <f>X24</f>
        <v>61.136273341645861</v>
      </c>
      <c r="H8" s="671">
        <f>$X$63/$G$8</f>
        <v>0.91031671321891172</v>
      </c>
      <c r="I8" s="664">
        <f t="shared" si="3"/>
        <v>1.6094949494949498</v>
      </c>
      <c r="J8" s="654">
        <f t="shared" si="3"/>
        <v>4.2424242424242434E-2</v>
      </c>
      <c r="K8" s="652" t="s">
        <v>261</v>
      </c>
      <c r="L8" s="664">
        <f>$F$28</f>
        <v>5</v>
      </c>
      <c r="M8" s="664">
        <f>(1+M18)/(1/M19+M18*2.7/M13)</f>
        <v>5</v>
      </c>
      <c r="N8" s="660">
        <f>M8/L8</f>
        <v>1</v>
      </c>
      <c r="O8" s="652"/>
      <c r="P8" s="654"/>
      <c r="Q8" s="654"/>
      <c r="R8" s="654"/>
      <c r="T8" s="673"/>
      <c r="U8" s="673"/>
      <c r="V8" s="673"/>
      <c r="W8" s="674"/>
      <c r="X8" s="656"/>
      <c r="Y8" s="1160" t="s">
        <v>2060</v>
      </c>
      <c r="Z8" s="867">
        <v>1</v>
      </c>
      <c r="AA8" s="652">
        <v>1</v>
      </c>
      <c r="AB8" s="654">
        <f>C7</f>
        <v>-1</v>
      </c>
      <c r="AC8" s="654"/>
      <c r="AD8" s="664">
        <f>AB8*T23+AB9*T25+AB10*T27</f>
        <v>-8.1784507407879783</v>
      </c>
      <c r="AE8" s="664">
        <f>Q19/M6</f>
        <v>6.2222222222222223</v>
      </c>
      <c r="AF8" s="665" t="s">
        <v>1306</v>
      </c>
      <c r="AG8" s="654">
        <f>(AD8+AD9)/2</f>
        <v>-2.780895373487966</v>
      </c>
      <c r="AH8" s="652" t="s">
        <v>1307</v>
      </c>
      <c r="AI8" s="651">
        <f t="shared" si="4"/>
        <v>2.6166599938120465E-3</v>
      </c>
      <c r="AJ8" s="651">
        <f t="shared" si="4"/>
        <v>-2.7808953734879656E-3</v>
      </c>
      <c r="AK8" s="651">
        <f t="shared" si="4"/>
        <v>-8.1784507407879781E-3</v>
      </c>
      <c r="AL8" s="651">
        <f t="shared" si="4"/>
        <v>-2.7808953734879656E-3</v>
      </c>
      <c r="AM8" s="651">
        <f>($U$37-$U$38)/2</f>
        <v>0</v>
      </c>
    </row>
    <row r="9" spans="2:39">
      <c r="B9" s="652">
        <v>6</v>
      </c>
      <c r="C9" s="662">
        <v>0</v>
      </c>
      <c r="D9" s="654">
        <f>C9*$H$23</f>
        <v>0</v>
      </c>
      <c r="E9" s="654">
        <f>C9*$J$23</f>
        <v>0</v>
      </c>
      <c r="F9" s="664">
        <f>Y18</f>
        <v>23.158632286995513</v>
      </c>
      <c r="G9" s="664">
        <f>X26</f>
        <v>23.158632286995513</v>
      </c>
      <c r="H9" s="671">
        <f>$X$65/$G$9</f>
        <v>0.90852786335087499</v>
      </c>
      <c r="I9" s="664">
        <f t="shared" si="3"/>
        <v>-2.6654710506332225E-16</v>
      </c>
      <c r="J9" s="654">
        <f t="shared" si="3"/>
        <v>-7.1720637839859653E-18</v>
      </c>
      <c r="K9" s="652" t="s">
        <v>262</v>
      </c>
      <c r="L9" s="659">
        <f>$C$30</f>
        <v>125</v>
      </c>
      <c r="M9" s="659">
        <f>L9/N11</f>
        <v>125</v>
      </c>
      <c r="N9" s="660">
        <f>M9/L9</f>
        <v>1</v>
      </c>
      <c r="O9" s="653" t="s">
        <v>263</v>
      </c>
      <c r="P9" s="654"/>
      <c r="Q9" s="654"/>
      <c r="R9" s="654"/>
      <c r="S9" s="652" t="s">
        <v>1308</v>
      </c>
      <c r="T9" s="660">
        <v>1</v>
      </c>
      <c r="U9" s="660">
        <f>T10</f>
        <v>0.75</v>
      </c>
      <c r="V9" s="660">
        <f>U10</f>
        <v>0.5</v>
      </c>
      <c r="W9" s="660">
        <f>V10</f>
        <v>0.25</v>
      </c>
      <c r="X9" s="673"/>
      <c r="Y9" s="1160" t="s">
        <v>2016</v>
      </c>
      <c r="Z9" s="866">
        <v>2.4249999999999998</v>
      </c>
      <c r="AA9" s="652">
        <v>2</v>
      </c>
      <c r="AB9" s="654">
        <f>C8</f>
        <v>0</v>
      </c>
      <c r="AC9" s="654"/>
      <c r="AD9" s="664">
        <f>AB8*T25+AB9*T24+AB10*T28</f>
        <v>2.6166599938120463</v>
      </c>
      <c r="AE9" s="664">
        <f>Q18/M5</f>
        <v>10.222222222222221</v>
      </c>
      <c r="AF9" s="665" t="s">
        <v>1309</v>
      </c>
      <c r="AG9" s="654">
        <f>(AD8-AD9)/2</f>
        <v>-5.3975553673000123</v>
      </c>
      <c r="AH9" s="652" t="s">
        <v>1310</v>
      </c>
      <c r="AI9" s="651">
        <f t="shared" si="4"/>
        <v>-2.0070796145431913E-19</v>
      </c>
      <c r="AJ9" s="651">
        <f t="shared" si="4"/>
        <v>1.0795110734600025E-2</v>
      </c>
      <c r="AK9" s="651">
        <f t="shared" si="4"/>
        <v>1.5232692851605869E-18</v>
      </c>
      <c r="AL9" s="651">
        <f t="shared" si="4"/>
        <v>-1.0795110734600025E-2</v>
      </c>
      <c r="AM9" s="651">
        <f>$U$39/2</f>
        <v>-4.6028042067988012E-21</v>
      </c>
    </row>
    <row r="10" spans="2:39">
      <c r="B10" s="1156"/>
      <c r="C10" s="675"/>
      <c r="D10" s="654"/>
      <c r="E10" s="659"/>
      <c r="G10" s="651"/>
      <c r="H10" s="671"/>
      <c r="I10" s="651"/>
      <c r="J10" s="651"/>
      <c r="K10" s="653" t="s">
        <v>264</v>
      </c>
      <c r="L10" s="654"/>
      <c r="M10" s="654"/>
      <c r="O10" s="652" t="s">
        <v>265</v>
      </c>
      <c r="P10" s="654">
        <f>$B$31</f>
        <v>0.02</v>
      </c>
      <c r="Q10" s="654">
        <f>P10</f>
        <v>0.02</v>
      </c>
      <c r="R10" s="654">
        <f>Q10/P10</f>
        <v>1</v>
      </c>
      <c r="S10" s="652" t="s">
        <v>1311</v>
      </c>
      <c r="T10" s="660">
        <f>T9-T5/$X$7</f>
        <v>0.75</v>
      </c>
      <c r="U10" s="660">
        <f>U9-U5/$X$7</f>
        <v>0.5</v>
      </c>
      <c r="V10" s="660">
        <f>V9-V5/$X$7</f>
        <v>0.25</v>
      </c>
      <c r="W10" s="660">
        <f>W9-W5/$X$7</f>
        <v>0</v>
      </c>
      <c r="Y10" s="651">
        <f>(2*Y18+Y17)/Y15</f>
        <v>0.99999999999999978</v>
      </c>
      <c r="Z10" s="655"/>
      <c r="AA10" s="652">
        <v>6</v>
      </c>
      <c r="AB10" s="654">
        <f>C9</f>
        <v>0</v>
      </c>
      <c r="AC10" s="654"/>
      <c r="AD10" s="664">
        <f>AB8*T27+AB9*T28+AB10*T26</f>
        <v>-2.0070796145431912E-16</v>
      </c>
      <c r="AE10" s="664"/>
      <c r="AF10" s="665" t="s">
        <v>1312</v>
      </c>
      <c r="AG10" s="654">
        <f>AD10/2</f>
        <v>-1.0035398072715956E-16</v>
      </c>
      <c r="AH10" s="652"/>
      <c r="AI10" s="676"/>
      <c r="AJ10" s="676"/>
      <c r="AK10" s="676"/>
      <c r="AL10" s="676"/>
      <c r="AM10" s="676"/>
    </row>
    <row r="11" spans="2:39">
      <c r="C11" s="677" t="s">
        <v>1313</v>
      </c>
      <c r="D11" s="670" t="s">
        <v>1314</v>
      </c>
      <c r="E11" s="658" t="s">
        <v>1316</v>
      </c>
      <c r="G11" s="658" t="s">
        <v>1317</v>
      </c>
      <c r="H11" s="658" t="s">
        <v>1318</v>
      </c>
      <c r="I11" s="670" t="s">
        <v>1319</v>
      </c>
      <c r="J11" s="670" t="s">
        <v>1320</v>
      </c>
      <c r="K11" s="652" t="s">
        <v>1532</v>
      </c>
      <c r="L11" s="654">
        <f>$D$30</f>
        <v>0.64</v>
      </c>
      <c r="M11" s="654">
        <f>$E$18</f>
        <v>0.64</v>
      </c>
      <c r="N11" s="660">
        <f t="shared" ref="N11:N19" si="5">M11/L11</f>
        <v>1</v>
      </c>
      <c r="O11" s="652" t="s">
        <v>1533</v>
      </c>
      <c r="P11" s="654">
        <f>$C$31</f>
        <v>22.5</v>
      </c>
      <c r="Q11" s="654">
        <f>P11*(1-M11)/(1-L11)</f>
        <v>22.5</v>
      </c>
      <c r="R11" s="654">
        <f>Q11/P11</f>
        <v>1</v>
      </c>
      <c r="S11" s="652" t="s">
        <v>1321</v>
      </c>
      <c r="T11" s="660">
        <f>T9-T10</f>
        <v>0.25</v>
      </c>
      <c r="U11" s="660">
        <f>U9-U10</f>
        <v>0.25</v>
      </c>
      <c r="V11" s="660">
        <f>V9-V10</f>
        <v>0.25</v>
      </c>
      <c r="W11" s="660">
        <f>W9-W10</f>
        <v>0.25</v>
      </c>
      <c r="X11" s="656" t="s">
        <v>1322</v>
      </c>
      <c r="Y11" s="656"/>
      <c r="Z11" s="655"/>
      <c r="AB11" s="654"/>
      <c r="AC11" s="654"/>
      <c r="AD11" s="654"/>
      <c r="AE11" s="654"/>
      <c r="AF11" s="678" t="s">
        <v>1917</v>
      </c>
      <c r="AG11" s="679">
        <f>(AG9^2+AG10^2)^0.5</f>
        <v>5.3975553673000123</v>
      </c>
      <c r="AH11" s="652"/>
      <c r="AI11" s="676"/>
      <c r="AJ11" s="676"/>
      <c r="AK11" s="676"/>
      <c r="AL11" s="676"/>
      <c r="AM11" s="676"/>
    </row>
    <row r="12" spans="2:39">
      <c r="B12" s="652">
        <v>1</v>
      </c>
      <c r="C12" s="680">
        <f>C7/$I$4*1000</f>
        <v>-500</v>
      </c>
      <c r="D12" s="681">
        <f>C12*$H$25</f>
        <v>-553.18578347256835</v>
      </c>
      <c r="E12" s="682">
        <f>C12*$J$23</f>
        <v>-736.00713141266465</v>
      </c>
      <c r="G12" s="666">
        <f>AD8</f>
        <v>-8.1784507407879783</v>
      </c>
      <c r="H12" s="715">
        <f>G12*$H$23</f>
        <v>-12.038796138254284</v>
      </c>
      <c r="I12" s="664">
        <f>IF($J$24&gt;$J$25,G12,IF(H24&gt;H23,AD47,G12))*$J$24</f>
        <v>-12.038796138254284</v>
      </c>
      <c r="J12" s="666">
        <f>IF(H23&lt;H24,AD47,G12)*$J$23</f>
        <v>-12.038796138254284</v>
      </c>
      <c r="K12" s="652" t="s">
        <v>1534</v>
      </c>
      <c r="L12" s="659">
        <f>L5/L11</f>
        <v>253.125</v>
      </c>
      <c r="M12" s="659">
        <f>$G$18*Q6^$G$31</f>
        <v>253.125</v>
      </c>
      <c r="N12" s="660">
        <f t="shared" si="5"/>
        <v>1</v>
      </c>
      <c r="O12" s="650" t="s">
        <v>1535</v>
      </c>
      <c r="P12" s="654"/>
      <c r="Q12" s="654"/>
      <c r="R12" s="654"/>
      <c r="S12" s="652"/>
      <c r="T12" s="673"/>
      <c r="U12" s="673"/>
      <c r="V12" s="673"/>
      <c r="W12" s="671"/>
      <c r="X12" s="651">
        <f>I4/1000</f>
        <v>2E-3</v>
      </c>
      <c r="Y12" s="654">
        <f>Y16/Y15/0.0552</f>
        <v>18.115942028985504</v>
      </c>
      <c r="Z12" s="666">
        <f>Y18/Y15/0.0338</f>
        <v>10.059975129472111</v>
      </c>
      <c r="AA12" s="653" t="s">
        <v>1323</v>
      </c>
      <c r="AB12" s="654"/>
      <c r="AC12" s="654"/>
      <c r="AD12" s="654"/>
      <c r="AE12" s="654"/>
      <c r="AF12" s="678" t="s">
        <v>1918</v>
      </c>
      <c r="AG12" s="679">
        <f>AG8+AG11</f>
        <v>2.6166599938120463</v>
      </c>
      <c r="AH12" s="652"/>
      <c r="AI12" s="676"/>
      <c r="AJ12" s="676"/>
      <c r="AK12" s="676"/>
      <c r="AL12" s="676"/>
      <c r="AM12" s="676"/>
    </row>
    <row r="13" spans="2:39">
      <c r="B13" s="652">
        <v>2</v>
      </c>
      <c r="C13" s="680">
        <f>C8/$I$4*1000</f>
        <v>0</v>
      </c>
      <c r="D13" s="681">
        <f>C13*$H$25</f>
        <v>0</v>
      </c>
      <c r="E13" s="682">
        <f>C13*$J$23</f>
        <v>0</v>
      </c>
      <c r="G13" s="666">
        <f>AD9</f>
        <v>2.6166599938120463</v>
      </c>
      <c r="H13" s="715">
        <f>G13*$H$23</f>
        <v>3.8517608318557697</v>
      </c>
      <c r="I13" s="664">
        <f>IF($J$24&gt;$J$25,G13,IF(H24&gt;H23,AD48,G13))*$J$24</f>
        <v>3.8517608318557697</v>
      </c>
      <c r="J13" s="666">
        <f>IF(H23&lt;H24,AD48,G13)*$J$23</f>
        <v>3.8517608318557697</v>
      </c>
      <c r="K13" s="652" t="s">
        <v>1536</v>
      </c>
      <c r="L13" s="654">
        <f>$G$28</f>
        <v>3.4</v>
      </c>
      <c r="M13" s="654">
        <f>$F$18*Q6^$G$30</f>
        <v>3.4</v>
      </c>
      <c r="N13" s="660">
        <f t="shared" si="5"/>
        <v>1</v>
      </c>
      <c r="O13" s="652" t="s">
        <v>1537</v>
      </c>
      <c r="P13" s="654">
        <f>$D$31</f>
        <v>0</v>
      </c>
      <c r="Q13" s="654">
        <f>P13</f>
        <v>0</v>
      </c>
      <c r="R13" s="654">
        <v>1</v>
      </c>
      <c r="S13" s="652"/>
      <c r="T13" s="673"/>
      <c r="U13" s="673"/>
      <c r="V13" s="673"/>
      <c r="W13" s="671"/>
      <c r="Y13" s="683">
        <f>Y16/Y15</f>
        <v>0.99999999999999978</v>
      </c>
      <c r="Z13" s="660">
        <f>Y18/Y15</f>
        <v>0.3400271593761573</v>
      </c>
      <c r="AA13" s="652" t="s">
        <v>1324</v>
      </c>
      <c r="AB13" s="654">
        <f>$AG$8+$AG$9*COS(AB4)+$AG$10*SIN(AB4)</f>
        <v>-8.1784507407879783</v>
      </c>
      <c r="AC13" s="654">
        <f>$AG$8+$AG$9*COS(AC4)+$AG$10*SIN(AC4)</f>
        <v>-2.7808953734879664</v>
      </c>
      <c r="AD13" s="654">
        <f>$AG$8+$AG$9*COS(AD4)+$AG$10*SIN(AD4)</f>
        <v>2.6166599938120463</v>
      </c>
      <c r="AE13" s="654">
        <f>$AG$8+$AG$9*COS(AE4)+$AG$10*SIN(AE4)</f>
        <v>-2.7808953734879664</v>
      </c>
      <c r="AF13" s="678" t="s">
        <v>1919</v>
      </c>
      <c r="AG13" s="679">
        <f>AG8-AG11</f>
        <v>-8.1784507407879783</v>
      </c>
      <c r="AH13" s="653"/>
      <c r="AI13" s="669"/>
      <c r="AJ13" s="669"/>
      <c r="AK13" s="669"/>
      <c r="AL13" s="669"/>
      <c r="AM13" s="676"/>
    </row>
    <row r="14" spans="2:39">
      <c r="B14" s="652">
        <v>6</v>
      </c>
      <c r="C14" s="684">
        <f>C9/$I$4*1000</f>
        <v>0</v>
      </c>
      <c r="D14" s="681">
        <f>C14*$H$25</f>
        <v>0</v>
      </c>
      <c r="E14" s="666">
        <f>C14*$J$23</f>
        <v>0</v>
      </c>
      <c r="G14" s="660">
        <f>AD10</f>
        <v>-2.0070796145431912E-16</v>
      </c>
      <c r="H14" s="715">
        <f>G14*$H$23</f>
        <v>-2.9544498192335418E-16</v>
      </c>
      <c r="I14" s="664">
        <f>IF($J$24&gt;$J$25,G14,IF(H24&gt;H23,AD49,G14))*$J$24</f>
        <v>-2.9544498192335418E-16</v>
      </c>
      <c r="J14" s="666">
        <f>IF(H23&lt;H24,AD49,G14)*$J$23</f>
        <v>-2.9544498192335418E-16</v>
      </c>
      <c r="K14" s="652" t="s">
        <v>1538</v>
      </c>
      <c r="L14" s="654">
        <f>$F$30</f>
        <v>0.52</v>
      </c>
      <c r="M14" s="654">
        <f>L14*Q6^$H$30</f>
        <v>0.52</v>
      </c>
      <c r="N14" s="660">
        <f t="shared" si="5"/>
        <v>1</v>
      </c>
      <c r="O14" s="652" t="s">
        <v>1539</v>
      </c>
      <c r="P14" s="654">
        <f>$E$31</f>
        <v>0.6</v>
      </c>
      <c r="Q14" s="654">
        <f>P14*(1-M11)/(1-L11)</f>
        <v>0.6</v>
      </c>
      <c r="R14" s="654">
        <f>Q14/P14</f>
        <v>1</v>
      </c>
      <c r="S14" s="652" t="s">
        <v>1325</v>
      </c>
      <c r="T14" s="656" t="s">
        <v>1326</v>
      </c>
      <c r="U14" s="656" t="s">
        <v>1327</v>
      </c>
      <c r="V14" s="656" t="s">
        <v>1328</v>
      </c>
      <c r="W14" s="656" t="s">
        <v>1329</v>
      </c>
      <c r="X14" s="656" t="s">
        <v>1330</v>
      </c>
      <c r="Y14" s="656" t="s">
        <v>1331</v>
      </c>
      <c r="Z14" s="660" t="s">
        <v>1988</v>
      </c>
      <c r="AA14" s="652" t="s">
        <v>1332</v>
      </c>
      <c r="AB14" s="654">
        <f>2*$AG$8-AB13</f>
        <v>2.6166599938120463</v>
      </c>
      <c r="AC14" s="654">
        <f>2*$AG$8-AC13</f>
        <v>-2.7808953734879656</v>
      </c>
      <c r="AD14" s="654">
        <f>2*$AG$8-AD13</f>
        <v>-8.1784507407879783</v>
      </c>
      <c r="AE14" s="654">
        <f>2*$AG$8-AE13</f>
        <v>-2.7808953734879656</v>
      </c>
      <c r="AF14" s="678" t="s">
        <v>94</v>
      </c>
      <c r="AG14" s="679">
        <f>(ATAN(AD10/(AD8-AD9)))/2*180/3.1415</f>
        <v>5.3265124160480544E-16</v>
      </c>
      <c r="AH14" s="652" t="s">
        <v>1333</v>
      </c>
      <c r="AI14" s="651">
        <f>$Q$33*AI7^2+2*$Q$35*AI7*AI8+$Q$34*AI8^2+$Q$36*AI9^2</f>
        <v>0.25207100034927404</v>
      </c>
      <c r="AJ14" s="651">
        <f>$Q$33*AJ7^2+2*$Q$35*AJ7*AJ8+$Q$34*AJ8^2+$Q$36*AJ9^2</f>
        <v>0.41499144769153062</v>
      </c>
      <c r="AK14" s="651">
        <f>$Q$33*AK7^2+2*$Q$35*AK7*AK8+$Q$34*AK8^2+$Q$36*AK9^2</f>
        <v>0.6372631773289501</v>
      </c>
      <c r="AL14" s="651">
        <f>$Q$33*AL7^2+2*$Q$35*AL7*AL8+$Q$34*AL8^2+$Q$36*AL9^2</f>
        <v>0.41499144769153062</v>
      </c>
      <c r="AM14" s="676"/>
    </row>
    <row r="15" spans="2:39">
      <c r="B15" s="685" t="s">
        <v>1544</v>
      </c>
      <c r="C15" s="686" t="s">
        <v>1545</v>
      </c>
      <c r="D15" s="687">
        <v>28</v>
      </c>
      <c r="E15" s="688" t="s">
        <v>1546</v>
      </c>
      <c r="F15" s="1230">
        <f>alpha_1</f>
        <v>1.6094949494949489</v>
      </c>
      <c r="G15" s="1229">
        <f>alpha_2</f>
        <v>1.6094949494949498</v>
      </c>
      <c r="H15" s="1141">
        <f>alpha_6</f>
        <v>-2.6654710506332225E-16</v>
      </c>
      <c r="I15" s="765">
        <f>F15+G15+2*H15</f>
        <v>3.2189898989898982</v>
      </c>
      <c r="J15" s="659">
        <f>Y15/$Y$21</f>
        <v>0.37312676575359294</v>
      </c>
      <c r="K15" s="652" t="s">
        <v>1547</v>
      </c>
      <c r="L15" s="654">
        <f>L14*(1-L11)/L11</f>
        <v>0.29249999999999998</v>
      </c>
      <c r="M15" s="654">
        <f>M14*(1-M11)/M11</f>
        <v>0.29249999999999998</v>
      </c>
      <c r="N15" s="660">
        <f t="shared" si="5"/>
        <v>1</v>
      </c>
      <c r="P15" s="654"/>
      <c r="Q15" s="654"/>
      <c r="R15" s="654"/>
      <c r="S15" s="652">
        <v>11</v>
      </c>
      <c r="T15" s="664">
        <f>$M$27+$M$28*COS(T6)+$M$29*COS(T7)</f>
        <v>163.45291479820628</v>
      </c>
      <c r="U15" s="664">
        <f>$M$27+$M$28*COS(U6)+$M$29*COS(U7)</f>
        <v>49.949551569506724</v>
      </c>
      <c r="V15" s="664">
        <f>$M$27+$M$28*COS(V6)+$M$29*COS(V7)</f>
        <v>9.0807174887892366</v>
      </c>
      <c r="W15" s="664">
        <f>$M$27+$M$28*COS(W6)+$M$29*COS(W7)</f>
        <v>49.949551569506724</v>
      </c>
      <c r="X15" s="654">
        <f t="shared" ref="X15:X20" si="6">($T$11*T15+$U$11*U15+$V$11*V15+$W$11*W15)*$X$12</f>
        <v>0.13621636771300449</v>
      </c>
      <c r="Y15" s="712">
        <f t="shared" ref="Y15:Y20" si="7">X15/$X$12</f>
        <v>68.108183856502251</v>
      </c>
      <c r="Z15" s="671">
        <f>Y15/$Y$21</f>
        <v>0.37312676575359294</v>
      </c>
      <c r="AA15" s="652" t="s">
        <v>1334</v>
      </c>
      <c r="AB15" s="654">
        <f>2*($AG$10*COS(AB4)-$AG$9*SIN(AB4))</f>
        <v>-2.0070796145431912E-16</v>
      </c>
      <c r="AC15" s="654">
        <f>2*($AG$10*COS(AC4)-$AG$9*SIN(AC4))</f>
        <v>10.795110734600025</v>
      </c>
      <c r="AD15" s="654">
        <f>2*($AG$10*COS(AD4)-$AG$9*SIN(AD4))</f>
        <v>1.523269285160587E-15</v>
      </c>
      <c r="AE15" s="654">
        <f>2*($AG$10*COS(AE4)-$AG$9*SIN(AE4))</f>
        <v>-10.795110734600025</v>
      </c>
      <c r="AF15" s="689" t="s">
        <v>1920</v>
      </c>
      <c r="AG15" s="679">
        <f>IF(AG12&gt;0,AG12/AE8,-AG12/AE9)</f>
        <v>0.42053464186265027</v>
      </c>
      <c r="AH15" s="652" t="s">
        <v>1335</v>
      </c>
      <c r="AI15" s="651">
        <f>$Q$37*AI7+$Q$38*AI8</f>
        <v>0.38271839958113651</v>
      </c>
      <c r="AJ15" s="651">
        <f>$Q$37*AJ7+$Q$38*AJ8</f>
        <v>-0.23835309928728171</v>
      </c>
      <c r="AK15" s="651">
        <f>$Q$37*AK7+$Q$38*AK8</f>
        <v>-0.85942459815570005</v>
      </c>
      <c r="AL15" s="651">
        <f>$Q$37*AL7+$Q$38*AL8</f>
        <v>-0.23835309928728171</v>
      </c>
      <c r="AM15" s="676"/>
    </row>
    <row r="16" spans="2:39">
      <c r="B16" s="650">
        <f>E_6/I15</f>
        <v>7.1943786758270249</v>
      </c>
      <c r="C16" s="653" t="s">
        <v>1336</v>
      </c>
      <c r="D16" s="653" t="s">
        <v>174</v>
      </c>
      <c r="E16" s="670" t="s">
        <v>1338</v>
      </c>
      <c r="F16" s="653" t="s">
        <v>1339</v>
      </c>
      <c r="G16" s="652" t="s">
        <v>1881</v>
      </c>
      <c r="H16" s="653" t="s">
        <v>1341</v>
      </c>
      <c r="I16" s="653" t="s">
        <v>1342</v>
      </c>
      <c r="J16" s="653" t="s">
        <v>1343</v>
      </c>
      <c r="K16" s="652" t="s">
        <v>1548</v>
      </c>
      <c r="L16" s="654">
        <f>1/((1+L15)/L6-L15/L13)</f>
        <v>17.36662883087401</v>
      </c>
      <c r="M16" s="654">
        <f>L16*Q6^$G$31</f>
        <v>17.36662883087401</v>
      </c>
      <c r="N16" s="660">
        <f t="shared" si="5"/>
        <v>1</v>
      </c>
      <c r="O16" s="650" t="s">
        <v>1549</v>
      </c>
      <c r="P16" s="654"/>
      <c r="Q16" s="654"/>
      <c r="R16" s="654"/>
      <c r="S16" s="652">
        <v>22</v>
      </c>
      <c r="T16" s="664">
        <f>T15-2*$M$28*COS(T6)</f>
        <v>9.0807174887892472</v>
      </c>
      <c r="U16" s="664">
        <f>U15-2*$M$28*COS(U6)</f>
        <v>49.949551569506717</v>
      </c>
      <c r="V16" s="664">
        <f>V15-2*$M$28*COS(V6)</f>
        <v>163.45291479820628</v>
      </c>
      <c r="W16" s="664">
        <f>W15-2*$M$28*COS(W6)</f>
        <v>49.949551569506717</v>
      </c>
      <c r="X16" s="654">
        <f t="shared" si="6"/>
        <v>0.13621636771300447</v>
      </c>
      <c r="Y16" s="712">
        <f t="shared" si="7"/>
        <v>68.108183856502237</v>
      </c>
      <c r="Z16" s="671">
        <f t="shared" ref="Z16:Z21" si="8">Y16/$Y$21</f>
        <v>0.37312676575359288</v>
      </c>
      <c r="AA16" s="657">
        <f>Z16+Z15</f>
        <v>0.74625353150718587</v>
      </c>
      <c r="AB16" s="651"/>
      <c r="AC16" s="651"/>
      <c r="AD16" s="651"/>
      <c r="AE16" s="651"/>
      <c r="AF16" s="689" t="s">
        <v>1921</v>
      </c>
      <c r="AG16" s="679">
        <f>IF(AG13&gt;0,AG13/AE8,-AG13/AE9)</f>
        <v>0.80006583333795445</v>
      </c>
      <c r="AH16" s="652" t="s">
        <v>1344</v>
      </c>
      <c r="AI16" s="651">
        <f>AI15/2/AI14</f>
        <v>0.75914801593764281</v>
      </c>
      <c r="AJ16" s="651">
        <f>AJ15/2/AJ14</f>
        <v>-0.28717832694283996</v>
      </c>
      <c r="AK16" s="651">
        <f>AK15/2/AK14</f>
        <v>-0.67430900507850311</v>
      </c>
      <c r="AL16" s="651">
        <f>AL15/2/AL14</f>
        <v>-0.28717832694283996</v>
      </c>
      <c r="AM16" s="676"/>
    </row>
    <row r="17" spans="2:50">
      <c r="B17" s="653" t="s">
        <v>294</v>
      </c>
      <c r="C17" s="666">
        <f>P2</f>
        <v>22</v>
      </c>
      <c r="D17" s="671">
        <v>5.0000000000000001E-3</v>
      </c>
      <c r="E17" s="660">
        <f>L11</f>
        <v>0.64</v>
      </c>
      <c r="F17" s="660">
        <f>L13</f>
        <v>3.4</v>
      </c>
      <c r="G17" s="682">
        <f>L12</f>
        <v>253.125</v>
      </c>
      <c r="H17" s="690">
        <f>D29</f>
        <v>56</v>
      </c>
      <c r="I17" s="682">
        <f>P23</f>
        <v>5887.5</v>
      </c>
      <c r="J17" s="654">
        <f>B32</f>
        <v>0.15</v>
      </c>
      <c r="K17" s="652" t="s">
        <v>295</v>
      </c>
      <c r="L17" s="654">
        <f>$F$31</f>
        <v>0.32</v>
      </c>
      <c r="M17" s="654">
        <f>L17*Q6^$H$30</f>
        <v>0.32</v>
      </c>
      <c r="N17" s="660">
        <f t="shared" si="5"/>
        <v>1</v>
      </c>
      <c r="O17" s="652" t="s">
        <v>296</v>
      </c>
      <c r="P17" s="659">
        <f>$B$29</f>
        <v>3768</v>
      </c>
      <c r="Q17" s="659">
        <f>Q23*M11</f>
        <v>3768</v>
      </c>
      <c r="R17" s="654">
        <f t="shared" ref="R17:R24" si="9">Q17/P17</f>
        <v>1</v>
      </c>
      <c r="S17" s="652" t="s">
        <v>1345</v>
      </c>
      <c r="T17" s="664">
        <f>$M$30-$M$29*COS(T7)</f>
        <v>3.6322869955156953</v>
      </c>
      <c r="U17" s="664">
        <f>$M$30-$M$29*COS(U7)</f>
        <v>39.949551569506724</v>
      </c>
      <c r="V17" s="664">
        <f>$M$30-$M$29*COS(V7)</f>
        <v>3.6322869955156953</v>
      </c>
      <c r="W17" s="664">
        <f>$M$30-$M$29*COS(W7)</f>
        <v>39.949551569506724</v>
      </c>
      <c r="X17" s="654">
        <f t="shared" si="6"/>
        <v>4.3581838565022422E-2</v>
      </c>
      <c r="Y17" s="712">
        <f t="shared" si="7"/>
        <v>21.790919282511211</v>
      </c>
      <c r="Z17" s="671">
        <f t="shared" si="8"/>
        <v>0.11938029726077877</v>
      </c>
      <c r="AA17" s="652"/>
      <c r="AB17" s="654"/>
      <c r="AC17" s="654"/>
      <c r="AD17" s="654"/>
      <c r="AE17" s="654"/>
      <c r="AF17" s="691" t="s">
        <v>1947</v>
      </c>
      <c r="AG17" s="679">
        <f>1/(AG15^2+AG16^2)^0.5</f>
        <v>1.1063715669451366</v>
      </c>
      <c r="AH17" s="652"/>
      <c r="AI17" s="676"/>
      <c r="AJ17" s="676"/>
      <c r="AK17" s="676"/>
      <c r="AL17" s="676"/>
      <c r="AM17" s="676"/>
    </row>
    <row r="18" spans="2:50">
      <c r="B18" s="653" t="s">
        <v>297</v>
      </c>
      <c r="C18" s="692">
        <f>C17</f>
        <v>22</v>
      </c>
      <c r="D18" s="794">
        <v>5.0000000000000001E-3</v>
      </c>
      <c r="E18" s="693">
        <f>E17</f>
        <v>0.64</v>
      </c>
      <c r="F18" s="693">
        <v>3.4</v>
      </c>
      <c r="G18" s="694">
        <f>G17</f>
        <v>253.125</v>
      </c>
      <c r="H18" s="692">
        <f>H17</f>
        <v>56</v>
      </c>
      <c r="I18" s="695">
        <f>I17</f>
        <v>5887.5</v>
      </c>
      <c r="J18" s="693">
        <v>0.15</v>
      </c>
      <c r="K18" s="652" t="s">
        <v>301</v>
      </c>
      <c r="L18" s="654">
        <f>L17*(1-L11)/L11</f>
        <v>0.18</v>
      </c>
      <c r="M18" s="654">
        <f>M17*(1-M11)/M11</f>
        <v>0.18</v>
      </c>
      <c r="N18" s="660">
        <f t="shared" si="5"/>
        <v>1</v>
      </c>
      <c r="O18" s="652" t="s">
        <v>302</v>
      </c>
      <c r="P18" s="659">
        <f>$C$29</f>
        <v>1656</v>
      </c>
      <c r="Q18" s="659">
        <f>P18*R17*N8^F32</f>
        <v>1656</v>
      </c>
      <c r="R18" s="654">
        <f t="shared" si="9"/>
        <v>1</v>
      </c>
      <c r="S18" s="652">
        <v>66</v>
      </c>
      <c r="T18" s="664">
        <f>T17-$M$30+$M$31</f>
        <v>4.9999999999999964</v>
      </c>
      <c r="U18" s="664">
        <f>U17-$M$30+$M$31</f>
        <v>41.317264573991025</v>
      </c>
      <c r="V18" s="664">
        <f>V17-$M$30+$M$31</f>
        <v>4.9999999999999964</v>
      </c>
      <c r="W18" s="664">
        <f>W17-$M$30+$M$31</f>
        <v>41.317264573991025</v>
      </c>
      <c r="X18" s="654">
        <f t="shared" si="6"/>
        <v>4.6317264573991025E-2</v>
      </c>
      <c r="Y18" s="712">
        <f t="shared" si="7"/>
        <v>23.158632286995513</v>
      </c>
      <c r="Z18" s="671">
        <f t="shared" si="8"/>
        <v>0.12687323424640706</v>
      </c>
      <c r="AA18" s="652"/>
      <c r="AB18" s="651"/>
      <c r="AC18" s="651"/>
      <c r="AD18" s="651"/>
      <c r="AE18" s="651"/>
      <c r="AF18" s="676"/>
      <c r="AG18" s="676"/>
      <c r="AH18" s="652"/>
      <c r="AI18" s="676"/>
      <c r="AJ18" s="651"/>
      <c r="AK18" s="676"/>
      <c r="AL18" s="676"/>
      <c r="AM18" s="676"/>
    </row>
    <row r="19" spans="2:50">
      <c r="B19" s="663" t="s">
        <v>303</v>
      </c>
      <c r="C19" s="660">
        <f t="shared" ref="C19:J19" si="10">C18/C17</f>
        <v>1</v>
      </c>
      <c r="D19" s="660">
        <f t="shared" si="10"/>
        <v>1</v>
      </c>
      <c r="E19" s="660">
        <f t="shared" si="10"/>
        <v>1</v>
      </c>
      <c r="F19" s="660">
        <f t="shared" si="10"/>
        <v>1</v>
      </c>
      <c r="G19" s="660">
        <f t="shared" si="10"/>
        <v>1</v>
      </c>
      <c r="H19" s="660">
        <f t="shared" si="10"/>
        <v>1</v>
      </c>
      <c r="I19" s="654">
        <f t="shared" si="10"/>
        <v>1</v>
      </c>
      <c r="J19" s="654">
        <f t="shared" si="10"/>
        <v>1</v>
      </c>
      <c r="K19" s="652" t="s">
        <v>304</v>
      </c>
      <c r="L19" s="664">
        <f>1/((1+L18)/L8-L18*2.7/L13)</f>
        <v>10.745891276864731</v>
      </c>
      <c r="M19" s="664">
        <f>L19*Q6^$H$31</f>
        <v>10.745891276864731</v>
      </c>
      <c r="N19" s="660">
        <f t="shared" si="5"/>
        <v>1</v>
      </c>
      <c r="O19" s="652" t="s">
        <v>305</v>
      </c>
      <c r="P19" s="659">
        <f>$D$29</f>
        <v>56</v>
      </c>
      <c r="Q19" s="659">
        <f>P19*R24</f>
        <v>56</v>
      </c>
      <c r="R19" s="654">
        <f t="shared" si="9"/>
        <v>1</v>
      </c>
      <c r="S19" s="652" t="s">
        <v>1347</v>
      </c>
      <c r="T19" s="664">
        <f>$M$28*SIN(T6)/2+$M$29*SIN(T7)</f>
        <v>0</v>
      </c>
      <c r="U19" s="664">
        <f>$M$28*SIN(U6)/2+$M$29*SIN(U7)</f>
        <v>38.593049327354258</v>
      </c>
      <c r="V19" s="664">
        <f>$M$28*SIN(V6)/2+$M$29*SIN(V7)</f>
        <v>2.7881741742875495E-16</v>
      </c>
      <c r="W19" s="664">
        <f>$M$28*SIN(W6)/2+$M$29*SIN(W7)</f>
        <v>-38.593049327354258</v>
      </c>
      <c r="X19" s="654">
        <f t="shared" si="6"/>
        <v>0</v>
      </c>
      <c r="Y19" s="654">
        <f t="shared" si="7"/>
        <v>0</v>
      </c>
      <c r="Z19" s="671">
        <f t="shared" si="8"/>
        <v>0</v>
      </c>
      <c r="AA19" s="653" t="s">
        <v>1323</v>
      </c>
      <c r="AB19" s="676"/>
      <c r="AC19" s="676"/>
      <c r="AD19" s="676"/>
      <c r="AE19" s="676"/>
      <c r="AF19" s="676"/>
      <c r="AG19" s="676"/>
      <c r="AH19" s="652"/>
      <c r="AI19" s="676"/>
      <c r="AJ19" s="676"/>
      <c r="AK19" s="676"/>
      <c r="AL19" s="676"/>
      <c r="AM19" s="669" t="s">
        <v>1348</v>
      </c>
    </row>
    <row r="20" spans="2:50">
      <c r="B20" s="653" t="s">
        <v>1540</v>
      </c>
      <c r="C20" s="666">
        <f>C18-C17</f>
        <v>0</v>
      </c>
      <c r="D20" s="671">
        <f>D18-D17</f>
        <v>0</v>
      </c>
      <c r="E20" s="663" t="s">
        <v>1541</v>
      </c>
      <c r="F20" s="660">
        <f>M13</f>
        <v>3.4</v>
      </c>
      <c r="G20" s="682">
        <f>M12</f>
        <v>253.125</v>
      </c>
      <c r="H20" s="666">
        <f>Q24</f>
        <v>56</v>
      </c>
      <c r="I20" s="659">
        <f>Q23</f>
        <v>5887.5</v>
      </c>
      <c r="J20" s="650">
        <f>J15*F15</f>
        <v>0.60054564500179264</v>
      </c>
      <c r="L20" s="650">
        <f>L31/I15</f>
        <v>7.1943786758270249</v>
      </c>
      <c r="M20" s="654"/>
      <c r="O20" s="652" t="s">
        <v>1542</v>
      </c>
      <c r="P20" s="659">
        <f>$E$29</f>
        <v>150</v>
      </c>
      <c r="Q20" s="659">
        <f>P20*R24</f>
        <v>150</v>
      </c>
      <c r="R20" s="654">
        <f t="shared" si="9"/>
        <v>1</v>
      </c>
      <c r="S20" s="652" t="s">
        <v>1349</v>
      </c>
      <c r="T20" s="664">
        <f>$M$28*SIN(T6)-T19</f>
        <v>0</v>
      </c>
      <c r="U20" s="664">
        <f>$M$28*SIN(U6)-U19</f>
        <v>38.593049327354258</v>
      </c>
      <c r="V20" s="664">
        <f>$M$28*SIN(V6)-V19</f>
        <v>9.1776255332952897E-15</v>
      </c>
      <c r="W20" s="664">
        <f>$M$28*SIN(W6)-W19</f>
        <v>-38.593049327354258</v>
      </c>
      <c r="X20" s="654">
        <f t="shared" si="6"/>
        <v>3.552713678800501E-18</v>
      </c>
      <c r="Y20" s="654">
        <f t="shared" si="7"/>
        <v>1.7763568394002505E-15</v>
      </c>
      <c r="Z20" s="671">
        <f t="shared" si="8"/>
        <v>9.7316687184929569E-18</v>
      </c>
      <c r="AA20" s="652" t="s">
        <v>1350</v>
      </c>
      <c r="AB20" s="654">
        <f t="shared" ref="AB20:AE22" si="11">AB13+AI23</f>
        <v>-8.1783975690708068</v>
      </c>
      <c r="AC20" s="654">
        <f t="shared" si="11"/>
        <v>-2.7808422017707946</v>
      </c>
      <c r="AD20" s="654">
        <f t="shared" si="11"/>
        <v>2.6167131655292182</v>
      </c>
      <c r="AE20" s="654">
        <f t="shared" si="11"/>
        <v>-2.7808422017707946</v>
      </c>
      <c r="AG20" s="676"/>
      <c r="AH20" s="652" t="s">
        <v>1351</v>
      </c>
      <c r="AI20" s="651">
        <f>(AI16^2+1/AI14)^0.5-AI16</f>
        <v>1.3723870994111826</v>
      </c>
      <c r="AJ20" s="651">
        <f>(AJ16^2+1/AJ14)^0.5-AJ16</f>
        <v>1.8658358593007285</v>
      </c>
      <c r="AK20" s="651">
        <f>(AK16^2+1/AK14)^0.5-AK16</f>
        <v>2.0969484625144559</v>
      </c>
      <c r="AL20" s="651">
        <f>(AL16^2+1/AL14)^0.5-AL16</f>
        <v>1.8658358593007285</v>
      </c>
      <c r="AM20" s="651">
        <f>MIN(AI21:AL21)</f>
        <v>1.3723870994111826</v>
      </c>
    </row>
    <row r="21" spans="2:50">
      <c r="B21" s="696" t="b">
        <f>Y10=Y16/Y15/0.0552</f>
        <v>0</v>
      </c>
      <c r="C21" s="697">
        <f>E_6/(E_1*0.386)</f>
        <v>0.98135613151924783</v>
      </c>
      <c r="D21" s="651"/>
      <c r="F21" s="650" t="str">
        <f>C18 &amp; ", " &amp; D18 &amp; ", " &amp; E18 &amp; ", " &amp; F18 &amp; ", " &amp; G18 &amp; ", " &amp; H18 &amp; ", " &amp; I18 &amp; ", 1.0, " &amp; J18</f>
        <v>22, 0,005, 0,64, 3,4, 253,125, 56, 5887,5, 1.0, 0,15</v>
      </c>
      <c r="G21" s="650" t="str">
        <f>C16 &amp; ", " &amp; D16 &amp; ", " &amp; E16 &amp; ", " &amp; F16 &amp; ", " &amp; G16 &amp; ", " &amp; H16 &amp; ", " &amp; I16 &amp; ", 1.0" &amp; J16</f>
        <v xml:space="preserve">  T opr    Operating temperature in degree C or F.  Do not exceed the glass transition temperature listed in Cell P5.  , c, moist    Moisture concentration in absolute value; i.e., 0.005 means 0.5%.,   vol/f    Fiber volume fraction in absolute value; i.e., 0.7 means 70%.,     Em      Matrix Young's modulus in GPa or msi., Ef,     Xm     Matrix strength in MPa or ksi.,     Xfx     Fiber longitudinal strength in MPa or ksi. , 1.0   Em*    Matrix degradation factor required for the last-ply-failure prediction as decribed in Section 7.7, Modeling of Degraded Plies.</v>
      </c>
      <c r="K21" s="650" t="s">
        <v>1352</v>
      </c>
      <c r="O21" s="652" t="s">
        <v>1543</v>
      </c>
      <c r="P21" s="682">
        <f>$F$29</f>
        <v>98</v>
      </c>
      <c r="Q21" s="682">
        <f>P21*R24</f>
        <v>98</v>
      </c>
      <c r="R21" s="654">
        <f t="shared" si="9"/>
        <v>1</v>
      </c>
      <c r="S21" s="653"/>
      <c r="W21" s="656" t="s">
        <v>1353</v>
      </c>
      <c r="X21" s="655">
        <f>X15*X16*X18+2*X17*X19*X20-X16*X19^2-X18*X17^2-X15*X20^2</f>
        <v>7.7143822743907609E-4</v>
      </c>
      <c r="Y21" s="664">
        <f>Y15+Y16+2*Y18</f>
        <v>182.53363228699553</v>
      </c>
      <c r="Z21" s="671">
        <f t="shared" si="8"/>
        <v>1</v>
      </c>
      <c r="AA21" s="652" t="s">
        <v>1346</v>
      </c>
      <c r="AB21" s="654">
        <f t="shared" si="11"/>
        <v>2.6159611655292179</v>
      </c>
      <c r="AC21" s="654">
        <f t="shared" si="11"/>
        <v>-2.781594201770794</v>
      </c>
      <c r="AD21" s="654">
        <f t="shared" si="11"/>
        <v>-8.1791495690708071</v>
      </c>
      <c r="AE21" s="654">
        <f t="shared" si="11"/>
        <v>-2.781594201770794</v>
      </c>
      <c r="AG21" s="676"/>
      <c r="AH21" s="652"/>
      <c r="AI21" s="651">
        <f>IF(AI3=0,1000000000,AI20)</f>
        <v>1.3723870994111826</v>
      </c>
      <c r="AJ21" s="651">
        <f>IF(AJ3=0,1000000000,AJ20)</f>
        <v>1.8658358593007285</v>
      </c>
      <c r="AK21" s="651">
        <f>IF(AK3=0,1000000000,AK20)</f>
        <v>2.0969484625144559</v>
      </c>
      <c r="AL21" s="651">
        <f>IF(AL3=0,1000000000,AL20)</f>
        <v>1.8658358593007285</v>
      </c>
    </row>
    <row r="22" spans="2:50" ht="16.2" thickBot="1">
      <c r="C22" s="656" t="s">
        <v>1562</v>
      </c>
      <c r="D22" s="656" t="s">
        <v>1563</v>
      </c>
      <c r="E22" s="656" t="s">
        <v>1564</v>
      </c>
      <c r="F22" s="656" t="s">
        <v>1565</v>
      </c>
      <c r="G22" s="650" t="s">
        <v>1761</v>
      </c>
      <c r="I22" s="654">
        <f>MAX(R_intact)</f>
        <v>2.0110081647707334</v>
      </c>
      <c r="J22" s="698">
        <f>I22/R_FPF</f>
        <v>1.3661607876753037</v>
      </c>
      <c r="K22" s="652" t="s">
        <v>1354</v>
      </c>
      <c r="L22" s="654">
        <f>L5/(1-L7^2*L6/L5)</f>
        <v>163.45291479820628</v>
      </c>
      <c r="M22" s="654">
        <f>M5/(1-M7^2*M6/M5)</f>
        <v>163.45291479820628</v>
      </c>
      <c r="N22" s="660">
        <f>M22/L22</f>
        <v>1</v>
      </c>
      <c r="O22" s="652" t="s">
        <v>1568</v>
      </c>
      <c r="P22" s="660">
        <f>$B$30</f>
        <v>-0.5</v>
      </c>
      <c r="Q22" s="660">
        <v>-0.5</v>
      </c>
      <c r="R22" s="654">
        <f t="shared" si="9"/>
        <v>1</v>
      </c>
      <c r="S22" s="652" t="s">
        <v>1355</v>
      </c>
      <c r="T22" s="656" t="s">
        <v>1356</v>
      </c>
      <c r="U22" s="656"/>
      <c r="V22" s="670" t="s">
        <v>1357</v>
      </c>
      <c r="W22" s="656"/>
      <c r="X22" s="656" t="s">
        <v>1358</v>
      </c>
      <c r="Y22" s="656" t="s">
        <v>1722</v>
      </c>
      <c r="Z22" s="652" t="s">
        <v>2019</v>
      </c>
      <c r="AA22" s="652" t="s">
        <v>2022</v>
      </c>
      <c r="AB22" s="654">
        <f t="shared" si="11"/>
        <v>-2.0071716706273273E-16</v>
      </c>
      <c r="AC22" s="654">
        <f t="shared" si="11"/>
        <v>10.795110734600025</v>
      </c>
      <c r="AD22" s="654">
        <f t="shared" si="11"/>
        <v>1.5232784907690006E-15</v>
      </c>
      <c r="AE22" s="654">
        <f t="shared" si="11"/>
        <v>-10.795110734600025</v>
      </c>
      <c r="AG22" s="676"/>
      <c r="AH22" s="650" t="s">
        <v>1360</v>
      </c>
      <c r="AI22" s="651">
        <f>IF(AI3=0,0,AI20)</f>
        <v>1.3723870994111826</v>
      </c>
      <c r="AJ22" s="651">
        <f>IF(AJ3=0,0,AJ20)</f>
        <v>1.8658358593007285</v>
      </c>
      <c r="AK22" s="651">
        <f>IF(AK3=0,0,AK20)</f>
        <v>2.0969484625144559</v>
      </c>
      <c r="AL22" s="651">
        <f>IF(AL3=0,0,AL20)</f>
        <v>1.8658358593007285</v>
      </c>
    </row>
    <row r="23" spans="2:50">
      <c r="B23" s="653" t="s">
        <v>1569</v>
      </c>
      <c r="C23" s="660">
        <f>AI37</f>
        <v>1.4720142628253292</v>
      </c>
      <c r="D23" s="660">
        <f>AJ37</f>
        <v>1.8605364402345959</v>
      </c>
      <c r="E23" s="660">
        <f>AK37</f>
        <v>2.0110081647707334</v>
      </c>
      <c r="F23" s="660">
        <f>AL37</f>
        <v>1.8605364402345959</v>
      </c>
      <c r="G23" s="650" t="s">
        <v>1528</v>
      </c>
      <c r="H23" s="654">
        <f>MIN(C23:F23)</f>
        <v>1.4720142628253292</v>
      </c>
      <c r="I23" s="650" t="s">
        <v>1529</v>
      </c>
      <c r="J23" s="660">
        <f>MAX(H23,H24)</f>
        <v>1.4720142628253292</v>
      </c>
      <c r="K23" s="652" t="s">
        <v>1361</v>
      </c>
      <c r="L23" s="654">
        <f>L22*L6/L5</f>
        <v>9.0807174887892366</v>
      </c>
      <c r="M23" s="654">
        <f>M22*M6/M5</f>
        <v>9.0807174887892366</v>
      </c>
      <c r="N23" s="660">
        <f>M23/L23</f>
        <v>1</v>
      </c>
      <c r="O23" s="652" t="s">
        <v>1530</v>
      </c>
      <c r="P23" s="659">
        <f>P17/L11</f>
        <v>5887.5</v>
      </c>
      <c r="Q23" s="659">
        <f>$I$18*Q6^$H$31</f>
        <v>5887.5</v>
      </c>
      <c r="R23" s="654">
        <f t="shared" si="9"/>
        <v>1</v>
      </c>
      <c r="S23" s="652">
        <v>11</v>
      </c>
      <c r="T23" s="654">
        <f>(X16*X18-X20^2)/X21</f>
        <v>8.1784507407879783</v>
      </c>
      <c r="V23" s="654">
        <f t="shared" ref="V23:V28" si="12">T23*$X$12</f>
        <v>1.6356901481575956E-2</v>
      </c>
      <c r="W23" s="656" t="s">
        <v>1362</v>
      </c>
      <c r="X23" s="651">
        <f>1/V23</f>
        <v>61.136273341645875</v>
      </c>
      <c r="Y23" s="650">
        <f t="shared" ref="Y23:Y28" si="13">1/V23</f>
        <v>61.136273341645875</v>
      </c>
      <c r="Z23" s="651">
        <f t="shared" ref="Z23:Z28" si="14">X23/$Y$21</f>
        <v>0.33493155521894186</v>
      </c>
      <c r="AA23" s="650">
        <f>X23/X26</f>
        <v>2.639891362495371</v>
      </c>
      <c r="AH23" s="652" t="s">
        <v>1364</v>
      </c>
      <c r="AI23" s="651">
        <f>IF(AI3=0,0,$AM$7+$AM$8*COS(AI4)+$AM$9*SIN(AI4)-$W$37)</f>
        <v>5.3171717171717198E-5</v>
      </c>
      <c r="AJ23" s="651">
        <f>IF(AJ3=0,0,$AM$7+$AM$8*COS(AJ4)+$AM$9*SIN(AJ4)-$W$37)</f>
        <v>5.3171717171717191E-5</v>
      </c>
      <c r="AK23" s="651">
        <f>IF(AK3=0,0,$AM$7+$AM$8*COS(AK4)+$AM$9*SIN(AK4)-$W$37)</f>
        <v>5.3171717171717198E-5</v>
      </c>
      <c r="AL23" s="651">
        <f>IF(AL3=0,0,$AM$7+$AM$8*COS(AL4)+$AM$9*SIN(AL4)-$W$37)</f>
        <v>5.3171717171717205E-5</v>
      </c>
      <c r="AM23" s="676"/>
      <c r="AO23" s="1129" t="s">
        <v>2017</v>
      </c>
      <c r="AP23" s="1130" t="s">
        <v>1863</v>
      </c>
      <c r="AQ23" s="1131" t="s">
        <v>2016</v>
      </c>
      <c r="AR23" s="1131" t="s">
        <v>1782</v>
      </c>
      <c r="AS23" s="1131"/>
      <c r="AT23" s="1140" t="s">
        <v>2020</v>
      </c>
      <c r="AU23" s="1130" t="s">
        <v>1863</v>
      </c>
      <c r="AV23" s="1131" t="s">
        <v>2016</v>
      </c>
      <c r="AW23" s="1131" t="s">
        <v>1782</v>
      </c>
      <c r="AX23" s="1137"/>
    </row>
    <row r="24" spans="2:50">
      <c r="B24" s="653" t="s">
        <v>1576</v>
      </c>
      <c r="C24" s="660">
        <f>AI76</f>
        <v>1.1005674925362114</v>
      </c>
      <c r="D24" s="660">
        <f>AJ76</f>
        <v>3.1984656459995593</v>
      </c>
      <c r="E24" s="660">
        <f>AK76</f>
        <v>5.4311005138316473</v>
      </c>
      <c r="F24" s="660">
        <f>AL76</f>
        <v>3.1984656459995593</v>
      </c>
      <c r="G24" s="650" t="s">
        <v>1558</v>
      </c>
      <c r="H24" s="654">
        <f>MIN(C24:F24)</f>
        <v>1.1005674925362114</v>
      </c>
      <c r="I24" s="650" t="s">
        <v>1559</v>
      </c>
      <c r="J24" s="654">
        <f>J23/J5</f>
        <v>1.4720142628253292</v>
      </c>
      <c r="K24" s="652" t="s">
        <v>1365</v>
      </c>
      <c r="L24" s="654">
        <f>L23*L7</f>
        <v>3.6322869955156949</v>
      </c>
      <c r="M24" s="654">
        <f>M23*M7</f>
        <v>3.6322869955156949</v>
      </c>
      <c r="N24" s="660">
        <f>M24/L24</f>
        <v>1</v>
      </c>
      <c r="O24" s="652" t="s">
        <v>1560</v>
      </c>
      <c r="P24" s="659">
        <f>P19</f>
        <v>56</v>
      </c>
      <c r="Q24" s="659">
        <f>$H$18*Q6^$I$30</f>
        <v>56</v>
      </c>
      <c r="R24" s="654">
        <f t="shared" si="9"/>
        <v>1</v>
      </c>
      <c r="S24" s="652">
        <v>22</v>
      </c>
      <c r="T24" s="654">
        <f>(X15*X18-X19^2)/X21</f>
        <v>8.1784507407879801</v>
      </c>
      <c r="V24" s="654">
        <f t="shared" si="12"/>
        <v>1.635690148157596E-2</v>
      </c>
      <c r="W24" s="656" t="s">
        <v>1366</v>
      </c>
      <c r="X24" s="651">
        <f>1/V24</f>
        <v>61.136273341645861</v>
      </c>
      <c r="Y24" s="650">
        <f t="shared" si="13"/>
        <v>61.136273341645861</v>
      </c>
      <c r="Z24" s="651">
        <f t="shared" si="14"/>
        <v>0.3349315552189418</v>
      </c>
      <c r="AA24" s="650" t="s">
        <v>2023</v>
      </c>
      <c r="AC24" s="673"/>
      <c r="AD24" s="650" t="s">
        <v>2048</v>
      </c>
      <c r="AH24" s="652" t="s">
        <v>1367</v>
      </c>
      <c r="AI24" s="651">
        <f>IF(AI3=0,0,2*$AM$7-AI23-($W$38+$W$37))</f>
        <v>-6.9882828282828301E-4</v>
      </c>
      <c r="AJ24" s="651">
        <f>IF(AJ3=0,0,2*$AM$7-AJ23-($W$38+$W$37))</f>
        <v>-6.9882828282828301E-4</v>
      </c>
      <c r="AK24" s="651">
        <f>IF(AK3=0,0,2*$AM$7-AK23-($W$38+$W$37))</f>
        <v>-6.9882828282828301E-4</v>
      </c>
      <c r="AL24" s="651">
        <f>IF(AL3=0,0,2*$AM$7-AL23-($W$38+$W$37))</f>
        <v>-6.9882828282828301E-4</v>
      </c>
      <c r="AM24" s="676"/>
      <c r="AO24" s="965">
        <v>11</v>
      </c>
      <c r="AP24" s="867">
        <v>0.46898988384245932</v>
      </c>
      <c r="AQ24" s="867">
        <v>0.27387843969587172</v>
      </c>
      <c r="AR24" s="867">
        <v>0.37143416176916561</v>
      </c>
      <c r="AS24" s="651"/>
      <c r="AT24" s="652" t="s">
        <v>2011</v>
      </c>
      <c r="AU24" s="1127">
        <v>0.4682390884661316</v>
      </c>
      <c r="AV24" s="1127">
        <v>0.10995999594635859</v>
      </c>
      <c r="AW24" s="1127">
        <v>0.33614983963722367</v>
      </c>
      <c r="AX24" s="1138"/>
    </row>
    <row r="25" spans="2:50">
      <c r="B25" s="650" t="s">
        <v>1368</v>
      </c>
      <c r="C25" s="652" t="str">
        <f>T47</f>
        <v>no</v>
      </c>
      <c r="D25" s="652" t="str">
        <f>U47</f>
        <v>no</v>
      </c>
      <c r="E25" s="652" t="str">
        <f>V47</f>
        <v>no</v>
      </c>
      <c r="F25" s="652" t="str">
        <f>W47</f>
        <v>no</v>
      </c>
      <c r="G25" s="699" t="s">
        <v>1948</v>
      </c>
      <c r="H25" s="698">
        <f>AG17</f>
        <v>1.1063715669451366</v>
      </c>
      <c r="I25" s="650" t="s">
        <v>1369</v>
      </c>
      <c r="J25" s="654">
        <f>MIN(H23,J23/J5)</f>
        <v>1.4720142628253292</v>
      </c>
      <c r="K25" s="652" t="s">
        <v>1370</v>
      </c>
      <c r="L25" s="654">
        <f>L8</f>
        <v>5</v>
      </c>
      <c r="M25" s="654">
        <f>M8</f>
        <v>5</v>
      </c>
      <c r="N25" s="660">
        <f>M25/L25</f>
        <v>1</v>
      </c>
      <c r="O25" s="654">
        <f>M27+M28+M29+M30</f>
        <v>185.24383408071748</v>
      </c>
      <c r="S25" s="652" t="s">
        <v>1345</v>
      </c>
      <c r="T25" s="654">
        <f>(X19*X20-X17*X18)/X21</f>
        <v>-2.6166599938120463</v>
      </c>
      <c r="V25" s="654">
        <f t="shared" si="12"/>
        <v>-5.2333199876240929E-3</v>
      </c>
      <c r="W25" s="656" t="s">
        <v>1371</v>
      </c>
      <c r="X25" s="651">
        <f>-V25/V23</f>
        <v>0.31994568124768535</v>
      </c>
      <c r="Y25" s="650">
        <f t="shared" si="13"/>
        <v>-191.08328983605608</v>
      </c>
      <c r="Z25" s="651">
        <f t="shared" si="14"/>
        <v>1.752804002413311E-3</v>
      </c>
      <c r="AA25" s="650">
        <f>Y15/Y18</f>
        <v>2.9409415466537583</v>
      </c>
      <c r="AB25" s="1157" t="s">
        <v>2051</v>
      </c>
      <c r="AC25" s="1158" t="s">
        <v>2052</v>
      </c>
      <c r="AE25" s="652" t="s">
        <v>939</v>
      </c>
      <c r="AF25" s="652" t="s">
        <v>948</v>
      </c>
      <c r="AG25" s="656" t="s">
        <v>942</v>
      </c>
      <c r="AH25" s="652" t="s">
        <v>1372</v>
      </c>
      <c r="AI25" s="651">
        <f>IF(AI3=0,0,2*($AM$9*COS(AI4)-$AM$8*SIN(AI4)))</f>
        <v>-9.2056084135976024E-21</v>
      </c>
      <c r="AJ25" s="651">
        <f>IF(AJ3=0,0,2*($AM$9*COS(AJ4)-$AM$8*SIN(AJ4)))</f>
        <v>-5.6391184622064476E-37</v>
      </c>
      <c r="AK25" s="651">
        <f>IF(AK3=0,0,2*($AM$9*COS(AK4)-$AM$8*SIN(AK4)))</f>
        <v>9.2056084135976024E-21</v>
      </c>
      <c r="AL25" s="651">
        <f>IF(AL3=0,0,2*($AM$9*COS(AL4)-$AM$8*SIN(AL4)))</f>
        <v>-5.6391184622064476E-37</v>
      </c>
      <c r="AM25" s="676"/>
      <c r="AO25" s="965">
        <v>22</v>
      </c>
      <c r="AP25" s="867">
        <v>0.46898988384245932</v>
      </c>
      <c r="AQ25" s="867">
        <v>0.27387843969587183</v>
      </c>
      <c r="AR25" s="867">
        <v>0.37143416176916555</v>
      </c>
      <c r="AS25" s="651"/>
      <c r="AT25" s="652" t="s">
        <v>2012</v>
      </c>
      <c r="AU25" s="867">
        <v>0.4682390884661316</v>
      </c>
      <c r="AV25" s="867">
        <v>0.10995999594635866</v>
      </c>
      <c r="AW25" s="867">
        <v>0.33614983963722367</v>
      </c>
      <c r="AX25" s="1138"/>
    </row>
    <row r="26" spans="2:50">
      <c r="B26" s="650" t="s">
        <v>1373</v>
      </c>
      <c r="C26" s="652" t="str">
        <f>IF(C4=0,$I$27,IF(AB56*AB17&lt;0,$G$27,$H$27))</f>
        <v>no</v>
      </c>
      <c r="D26" s="652" t="str">
        <f>IF(D4=0,$I$27,IF(AC56*AC17&lt;0,$G$27,$H$27))</f>
        <v>no</v>
      </c>
      <c r="E26" s="652" t="str">
        <f>IF(E4=0,$I$27,IF(AD56*AD17&lt;0,$G$27,$H$27))</f>
        <v>no</v>
      </c>
      <c r="F26" s="652" t="str">
        <f>IF(F4=0,$I$27,IF(AE56*AE17&lt;0,$G$27,$H$27))</f>
        <v>no</v>
      </c>
      <c r="G26" s="652" t="s">
        <v>1949</v>
      </c>
      <c r="H26" s="698">
        <f>AG56</f>
        <v>1.1265398970737028</v>
      </c>
      <c r="I26" s="650" t="s">
        <v>293</v>
      </c>
      <c r="J26" s="654">
        <f>MIN(H23,H24)/J5</f>
        <v>1.1005674925362114</v>
      </c>
      <c r="K26" s="650" t="s">
        <v>1374</v>
      </c>
      <c r="L26" s="654"/>
      <c r="M26" s="654"/>
      <c r="O26" s="650" t="s">
        <v>1375</v>
      </c>
      <c r="S26" s="652">
        <v>66</v>
      </c>
      <c r="T26" s="654">
        <f>(X15*X16-X17^2)/X21</f>
        <v>21.590221469200049</v>
      </c>
      <c r="V26" s="654">
        <f t="shared" si="12"/>
        <v>4.31804429384001E-2</v>
      </c>
      <c r="W26" s="656" t="s">
        <v>1376</v>
      </c>
      <c r="X26" s="651">
        <f>1/V26</f>
        <v>23.158632286995513</v>
      </c>
      <c r="Y26" s="650">
        <f t="shared" si="13"/>
        <v>23.158632286995513</v>
      </c>
      <c r="Z26" s="651">
        <f t="shared" si="14"/>
        <v>0.12687323424640706</v>
      </c>
      <c r="AB26" s="682" t="s">
        <v>2049</v>
      </c>
      <c r="AC26" s="864" t="s">
        <v>2053</v>
      </c>
      <c r="AD26" s="650">
        <v>0</v>
      </c>
      <c r="AE26" s="1125">
        <v>85.7</v>
      </c>
      <c r="AF26" s="866">
        <v>28.7</v>
      </c>
      <c r="AG26" s="1125">
        <f>$Y$21-AE26-2*AF26</f>
        <v>39.433632286995525</v>
      </c>
      <c r="AH26" s="676"/>
      <c r="AI26" s="676"/>
      <c r="AJ26" s="676"/>
      <c r="AK26" s="676"/>
      <c r="AL26" s="676"/>
      <c r="AM26" s="676"/>
      <c r="AO26" s="965">
        <v>12</v>
      </c>
      <c r="AP26" s="867">
        <v>1.6746763234202836E-2</v>
      </c>
      <c r="AQ26" s="867">
        <v>0.21185820738079039</v>
      </c>
      <c r="AR26" s="867">
        <v>0.11430248530749663</v>
      </c>
      <c r="AS26" s="651"/>
      <c r="AT26" s="653" t="s">
        <v>1745</v>
      </c>
      <c r="AU26" s="1128">
        <v>3.5708154506437759E-2</v>
      </c>
      <c r="AV26" s="1128">
        <v>0.77354832171545951</v>
      </c>
      <c r="AW26" s="867">
        <v>0.30773282878200081</v>
      </c>
      <c r="AX26" s="1138"/>
    </row>
    <row r="27" spans="2:50">
      <c r="B27" s="650" t="s">
        <v>1574</v>
      </c>
      <c r="G27" s="652" t="s">
        <v>1377</v>
      </c>
      <c r="H27" s="652" t="s">
        <v>1378</v>
      </c>
      <c r="I27" s="652" t="s">
        <v>1379</v>
      </c>
      <c r="J27" s="650" t="s">
        <v>1714</v>
      </c>
      <c r="K27" s="652" t="s">
        <v>1380</v>
      </c>
      <c r="L27" s="664">
        <f>(3*L22+3*L23+2*L24+4*L25)/8</f>
        <v>68.108183856502237</v>
      </c>
      <c r="M27" s="664">
        <f>(3*M22+3*M23+2*M24+4*M25)/8</f>
        <v>68.108183856502237</v>
      </c>
      <c r="N27" s="660">
        <f>M27/L27</f>
        <v>1</v>
      </c>
      <c r="O27" s="652" t="s">
        <v>1381</v>
      </c>
      <c r="P27" s="654">
        <f>1/P17/P18*1000000</f>
        <v>0.16026134137460638</v>
      </c>
      <c r="Q27" s="654">
        <f>1/Q17/Q18*1000000</f>
        <v>0.16026134137460638</v>
      </c>
      <c r="R27" s="654">
        <f>Q27/P27</f>
        <v>1</v>
      </c>
      <c r="S27" s="652" t="s">
        <v>1347</v>
      </c>
      <c r="T27" s="654">
        <f>(X17*X20-X16*X19)/X21</f>
        <v>2.0070796145431912E-16</v>
      </c>
      <c r="V27" s="654">
        <f t="shared" si="12"/>
        <v>4.0141592290863826E-19</v>
      </c>
      <c r="W27" s="656" t="s">
        <v>1382</v>
      </c>
      <c r="X27" s="651">
        <f>V27/V23</f>
        <v>2.4541073586631555E-17</v>
      </c>
      <c r="Y27" s="650">
        <f t="shared" si="13"/>
        <v>2.4911816969143962E+18</v>
      </c>
      <c r="Z27" s="651">
        <f t="shared" si="14"/>
        <v>1.3444685934943709E-19</v>
      </c>
      <c r="AB27" s="682" t="s">
        <v>2049</v>
      </c>
      <c r="AC27" s="864" t="s">
        <v>2054</v>
      </c>
      <c r="AD27" s="650">
        <v>7.5</v>
      </c>
      <c r="AE27" s="1125">
        <v>85.6</v>
      </c>
      <c r="AF27" s="866">
        <v>27.7</v>
      </c>
      <c r="AG27" s="1125">
        <f t="shared" ref="AG27:AG32" si="15">$Y$21-AE27-2*AF27</f>
        <v>41.533632286995534</v>
      </c>
      <c r="AH27" s="669" t="s">
        <v>1383</v>
      </c>
      <c r="AI27" s="651">
        <f>$Q$33*AI23^2+2*$Q$35*AI23*AI24+$Q$34*AI24^2+$Q$36*AI25^2</f>
        <v>4.6780920617219748E-3</v>
      </c>
      <c r="AJ27" s="651">
        <f>$Q$33*AJ23^2+2*$Q$35*AJ23*AJ24+$Q$34*AJ24^2+$Q$36*AJ25^2</f>
        <v>4.6780920617219748E-3</v>
      </c>
      <c r="AK27" s="651">
        <f>$Q$33*AK23^2+2*$Q$35*AK23*AK24+$Q$34*AK24^2+$Q$36*AK25^2</f>
        <v>4.6780920617219748E-3</v>
      </c>
      <c r="AL27" s="651">
        <f>$Q$33*AL23^2+2*$Q$35*AL23*AL24+$Q$34*AL24^2+$Q$36*AL25^2</f>
        <v>4.6780920617219748E-3</v>
      </c>
      <c r="AM27" s="676"/>
      <c r="AO27" s="965">
        <v>66</v>
      </c>
      <c r="AP27" s="867">
        <v>3.101011615754069E-2</v>
      </c>
      <c r="AQ27" s="867">
        <v>0.22612156030412822</v>
      </c>
      <c r="AR27" s="867">
        <v>0.12856583823083448</v>
      </c>
      <c r="AS27" s="651"/>
      <c r="AT27" s="652" t="s">
        <v>2013</v>
      </c>
      <c r="AU27" s="867">
        <v>3.1000000000000028E-2</v>
      </c>
      <c r="AV27" s="867">
        <v>0.22604779465566199</v>
      </c>
      <c r="AW27" s="867">
        <v>0.12852389732783098</v>
      </c>
      <c r="AX27" s="1138"/>
    </row>
    <row r="28" spans="2:50">
      <c r="B28" s="700" t="s">
        <v>1766</v>
      </c>
      <c r="C28" s="702">
        <v>162</v>
      </c>
      <c r="D28" s="700">
        <v>9</v>
      </c>
      <c r="E28" s="700">
        <v>0.4</v>
      </c>
      <c r="F28" s="700">
        <v>5</v>
      </c>
      <c r="G28" s="701">
        <v>3.4</v>
      </c>
      <c r="H28" s="701">
        <v>122</v>
      </c>
      <c r="I28" s="701">
        <v>160</v>
      </c>
      <c r="J28" s="664">
        <f>Y15</f>
        <v>68.108183856502251</v>
      </c>
      <c r="K28" s="652" t="s">
        <v>1384</v>
      </c>
      <c r="L28" s="664">
        <f>(L22-L23)/2</f>
        <v>77.186098654708516</v>
      </c>
      <c r="M28" s="664">
        <f>(M22-M23)/2</f>
        <v>77.186098654708516</v>
      </c>
      <c r="N28" s="660">
        <f>M28/L28</f>
        <v>1</v>
      </c>
      <c r="O28" s="652" t="s">
        <v>1385</v>
      </c>
      <c r="P28" s="654">
        <f>1/P19/P20*1000000</f>
        <v>119.04761904761905</v>
      </c>
      <c r="Q28" s="654">
        <f>1/Q19/Q20*1000000</f>
        <v>119.04761904761905</v>
      </c>
      <c r="R28" s="654">
        <f>Q28/P28</f>
        <v>1</v>
      </c>
      <c r="S28" s="652" t="s">
        <v>1349</v>
      </c>
      <c r="T28" s="654">
        <f>(X17*X19-X15*X20)/X21</f>
        <v>-6.2731886447606562E-16</v>
      </c>
      <c r="V28" s="654">
        <f t="shared" si="12"/>
        <v>-1.2546377289521313E-18</v>
      </c>
      <c r="W28" s="656" t="s">
        <v>1386</v>
      </c>
      <c r="X28" s="651">
        <f>V28/V24</f>
        <v>-7.6703875141959291E-17</v>
      </c>
      <c r="Y28" s="650">
        <f t="shared" si="13"/>
        <v>-7.9704282513104102E+17</v>
      </c>
      <c r="Z28" s="651">
        <f t="shared" si="14"/>
        <v>-4.2021776579429849E-19</v>
      </c>
      <c r="AB28" s="682" t="s">
        <v>2049</v>
      </c>
      <c r="AC28" s="864" t="s">
        <v>2055</v>
      </c>
      <c r="AD28" s="650">
        <v>15</v>
      </c>
      <c r="AE28" s="1125">
        <v>85</v>
      </c>
      <c r="AF28" s="866">
        <v>24.9</v>
      </c>
      <c r="AG28" s="1125">
        <f t="shared" si="15"/>
        <v>47.73363228699553</v>
      </c>
      <c r="AH28" s="669" t="s">
        <v>1387</v>
      </c>
      <c r="AI28" s="651">
        <f>$Q$37*AI23+$Q$38*AI24</f>
        <v>-7.0934473668120848E-2</v>
      </c>
      <c r="AJ28" s="651">
        <f>$Q$37*AJ23+$Q$38*AJ24</f>
        <v>-7.0934473668120848E-2</v>
      </c>
      <c r="AK28" s="651">
        <f>$Q$37*AK23+$Q$38*AK24</f>
        <v>-7.0934473668120848E-2</v>
      </c>
      <c r="AL28" s="651">
        <f>$Q$37*AL23+$Q$38*AL24</f>
        <v>-7.0934473668120848E-2</v>
      </c>
      <c r="AM28" s="676"/>
      <c r="AO28" s="965">
        <v>16</v>
      </c>
      <c r="AP28" s="867">
        <v>8.0961976760123409E-19</v>
      </c>
      <c r="AQ28" s="867">
        <v>1.3882316513871867E-17</v>
      </c>
      <c r="AR28" s="867">
        <v>0</v>
      </c>
      <c r="AS28" s="651"/>
      <c r="AT28" s="652" t="s">
        <v>2014</v>
      </c>
      <c r="AU28" s="867">
        <v>2.3495466627967903E-18</v>
      </c>
      <c r="AV28" s="867">
        <v>-1.0888373104088632E-16</v>
      </c>
      <c r="AW28" s="867">
        <v>3.322845780533551E-17</v>
      </c>
      <c r="AX28" s="1132"/>
    </row>
    <row r="29" spans="2:50">
      <c r="B29" s="700">
        <v>3768</v>
      </c>
      <c r="C29" s="700">
        <v>1656</v>
      </c>
      <c r="D29" s="700">
        <v>56</v>
      </c>
      <c r="E29" s="700">
        <v>150</v>
      </c>
      <c r="F29" s="700">
        <v>98</v>
      </c>
      <c r="G29" s="701">
        <v>1.2</v>
      </c>
      <c r="H29" s="701">
        <v>22</v>
      </c>
      <c r="I29" s="701">
        <v>5.0000000000000001E-3</v>
      </c>
      <c r="J29" s="664">
        <f>Y16</f>
        <v>68.108183856502237</v>
      </c>
      <c r="K29" s="652" t="s">
        <v>1388</v>
      </c>
      <c r="L29" s="664">
        <f>(L22+L23-2*L24-4*L25)/8</f>
        <v>18.158632286995516</v>
      </c>
      <c r="M29" s="664">
        <f>(M22+M23-2*M24-4*M25)/8</f>
        <v>18.158632286995516</v>
      </c>
      <c r="N29" s="660">
        <f>M29/L29</f>
        <v>1</v>
      </c>
      <c r="O29" s="652" t="s">
        <v>1389</v>
      </c>
      <c r="P29" s="654">
        <f>P22*(P27*P28)^0.5</f>
        <v>-2.1839603428190135</v>
      </c>
      <c r="Q29" s="654">
        <f>Q22*(Q27*Q28)^0.5</f>
        <v>-2.1839603428190135</v>
      </c>
      <c r="R29" s="654">
        <f>Q29/P29</f>
        <v>1</v>
      </c>
      <c r="V29" s="655"/>
      <c r="W29" s="655"/>
      <c r="X29" s="656"/>
      <c r="AB29" s="682" t="s">
        <v>2049</v>
      </c>
      <c r="AC29" s="864" t="s">
        <v>2056</v>
      </c>
      <c r="AD29" s="650">
        <v>22.5</v>
      </c>
      <c r="AE29" s="1125">
        <v>83.6</v>
      </c>
      <c r="AF29" s="866">
        <v>21.1</v>
      </c>
      <c r="AG29" s="1125">
        <f t="shared" si="15"/>
        <v>56.73363228699553</v>
      </c>
      <c r="AH29" s="669" t="s">
        <v>1390</v>
      </c>
      <c r="AI29" s="651">
        <f>AI27+AI28</f>
        <v>-6.6256381606398879E-2</v>
      </c>
      <c r="AJ29" s="651">
        <f>AJ27+AJ28</f>
        <v>-6.6256381606398879E-2</v>
      </c>
      <c r="AK29" s="651">
        <f>AK27+AK28</f>
        <v>-6.6256381606398879E-2</v>
      </c>
      <c r="AL29" s="651">
        <f>AL27+AL28</f>
        <v>-6.6256381606398879E-2</v>
      </c>
      <c r="AM29" s="676"/>
      <c r="AO29" s="965">
        <v>26</v>
      </c>
      <c r="AP29" s="867">
        <v>2.4713668200719363E-17</v>
      </c>
      <c r="AQ29" s="867">
        <v>-1.3882316513871867E-17</v>
      </c>
      <c r="AR29" s="867">
        <v>1.3882316513871867E-17</v>
      </c>
      <c r="AS29" s="651"/>
      <c r="AT29" s="652" t="s">
        <v>2015</v>
      </c>
      <c r="AU29" s="867">
        <v>-7.9602275746277155E-16</v>
      </c>
      <c r="AV29" s="867">
        <v>1.0888373104088634E-16</v>
      </c>
      <c r="AW29" s="867">
        <v>-1.0797826782684496E-16</v>
      </c>
      <c r="AX29" s="1132"/>
    </row>
    <row r="30" spans="2:50">
      <c r="B30" s="701">
        <v>-0.5</v>
      </c>
      <c r="C30" s="702">
        <v>125</v>
      </c>
      <c r="D30" s="701">
        <v>0.64</v>
      </c>
      <c r="E30" s="701">
        <v>1.6</v>
      </c>
      <c r="F30" s="701">
        <v>0.52</v>
      </c>
      <c r="G30" s="701">
        <v>0.5</v>
      </c>
      <c r="H30" s="701">
        <v>0.2</v>
      </c>
      <c r="I30" s="701">
        <v>0.9</v>
      </c>
      <c r="J30" s="664">
        <f>Y18</f>
        <v>23.158632286995513</v>
      </c>
      <c r="K30" s="652" t="s">
        <v>1391</v>
      </c>
      <c r="L30" s="664">
        <f>(L22+L23+6*L24-4*L25)/8</f>
        <v>21.790919282511211</v>
      </c>
      <c r="M30" s="664">
        <f>(M22+M23+6*M24-4*M25)/8</f>
        <v>21.790919282511211</v>
      </c>
      <c r="N30" s="660">
        <f>M30/L30</f>
        <v>1</v>
      </c>
      <c r="O30" s="652" t="s">
        <v>1392</v>
      </c>
      <c r="P30" s="664">
        <f>1/P21^2*1000000</f>
        <v>104.12328196584757</v>
      </c>
      <c r="Q30" s="664">
        <f>1/Q21^2*1000000</f>
        <v>104.12328196584757</v>
      </c>
      <c r="R30" s="654">
        <f>Q30/P30</f>
        <v>1</v>
      </c>
      <c r="S30" s="653" t="s">
        <v>1393</v>
      </c>
      <c r="V30" s="655"/>
      <c r="W30" s="655"/>
      <c r="X30" s="656" t="s">
        <v>1394</v>
      </c>
      <c r="AB30" s="682" t="s">
        <v>2049</v>
      </c>
      <c r="AC30" s="864" t="s">
        <v>2057</v>
      </c>
      <c r="AD30" s="650">
        <v>30</v>
      </c>
      <c r="AE30" s="1125">
        <v>80</v>
      </c>
      <c r="AF30" s="866">
        <v>17.3</v>
      </c>
      <c r="AG30" s="1125">
        <f t="shared" si="15"/>
        <v>67.933632286995532</v>
      </c>
      <c r="AH30" s="669" t="s">
        <v>1395</v>
      </c>
      <c r="AI30" s="651">
        <f>-1+AI29</f>
        <v>-1.0662563816063988</v>
      </c>
      <c r="AJ30" s="651">
        <f>-1+AJ29</f>
        <v>-1.0662563816063988</v>
      </c>
      <c r="AK30" s="651">
        <f>-1+AK29</f>
        <v>-1.0662563816063988</v>
      </c>
      <c r="AL30" s="651">
        <f>-1+AL29</f>
        <v>-1.0662563816063988</v>
      </c>
      <c r="AM30" s="676"/>
      <c r="AO30" s="965" t="s">
        <v>1988</v>
      </c>
      <c r="AP30" s="651">
        <f>AP24+AP25+2*AP27</f>
        <v>1</v>
      </c>
      <c r="AQ30" s="651">
        <f>AQ24+AQ25+2*AQ27</f>
        <v>1</v>
      </c>
      <c r="AR30" s="651">
        <f>AR24+AR25+2*AR27</f>
        <v>1</v>
      </c>
      <c r="AS30" s="651"/>
      <c r="AX30" s="1132"/>
    </row>
    <row r="31" spans="2:50">
      <c r="B31" s="700">
        <v>0.02</v>
      </c>
      <c r="C31" s="700">
        <v>22.5</v>
      </c>
      <c r="D31" s="701">
        <v>0</v>
      </c>
      <c r="E31" s="701">
        <v>0.6</v>
      </c>
      <c r="F31" s="701">
        <v>0.32</v>
      </c>
      <c r="G31" s="701">
        <v>0</v>
      </c>
      <c r="H31" s="701">
        <v>0</v>
      </c>
      <c r="I31" s="701">
        <v>2000</v>
      </c>
      <c r="J31" s="664">
        <v>52.93</v>
      </c>
      <c r="K31" s="652" t="s">
        <v>1396</v>
      </c>
      <c r="L31" s="664">
        <f>(L27-L30)/2</f>
        <v>23.158632286995513</v>
      </c>
      <c r="M31" s="664">
        <f>(M27-M30)/2</f>
        <v>23.158632286995513</v>
      </c>
      <c r="N31" s="660">
        <f>M31/L31</f>
        <v>1</v>
      </c>
      <c r="O31" s="652" t="s">
        <v>1397</v>
      </c>
      <c r="P31" s="654">
        <f>(1/P17-1/P18)*1000</f>
        <v>-0.33847195298316868</v>
      </c>
      <c r="Q31" s="654">
        <f>(1/Q17-1/Q18)*1000</f>
        <v>-0.33847195298316868</v>
      </c>
      <c r="R31" s="665">
        <f>IF(P31=0,I27,Q31/P31)</f>
        <v>1</v>
      </c>
      <c r="S31" s="652" t="s">
        <v>1398</v>
      </c>
      <c r="T31" s="651">
        <f>T11*COS(T6)</f>
        <v>0.25</v>
      </c>
      <c r="U31" s="651">
        <f>U11*COS(U6)</f>
        <v>1.531435568635775E-17</v>
      </c>
      <c r="V31" s="651">
        <f>V11*COS(V6)</f>
        <v>-0.25</v>
      </c>
      <c r="W31" s="651">
        <f>W11*COS(W6)</f>
        <v>1.531435568635775E-17</v>
      </c>
      <c r="X31" s="651">
        <f>(T31+U31+V31+W31)</f>
        <v>1.531435568635775E-17</v>
      </c>
      <c r="AB31" s="682" t="s">
        <v>2049</v>
      </c>
      <c r="AC31" s="864" t="s">
        <v>2058</v>
      </c>
      <c r="AD31" s="650">
        <v>37.5</v>
      </c>
      <c r="AE31" s="1125">
        <v>75.400000000000006</v>
      </c>
      <c r="AF31" s="1125">
        <v>14.5</v>
      </c>
      <c r="AG31" s="1125">
        <f t="shared" si="15"/>
        <v>78.133632286995521</v>
      </c>
      <c r="AH31" s="669" t="s">
        <v>1399</v>
      </c>
      <c r="AI31" s="651">
        <f>2*($Q$33*AI7*AI23+$Q$34*AI8*AI24+$Q$35*(AI7*AI24+AI23*AI8)+$Q$36*AI9*AI25)</f>
        <v>-2.9418570993955867E-2</v>
      </c>
      <c r="AJ31" s="651">
        <f>2*($Q$33*AJ7*AJ23+$Q$34*AJ8*AJ24+$Q$35*(AJ7*AJ24+AJ23*AJ8)+$Q$36*AJ9*AJ25)</f>
        <v>3.9337223215868966E-2</v>
      </c>
      <c r="AK31" s="651">
        <f>2*($Q$33*AK7*AK23+$Q$34*AK8*AK24+$Q$35*(AK7*AK24+AK23*AK8)+$Q$36*AK9*AK25)</f>
        <v>0.1080930174256938</v>
      </c>
      <c r="AL31" s="651">
        <f>2*($Q$33*AL7*AL23+$Q$34*AL8*AL24+$Q$35*(AL7*AL24+AL23*AL8)+$Q$36*AL9*AL25)</f>
        <v>3.9337223215868959E-2</v>
      </c>
      <c r="AM31" s="676"/>
      <c r="AO31" s="1058"/>
      <c r="AX31" s="1139"/>
    </row>
    <row r="32" spans="2:50">
      <c r="B32" s="701">
        <v>0.15</v>
      </c>
      <c r="C32" s="700">
        <v>0.01</v>
      </c>
      <c r="D32" s="701">
        <v>1</v>
      </c>
      <c r="E32" s="701">
        <v>1</v>
      </c>
      <c r="F32" s="701">
        <v>0</v>
      </c>
      <c r="G32" s="701">
        <v>0.5</v>
      </c>
      <c r="H32" s="701"/>
      <c r="I32" s="701"/>
      <c r="J32" s="664">
        <v>44.18</v>
      </c>
      <c r="K32" s="650" t="s">
        <v>1400</v>
      </c>
      <c r="L32" s="664"/>
      <c r="M32" s="664"/>
      <c r="O32" s="652" t="s">
        <v>1401</v>
      </c>
      <c r="P32" s="654">
        <f>(1/P19-1/P20)*1000</f>
        <v>11.190476190476188</v>
      </c>
      <c r="Q32" s="654">
        <f>(1/Q19-1/Q20)*1000</f>
        <v>11.190476190476188</v>
      </c>
      <c r="R32" s="654">
        <f t="shared" ref="R32:R38" si="16">Q32/P32</f>
        <v>1</v>
      </c>
      <c r="S32" s="652" t="s">
        <v>1402</v>
      </c>
      <c r="T32" s="651">
        <f>T11*SIN(T6)</f>
        <v>0</v>
      </c>
      <c r="U32" s="651">
        <f>U11*SIN(U6)</f>
        <v>0.25</v>
      </c>
      <c r="V32" s="651">
        <f>V11*SIN(V6)</f>
        <v>3.06287113727155E-17</v>
      </c>
      <c r="W32" s="651">
        <f>W11*SIN(W6)</f>
        <v>-0.25</v>
      </c>
      <c r="X32" s="651">
        <f>(T32+U32+V32+W32)</f>
        <v>5.5511151231257827E-17</v>
      </c>
      <c r="AB32" s="682" t="s">
        <v>2049</v>
      </c>
      <c r="AC32" s="864" t="s">
        <v>2059</v>
      </c>
      <c r="AD32" s="650">
        <v>45</v>
      </c>
      <c r="AE32" s="1125">
        <v>67.900000000000006</v>
      </c>
      <c r="AF32" s="866">
        <v>13.4</v>
      </c>
      <c r="AG32" s="1125">
        <f t="shared" si="15"/>
        <v>87.833632286995524</v>
      </c>
      <c r="AH32" s="669" t="s">
        <v>1403</v>
      </c>
      <c r="AI32" s="651">
        <f>AI31+AI15</f>
        <v>0.35329982858718068</v>
      </c>
      <c r="AJ32" s="651">
        <f>AJ31+AJ15</f>
        <v>-0.19901587607141275</v>
      </c>
      <c r="AK32" s="651">
        <f>AK31+AK15</f>
        <v>-0.75133158073000628</v>
      </c>
      <c r="AL32" s="651">
        <f>AL31+AL15</f>
        <v>-0.19901587607141275</v>
      </c>
      <c r="AM32" s="676"/>
      <c r="AO32" s="1133" t="s">
        <v>2018</v>
      </c>
      <c r="AP32" s="668" t="s">
        <v>1863</v>
      </c>
      <c r="AQ32" s="657" t="s">
        <v>2016</v>
      </c>
      <c r="AR32" s="657" t="s">
        <v>1782</v>
      </c>
      <c r="AS32" s="657"/>
      <c r="AT32" s="760" t="s">
        <v>2021</v>
      </c>
      <c r="AU32" s="668" t="s">
        <v>1863</v>
      </c>
      <c r="AV32" s="657" t="s">
        <v>2016</v>
      </c>
      <c r="AW32" s="657" t="s">
        <v>1782</v>
      </c>
      <c r="AX32" s="1132"/>
    </row>
    <row r="33" spans="1:50">
      <c r="H33" s="654" t="s">
        <v>1778</v>
      </c>
      <c r="I33" s="654">
        <f>Q27+Q28+Q30/2</f>
        <v>171.26952137191745</v>
      </c>
      <c r="J33" s="664">
        <v>18.739999999999998</v>
      </c>
      <c r="K33" s="652" t="s">
        <v>1404</v>
      </c>
      <c r="L33" s="664">
        <f>(1-(L30/L27)^2)*L27</f>
        <v>61.136273341645861</v>
      </c>
      <c r="M33" s="664">
        <f>(1-(M30/M27)^2)*M27</f>
        <v>61.136273341645861</v>
      </c>
      <c r="N33" s="654">
        <f t="shared" ref="N33:N38" si="17">M33/L33</f>
        <v>1</v>
      </c>
      <c r="O33" s="652" t="s">
        <v>1405</v>
      </c>
      <c r="P33" s="659">
        <f>(P27*L22^2+2*P29*L22*L24+P28*L24^2)</f>
        <v>3259.0658846483625</v>
      </c>
      <c r="Q33" s="659">
        <f>(Q27*M22^2+2*Q29*M22*M24+Q28*M24^2)</f>
        <v>3259.0658846483625</v>
      </c>
      <c r="R33" s="654">
        <f t="shared" si="16"/>
        <v>1</v>
      </c>
      <c r="S33" s="652"/>
      <c r="T33" s="656" t="s">
        <v>1406</v>
      </c>
      <c r="U33" s="656" t="s">
        <v>1407</v>
      </c>
      <c r="V33" s="656" t="s">
        <v>1408</v>
      </c>
      <c r="W33" s="656" t="s">
        <v>1409</v>
      </c>
      <c r="X33" s="656" t="s">
        <v>1410</v>
      </c>
      <c r="Y33" s="656" t="s">
        <v>1411</v>
      </c>
      <c r="AH33" s="669" t="s">
        <v>1412</v>
      </c>
      <c r="AI33" s="651">
        <f>AI32/2/AI14</f>
        <v>0.70079427640950798</v>
      </c>
      <c r="AJ33" s="651">
        <f>AJ32/2/AJ14</f>
        <v>-0.23978310538503464</v>
      </c>
      <c r="AK33" s="651">
        <f>AK32/2/AK14</f>
        <v>-0.58949866198072742</v>
      </c>
      <c r="AL33" s="651">
        <f>AL32/2/AL14</f>
        <v>-0.23978310538503464</v>
      </c>
      <c r="AM33" s="676"/>
      <c r="AO33" s="1058">
        <v>11</v>
      </c>
      <c r="AP33" s="867">
        <v>0.42585801120799222</v>
      </c>
      <c r="AQ33" s="867">
        <v>0.30660758274034833</v>
      </c>
      <c r="AR33" s="867">
        <v>0.36623279697417027</v>
      </c>
      <c r="AS33" s="651"/>
      <c r="AT33" s="652" t="s">
        <v>2011</v>
      </c>
      <c r="AU33" s="1127">
        <v>0.42227298263892804</v>
      </c>
      <c r="AV33" s="1127">
        <v>0.224853688313915</v>
      </c>
      <c r="AW33" s="1127">
        <v>0.33963394386440965</v>
      </c>
      <c r="AX33" s="1132"/>
    </row>
    <row r="34" spans="1:50">
      <c r="B34" s="652" t="s">
        <v>1413</v>
      </c>
      <c r="C34" s="652" t="s">
        <v>1577</v>
      </c>
      <c r="D34" s="652" t="s">
        <v>1578</v>
      </c>
      <c r="E34" s="652" t="s">
        <v>266</v>
      </c>
      <c r="F34" s="652" t="s">
        <v>267</v>
      </c>
      <c r="G34" s="652" t="s">
        <v>268</v>
      </c>
      <c r="H34" s="652" t="s">
        <v>1584</v>
      </c>
      <c r="I34" s="652" t="s">
        <v>1585</v>
      </c>
      <c r="J34" s="650" t="s">
        <v>1749</v>
      </c>
      <c r="K34" s="652" t="s">
        <v>1414</v>
      </c>
      <c r="L34" s="654">
        <f>L30/L27</f>
        <v>0.3199456812476853</v>
      </c>
      <c r="M34" s="654">
        <f>M30/M27</f>
        <v>0.3199456812476853</v>
      </c>
      <c r="N34" s="654">
        <f t="shared" si="17"/>
        <v>1</v>
      </c>
      <c r="O34" s="652" t="s">
        <v>1415</v>
      </c>
      <c r="P34" s="659">
        <f>(P27*L24^2+2*P29*L24*L23+P28*L23^2)</f>
        <v>9674.6427319793438</v>
      </c>
      <c r="Q34" s="659">
        <f>(Q27*M24^2+2*Q29*M24*M23+Q28*M23^2)</f>
        <v>9674.6427319793438</v>
      </c>
      <c r="R34" s="654">
        <f t="shared" si="16"/>
        <v>1</v>
      </c>
      <c r="S34" s="652">
        <v>1</v>
      </c>
      <c r="T34" s="655">
        <f>(($M$22+$M$24)/2*$Q$10+($M$24+$M$23)/2*$Q$11)*0.000001</f>
        <v>1.4469215246636769E-4</v>
      </c>
      <c r="U34" s="655">
        <f>(($M$22+$M$24)/2*$Q$13+($M$24+$M$23)/2*$Q$14)</f>
        <v>3.8139013452914794</v>
      </c>
      <c r="V34" s="676">
        <f>T34+T35*X31</f>
        <v>1.4469215246636769E-4</v>
      </c>
      <c r="W34" s="654">
        <f>U34+U35*X31</f>
        <v>3.8139013452914794</v>
      </c>
      <c r="X34" s="651">
        <f>(V34*V23+V35*V25+V36*V27)*1000000</f>
        <v>1.6094949494949489</v>
      </c>
      <c r="Y34" s="651">
        <f>(W34*V23+W35*V25+W36*V27)</f>
        <v>4.242424242424242E-2</v>
      </c>
      <c r="AH34" s="669"/>
      <c r="AI34" s="703"/>
      <c r="AJ34" s="676"/>
      <c r="AK34" s="676"/>
      <c r="AL34" s="676"/>
      <c r="AM34" s="676"/>
      <c r="AO34" s="1058">
        <v>22</v>
      </c>
      <c r="AP34" s="867">
        <v>0.42585801120799222</v>
      </c>
      <c r="AQ34" s="867">
        <v>0.30660758274034833</v>
      </c>
      <c r="AR34" s="867">
        <v>0.36623279697417027</v>
      </c>
      <c r="AS34" s="651"/>
      <c r="AT34" s="652" t="s">
        <v>2012</v>
      </c>
      <c r="AU34" s="867">
        <v>0.42227298263892804</v>
      </c>
      <c r="AV34" s="867">
        <v>0.224853688313915</v>
      </c>
      <c r="AW34" s="867">
        <v>0.33963394386440965</v>
      </c>
      <c r="AX34" s="1139"/>
    </row>
    <row r="35" spans="1:50">
      <c r="B35" s="652" t="s">
        <v>269</v>
      </c>
      <c r="C35" s="652" t="s">
        <v>270</v>
      </c>
      <c r="D35" s="652" t="s">
        <v>271</v>
      </c>
      <c r="E35" s="652" t="s">
        <v>272</v>
      </c>
      <c r="F35" s="652" t="s">
        <v>273</v>
      </c>
      <c r="G35" s="652" t="s">
        <v>274</v>
      </c>
      <c r="H35" s="652" t="s">
        <v>1588</v>
      </c>
      <c r="I35" s="652" t="s">
        <v>275</v>
      </c>
      <c r="J35" s="659">
        <f>Q33+Q34+2*Q36</f>
        <v>18139.872714920086</v>
      </c>
      <c r="K35" s="704" t="s">
        <v>1718</v>
      </c>
      <c r="L35" s="705">
        <f>2*(L27+L31)</f>
        <v>182.5336322869955</v>
      </c>
      <c r="M35" s="705">
        <f>2*(M27+M31)</f>
        <v>182.5336322869955</v>
      </c>
      <c r="N35" s="679">
        <f t="shared" si="17"/>
        <v>1</v>
      </c>
      <c r="O35" s="652" t="s">
        <v>1416</v>
      </c>
      <c r="P35" s="659">
        <f>(P27*L22*L24+P29*(L22*L23+L24^2)+P28*L24*L23)</f>
        <v>751.38759841235924</v>
      </c>
      <c r="Q35" s="659">
        <f>(Q27*M22*M24+Q29*(M22*M23+M24^2)+Q28*M24*M23)</f>
        <v>751.38759841235924</v>
      </c>
      <c r="R35" s="654">
        <f t="shared" si="16"/>
        <v>1</v>
      </c>
      <c r="S35" s="652">
        <v>2</v>
      </c>
      <c r="T35" s="655">
        <f>(($M$22-$M$24)/2*$Q$10+($M$24-$M$23)/2*$Q$11)*0.000001</f>
        <v>-5.9696636771300428E-5</v>
      </c>
      <c r="U35" s="655">
        <f>(($M$22-$M$24)/2*$Q$13+($M$24-$M$23)/2*$Q$14)</f>
        <v>-1.6345291479820623</v>
      </c>
      <c r="V35" s="676">
        <f>T34-T35*X31</f>
        <v>1.4469215246636769E-4</v>
      </c>
      <c r="W35" s="654">
        <f>U34-U35*X31</f>
        <v>3.8139013452914794</v>
      </c>
      <c r="X35" s="651">
        <f>(V34*V25+V35*V24+V36*V28)*1000000</f>
        <v>1.6094949494949498</v>
      </c>
      <c r="Y35" s="651">
        <f>(W34*V25+W35*V24+W36*V28)</f>
        <v>4.2424242424242434E-2</v>
      </c>
      <c r="AH35" s="669"/>
      <c r="AI35" s="703"/>
      <c r="AJ35" s="676"/>
      <c r="AK35" s="676"/>
      <c r="AL35" s="676"/>
      <c r="AM35" s="676"/>
      <c r="AO35" s="1058">
        <v>12</v>
      </c>
      <c r="AP35" s="867">
        <v>3.9073176688688926E-2</v>
      </c>
      <c r="AQ35" s="867">
        <v>0.15832360515633279</v>
      </c>
      <c r="AR35" s="867">
        <v>9.8698390922510856E-2</v>
      </c>
      <c r="AS35" s="651"/>
      <c r="AT35" s="652" t="s">
        <v>1745</v>
      </c>
      <c r="AU35" s="1128">
        <v>9.1751653509707723E-2</v>
      </c>
      <c r="AV35" s="1128">
        <v>0.51600000000000001</v>
      </c>
      <c r="AW35" s="1128">
        <v>4.8263268385395838E-3</v>
      </c>
      <c r="AX35" s="1132"/>
    </row>
    <row r="36" spans="1:50">
      <c r="B36" s="652" t="s">
        <v>1568</v>
      </c>
      <c r="C36" s="652" t="s">
        <v>276</v>
      </c>
      <c r="D36" s="652" t="s">
        <v>277</v>
      </c>
      <c r="E36" s="652" t="s">
        <v>278</v>
      </c>
      <c r="F36" s="652" t="s">
        <v>279</v>
      </c>
      <c r="G36" s="652" t="s">
        <v>280</v>
      </c>
      <c r="H36" s="652" t="s">
        <v>281</v>
      </c>
      <c r="I36" s="652" t="s">
        <v>282</v>
      </c>
      <c r="K36" s="652" t="s">
        <v>1417</v>
      </c>
      <c r="L36" s="654">
        <f>$E$30</f>
        <v>1.6</v>
      </c>
      <c r="M36" s="654">
        <f>M37*(1-$M$11)+M38*$M$11</f>
        <v>1.6</v>
      </c>
      <c r="N36" s="654">
        <f t="shared" si="17"/>
        <v>1</v>
      </c>
      <c r="O36" s="652" t="s">
        <v>1418</v>
      </c>
      <c r="P36" s="659">
        <f>P30*L25^2</f>
        <v>2603.0820491461891</v>
      </c>
      <c r="Q36" s="659">
        <f>Q30*M25^2</f>
        <v>2603.0820491461891</v>
      </c>
      <c r="R36" s="654">
        <f t="shared" si="16"/>
        <v>1</v>
      </c>
      <c r="S36" s="652">
        <v>6</v>
      </c>
      <c r="T36" s="656" t="s">
        <v>1419</v>
      </c>
      <c r="U36" s="656" t="s">
        <v>1420</v>
      </c>
      <c r="V36" s="676">
        <f>T35*X32</f>
        <v>-3.313829031809125E-21</v>
      </c>
      <c r="W36" s="654">
        <f>U35*X32</f>
        <v>-9.0734594725531264E-17</v>
      </c>
      <c r="X36" s="651">
        <f>(V34*V27+V35*V28+V36*V26)*1000000</f>
        <v>-2.6654710506332225E-16</v>
      </c>
      <c r="Y36" s="651">
        <f>(W34*V27+W35*V28+W36*V26)</f>
        <v>-7.1720637839859653E-18</v>
      </c>
      <c r="AH36" s="669"/>
      <c r="AI36" s="703"/>
      <c r="AJ36" s="676"/>
      <c r="AK36" s="676"/>
      <c r="AL36" s="676"/>
      <c r="AM36" s="669" t="s">
        <v>1421</v>
      </c>
      <c r="AO36" s="1058">
        <v>66</v>
      </c>
      <c r="AP36" s="867">
        <v>7.4141988792007785E-2</v>
      </c>
      <c r="AQ36" s="867">
        <v>0.19339241725965164</v>
      </c>
      <c r="AR36" s="867">
        <v>0.13376720302582973</v>
      </c>
      <c r="AS36" s="651"/>
      <c r="AT36" s="652" t="s">
        <v>2013</v>
      </c>
      <c r="AU36" s="867">
        <v>7.4141988792007785E-2</v>
      </c>
      <c r="AV36" s="867">
        <v>0.19339241725965164</v>
      </c>
      <c r="AW36" s="867">
        <v>0.13376720302582973</v>
      </c>
      <c r="AX36" s="1132"/>
    </row>
    <row r="37" spans="1:50">
      <c r="B37" s="653" t="s">
        <v>1591</v>
      </c>
      <c r="C37" s="653" t="s">
        <v>1592</v>
      </c>
      <c r="D37" s="653" t="s">
        <v>1537</v>
      </c>
      <c r="E37" s="653" t="s">
        <v>1539</v>
      </c>
      <c r="F37" s="652" t="s">
        <v>295</v>
      </c>
      <c r="G37" s="652" t="s">
        <v>283</v>
      </c>
      <c r="H37" s="652" t="s">
        <v>284</v>
      </c>
      <c r="I37" s="652" t="s">
        <v>285</v>
      </c>
      <c r="K37" s="652" t="s">
        <v>1587</v>
      </c>
      <c r="L37" s="654">
        <f>$G$29</f>
        <v>1.2</v>
      </c>
      <c r="M37" s="654">
        <f>L37</f>
        <v>1.2</v>
      </c>
      <c r="N37" s="654">
        <f t="shared" si="17"/>
        <v>1</v>
      </c>
      <c r="O37" s="652" t="s">
        <v>1422</v>
      </c>
      <c r="P37" s="659">
        <f>(P31*L22+P32*L24)</f>
        <v>-14.677206152245681</v>
      </c>
      <c r="Q37" s="659">
        <f>(Q31*M22+Q32*M24)</f>
        <v>-14.677206152245681</v>
      </c>
      <c r="R37" s="654">
        <f t="shared" si="16"/>
        <v>1</v>
      </c>
      <c r="S37" s="652">
        <v>1</v>
      </c>
      <c r="T37" s="655">
        <f>$Q$7*V34+$Q$3*W34</f>
        <v>4.6002914798206288E-3</v>
      </c>
      <c r="U37" s="655">
        <f>$Q$7*X34/1000000+$Q$3*Y34</f>
        <v>5.1171717171717197E-5</v>
      </c>
      <c r="V37" s="656" t="s">
        <v>1423</v>
      </c>
      <c r="W37" s="655">
        <f>$Q$7*$Q$10/1000000+$Q$3*$Q$13</f>
        <v>-1.9999999999999999E-6</v>
      </c>
      <c r="X37" s="651">
        <f>U37-W37</f>
        <v>5.3171717171717198E-5</v>
      </c>
      <c r="AH37" s="652" t="s">
        <v>1424</v>
      </c>
      <c r="AI37" s="651">
        <f>IF(AI3=0,10000000,(AI33^2-AI30/AI14)^0.5-AI33)</f>
        <v>1.4720142628253292</v>
      </c>
      <c r="AJ37" s="651">
        <f>IF(AJ3=0,10000000,(AJ33^2-AJ30/AJ14)^0.5-AJ33)</f>
        <v>1.8605364402345959</v>
      </c>
      <c r="AK37" s="651">
        <f>IF(AK3=0,10000000,(AK33^2-AK30/AK14)^0.5-AK33)</f>
        <v>2.0110081647707334</v>
      </c>
      <c r="AL37" s="651">
        <f>IF(AL3=0,10000000,(AL33^2-AL30/AL14)^0.5-AL33)</f>
        <v>1.8605364402345959</v>
      </c>
      <c r="AM37" s="651">
        <f>MIN(AI37:AL37)</f>
        <v>1.4720142628253292</v>
      </c>
      <c r="AO37" s="1058">
        <v>16</v>
      </c>
      <c r="AP37" s="867">
        <v>1.1355810817821202E-18</v>
      </c>
      <c r="AQ37" s="867">
        <v>7.9530572993610985E-18</v>
      </c>
      <c r="AR37" s="867">
        <v>0</v>
      </c>
      <c r="AS37" s="651"/>
      <c r="AT37" s="652" t="s">
        <v>2014</v>
      </c>
      <c r="AU37" s="867">
        <v>7.4661166714362017E-20</v>
      </c>
      <c r="AV37" s="867">
        <v>-1.1167715678606199E-18</v>
      </c>
      <c r="AW37" s="867">
        <v>2.8694667320612098E-19</v>
      </c>
      <c r="AX37" s="1132"/>
    </row>
    <row r="38" spans="1:50">
      <c r="B38" s="653" t="s">
        <v>286</v>
      </c>
      <c r="C38" s="653" t="s">
        <v>287</v>
      </c>
      <c r="D38" s="652" t="s">
        <v>288</v>
      </c>
      <c r="E38" s="652" t="s">
        <v>289</v>
      </c>
      <c r="F38" s="652" t="s">
        <v>290</v>
      </c>
      <c r="J38" s="654">
        <f>M27+M28+M29</f>
        <v>163.45291479820628</v>
      </c>
      <c r="K38" s="652" t="s">
        <v>1425</v>
      </c>
      <c r="L38" s="654">
        <f>(L36-L37*(1-$L$11))/$L$11</f>
        <v>1.8250000000000002</v>
      </c>
      <c r="M38" s="654">
        <f>L38</f>
        <v>1.8250000000000002</v>
      </c>
      <c r="N38" s="654">
        <f t="shared" si="17"/>
        <v>1</v>
      </c>
      <c r="O38" s="652" t="s">
        <v>1426</v>
      </c>
      <c r="P38" s="659">
        <f>(P31*L24+P32*L23)</f>
        <v>100.38812557756911</v>
      </c>
      <c r="Q38" s="659">
        <f>(Q31*M24+Q32*M23)</f>
        <v>100.38812557756911</v>
      </c>
      <c r="R38" s="654">
        <f t="shared" si="16"/>
        <v>1</v>
      </c>
      <c r="S38" s="652">
        <v>2</v>
      </c>
      <c r="T38" s="655">
        <f>$Q$7*V35+$Q$3*W35</f>
        <v>4.6002914798206288E-3</v>
      </c>
      <c r="U38" s="655">
        <f>$Q$7*X35/1000000+$Q$3*Y35</f>
        <v>5.1171717171717197E-5</v>
      </c>
      <c r="V38" s="656" t="s">
        <v>1427</v>
      </c>
      <c r="W38" s="655">
        <f>$Q$7*$Q$11/1000000+$Q$3*$Q$14</f>
        <v>7.5000000000000023E-4</v>
      </c>
      <c r="X38" s="651">
        <f>U38-W38</f>
        <v>-6.9882828282828301E-4</v>
      </c>
      <c r="AH38" s="652"/>
      <c r="AO38" s="1058">
        <v>26</v>
      </c>
      <c r="AP38" s="867">
        <v>1.5745528900214596E-17</v>
      </c>
      <c r="AQ38" s="867">
        <v>-7.9530572993610985E-18</v>
      </c>
      <c r="AR38" s="867">
        <v>7.9530572993610985E-18</v>
      </c>
      <c r="AS38" s="651"/>
      <c r="AT38" s="652" t="s">
        <v>2015</v>
      </c>
      <c r="AU38" s="867">
        <v>-3.7781008353301342E-18</v>
      </c>
      <c r="AV38" s="867">
        <v>1.1167715678606199E-18</v>
      </c>
      <c r="AW38" s="867">
        <v>-1.064751732307547E-18</v>
      </c>
      <c r="AX38" s="1132"/>
    </row>
    <row r="39" spans="1:50" ht="16.2" thickBot="1">
      <c r="B39" s="674" t="s">
        <v>1913</v>
      </c>
      <c r="C39" s="651">
        <f>J41</f>
        <v>0.37312676575359294</v>
      </c>
      <c r="D39" s="651">
        <f>J42</f>
        <v>0.4228595995577939</v>
      </c>
      <c r="E39" s="651">
        <f>J43</f>
        <v>9.9481021987470844E-2</v>
      </c>
      <c r="F39" s="651">
        <f>J44</f>
        <v>0.11938029726077878</v>
      </c>
      <c r="G39" s="651">
        <f>J45</f>
        <v>0.12687323424640706</v>
      </c>
      <c r="M39" s="650">
        <f>M22+M23+2*M25</f>
        <v>182.53363228699553</v>
      </c>
      <c r="O39" s="650" t="s">
        <v>1762</v>
      </c>
      <c r="P39" s="650">
        <f>(P33+P34+2*P36)^0.5</f>
        <v>134.68434472840593</v>
      </c>
      <c r="Q39" s="650">
        <f>(Q37+Q38)/2</f>
        <v>42.855459712661713</v>
      </c>
      <c r="R39" s="650">
        <f>1/P39</f>
        <v>7.424767904662735E-3</v>
      </c>
      <c r="S39" s="652">
        <v>6</v>
      </c>
      <c r="T39" s="655">
        <f>$Q$7*V36+$Q$3*W36</f>
        <v>-1.2229007044674378E-19</v>
      </c>
      <c r="U39" s="655">
        <f>$Q$7*X36/1000000+$Q$3*Y36</f>
        <v>-9.2056084135976024E-21</v>
      </c>
      <c r="V39" s="656" t="s">
        <v>1429</v>
      </c>
      <c r="W39" s="655">
        <f>0</f>
        <v>0</v>
      </c>
      <c r="X39" s="651">
        <f>U39-W39</f>
        <v>-9.2056084135976024E-21</v>
      </c>
      <c r="AO39" s="1134" t="s">
        <v>1988</v>
      </c>
      <c r="AP39" s="1135">
        <f>AP33+AP34+2*AP36</f>
        <v>1</v>
      </c>
      <c r="AQ39" s="1135">
        <f>AQ33+AQ34+2*AQ36</f>
        <v>1</v>
      </c>
      <c r="AR39" s="1135">
        <f>AR33+AR34+2*AR36</f>
        <v>1</v>
      </c>
      <c r="AS39" s="1135"/>
      <c r="AT39" s="1052"/>
      <c r="AU39" s="1052"/>
      <c r="AV39" s="1052"/>
      <c r="AW39" s="1052"/>
      <c r="AX39" s="1136"/>
    </row>
    <row r="40" spans="1:50" ht="16.2">
      <c r="A40" s="1446" t="s">
        <v>2198</v>
      </c>
      <c r="B40" s="1447"/>
      <c r="C40" s="1448"/>
      <c r="D40" s="1448"/>
      <c r="E40" s="1448"/>
      <c r="F40" s="1449"/>
      <c r="I40" s="650" t="s">
        <v>1910</v>
      </c>
      <c r="K40" s="653" t="s">
        <v>291</v>
      </c>
      <c r="L40" s="652"/>
      <c r="M40" s="652"/>
      <c r="O40" s="650" t="s">
        <v>1551</v>
      </c>
      <c r="Q40" s="654"/>
      <c r="S40" s="650" t="s">
        <v>1430</v>
      </c>
      <c r="AA40" s="650" t="s">
        <v>529</v>
      </c>
      <c r="AG40" s="659"/>
      <c r="AH40" s="650" t="s">
        <v>530</v>
      </c>
    </row>
    <row r="41" spans="1:50">
      <c r="A41" s="1450" t="s">
        <v>2195</v>
      </c>
      <c r="B41" s="1451">
        <f>B97</f>
        <v>22.499999999999982</v>
      </c>
      <c r="C41" s="1452"/>
      <c r="D41" s="1452"/>
      <c r="E41" s="1452"/>
      <c r="F41" s="1453"/>
      <c r="I41" s="650" t="s">
        <v>1380</v>
      </c>
      <c r="J41" s="651">
        <f>M27/$M$35</f>
        <v>0.37312676575359294</v>
      </c>
      <c r="K41" s="653" t="str">
        <f>$B$28</f>
        <v>T800/Cyt[SI]</v>
      </c>
      <c r="L41" s="653"/>
      <c r="M41" s="652"/>
      <c r="O41" s="652" t="s">
        <v>1567</v>
      </c>
      <c r="P41" s="659">
        <f>P2</f>
        <v>22</v>
      </c>
      <c r="Q41" s="659">
        <f>$C$18</f>
        <v>22</v>
      </c>
      <c r="R41" s="660">
        <f t="shared" ref="R41:R46" si="18">Q41/P41</f>
        <v>1</v>
      </c>
      <c r="S41" s="653"/>
      <c r="Y41" s="656"/>
      <c r="AA41" s="652" t="s">
        <v>531</v>
      </c>
      <c r="AB41" s="661">
        <f t="shared" ref="AB41:AE43" si="19">T43</f>
        <v>0</v>
      </c>
      <c r="AC41" s="661">
        <f t="shared" si="19"/>
        <v>45</v>
      </c>
      <c r="AD41" s="661">
        <f t="shared" si="19"/>
        <v>90</v>
      </c>
      <c r="AE41" s="661">
        <f t="shared" si="19"/>
        <v>-45</v>
      </c>
      <c r="AF41" s="652" t="s">
        <v>532</v>
      </c>
      <c r="AG41" s="656" t="s">
        <v>533</v>
      </c>
      <c r="AH41" s="652" t="s">
        <v>531</v>
      </c>
      <c r="AI41" s="661">
        <f t="shared" ref="AI41:AL43" si="20">AB41</f>
        <v>0</v>
      </c>
      <c r="AJ41" s="661">
        <f t="shared" si="20"/>
        <v>45</v>
      </c>
      <c r="AK41" s="661">
        <f t="shared" si="20"/>
        <v>90</v>
      </c>
      <c r="AL41" s="661">
        <f t="shared" si="20"/>
        <v>-45</v>
      </c>
    </row>
    <row r="42" spans="1:50" ht="16.2" thickBot="1">
      <c r="A42" s="1454" t="s">
        <v>2196</v>
      </c>
      <c r="B42" s="1455">
        <f>B98</f>
        <v>67.5</v>
      </c>
      <c r="C42" s="1456"/>
      <c r="D42" s="1457" t="s">
        <v>2197</v>
      </c>
      <c r="E42" s="1458">
        <f>H4/4</f>
        <v>4</v>
      </c>
      <c r="F42" s="1459"/>
      <c r="I42" s="650" t="s">
        <v>1384</v>
      </c>
      <c r="J42" s="651">
        <f>M28/$M$35</f>
        <v>0.4228595995577939</v>
      </c>
      <c r="K42" s="652"/>
      <c r="L42" s="652"/>
      <c r="M42" s="652"/>
      <c r="O42" s="652" t="s">
        <v>1573</v>
      </c>
      <c r="P42" s="651">
        <f>P3</f>
        <v>5.0000000000000001E-3</v>
      </c>
      <c r="Q42" s="651">
        <f>$D$18</f>
        <v>5.0000000000000001E-3</v>
      </c>
      <c r="R42" s="660">
        <f t="shared" si="18"/>
        <v>1</v>
      </c>
      <c r="S42" s="652" t="s">
        <v>535</v>
      </c>
      <c r="T42" s="656" t="s">
        <v>1562</v>
      </c>
      <c r="U42" s="656" t="s">
        <v>1563</v>
      </c>
      <c r="V42" s="656" t="s">
        <v>1564</v>
      </c>
      <c r="W42" s="656" t="s">
        <v>1565</v>
      </c>
      <c r="X42" s="656"/>
      <c r="Y42" s="656"/>
      <c r="AA42" s="652" t="s">
        <v>536</v>
      </c>
      <c r="AB42" s="665">
        <f t="shared" si="19"/>
        <v>1</v>
      </c>
      <c r="AC42" s="665">
        <f t="shared" si="19"/>
        <v>1</v>
      </c>
      <c r="AD42" s="665">
        <f t="shared" si="19"/>
        <v>1</v>
      </c>
      <c r="AE42" s="665">
        <f t="shared" si="19"/>
        <v>1</v>
      </c>
      <c r="AF42" s="652">
        <f>X44</f>
        <v>2</v>
      </c>
      <c r="AG42" s="661">
        <f>Y44</f>
        <v>0</v>
      </c>
      <c r="AH42" s="652" t="s">
        <v>536</v>
      </c>
      <c r="AI42" s="661">
        <f t="shared" si="20"/>
        <v>1</v>
      </c>
      <c r="AJ42" s="661">
        <f t="shared" si="20"/>
        <v>1</v>
      </c>
      <c r="AK42" s="661">
        <f t="shared" si="20"/>
        <v>1</v>
      </c>
      <c r="AL42" s="661">
        <f t="shared" si="20"/>
        <v>1</v>
      </c>
    </row>
    <row r="43" spans="1:50">
      <c r="I43" s="650" t="s">
        <v>1388</v>
      </c>
      <c r="J43" s="651">
        <f>M29/$M$35</f>
        <v>9.9481021987470844E-2</v>
      </c>
      <c r="K43" s="652" t="s">
        <v>1553</v>
      </c>
      <c r="L43" s="652" t="s">
        <v>1554</v>
      </c>
      <c r="M43" s="652" t="s">
        <v>1555</v>
      </c>
      <c r="N43" s="665" t="s">
        <v>1556</v>
      </c>
      <c r="O43" s="652" t="s">
        <v>1557</v>
      </c>
      <c r="P43" s="659">
        <f>$H$28</f>
        <v>122</v>
      </c>
      <c r="Q43" s="659">
        <f>P43</f>
        <v>122</v>
      </c>
      <c r="R43" s="660">
        <f t="shared" si="18"/>
        <v>1</v>
      </c>
      <c r="S43" s="652" t="s">
        <v>537</v>
      </c>
      <c r="T43" s="666">
        <f>T4</f>
        <v>0</v>
      </c>
      <c r="U43" s="666">
        <f>U4</f>
        <v>45</v>
      </c>
      <c r="V43" s="666">
        <f>V4</f>
        <v>90</v>
      </c>
      <c r="W43" s="666">
        <f>W4</f>
        <v>-45</v>
      </c>
      <c r="X43" s="656" t="s">
        <v>1432</v>
      </c>
      <c r="Y43" s="656"/>
      <c r="AA43" s="652" t="s">
        <v>539</v>
      </c>
      <c r="AB43" s="665">
        <f t="shared" si="19"/>
        <v>0</v>
      </c>
      <c r="AC43" s="665">
        <f t="shared" si="19"/>
        <v>1.5707963267948966</v>
      </c>
      <c r="AD43" s="665">
        <f t="shared" si="19"/>
        <v>3.1415926535897931</v>
      </c>
      <c r="AE43" s="665">
        <f t="shared" si="19"/>
        <v>-1.5707963267948966</v>
      </c>
      <c r="AF43" s="652" t="s">
        <v>540</v>
      </c>
      <c r="AG43" s="655">
        <f>$X$12</f>
        <v>2E-3</v>
      </c>
      <c r="AH43" s="652" t="s">
        <v>539</v>
      </c>
      <c r="AI43" s="661">
        <f t="shared" si="20"/>
        <v>0</v>
      </c>
      <c r="AJ43" s="661">
        <f t="shared" si="20"/>
        <v>1.5707963267948966</v>
      </c>
      <c r="AK43" s="661">
        <f t="shared" si="20"/>
        <v>3.1415926535897931</v>
      </c>
      <c r="AL43" s="661">
        <f t="shared" si="20"/>
        <v>-1.5707963267948966</v>
      </c>
    </row>
    <row r="44" spans="1:50">
      <c r="I44" s="650" t="s">
        <v>1391</v>
      </c>
      <c r="J44" s="651">
        <f>M30/$M$35</f>
        <v>0.11938029726077878</v>
      </c>
      <c r="K44" s="652" t="s">
        <v>298</v>
      </c>
      <c r="L44" s="654">
        <f>$C$28</f>
        <v>162</v>
      </c>
      <c r="M44" s="654">
        <f>M51*M50</f>
        <v>162</v>
      </c>
      <c r="N44" s="660">
        <f>M44/L44</f>
        <v>1</v>
      </c>
      <c r="O44" s="652" t="s">
        <v>299</v>
      </c>
      <c r="P44" s="659">
        <f>$I$28</f>
        <v>160</v>
      </c>
      <c r="Q44" s="659">
        <f>P44-$I$31*Q42</f>
        <v>150</v>
      </c>
      <c r="R44" s="660">
        <f t="shared" si="18"/>
        <v>0.9375</v>
      </c>
      <c r="S44" s="652" t="s">
        <v>541</v>
      </c>
      <c r="T44" s="666">
        <f>C4</f>
        <v>1</v>
      </c>
      <c r="U44" s="666">
        <f>D4</f>
        <v>1</v>
      </c>
      <c r="V44" s="666">
        <f>E4</f>
        <v>1</v>
      </c>
      <c r="W44" s="666">
        <f>F4</f>
        <v>1</v>
      </c>
      <c r="X44" s="668">
        <f>G4</f>
        <v>2</v>
      </c>
      <c r="Y44" s="661"/>
      <c r="AA44" s="652"/>
      <c r="AB44" s="655"/>
      <c r="AC44" s="655"/>
      <c r="AD44" s="655"/>
      <c r="AE44" s="655"/>
      <c r="AF44" s="656"/>
    </row>
    <row r="45" spans="1:50">
      <c r="I45" s="650" t="s">
        <v>1396</v>
      </c>
      <c r="J45" s="651">
        <f>M31/$M$35</f>
        <v>0.12687323424640706</v>
      </c>
      <c r="K45" s="652" t="s">
        <v>1579</v>
      </c>
      <c r="L45" s="654">
        <f>$D$28</f>
        <v>9</v>
      </c>
      <c r="M45" s="654">
        <f>(1+M54)/(1/M55+M54/M52)</f>
        <v>2.047975352112676</v>
      </c>
      <c r="N45" s="660">
        <f>M45/L45</f>
        <v>0.22755281690140844</v>
      </c>
      <c r="O45" s="652" t="s">
        <v>1580</v>
      </c>
      <c r="P45" s="654">
        <f>(P44-P41)/(P44-P41)</f>
        <v>1</v>
      </c>
      <c r="Q45" s="654">
        <f>(Q44-Q41)/(Q44-P41)</f>
        <v>1</v>
      </c>
      <c r="R45" s="660">
        <f t="shared" si="18"/>
        <v>1</v>
      </c>
      <c r="S45" s="652" t="s">
        <v>1295</v>
      </c>
      <c r="T45" s="660">
        <f>T43*PI()/90</f>
        <v>0</v>
      </c>
      <c r="U45" s="660">
        <f>U43*PI()/90</f>
        <v>1.5707963267948966</v>
      </c>
      <c r="V45" s="660">
        <f>V43*PI()/90</f>
        <v>3.1415926535897931</v>
      </c>
      <c r="W45" s="660">
        <f>W43*PI()/90</f>
        <v>-1.5707963267948966</v>
      </c>
      <c r="X45" s="656" t="s">
        <v>1433</v>
      </c>
      <c r="Y45" s="669"/>
      <c r="Z45" s="652"/>
      <c r="AA45" s="653" t="s">
        <v>1434</v>
      </c>
      <c r="AB45" s="656"/>
      <c r="AC45" s="656"/>
      <c r="AD45" s="655"/>
      <c r="AE45" s="655"/>
      <c r="AF45" s="655"/>
      <c r="AH45" s="653" t="s">
        <v>1298</v>
      </c>
      <c r="AM45" s="652" t="s">
        <v>1299</v>
      </c>
    </row>
    <row r="46" spans="1:50">
      <c r="B46" s="651"/>
      <c r="C46" s="651"/>
      <c r="D46" s="651"/>
      <c r="E46" s="651"/>
      <c r="F46" s="651"/>
      <c r="G46" s="651"/>
      <c r="H46" s="651"/>
      <c r="I46" s="651" t="s">
        <v>1756</v>
      </c>
      <c r="K46" s="652" t="s">
        <v>259</v>
      </c>
      <c r="L46" s="654">
        <f>$E$28</f>
        <v>0.4</v>
      </c>
      <c r="M46" s="654">
        <f>L46*J18</f>
        <v>0.06</v>
      </c>
      <c r="N46" s="660">
        <f>M46/L46</f>
        <v>0.15</v>
      </c>
      <c r="O46" s="652" t="s">
        <v>260</v>
      </c>
      <c r="P46" s="659">
        <f>P41-P43</f>
        <v>-100</v>
      </c>
      <c r="Q46" s="659">
        <f>Q41-Q43</f>
        <v>-100</v>
      </c>
      <c r="R46" s="660">
        <f t="shared" si="18"/>
        <v>1</v>
      </c>
      <c r="S46" s="652" t="s">
        <v>1300</v>
      </c>
      <c r="T46" s="660">
        <f>2*T45</f>
        <v>0</v>
      </c>
      <c r="U46" s="660">
        <f>2*U45</f>
        <v>3.1415926535897931</v>
      </c>
      <c r="V46" s="660">
        <f>2*V45</f>
        <v>6.2831853071795862</v>
      </c>
      <c r="W46" s="660">
        <f>2*W45</f>
        <v>-3.1415926535897931</v>
      </c>
      <c r="X46" s="661">
        <f>H4/X44/2</f>
        <v>4</v>
      </c>
      <c r="Y46" s="661"/>
      <c r="Z46" s="655"/>
      <c r="AA46" s="652"/>
      <c r="AB46" s="656" t="s">
        <v>1301</v>
      </c>
      <c r="AC46" s="656"/>
      <c r="AD46" s="672" t="s">
        <v>1302</v>
      </c>
      <c r="AE46" s="706" t="s">
        <v>1922</v>
      </c>
      <c r="AF46" s="656" t="s">
        <v>1303</v>
      </c>
      <c r="AG46" s="656" t="s">
        <v>1304</v>
      </c>
      <c r="AH46" s="652" t="s">
        <v>1305</v>
      </c>
      <c r="AI46" s="651">
        <f t="shared" ref="AI46:AL48" si="21">AB52/1000</f>
        <v>-8.9841816831734197E-3</v>
      </c>
      <c r="AJ46" s="651">
        <f t="shared" si="21"/>
        <v>-3.043191224837343E-3</v>
      </c>
      <c r="AK46" s="651">
        <f t="shared" si="21"/>
        <v>2.8977992334987342E-3</v>
      </c>
      <c r="AL46" s="651">
        <f t="shared" si="21"/>
        <v>-3.043191224837343E-3</v>
      </c>
      <c r="AM46" s="651">
        <f>($U$87+$U$88)/2</f>
        <v>7.9363626894633622E-6</v>
      </c>
    </row>
    <row r="47" spans="1:50">
      <c r="B47" s="651"/>
      <c r="C47" s="651"/>
      <c r="D47" s="651"/>
      <c r="E47" s="651"/>
      <c r="F47" s="651"/>
      <c r="G47" s="651"/>
      <c r="H47" s="651"/>
      <c r="I47" s="651" t="s">
        <v>1380</v>
      </c>
      <c r="J47" s="654">
        <f>J41/0.371293893404643</f>
        <v>1.0049364462532444</v>
      </c>
      <c r="K47" s="652" t="s">
        <v>261</v>
      </c>
      <c r="L47" s="654">
        <f>$F$28</f>
        <v>5</v>
      </c>
      <c r="M47" s="654">
        <f>(1+M57)/(1/M58+M57*2.7/M52)</f>
        <v>1.1281070745697899</v>
      </c>
      <c r="N47" s="660">
        <f>M47/L47</f>
        <v>0.22562141491395798</v>
      </c>
      <c r="O47" s="652"/>
      <c r="P47" s="654"/>
      <c r="Q47" s="654"/>
      <c r="R47" s="654"/>
      <c r="S47" s="650" t="s">
        <v>1368</v>
      </c>
      <c r="T47" s="652" t="str">
        <f>IF(C4=0,$I$27,IF(AB17&gt;0,$G$27,$H$27))</f>
        <v>no</v>
      </c>
      <c r="U47" s="652" t="str">
        <f>IF(D4=0,$I$27,IF(AC17&gt;0,$G$27,$H$27))</f>
        <v>no</v>
      </c>
      <c r="V47" s="652" t="str">
        <f>IF(E4=0,$I$27,IF(AD17&gt;0,$G$27,$H$27))</f>
        <v>no</v>
      </c>
      <c r="W47" s="652" t="str">
        <f>IF(F4=0,$I$27,IF(AE17&gt;0,$G$27,$H$27))</f>
        <v>no</v>
      </c>
      <c r="X47" s="656"/>
      <c r="Y47" s="656"/>
      <c r="Z47" s="655"/>
      <c r="AA47" s="652">
        <v>1</v>
      </c>
      <c r="AB47" s="654">
        <f>C7</f>
        <v>-1</v>
      </c>
      <c r="AC47" s="654"/>
      <c r="AD47" s="654">
        <f>AB47*T62+AB48*T64+AB49*T66</f>
        <v>-8.9841816831734196</v>
      </c>
      <c r="AE47" s="707">
        <f>B29/C28</f>
        <v>23.25925925925926</v>
      </c>
      <c r="AF47" s="665" t="s">
        <v>1306</v>
      </c>
      <c r="AG47" s="654">
        <f>(AD47+AD48)/2</f>
        <v>-3.0431912248373427</v>
      </c>
      <c r="AH47" s="652" t="s">
        <v>1307</v>
      </c>
      <c r="AI47" s="651">
        <f t="shared" si="21"/>
        <v>2.8977992334987342E-3</v>
      </c>
      <c r="AJ47" s="651">
        <f t="shared" si="21"/>
        <v>-3.0431912248373421E-3</v>
      </c>
      <c r="AK47" s="651">
        <f t="shared" si="21"/>
        <v>-8.9841816831734197E-3</v>
      </c>
      <c r="AL47" s="651">
        <f t="shared" si="21"/>
        <v>-3.0431912248373421E-3</v>
      </c>
      <c r="AM47" s="651">
        <f>($U$87-$U$88)/2</f>
        <v>4.0657581468206416E-20</v>
      </c>
    </row>
    <row r="48" spans="1:50">
      <c r="B48" s="651"/>
      <c r="C48" s="651"/>
      <c r="D48" s="651"/>
      <c r="E48" s="651"/>
      <c r="F48" s="651"/>
      <c r="G48" s="651"/>
      <c r="H48" s="651"/>
      <c r="I48" s="651" t="s">
        <v>1384</v>
      </c>
      <c r="J48" s="654">
        <f>J42/0.420772342384314</f>
        <v>1.0049605379518349</v>
      </c>
      <c r="K48" s="652" t="s">
        <v>262</v>
      </c>
      <c r="L48" s="659">
        <f>$C$30</f>
        <v>125</v>
      </c>
      <c r="M48" s="659">
        <f>L48/N50</f>
        <v>125</v>
      </c>
      <c r="N48" s="660">
        <f>M48/L48</f>
        <v>1</v>
      </c>
      <c r="O48" s="653" t="s">
        <v>1531</v>
      </c>
      <c r="P48" s="654"/>
      <c r="Q48" s="654"/>
      <c r="R48" s="654"/>
      <c r="S48" s="652" t="s">
        <v>1308</v>
      </c>
      <c r="T48" s="660">
        <v>1</v>
      </c>
      <c r="U48" s="660">
        <f>T49</f>
        <v>0.75</v>
      </c>
      <c r="V48" s="660">
        <f>U49</f>
        <v>0.5</v>
      </c>
      <c r="W48" s="660">
        <f>V49</f>
        <v>0.25</v>
      </c>
      <c r="X48" s="673"/>
      <c r="Y48" s="656"/>
      <c r="Z48" s="655"/>
      <c r="AA48" s="652">
        <v>2</v>
      </c>
      <c r="AB48" s="654">
        <f>C8</f>
        <v>0</v>
      </c>
      <c r="AC48" s="654"/>
      <c r="AD48" s="654">
        <f>AB47*T64+AB48*T63+AB49*T67</f>
        <v>2.8977992334987346</v>
      </c>
      <c r="AE48" s="707">
        <f>C29/C28</f>
        <v>10.222222222222221</v>
      </c>
      <c r="AF48" s="665" t="s">
        <v>1309</v>
      </c>
      <c r="AG48" s="654">
        <f>(AD47-AD48)/2</f>
        <v>-5.9409904583360769</v>
      </c>
      <c r="AH48" s="652" t="s">
        <v>1310</v>
      </c>
      <c r="AI48" s="651">
        <f t="shared" si="21"/>
        <v>-2.4465119844861618E-19</v>
      </c>
      <c r="AJ48" s="651">
        <f t="shared" si="21"/>
        <v>1.1881980916672153E-2</v>
      </c>
      <c r="AK48" s="651">
        <f t="shared" si="21"/>
        <v>1.7003702545800759E-18</v>
      </c>
      <c r="AL48" s="651">
        <f t="shared" si="21"/>
        <v>-1.1881980916672153E-2</v>
      </c>
      <c r="AM48" s="651">
        <f>$U$89/2</f>
        <v>-3.3501986970915764E-22</v>
      </c>
    </row>
    <row r="49" spans="1:39">
      <c r="B49" s="651"/>
      <c r="C49" s="651"/>
      <c r="D49" s="651"/>
      <c r="E49" s="651"/>
      <c r="F49" s="651"/>
      <c r="G49" s="651"/>
      <c r="H49" s="651"/>
      <c r="I49" s="651" t="s">
        <v>1388</v>
      </c>
      <c r="J49" s="654">
        <f>J43/0.098641220914219</f>
        <v>1.0085136930126013</v>
      </c>
      <c r="K49" s="653" t="s">
        <v>264</v>
      </c>
      <c r="L49" s="654"/>
      <c r="M49" s="654"/>
      <c r="O49" s="652" t="s">
        <v>265</v>
      </c>
      <c r="P49" s="654">
        <f>$B$31</f>
        <v>0.02</v>
      </c>
      <c r="Q49" s="654">
        <f>P49</f>
        <v>0.02</v>
      </c>
      <c r="R49" s="654">
        <f>Q49/P49</f>
        <v>1</v>
      </c>
      <c r="S49" s="652" t="s">
        <v>1311</v>
      </c>
      <c r="T49" s="660">
        <f>T48-T44/$X$46</f>
        <v>0.75</v>
      </c>
      <c r="U49" s="660">
        <f>U48-U44/$X$46</f>
        <v>0.5</v>
      </c>
      <c r="V49" s="660">
        <f>V48-V44/$X$46</f>
        <v>0.25</v>
      </c>
      <c r="W49" s="660">
        <f>W48-W44/$X$46</f>
        <v>0</v>
      </c>
      <c r="X49" s="655" t="e">
        <f>1/T51</f>
        <v>#DIV/0!</v>
      </c>
      <c r="Y49" s="655" t="e">
        <f>1/U51</f>
        <v>#DIV/0!</v>
      </c>
      <c r="Z49" s="655"/>
      <c r="AA49" s="652">
        <v>6</v>
      </c>
      <c r="AB49" s="654">
        <f>C9</f>
        <v>0</v>
      </c>
      <c r="AC49" s="654"/>
      <c r="AD49" s="654">
        <f>AB47*T66+AB48*T67+AB49*T65</f>
        <v>-2.4465119844861621E-16</v>
      </c>
      <c r="AE49" s="654"/>
      <c r="AF49" s="665" t="s">
        <v>1312</v>
      </c>
      <c r="AG49" s="654">
        <f>AD49/2</f>
        <v>-1.223255992243081E-16</v>
      </c>
      <c r="AH49" s="652"/>
      <c r="AI49" s="676"/>
      <c r="AJ49" s="676"/>
      <c r="AK49" s="676"/>
      <c r="AL49" s="676"/>
      <c r="AM49" s="676"/>
    </row>
    <row r="50" spans="1:39">
      <c r="B50" s="651"/>
      <c r="C50" s="651"/>
      <c r="D50" s="651"/>
      <c r="E50" s="651"/>
      <c r="F50" s="651"/>
      <c r="G50" s="651"/>
      <c r="H50" s="651"/>
      <c r="I50" s="651" t="s">
        <v>1391</v>
      </c>
      <c r="J50" s="654">
        <f>J44/0.113881680213929</f>
        <v>1.0482835960667294</v>
      </c>
      <c r="K50" s="652" t="s">
        <v>1532</v>
      </c>
      <c r="L50" s="654">
        <f>$D$30</f>
        <v>0.64</v>
      </c>
      <c r="M50" s="654">
        <f>$E$18</f>
        <v>0.64</v>
      </c>
      <c r="N50" s="660">
        <f t="shared" ref="N50:N58" si="22">M50/L50</f>
        <v>1</v>
      </c>
      <c r="O50" s="652" t="s">
        <v>1533</v>
      </c>
      <c r="P50" s="654">
        <f>$C$31</f>
        <v>22.5</v>
      </c>
      <c r="Q50" s="654">
        <f>P50*(1-M50)/(1-L50)</f>
        <v>22.5</v>
      </c>
      <c r="R50" s="654">
        <f>Q50/P50</f>
        <v>1</v>
      </c>
      <c r="S50" s="652" t="s">
        <v>1321</v>
      </c>
      <c r="T50" s="660">
        <f>T48-T49</f>
        <v>0.25</v>
      </c>
      <c r="U50" s="660">
        <f>U48-U49</f>
        <v>0.25</v>
      </c>
      <c r="V50" s="660">
        <f>V48-V49</f>
        <v>0.25</v>
      </c>
      <c r="W50" s="660">
        <f>W48-W49</f>
        <v>0.25</v>
      </c>
      <c r="X50" s="656" t="s">
        <v>540</v>
      </c>
      <c r="Y50" s="656"/>
      <c r="Z50" s="655"/>
      <c r="AB50" s="654"/>
      <c r="AC50" s="654"/>
      <c r="AD50" s="654"/>
      <c r="AE50" s="654"/>
      <c r="AF50" s="678" t="s">
        <v>1917</v>
      </c>
      <c r="AG50" s="679">
        <f>(AG48^2+AG49^2)^0.5</f>
        <v>5.9409904583360769</v>
      </c>
      <c r="AH50" s="652"/>
      <c r="AM50" s="676"/>
    </row>
    <row r="51" spans="1:39">
      <c r="I51" s="650" t="s">
        <v>1396</v>
      </c>
      <c r="J51" s="654">
        <f>J45/0.128706106595357</f>
        <v>0.98575924330682796</v>
      </c>
      <c r="K51" s="652" t="s">
        <v>1534</v>
      </c>
      <c r="L51" s="659">
        <f>L44/L50</f>
        <v>253.125</v>
      </c>
      <c r="M51" s="659">
        <f>$G$18*Q45^$G$31</f>
        <v>253.125</v>
      </c>
      <c r="N51" s="660">
        <f t="shared" si="22"/>
        <v>1</v>
      </c>
      <c r="O51" s="650" t="s">
        <v>1535</v>
      </c>
      <c r="P51" s="654"/>
      <c r="Q51" s="654"/>
      <c r="R51" s="654"/>
      <c r="S51" s="653"/>
      <c r="T51" s="660"/>
      <c r="U51" s="660"/>
      <c r="V51" s="660"/>
      <c r="W51" s="660"/>
      <c r="X51" s="651">
        <f>I4/1000</f>
        <v>2E-3</v>
      </c>
      <c r="Z51" s="655"/>
      <c r="AA51" s="653" t="s">
        <v>1323</v>
      </c>
      <c r="AB51" s="654"/>
      <c r="AC51" s="654"/>
      <c r="AD51" s="654"/>
      <c r="AE51" s="654"/>
      <c r="AF51" s="678" t="s">
        <v>1918</v>
      </c>
      <c r="AG51" s="679">
        <f>AG47+AG50</f>
        <v>2.8977992334987341</v>
      </c>
      <c r="AH51" s="652"/>
      <c r="AI51" s="676"/>
      <c r="AJ51" s="676"/>
      <c r="AK51" s="676"/>
      <c r="AL51" s="676"/>
      <c r="AM51" s="676"/>
    </row>
    <row r="52" spans="1:39">
      <c r="K52" s="652" t="s">
        <v>1536</v>
      </c>
      <c r="L52" s="654">
        <f>$G$28</f>
        <v>3.4</v>
      </c>
      <c r="M52" s="654">
        <f>$F$18*$J$18*Q45^$G$30</f>
        <v>0.51</v>
      </c>
      <c r="N52" s="660">
        <f t="shared" si="22"/>
        <v>0.15</v>
      </c>
      <c r="O52" s="652" t="s">
        <v>1537</v>
      </c>
      <c r="P52" s="654">
        <f>$D$31</f>
        <v>0</v>
      </c>
      <c r="Q52" s="654">
        <f>P52</f>
        <v>0</v>
      </c>
      <c r="R52" s="654">
        <v>1</v>
      </c>
      <c r="S52" s="653" t="s">
        <v>1457</v>
      </c>
      <c r="T52" s="654">
        <f>AB56</f>
        <v>0</v>
      </c>
      <c r="U52" s="654">
        <f>AC56</f>
        <v>0</v>
      </c>
      <c r="V52" s="654">
        <f>AD56</f>
        <v>0</v>
      </c>
      <c r="W52" s="654">
        <f>AE56</f>
        <v>0</v>
      </c>
      <c r="AA52" s="652" t="s">
        <v>1324</v>
      </c>
      <c r="AB52" s="654">
        <f>$AG$47+$AG$48*COS(AB43)+$AG$49*SIN(AB43)</f>
        <v>-8.9841816831734196</v>
      </c>
      <c r="AC52" s="654">
        <f>$AG$47+$AG$48*COS(AC43)+$AG$49*SIN(AC43)</f>
        <v>-3.0431912248373432</v>
      </c>
      <c r="AD52" s="654">
        <f>$AG$47+$AG$48*COS(AD43)+$AG$49*SIN(AD43)</f>
        <v>2.8977992334987341</v>
      </c>
      <c r="AE52" s="654">
        <f>$AG$47+$AG$48*COS(AE43)+$AG$49*SIN(AE43)</f>
        <v>-3.0431912248373432</v>
      </c>
      <c r="AF52" s="678" t="s">
        <v>1919</v>
      </c>
      <c r="AG52" s="679">
        <f>AG47-AG50</f>
        <v>-8.9841816831734196</v>
      </c>
      <c r="AH52" s="653"/>
      <c r="AI52" s="669"/>
      <c r="AJ52" s="669"/>
      <c r="AK52" s="669"/>
      <c r="AL52" s="669"/>
      <c r="AM52" s="676"/>
    </row>
    <row r="53" spans="1:39">
      <c r="D53" s="651"/>
      <c r="E53" s="683"/>
      <c r="F53" s="683"/>
      <c r="G53" s="659"/>
      <c r="H53" s="651"/>
      <c r="I53" s="664"/>
      <c r="J53" s="664"/>
      <c r="K53" s="652" t="s">
        <v>1538</v>
      </c>
      <c r="L53" s="654">
        <f>F30</f>
        <v>0.52</v>
      </c>
      <c r="M53" s="654">
        <f>L53*Q45^$H$30</f>
        <v>0.52</v>
      </c>
      <c r="N53" s="660">
        <f t="shared" si="22"/>
        <v>1</v>
      </c>
      <c r="O53" s="652" t="s">
        <v>1539</v>
      </c>
      <c r="P53" s="654">
        <f>$E$31</f>
        <v>0.6</v>
      </c>
      <c r="Q53" s="654">
        <f>P53*(1-M50)/(1-L50)</f>
        <v>0.6</v>
      </c>
      <c r="R53" s="654">
        <f>Q53/P53</f>
        <v>1</v>
      </c>
      <c r="S53" s="652" t="s">
        <v>1325</v>
      </c>
      <c r="T53" s="656" t="s">
        <v>1326</v>
      </c>
      <c r="U53" s="656" t="s">
        <v>1327</v>
      </c>
      <c r="V53" s="656" t="s">
        <v>1328</v>
      </c>
      <c r="W53" s="656" t="s">
        <v>1329</v>
      </c>
      <c r="X53" s="656" t="s">
        <v>1458</v>
      </c>
      <c r="Y53" s="656" t="s">
        <v>1459</v>
      </c>
      <c r="Z53" s="652"/>
      <c r="AA53" s="652" t="s">
        <v>1332</v>
      </c>
      <c r="AB53" s="654">
        <f>2*$AG$47-AB52</f>
        <v>2.8977992334987341</v>
      </c>
      <c r="AC53" s="654">
        <f>2*$AG$47-AC52</f>
        <v>-3.0431912248373423</v>
      </c>
      <c r="AD53" s="654">
        <f>2*$AG$47-AD52</f>
        <v>-8.9841816831734196</v>
      </c>
      <c r="AE53" s="654">
        <f>2*$AG$47-AE52</f>
        <v>-3.0431912248373423</v>
      </c>
      <c r="AF53" s="678" t="s">
        <v>94</v>
      </c>
      <c r="AG53" s="704">
        <f>(ATAN(AD49/(AD47-AD48)))/2*180/3.1415</f>
        <v>5.8988036783330928E-16</v>
      </c>
      <c r="AH53" s="652" t="s">
        <v>1333</v>
      </c>
      <c r="AI53" s="651">
        <f>$Q$72*AI46^2+2*$Q$74*AI46*AI47+$Q$73*AI47^2+$Q$75*AI48^2</f>
        <v>0.3467300923922485</v>
      </c>
      <c r="AJ53" s="651">
        <f>$Q$72*AJ46^2+2*$Q$74*AJ46*AJ47+$Q$73*AJ47^2+$Q$75*AJ48^2</f>
        <v>6.0781929076250685E-2</v>
      </c>
      <c r="AK53" s="651">
        <f>$Q$72*AK46^2+2*$Q$74*AK46*AK47+$Q$73*AK47^2+$Q$75*AK48^2</f>
        <v>7.9453101840653101E-2</v>
      </c>
      <c r="AL53" s="651">
        <f>$Q$72*AL46^2+2*$Q$74*AL46*AL47+$Q$73*AL47^2+$Q$75*AL48^2</f>
        <v>6.0781929076250685E-2</v>
      </c>
      <c r="AM53" s="676"/>
    </row>
    <row r="54" spans="1:39">
      <c r="D54" s="708"/>
      <c r="E54" s="709"/>
      <c r="F54" s="709"/>
      <c r="G54" s="659"/>
      <c r="H54" s="651"/>
      <c r="I54" s="664"/>
      <c r="J54" s="664"/>
      <c r="K54" s="652" t="s">
        <v>1547</v>
      </c>
      <c r="L54" s="654">
        <f>L53*(1-L50)/L50</f>
        <v>0.29249999999999998</v>
      </c>
      <c r="M54" s="654">
        <f>M53*(1-M50)/M50</f>
        <v>0.29249999999999998</v>
      </c>
      <c r="N54" s="660">
        <f t="shared" si="22"/>
        <v>1</v>
      </c>
      <c r="P54" s="654"/>
      <c r="Q54" s="654"/>
      <c r="R54" s="654"/>
      <c r="S54" s="652">
        <v>11</v>
      </c>
      <c r="T54" s="654">
        <f>$M$66+$M$67*COS(T45)+$M$68*COS(T46)</f>
        <v>162.00737304681911</v>
      </c>
      <c r="U54" s="654">
        <f>$M$66+$M$67*COS(U45)+$M$68*COS(U46)</f>
        <v>42.203409533317256</v>
      </c>
      <c r="V54" s="654">
        <f>$M$66+$M$67*COS(V45)+$M$68*COS(V46)</f>
        <v>2.0480685608667066</v>
      </c>
      <c r="W54" s="654">
        <f>$M$66+$M$67*COS(W45)+$M$68*COS(W46)</f>
        <v>42.203409533317256</v>
      </c>
      <c r="X54" s="655">
        <f t="shared" ref="X54:X59" si="23">($T$50*T54+$U$50*U54+$V$50*V54+$W$50*W54)*$X$51</f>
        <v>0.12423113033716017</v>
      </c>
      <c r="Y54" s="654">
        <f t="shared" ref="Y54:Y59" si="24">X54/$X$51</f>
        <v>62.115565168580083</v>
      </c>
      <c r="Z54" s="656"/>
      <c r="AA54" s="652" t="s">
        <v>1334</v>
      </c>
      <c r="AB54" s="654">
        <f>2*($AG$49*COS(AB43)-$AG$48*SIN(AB43))</f>
        <v>-2.4465119844861621E-16</v>
      </c>
      <c r="AC54" s="654">
        <f>2*($AG$49*COS(AC43)-$AG$48*SIN(AC43))</f>
        <v>11.881980916672154</v>
      </c>
      <c r="AD54" s="654">
        <f>2*($AG$49*COS(AD43)-$AG$48*SIN(AD43))</f>
        <v>1.7003702545800759E-15</v>
      </c>
      <c r="AE54" s="654">
        <f>2*($AG$49*COS(AE43)-$AG$48*SIN(AE43))</f>
        <v>-11.881980916672154</v>
      </c>
      <c r="AF54" s="689" t="s">
        <v>1920</v>
      </c>
      <c r="AG54" s="710">
        <f>IF(AG51&gt;0,AG51/AE47,-AG51/AE48)</f>
        <v>0.12458690972048697</v>
      </c>
      <c r="AH54" s="652" t="s">
        <v>1335</v>
      </c>
      <c r="AI54" s="651">
        <f>$Q$76*AI46+$Q$77*AI47</f>
        <v>0.54658647189983423</v>
      </c>
      <c r="AJ54" s="651">
        <f>$Q$76*AJ46+$Q$77*AJ47</f>
        <v>9.3068549509252377E-2</v>
      </c>
      <c r="AK54" s="651">
        <f>$Q$76*AK46+$Q$77*AK47</f>
        <v>-0.3604493728813295</v>
      </c>
      <c r="AL54" s="651">
        <f>$Q$76*AL46+$Q$77*AL47</f>
        <v>9.3068549509252377E-2</v>
      </c>
      <c r="AM54" s="676"/>
    </row>
    <row r="55" spans="1:39">
      <c r="D55" s="651"/>
      <c r="E55" s="683"/>
      <c r="F55" s="683"/>
      <c r="H55" s="651"/>
      <c r="I55" s="664"/>
      <c r="J55" s="664"/>
      <c r="K55" s="652" t="s">
        <v>1548</v>
      </c>
      <c r="L55" s="654">
        <f>1/((1+L54)/L45-L54/L52)</f>
        <v>17.36662883087401</v>
      </c>
      <c r="M55" s="654">
        <f>L55*Q45^$G$31</f>
        <v>17.36662883087401</v>
      </c>
      <c r="N55" s="660">
        <f t="shared" si="22"/>
        <v>1</v>
      </c>
      <c r="O55" s="650" t="s">
        <v>1549</v>
      </c>
      <c r="P55" s="654"/>
      <c r="Q55" s="654"/>
      <c r="R55" s="654"/>
      <c r="S55" s="652">
        <v>22</v>
      </c>
      <c r="T55" s="654">
        <f>$M$66-$M$67*COS(T45)+$M$68*COS(T46)</f>
        <v>2.0480685608667066</v>
      </c>
      <c r="U55" s="654">
        <f>$M$66-$M$67*COS(U45)+$M$68*COS(U46)</f>
        <v>42.203409533317242</v>
      </c>
      <c r="V55" s="654">
        <f>$M$66-$M$67*COS(V45)+$M$68*COS(V46)</f>
        <v>162.00737304681911</v>
      </c>
      <c r="W55" s="654">
        <f>$M$66-$M$67*COS(W45)+$M$68*COS(W46)</f>
        <v>42.203409533317242</v>
      </c>
      <c r="X55" s="655">
        <f t="shared" si="23"/>
        <v>0.12423113033716016</v>
      </c>
      <c r="Y55" s="654">
        <f t="shared" si="24"/>
        <v>62.115565168580076</v>
      </c>
      <c r="Z55" s="656"/>
      <c r="AA55" s="652"/>
      <c r="AB55" s="654"/>
      <c r="AC55" s="654"/>
      <c r="AD55" s="654"/>
      <c r="AE55" s="654"/>
      <c r="AF55" s="689" t="s">
        <v>1921</v>
      </c>
      <c r="AG55" s="710">
        <f>IF(AG52&gt;0,AG52/AE47,-AG52/AE48)</f>
        <v>0.87888733857131285</v>
      </c>
      <c r="AH55" s="652" t="s">
        <v>1344</v>
      </c>
      <c r="AI55" s="651">
        <f>AI54/2/AI53</f>
        <v>0.7882016644830071</v>
      </c>
      <c r="AJ55" s="651">
        <f>AJ54/2/AJ53</f>
        <v>0.76559391025989199</v>
      </c>
      <c r="AK55" s="651">
        <f>AK54/2/AK53</f>
        <v>-2.268315298779823</v>
      </c>
      <c r="AL55" s="651">
        <f>AL54/2/AL53</f>
        <v>0.76559391025989199</v>
      </c>
      <c r="AM55" s="676"/>
    </row>
    <row r="56" spans="1:39">
      <c r="D56" s="651"/>
      <c r="E56" s="683"/>
      <c r="F56" s="683"/>
      <c r="H56" s="651"/>
      <c r="I56" s="664"/>
      <c r="J56" s="664"/>
      <c r="K56" s="652" t="s">
        <v>295</v>
      </c>
      <c r="L56" s="654">
        <f>F31</f>
        <v>0.32</v>
      </c>
      <c r="M56" s="654">
        <f>L56*Q45^$H$30</f>
        <v>0.32</v>
      </c>
      <c r="N56" s="660">
        <f t="shared" si="22"/>
        <v>1</v>
      </c>
      <c r="O56" s="652" t="s">
        <v>296</v>
      </c>
      <c r="P56" s="659">
        <f>$B$29</f>
        <v>3768</v>
      </c>
      <c r="Q56" s="659">
        <f>Q62*M50</f>
        <v>3768</v>
      </c>
      <c r="R56" s="654">
        <f t="shared" ref="R56:R63" si="25">Q56/P56</f>
        <v>1</v>
      </c>
      <c r="S56" s="652" t="s">
        <v>1345</v>
      </c>
      <c r="T56" s="654">
        <f>$M$69-$M$68*COS(T46)</f>
        <v>0.12288411365200247</v>
      </c>
      <c r="U56" s="654">
        <f>$M$69-$M$68*COS(U46)</f>
        <v>39.947195384177661</v>
      </c>
      <c r="V56" s="654">
        <f>$M$69-$M$68*COS(V46)</f>
        <v>0.12288411365200247</v>
      </c>
      <c r="W56" s="654">
        <f>$M$69-$M$68*COS(W46)</f>
        <v>39.947195384177661</v>
      </c>
      <c r="X56" s="655">
        <f t="shared" si="23"/>
        <v>4.0070079497829668E-2</v>
      </c>
      <c r="Y56" s="654">
        <f t="shared" si="24"/>
        <v>20.035039748914834</v>
      </c>
      <c r="Z56" s="656"/>
      <c r="AA56" s="653"/>
      <c r="AB56" s="654"/>
      <c r="AC56" s="654"/>
      <c r="AD56" s="654"/>
      <c r="AE56" s="654"/>
      <c r="AF56" s="691" t="s">
        <v>1923</v>
      </c>
      <c r="AG56" s="710">
        <f>1/(AG54^2+AG55^2)^0.5</f>
        <v>1.1265398970737028</v>
      </c>
      <c r="AH56" s="652"/>
      <c r="AI56" s="676"/>
      <c r="AJ56" s="676"/>
      <c r="AK56" s="676"/>
      <c r="AL56" s="676"/>
      <c r="AM56" s="676"/>
    </row>
    <row r="57" spans="1:39">
      <c r="D57" s="651"/>
      <c r="E57" s="683"/>
      <c r="F57" s="683"/>
      <c r="H57" s="651"/>
      <c r="I57" s="664"/>
      <c r="J57" s="664"/>
      <c r="K57" s="652" t="s">
        <v>301</v>
      </c>
      <c r="L57" s="654">
        <f>L56*(1-L50)/L50</f>
        <v>0.18</v>
      </c>
      <c r="M57" s="654">
        <f>M56*(1-M50)/M50</f>
        <v>0.18</v>
      </c>
      <c r="N57" s="660">
        <f t="shared" si="22"/>
        <v>1</v>
      </c>
      <c r="O57" s="652" t="s">
        <v>302</v>
      </c>
      <c r="P57" s="659">
        <f>$C$29</f>
        <v>1656</v>
      </c>
      <c r="Q57" s="659">
        <f>P57*R56*N47^F32</f>
        <v>1656</v>
      </c>
      <c r="R57" s="654">
        <f t="shared" si="25"/>
        <v>1</v>
      </c>
      <c r="S57" s="652">
        <v>66</v>
      </c>
      <c r="T57" s="654">
        <f>$M$70-$M$68*COS(T46)</f>
        <v>1.1281070745697903</v>
      </c>
      <c r="U57" s="654">
        <f>$M$70-$M$68*COS(U46)</f>
        <v>40.952418345095452</v>
      </c>
      <c r="V57" s="654">
        <f>$M$70-$M$68*COS(V46)</f>
        <v>1.1281070745697903</v>
      </c>
      <c r="W57" s="654">
        <f>$M$70-$M$68*COS(W46)</f>
        <v>40.952418345095452</v>
      </c>
      <c r="X57" s="655">
        <f t="shared" si="23"/>
        <v>4.2080525419665241E-2</v>
      </c>
      <c r="Y57" s="654">
        <f t="shared" si="24"/>
        <v>21.040262709832621</v>
      </c>
      <c r="Z57" s="656"/>
      <c r="AA57" s="652"/>
      <c r="AB57" s="676"/>
      <c r="AC57" s="676"/>
      <c r="AD57" s="676"/>
      <c r="AE57" s="676"/>
      <c r="AF57" s="676"/>
      <c r="AG57" s="676"/>
      <c r="AH57" s="652"/>
      <c r="AI57" s="676"/>
      <c r="AJ57" s="676"/>
      <c r="AK57" s="676"/>
      <c r="AL57" s="676"/>
      <c r="AM57" s="676"/>
    </row>
    <row r="58" spans="1:39">
      <c r="D58" s="651"/>
      <c r="E58" s="683"/>
      <c r="F58" s="683"/>
      <c r="H58" s="651"/>
      <c r="I58" s="664"/>
      <c r="J58" s="664"/>
      <c r="K58" s="652" t="s">
        <v>304</v>
      </c>
      <c r="L58" s="654">
        <f>1/((1+L57)/L47-L57*2.7/L52)</f>
        <v>10.745891276864731</v>
      </c>
      <c r="M58" s="654">
        <f>L58*Q45^$G$31</f>
        <v>10.745891276864731</v>
      </c>
      <c r="N58" s="660">
        <f t="shared" si="22"/>
        <v>1</v>
      </c>
      <c r="O58" s="652" t="s">
        <v>305</v>
      </c>
      <c r="P58" s="659">
        <f>$D$29</f>
        <v>56</v>
      </c>
      <c r="Q58" s="659">
        <f>P58*R63</f>
        <v>56</v>
      </c>
      <c r="R58" s="654">
        <f t="shared" si="25"/>
        <v>1</v>
      </c>
      <c r="S58" s="652" t="s">
        <v>1347</v>
      </c>
      <c r="T58" s="654">
        <f>$M$67*SIN(T45)/2+$M$68*SIN(T46)</f>
        <v>0</v>
      </c>
      <c r="U58" s="654">
        <f>$M$67*SIN(U45)/2+$M$68*SIN(U46)</f>
        <v>39.9898261214881</v>
      </c>
      <c r="V58" s="654">
        <f>$M$67*SIN(V45)/2+$M$68*SIN(V46)</f>
        <v>2.0278026392106751E-17</v>
      </c>
      <c r="W58" s="654">
        <f>$M$67*SIN(W45)/2+$M$68*SIN(W46)</f>
        <v>-39.9898261214881</v>
      </c>
      <c r="X58" s="655">
        <f t="shared" si="23"/>
        <v>0</v>
      </c>
      <c r="Y58" s="654">
        <f t="shared" si="24"/>
        <v>0</v>
      </c>
      <c r="Z58" s="656"/>
      <c r="AB58" s="676"/>
      <c r="AC58" s="676"/>
      <c r="AD58" s="676"/>
      <c r="AE58" s="676"/>
      <c r="AF58" s="676"/>
      <c r="AG58" s="676"/>
      <c r="AH58" s="652"/>
      <c r="AI58" s="676"/>
      <c r="AJ58" s="676"/>
      <c r="AK58" s="676"/>
      <c r="AL58" s="676"/>
      <c r="AM58" s="669" t="s">
        <v>574</v>
      </c>
    </row>
    <row r="59" spans="1:39">
      <c r="D59" s="651"/>
      <c r="E59" s="683"/>
      <c r="F59" s="683"/>
      <c r="H59" s="651"/>
      <c r="I59" s="664"/>
      <c r="J59" s="664"/>
      <c r="M59" s="654"/>
      <c r="O59" s="652" t="s">
        <v>1542</v>
      </c>
      <c r="P59" s="659">
        <f>$E$29</f>
        <v>150</v>
      </c>
      <c r="Q59" s="659">
        <f>P59*R63</f>
        <v>150</v>
      </c>
      <c r="R59" s="654">
        <f t="shared" si="25"/>
        <v>1</v>
      </c>
      <c r="S59" s="652" t="s">
        <v>1349</v>
      </c>
      <c r="T59" s="654">
        <f>$M$67*SIN(T45)/2-$M$68*SIN(T46)</f>
        <v>0</v>
      </c>
      <c r="U59" s="654">
        <f>$M$67*SIN(U45)/2-$M$68*SIN(U46)</f>
        <v>39.9898261214881</v>
      </c>
      <c r="V59" s="654">
        <f>$M$67*SIN(V45)/2-$M$68*SIN(V46)</f>
        <v>9.7784167105689973E-15</v>
      </c>
      <c r="W59" s="654">
        <f>$M$67*SIN(W45)/2-$M$68*SIN(W46)</f>
        <v>-39.9898261214881</v>
      </c>
      <c r="X59" s="655">
        <f t="shared" si="23"/>
        <v>3.552713678800501E-18</v>
      </c>
      <c r="Y59" s="654">
        <f t="shared" si="24"/>
        <v>1.7763568394002505E-15</v>
      </c>
      <c r="Z59" s="656"/>
      <c r="AG59" s="676"/>
      <c r="AH59" s="652" t="s">
        <v>1351</v>
      </c>
      <c r="AI59" s="651">
        <f>(AI55^2+1/AI53)^0.5-AI55</f>
        <v>1.0840562181851512</v>
      </c>
      <c r="AJ59" s="651">
        <f>(AJ55^2+1/AJ53)^0.5-AJ55</f>
        <v>3.3621648499593575</v>
      </c>
      <c r="AK59" s="651">
        <f>(AK55^2+1/AK53)^0.5-AK55</f>
        <v>6.4791697641005754</v>
      </c>
      <c r="AL59" s="651">
        <f>(AL55^2+1/AL53)^0.5-AL55</f>
        <v>3.3621648499593575</v>
      </c>
      <c r="AM59" s="651">
        <f>MIN(AI60:AL60)</f>
        <v>1.0840562181851512</v>
      </c>
    </row>
    <row r="60" spans="1:39">
      <c r="B60" s="711"/>
      <c r="C60" s="711"/>
      <c r="D60" s="712"/>
      <c r="E60" s="713"/>
      <c r="F60" s="713"/>
      <c r="G60" s="714"/>
      <c r="H60" s="712"/>
      <c r="I60" s="715"/>
      <c r="J60" s="715"/>
      <c r="K60" s="650" t="s">
        <v>1352</v>
      </c>
      <c r="O60" s="652" t="s">
        <v>1543</v>
      </c>
      <c r="P60" s="682">
        <f>$F$29</f>
        <v>98</v>
      </c>
      <c r="Q60" s="682">
        <f>P60*R63</f>
        <v>98</v>
      </c>
      <c r="R60" s="654">
        <f t="shared" si="25"/>
        <v>1</v>
      </c>
      <c r="S60" s="653"/>
      <c r="W60" s="656" t="s">
        <v>1353</v>
      </c>
      <c r="X60" s="655">
        <f>X54*X55*X57+2*X56*X58*X59-X55*X58^2-X57*X56^2-X54*X59^2</f>
        <v>5.8187951027945659E-4</v>
      </c>
      <c r="Y60" s="673"/>
      <c r="Z60" s="650" t="s">
        <v>2048</v>
      </c>
      <c r="AD60" s="673"/>
      <c r="AE60" s="650" t="s">
        <v>2048</v>
      </c>
      <c r="AG60" s="650"/>
      <c r="AH60" s="652"/>
      <c r="AI60" s="651">
        <f>IF(AI42=0,1000000000,AI59)</f>
        <v>1.0840562181851512</v>
      </c>
      <c r="AJ60" s="651">
        <f>IF(AJ42=0,1000000000,AJ59)</f>
        <v>3.3621648499593575</v>
      </c>
      <c r="AK60" s="651">
        <f>IF(AK42=0,1000000000,AK59)</f>
        <v>6.4791697641005754</v>
      </c>
      <c r="AL60" s="651">
        <f>IF(AL42=0,1000000000,AL59)</f>
        <v>3.3621648499593575</v>
      </c>
    </row>
    <row r="61" spans="1:39">
      <c r="D61" s="716"/>
      <c r="E61" s="716"/>
      <c r="F61" s="716"/>
      <c r="G61" s="717"/>
      <c r="H61" s="716"/>
      <c r="I61" s="718"/>
      <c r="K61" s="652" t="s">
        <v>1354</v>
      </c>
      <c r="L61" s="659">
        <f>L44/(1-L46^2*L45/L44)</f>
        <v>163.45291479820628</v>
      </c>
      <c r="M61" s="659">
        <f>M44/(1-M46^2*M45/M44)</f>
        <v>162.00737304681911</v>
      </c>
      <c r="N61" s="660">
        <f>M61/L61</f>
        <v>0.99115621918904417</v>
      </c>
      <c r="O61" s="652" t="s">
        <v>1568</v>
      </c>
      <c r="P61" s="660">
        <f>$B$30</f>
        <v>-0.5</v>
      </c>
      <c r="Q61" s="660">
        <f>P61*J18</f>
        <v>-7.4999999999999997E-2</v>
      </c>
      <c r="R61" s="654">
        <f t="shared" si="25"/>
        <v>0.15</v>
      </c>
      <c r="S61" s="652" t="s">
        <v>1355</v>
      </c>
      <c r="T61" s="656" t="s">
        <v>1356</v>
      </c>
      <c r="U61" s="656"/>
      <c r="V61" s="656" t="s">
        <v>575</v>
      </c>
      <c r="W61" s="656"/>
      <c r="X61" s="656" t="s">
        <v>576</v>
      </c>
      <c r="Y61" s="1157" t="s">
        <v>2051</v>
      </c>
      <c r="Z61" s="1158" t="s">
        <v>2052</v>
      </c>
      <c r="AB61" s="652" t="s">
        <v>2050</v>
      </c>
      <c r="AC61" s="652" t="s">
        <v>948</v>
      </c>
      <c r="AD61" s="1157" t="s">
        <v>2051</v>
      </c>
      <c r="AE61" s="1158" t="s">
        <v>2052</v>
      </c>
      <c r="AF61" s="652" t="s">
        <v>2050</v>
      </c>
      <c r="AG61" s="652" t="s">
        <v>948</v>
      </c>
      <c r="AH61" s="650" t="s">
        <v>1360</v>
      </c>
      <c r="AI61" s="651">
        <f>IF(AI42=0,0,AI59)</f>
        <v>1.0840562181851512</v>
      </c>
      <c r="AJ61" s="651">
        <f>IF(AJ42=0,0,AJ59)</f>
        <v>3.3621648499593575</v>
      </c>
      <c r="AK61" s="651">
        <f>IF(AK42=0,0,AK59)</f>
        <v>6.4791697641005754</v>
      </c>
      <c r="AL61" s="651">
        <f>IF(AL42=0,0,AL59)</f>
        <v>3.3621648499593575</v>
      </c>
    </row>
    <row r="62" spans="1:39" ht="16.2" thickBot="1">
      <c r="D62" s="716"/>
      <c r="E62" s="716"/>
      <c r="F62" s="716"/>
      <c r="G62" s="718"/>
      <c r="H62" s="716"/>
      <c r="I62" s="718"/>
      <c r="K62" s="652" t="s">
        <v>1361</v>
      </c>
      <c r="L62" s="654">
        <f>L61*L45/L44</f>
        <v>9.0807174887892366</v>
      </c>
      <c r="M62" s="654">
        <f>M61*M45/M44</f>
        <v>2.0480685608667226</v>
      </c>
      <c r="N62" s="660">
        <f>M62/L62</f>
        <v>0.22554038966581688</v>
      </c>
      <c r="O62" s="652" t="s">
        <v>1530</v>
      </c>
      <c r="P62" s="659">
        <f>P56/L50</f>
        <v>5887.5</v>
      </c>
      <c r="Q62" s="659">
        <f>$I$18*Q45^$H$31</f>
        <v>5887.5</v>
      </c>
      <c r="R62" s="654">
        <f t="shared" si="25"/>
        <v>1</v>
      </c>
      <c r="S62" s="652">
        <v>11</v>
      </c>
      <c r="T62" s="655">
        <f>(X55*X57-X59^2)/X60</f>
        <v>8.9841816831734196</v>
      </c>
      <c r="V62" s="655">
        <f t="shared" ref="V62:V67" si="26">T62*$X$51</f>
        <v>1.7968363366346839E-2</v>
      </c>
      <c r="W62" s="656" t="s">
        <v>1362</v>
      </c>
      <c r="X62" s="654">
        <f>1/V62</f>
        <v>55.65337140682005</v>
      </c>
      <c r="Y62" s="673" t="s">
        <v>1863</v>
      </c>
      <c r="Z62" s="864" t="s">
        <v>2053</v>
      </c>
      <c r="AA62" s="650">
        <v>0</v>
      </c>
      <c r="AB62" s="1159">
        <v>75.5</v>
      </c>
      <c r="AC62" s="1159">
        <v>5.8</v>
      </c>
      <c r="AD62" s="682" t="s">
        <v>2016</v>
      </c>
      <c r="AE62" s="650">
        <v>0</v>
      </c>
      <c r="AF62" s="1125">
        <v>45</v>
      </c>
      <c r="AG62" s="866">
        <v>36.299999999999997</v>
      </c>
      <c r="AH62" s="652" t="s">
        <v>1364</v>
      </c>
      <c r="AI62" s="651">
        <f>IF(AI42=0,0,$AM$46+$AM$47*COS(AI43)+$AM$48*SIN(AI43)-$W$87)</f>
        <v>9.9363626894634023E-6</v>
      </c>
      <c r="AJ62" s="651">
        <f>IF(AJ42=0,0,$AM$46+$AM$47*COS(AJ43)+$AM$48*SIN(AJ43)-$W$87)</f>
        <v>9.9363626894633617E-6</v>
      </c>
      <c r="AK62" s="651">
        <f>IF(AK42=0,0,$AM$46+$AM$47*COS(AK43)+$AM$48*SIN(AK43)-$W$87)</f>
        <v>9.936362689463321E-6</v>
      </c>
      <c r="AL62" s="651">
        <f>IF(AL42=0,0,$AM$46+$AM$47*COS(AL43)+$AM$48*SIN(AL43)-$W$87)</f>
        <v>9.9363626894633617E-6</v>
      </c>
      <c r="AM62" s="676"/>
    </row>
    <row r="63" spans="1:39" ht="21">
      <c r="A63" s="1421"/>
      <c r="B63" s="1422" t="s">
        <v>2184</v>
      </c>
      <c r="C63" s="1423"/>
      <c r="D63" s="1424"/>
      <c r="E63" s="651"/>
      <c r="F63" s="651"/>
      <c r="H63" s="664"/>
      <c r="I63" s="664"/>
      <c r="K63" s="652" t="s">
        <v>1365</v>
      </c>
      <c r="L63" s="654">
        <f>L62*L46</f>
        <v>3.6322869955156949</v>
      </c>
      <c r="M63" s="654">
        <f>M62*M46</f>
        <v>0.12288411365200336</v>
      </c>
      <c r="N63" s="660">
        <f>M63/L63</f>
        <v>3.3831058449872532E-2</v>
      </c>
      <c r="O63" s="652" t="s">
        <v>1560</v>
      </c>
      <c r="P63" s="659">
        <f>P58</f>
        <v>56</v>
      </c>
      <c r="Q63" s="659">
        <f>$H$18*Q45^$I$30</f>
        <v>56</v>
      </c>
      <c r="R63" s="654">
        <f t="shared" si="25"/>
        <v>1</v>
      </c>
      <c r="S63" s="652">
        <v>22</v>
      </c>
      <c r="T63" s="655">
        <f>(X54*X57-X58^2)/X60</f>
        <v>8.9841816831734214</v>
      </c>
      <c r="V63" s="655">
        <f t="shared" si="26"/>
        <v>1.7968363366346843E-2</v>
      </c>
      <c r="W63" s="656" t="s">
        <v>1366</v>
      </c>
      <c r="X63" s="654">
        <f>1/V63</f>
        <v>55.653371406820035</v>
      </c>
      <c r="Y63" s="673" t="s">
        <v>1863</v>
      </c>
      <c r="Z63" s="864" t="s">
        <v>2054</v>
      </c>
      <c r="AA63" s="650">
        <v>7.5</v>
      </c>
      <c r="AB63" s="1159">
        <v>73.5</v>
      </c>
      <c r="AC63" s="1159">
        <v>7.8</v>
      </c>
      <c r="AD63" s="682" t="s">
        <v>2016</v>
      </c>
      <c r="AE63" s="650">
        <v>7.5</v>
      </c>
      <c r="AF63" s="1125">
        <v>47</v>
      </c>
      <c r="AG63" s="866">
        <v>34.299999999999997</v>
      </c>
      <c r="AH63" s="652" t="s">
        <v>1367</v>
      </c>
      <c r="AI63" s="651">
        <f>IF(AI42=0,0,2*$AM$46-AI62-($W$88+$W$87))</f>
        <v>-7.4206363731053686E-4</v>
      </c>
      <c r="AJ63" s="651">
        <f>IF(AJ42=0,0,2*$AM$46-AJ62-($W$88+$W$87))</f>
        <v>-7.4206363731053686E-4</v>
      </c>
      <c r="AK63" s="651">
        <f>IF(AK42=0,0,2*$AM$46-AK62-($W$88+$W$87))</f>
        <v>-7.4206363731053676E-4</v>
      </c>
      <c r="AL63" s="651">
        <f>IF(AL42=0,0,2*$AM$46-AL62-($W$88+$W$87))</f>
        <v>-7.4206363731053686E-4</v>
      </c>
      <c r="AM63" s="676"/>
    </row>
    <row r="64" spans="1:39">
      <c r="A64" s="1425"/>
      <c r="B64" s="1420"/>
      <c r="C64" s="1426"/>
      <c r="D64" s="1427"/>
      <c r="E64" s="651"/>
      <c r="F64" s="651"/>
      <c r="H64" s="664"/>
      <c r="I64" s="664"/>
      <c r="K64" s="652" t="s">
        <v>1370</v>
      </c>
      <c r="L64" s="654">
        <f>L47</f>
        <v>5</v>
      </c>
      <c r="M64" s="654">
        <f>M47</f>
        <v>1.1281070745697899</v>
      </c>
      <c r="N64" s="660">
        <f>M64/L64</f>
        <v>0.22562141491395798</v>
      </c>
      <c r="S64" s="652" t="s">
        <v>1345</v>
      </c>
      <c r="T64" s="655">
        <f>(X58*X59-X56*X57)/X60</f>
        <v>-2.8977992334987346</v>
      </c>
      <c r="V64" s="655">
        <f t="shared" si="26"/>
        <v>-5.7955984669974692E-3</v>
      </c>
      <c r="W64" s="656" t="s">
        <v>1371</v>
      </c>
      <c r="X64" s="654">
        <f>-V64/V62</f>
        <v>0.32254459400860708</v>
      </c>
      <c r="Y64" s="673" t="s">
        <v>1863</v>
      </c>
      <c r="Z64" s="864" t="s">
        <v>2055</v>
      </c>
      <c r="AA64" s="650">
        <v>15</v>
      </c>
      <c r="AB64" s="1159">
        <v>67.900000000000006</v>
      </c>
      <c r="AC64" s="1159">
        <v>13.4</v>
      </c>
      <c r="AD64" s="682" t="s">
        <v>2016</v>
      </c>
      <c r="AE64" s="650">
        <v>15</v>
      </c>
      <c r="AF64" s="1125">
        <v>52.6</v>
      </c>
      <c r="AG64" s="866">
        <v>28.7</v>
      </c>
      <c r="AH64" s="652" t="s">
        <v>1372</v>
      </c>
      <c r="AI64" s="651">
        <f>IF(AI42=0,0,2*($AM$48*COS(AI43)-$AM$47*SIN(AI43)))</f>
        <v>-6.7003973941831527E-22</v>
      </c>
      <c r="AJ64" s="651">
        <f>IF(AJ42=0,0,2*($AM$48*COS(AJ43)-$AM$47*SIN(AJ43)))</f>
        <v>-8.1315162936412833E-20</v>
      </c>
      <c r="AK64" s="651">
        <f>IF(AK42=0,0,2*($AM$48*COS(AK43)-$AM$47*SIN(AK43)))</f>
        <v>6.700397394183053E-22</v>
      </c>
      <c r="AL64" s="651">
        <f>IF(AL42=0,0,2*($AM$48*COS(AL43)-$AM$47*SIN(AL43)))</f>
        <v>8.1315162936412833E-20</v>
      </c>
      <c r="AM64" s="676"/>
    </row>
    <row r="65" spans="1:39">
      <c r="A65" s="1425"/>
      <c r="B65" s="1426" t="s">
        <v>2132</v>
      </c>
      <c r="C65" s="1420"/>
      <c r="D65" s="1427"/>
      <c r="E65" s="651"/>
      <c r="F65" s="651"/>
      <c r="H65" s="664"/>
      <c r="I65" s="664"/>
      <c r="K65" s="650" t="s">
        <v>1374</v>
      </c>
      <c r="L65" s="654"/>
      <c r="M65" s="654"/>
      <c r="O65" s="650" t="s">
        <v>1375</v>
      </c>
      <c r="S65" s="652">
        <v>66</v>
      </c>
      <c r="T65" s="655">
        <f>(X54*X55-X56^2)/X60</f>
        <v>23.763961833344315</v>
      </c>
      <c r="V65" s="655">
        <f t="shared" si="26"/>
        <v>4.7527923666688628E-2</v>
      </c>
      <c r="W65" s="656" t="s">
        <v>1376</v>
      </c>
      <c r="X65" s="654">
        <f>1/V65</f>
        <v>21.040262709832621</v>
      </c>
      <c r="Y65" s="673" t="s">
        <v>1863</v>
      </c>
      <c r="Z65" s="864" t="s">
        <v>2056</v>
      </c>
      <c r="AA65" s="650">
        <v>22.5</v>
      </c>
      <c r="AB65" s="1159">
        <v>60.2</v>
      </c>
      <c r="AC65" s="1159">
        <v>21.1</v>
      </c>
      <c r="AD65" s="682" t="s">
        <v>2016</v>
      </c>
      <c r="AE65" s="650">
        <v>22.5</v>
      </c>
      <c r="AF65" s="1125">
        <v>60.2</v>
      </c>
      <c r="AG65" s="866">
        <v>21.1</v>
      </c>
      <c r="AH65" s="676"/>
      <c r="AI65" s="651"/>
      <c r="AJ65" s="651"/>
      <c r="AK65" s="651"/>
      <c r="AL65" s="651"/>
      <c r="AM65" s="676"/>
    </row>
    <row r="66" spans="1:39">
      <c r="A66" s="1425"/>
      <c r="B66" s="1420" t="s">
        <v>1889</v>
      </c>
      <c r="C66" s="1420"/>
      <c r="D66" s="1428"/>
      <c r="E66" s="651"/>
      <c r="F66" s="651"/>
      <c r="H66" s="664"/>
      <c r="I66" s="664"/>
      <c r="K66" s="652" t="s">
        <v>1380</v>
      </c>
      <c r="L66" s="654">
        <f>(3*L61+3*L62+2*L63+4*L64)/8</f>
        <v>68.108183856502237</v>
      </c>
      <c r="M66" s="654">
        <f>(3*M61+3*M62+2*M63+4*M64)/8</f>
        <v>62.115565168580076</v>
      </c>
      <c r="N66" s="660">
        <f>M66/L66</f>
        <v>0.91201323616926766</v>
      </c>
      <c r="O66" s="652" t="s">
        <v>1381</v>
      </c>
      <c r="P66" s="654">
        <f>1/P56/P57*1000000</f>
        <v>0.16026134137460638</v>
      </c>
      <c r="Q66" s="654">
        <f>1/Q56/Q57*1000000</f>
        <v>0.16026134137460638</v>
      </c>
      <c r="R66" s="654">
        <f>Q66/P66</f>
        <v>1</v>
      </c>
      <c r="S66" s="652" t="s">
        <v>1347</v>
      </c>
      <c r="T66" s="655">
        <f>(X56*X59-X55*X58)/X60</f>
        <v>2.4465119844861621E-16</v>
      </c>
      <c r="V66" s="655">
        <f t="shared" si="26"/>
        <v>4.8930239689723246E-19</v>
      </c>
      <c r="W66" s="656" t="s">
        <v>1382</v>
      </c>
      <c r="X66" s="654">
        <f>V66/V62</f>
        <v>2.723132802476895E-17</v>
      </c>
      <c r="Y66" s="673" t="s">
        <v>1863</v>
      </c>
      <c r="Z66" s="864" t="s">
        <v>2057</v>
      </c>
      <c r="AA66" s="650">
        <v>30</v>
      </c>
      <c r="AB66" s="1159">
        <v>52.6</v>
      </c>
      <c r="AC66" s="1159">
        <v>28.7</v>
      </c>
      <c r="AD66" s="682" t="s">
        <v>2016</v>
      </c>
      <c r="AE66" s="650">
        <v>30</v>
      </c>
      <c r="AF66" s="1125">
        <v>67.900000000000006</v>
      </c>
      <c r="AG66" s="866">
        <v>13.4</v>
      </c>
      <c r="AH66" s="669" t="s">
        <v>1383</v>
      </c>
      <c r="AI66" s="651">
        <f>IF(AI8&gt;0,$Q$72*AI62^2+2*$Q$74*AI62*AI63+$Q$73*AI63^2+$Q$75*AI64^2,$Q$33*AI62^2+2*$Q$35*AI62*AI63+$Q$34*AI63^2+$Q$36*AI64^2)</f>
        <v>2.7641306127810437E-4</v>
      </c>
      <c r="AJ66" s="651">
        <f>IF(AJ8&gt;0,$Q$72*AJ62^2+2*$Q$74*AJ62*AJ63+$Q$73*AJ63^2+$Q$75*AJ64^2,$Q$33*AJ62^2+2*$Q$35*AJ62*AJ63+$Q$34*AJ63^2+$Q$36*AJ64^2)</f>
        <v>5.3166648809337864E-3</v>
      </c>
      <c r="AK66" s="651">
        <f>IF(AK8&gt;0,$Q$72*AK62^2+2*$Q$74*AK62*AK63+$Q$73*AK63^2+$Q$75*AK64^2,$Q$33*AK62^2+2*$Q$35*AK62*AK63+$Q$34*AK63^2+$Q$36*AK64^2)</f>
        <v>5.3166648809337847E-3</v>
      </c>
      <c r="AL66" s="651">
        <f>IF(AL8&gt;0,$Q$72*AL62^2+2*$Q$74*AL62*AL63+$Q$73*AL63^2+$Q$75*AL64^2,$Q$33*AL62^2+2*$Q$35*AL62*AL63+$Q$34*AL63^2+$Q$36*AL64^2)</f>
        <v>5.3166648809337864E-3</v>
      </c>
      <c r="AM66" s="676"/>
    </row>
    <row r="67" spans="1:39">
      <c r="A67" s="1429">
        <v>11</v>
      </c>
      <c r="B67" s="1430">
        <f t="shared" ref="B67:B72" si="27">Y15</f>
        <v>68.108183856502251</v>
      </c>
      <c r="C67" s="1430"/>
      <c r="D67" s="1431"/>
      <c r="E67" s="651"/>
      <c r="F67" s="651"/>
      <c r="H67" s="664"/>
      <c r="I67" s="664"/>
      <c r="K67" s="652" t="s">
        <v>1384</v>
      </c>
      <c r="L67" s="654">
        <f>(L61-L62)/2</f>
        <v>77.186098654708516</v>
      </c>
      <c r="M67" s="654">
        <f>(M61-M62)/2</f>
        <v>79.979652242976201</v>
      </c>
      <c r="N67" s="660">
        <f>M67/L67</f>
        <v>1.0361924444551165</v>
      </c>
      <c r="O67" s="652" t="s">
        <v>1385</v>
      </c>
      <c r="P67" s="654">
        <f>1/P58/P59*1000000</f>
        <v>119.04761904761905</v>
      </c>
      <c r="Q67" s="654">
        <f>1/Q58/Q59*1000000</f>
        <v>119.04761904761905</v>
      </c>
      <c r="R67" s="654">
        <f>Q67/P67</f>
        <v>1</v>
      </c>
      <c r="S67" s="652" t="s">
        <v>1349</v>
      </c>
      <c r="T67" s="655">
        <f>(X56*X58-X54*X59)/X60</f>
        <v>-7.585034844579904E-16</v>
      </c>
      <c r="V67" s="655">
        <f t="shared" si="26"/>
        <v>-1.5170069689159808E-18</v>
      </c>
      <c r="W67" s="656" t="s">
        <v>1386</v>
      </c>
      <c r="X67" s="654">
        <f>V67/V63</f>
        <v>-8.4426552267815374E-17</v>
      </c>
      <c r="Y67" s="673" t="s">
        <v>1863</v>
      </c>
      <c r="Z67" s="864" t="s">
        <v>2058</v>
      </c>
      <c r="AA67" s="650">
        <v>37.5</v>
      </c>
      <c r="AB67" s="1159">
        <v>47</v>
      </c>
      <c r="AC67" s="1159">
        <v>34.299999999999997</v>
      </c>
      <c r="AD67" s="682" t="s">
        <v>2016</v>
      </c>
      <c r="AE67" s="650">
        <v>37.5</v>
      </c>
      <c r="AF67" s="1125">
        <v>73.5</v>
      </c>
      <c r="AG67" s="1125">
        <v>7.8</v>
      </c>
      <c r="AH67" s="669" t="s">
        <v>1387</v>
      </c>
      <c r="AI67" s="651">
        <f>IF(AI8&gt;0,$Q$76*AI62+$Q$77*AI63,$Q$37*AI62+$Q$38*AI63)</f>
        <v>-1.7507586084331353E-2</v>
      </c>
      <c r="AJ67" s="651">
        <f>IF(AJ8&gt;0,$Q$76*AJ62+$Q$77*AJ63,$Q$37*AJ62+$Q$38*AJ63)</f>
        <v>-7.4640215652474612E-2</v>
      </c>
      <c r="AK67" s="651">
        <f>IF(AK8&gt;0,$Q$76*AK62+$Q$77*AK63,$Q$37*AK62+$Q$38*AK63)</f>
        <v>-7.4640215652474598E-2</v>
      </c>
      <c r="AL67" s="651">
        <f>IF(AL8&gt;0,$Q$76*AL62+$Q$77*AL63,$Q$37*AL62+$Q$38*AL63)</f>
        <v>-7.4640215652474612E-2</v>
      </c>
      <c r="AM67" s="676"/>
    </row>
    <row r="68" spans="1:39">
      <c r="A68" s="1429">
        <v>22</v>
      </c>
      <c r="B68" s="1430">
        <f t="shared" si="27"/>
        <v>68.108183856502237</v>
      </c>
      <c r="C68" s="1430"/>
      <c r="D68" s="1431"/>
      <c r="E68" s="651"/>
      <c r="F68" s="651"/>
      <c r="H68" s="664"/>
      <c r="I68" s="664"/>
      <c r="K68" s="652" t="s">
        <v>1388</v>
      </c>
      <c r="L68" s="654">
        <f>(L61+L62-2*L63-4*L64)/8</f>
        <v>18.158632286995516</v>
      </c>
      <c r="M68" s="654">
        <f>(M61+M62-2*M63-4*M64)/8</f>
        <v>19.912155635262831</v>
      </c>
      <c r="N68" s="660">
        <f>M68/L68</f>
        <v>1.0965669286404967</v>
      </c>
      <c r="O68" s="652" t="s">
        <v>1389</v>
      </c>
      <c r="P68" s="654">
        <f>P61*(P66*P67)^0.5</f>
        <v>-2.1839603428190135</v>
      </c>
      <c r="Q68" s="654">
        <f>Q61*(Q66*Q67)^0.5</f>
        <v>-0.32759405142285203</v>
      </c>
      <c r="R68" s="654">
        <f>Q68/P68</f>
        <v>0.15</v>
      </c>
      <c r="V68" s="655"/>
      <c r="W68" s="655"/>
      <c r="X68" s="656"/>
      <c r="Y68" s="673" t="s">
        <v>1863</v>
      </c>
      <c r="Z68" s="864" t="s">
        <v>2059</v>
      </c>
      <c r="AA68" s="650">
        <v>45</v>
      </c>
      <c r="AB68" s="1159">
        <v>45</v>
      </c>
      <c r="AC68" s="1159">
        <v>36.200000000000003</v>
      </c>
      <c r="AD68" s="682" t="s">
        <v>2016</v>
      </c>
      <c r="AE68" s="650">
        <v>45</v>
      </c>
      <c r="AF68" s="1125">
        <v>75.5</v>
      </c>
      <c r="AG68" s="866">
        <v>5.8</v>
      </c>
      <c r="AH68" s="669" t="s">
        <v>1390</v>
      </c>
      <c r="AI68" s="651">
        <f>AI66+AI67</f>
        <v>-1.7231173023053249E-2</v>
      </c>
      <c r="AJ68" s="651">
        <f>AJ66+AJ67</f>
        <v>-6.9323550771540829E-2</v>
      </c>
      <c r="AK68" s="651">
        <f>AK66+AK67</f>
        <v>-6.9323550771540815E-2</v>
      </c>
      <c r="AL68" s="651">
        <f>AL66+AL67</f>
        <v>-6.9323550771540829E-2</v>
      </c>
      <c r="AM68" s="676"/>
    </row>
    <row r="69" spans="1:39">
      <c r="A69" s="1429">
        <v>12</v>
      </c>
      <c r="B69" s="1430">
        <f t="shared" si="27"/>
        <v>21.790919282511211</v>
      </c>
      <c r="C69" s="1430"/>
      <c r="D69" s="1431"/>
      <c r="E69" s="651"/>
      <c r="F69" s="651"/>
      <c r="H69" s="664"/>
      <c r="I69" s="664"/>
      <c r="K69" s="652" t="s">
        <v>1391</v>
      </c>
      <c r="L69" s="654">
        <f>(L61+L62+6*L63-4*L64)/8</f>
        <v>21.790919282511211</v>
      </c>
      <c r="M69" s="654">
        <f>(M61+M62+6*M63-4*M64)/8</f>
        <v>20.035039748914834</v>
      </c>
      <c r="N69" s="660">
        <f>M69/L69</f>
        <v>0.91942150256113342</v>
      </c>
      <c r="O69" s="652" t="s">
        <v>1392</v>
      </c>
      <c r="P69" s="654">
        <f>1/P60^2*1000000</f>
        <v>104.12328196584757</v>
      </c>
      <c r="Q69" s="654">
        <f>1/Q60^2*1000000</f>
        <v>104.12328196584757</v>
      </c>
      <c r="R69" s="654">
        <f>Q69/P69</f>
        <v>1</v>
      </c>
      <c r="S69" s="653" t="s">
        <v>1393</v>
      </c>
      <c r="V69" s="655"/>
      <c r="W69" s="655"/>
      <c r="X69" s="656"/>
      <c r="Z69" s="665"/>
      <c r="AG69" s="676"/>
      <c r="AH69" s="669" t="s">
        <v>1395</v>
      </c>
      <c r="AI69" s="651">
        <f>-1+AI68</f>
        <v>-1.0172311730230532</v>
      </c>
      <c r="AJ69" s="651">
        <f>-1+AJ68</f>
        <v>-1.0693235507715408</v>
      </c>
      <c r="AK69" s="651">
        <f>-1+AK68</f>
        <v>-1.0693235507715408</v>
      </c>
      <c r="AL69" s="651">
        <f>-1+AL68</f>
        <v>-1.0693235507715408</v>
      </c>
      <c r="AM69" s="676"/>
    </row>
    <row r="70" spans="1:39">
      <c r="A70" s="1429">
        <v>66</v>
      </c>
      <c r="B70" s="1430">
        <f t="shared" si="27"/>
        <v>23.158632286995513</v>
      </c>
      <c r="C70" s="1430"/>
      <c r="D70" s="1431"/>
      <c r="E70" s="651"/>
      <c r="F70" s="651"/>
      <c r="H70" s="664"/>
      <c r="I70" s="664"/>
      <c r="K70" s="652" t="s">
        <v>1396</v>
      </c>
      <c r="L70" s="654">
        <f>(L66-L69)/2</f>
        <v>23.158632286995513</v>
      </c>
      <c r="M70" s="654">
        <f>(M66-M69)/2</f>
        <v>21.040262709832621</v>
      </c>
      <c r="N70" s="660">
        <f>M70/L70</f>
        <v>0.90852786335087499</v>
      </c>
      <c r="O70" s="652" t="s">
        <v>1397</v>
      </c>
      <c r="P70" s="654">
        <f>(1/P56-1/P57)*1000</f>
        <v>-0.33847195298316868</v>
      </c>
      <c r="Q70" s="654">
        <f>(1/Q56-1/Q57)*1000</f>
        <v>-0.33847195298316868</v>
      </c>
      <c r="R70" s="665">
        <f>IF(P70=0,I27,Q70/P70)</f>
        <v>1</v>
      </c>
      <c r="S70" s="653" t="s">
        <v>577</v>
      </c>
      <c r="T70" s="655">
        <f>($Q49+$Q50)/2000000+($Q49-$Q50)/2000000*COS(T45)</f>
        <v>1.9999999999999809E-8</v>
      </c>
      <c r="U70" s="655">
        <f>($Q49+$Q50)/2000000+($Q49-$Q50)/2000000*COS(U45)</f>
        <v>1.1260000000000001E-5</v>
      </c>
      <c r="V70" s="655">
        <f>($Q49+$Q50)/2000000+($Q49-$Q50)/2000000*COS(V45)</f>
        <v>2.2500000000000001E-5</v>
      </c>
      <c r="W70" s="655">
        <f>($Q49+$Q50)/2000000+($Q49-$Q50)/2000000*COS(W45)</f>
        <v>1.1260000000000001E-5</v>
      </c>
      <c r="X70" s="656"/>
      <c r="Z70" s="665"/>
      <c r="AG70" s="676"/>
      <c r="AH70" s="669" t="s">
        <v>1399</v>
      </c>
      <c r="AI70" s="651">
        <f>IF(AI8&gt;0,2*($Q$72*AI46*AI62+$Q$73*AI47*AI63+$Q$74*(AI46*AI63+AI62*AI47)+$Q$75*AI48*AI64),2*($Q$33*AI46*AI62+$Q$34*AI47*AI63+$Q$35*(AI46*AI63+AI62*AI47)+$Q$36*AI48*AI64))</f>
        <v>-3.9075659823965131E-3</v>
      </c>
      <c r="AJ70" s="651">
        <f>IF(AJ8&gt;0,2*($Q$72*AJ46*AJ62+$Q$73*AJ47*AJ63+$Q$74*(AJ46*AJ63+AJ62*AJ47)+$Q$75*AJ48*AJ64),2*($Q$33*AJ46*AJ62+$Q$34*AJ47*AJ63+$Q$35*(AJ46*AJ63+AJ62*AJ47)+$Q$36*AJ48*AJ64))</f>
        <v>4.6846451569368668E-2</v>
      </c>
      <c r="AK70" s="651">
        <f>IF(AK8&gt;0,2*($Q$72*AK46*AK62+$Q$73*AK47*AK63+$Q$74*(AK46*AK63+AK62*AK47)+$Q$75*AK48*AK64),2*($Q$33*AK46*AK62+$Q$34*AK47*AK63+$Q$35*(AK46*AK63+AK62*AK47)+$Q$36*AK48*AK64))</f>
        <v>0.12582051731284299</v>
      </c>
      <c r="AL70" s="651">
        <f>IF(AL8&gt;0,2*($Q$72*AL46*AL62+$Q$73*AL47*AL63+$Q$74*(AL46*AL63+AL62*AL47)+$Q$75*AL48*AL64),2*($Q$33*AL46*AL62+$Q$34*AL47*AL63+$Q$35*(AL46*AL63+AL62*AL47)+$Q$36*AL48*AL64))</f>
        <v>4.6846451569368668E-2</v>
      </c>
      <c r="AM70" s="676"/>
    </row>
    <row r="71" spans="1:39">
      <c r="A71" s="1429" t="s">
        <v>2181</v>
      </c>
      <c r="B71" s="1430">
        <f t="shared" si="27"/>
        <v>0</v>
      </c>
      <c r="C71" s="1430"/>
      <c r="D71" s="1431"/>
      <c r="E71" s="651"/>
      <c r="F71" s="651"/>
      <c r="H71" s="664"/>
      <c r="I71" s="664"/>
      <c r="K71" s="650" t="s">
        <v>1400</v>
      </c>
      <c r="O71" s="652" t="s">
        <v>1401</v>
      </c>
      <c r="P71" s="654">
        <f>(1/P58-1/P59)*1000</f>
        <v>11.190476190476188</v>
      </c>
      <c r="Q71" s="654">
        <f>(1/Q58-1/Q59)*1000</f>
        <v>11.190476190476188</v>
      </c>
      <c r="R71" s="654">
        <f t="shared" ref="R71:R77" si="28">Q71/P71</f>
        <v>1</v>
      </c>
      <c r="S71" s="653" t="s">
        <v>578</v>
      </c>
      <c r="T71" s="655">
        <f>($Q49+$Q50)/2000000+($Q50-$Q49)/2000000*COS(T45)</f>
        <v>2.2500000000000001E-5</v>
      </c>
      <c r="U71" s="655">
        <f>($Q49+$Q50)/2000000+($Q50-$Q49)/2000000*COS(U45)</f>
        <v>1.1260000000000001E-5</v>
      </c>
      <c r="V71" s="655">
        <f>($Q49+$Q50)/2000000+($Q50-$Q49)/2000000*COS(V45)</f>
        <v>1.9999999999999809E-8</v>
      </c>
      <c r="W71" s="655">
        <f>($Q49+$Q50)/2000000+($Q50-$Q49)/2000000*COS(W45)</f>
        <v>1.1260000000000001E-5</v>
      </c>
      <c r="X71" s="656"/>
      <c r="Z71" s="665"/>
      <c r="AH71" s="669" t="s">
        <v>1403</v>
      </c>
      <c r="AI71" s="651">
        <f>AI70+AI54</f>
        <v>0.54267890591743773</v>
      </c>
      <c r="AJ71" s="651">
        <f>AJ70+AJ54</f>
        <v>0.13991500107862104</v>
      </c>
      <c r="AK71" s="651">
        <f>AK70+AK54</f>
        <v>-0.23462885556848651</v>
      </c>
      <c r="AL71" s="651">
        <f>AL70+AL54</f>
        <v>0.13991500107862104</v>
      </c>
      <c r="AM71" s="676"/>
    </row>
    <row r="72" spans="1:39">
      <c r="A72" s="1429" t="s">
        <v>2182</v>
      </c>
      <c r="B72" s="1430">
        <f t="shared" si="27"/>
        <v>1.7763568394002505E-15</v>
      </c>
      <c r="C72" s="1430"/>
      <c r="D72" s="1431"/>
      <c r="E72" s="651"/>
      <c r="F72" s="651"/>
      <c r="H72" s="664"/>
      <c r="I72" s="664"/>
      <c r="K72" s="652" t="s">
        <v>1404</v>
      </c>
      <c r="L72" s="654">
        <f>(1-(L69/L66)^2)*L66</f>
        <v>61.136273341645861</v>
      </c>
      <c r="M72" s="654">
        <f>(1-(M69/M66)^2)*M66</f>
        <v>55.653371406820035</v>
      </c>
      <c r="N72" s="654">
        <f t="shared" ref="N72:N77" si="29">M72/L72</f>
        <v>0.91031671321891172</v>
      </c>
      <c r="O72" s="652" t="s">
        <v>1405</v>
      </c>
      <c r="P72" s="659">
        <f>(P66*L61^2+2*P68*L61*L63+P67*L63^2)</f>
        <v>3259.0658846483625</v>
      </c>
      <c r="Q72" s="659">
        <f>(Q66*M61^2+2*Q68*M61*M63+Q67*M63^2)</f>
        <v>4195.0356024912217</v>
      </c>
      <c r="R72" s="654">
        <f t="shared" si="28"/>
        <v>1.2871895662655024</v>
      </c>
      <c r="S72" s="653" t="s">
        <v>579</v>
      </c>
      <c r="T72" s="655">
        <f>($Q49-$Q50)*SIN(T45)/1000000</f>
        <v>0</v>
      </c>
      <c r="U72" s="655">
        <f>($Q49-$Q50)*SIN(U45)/1000000</f>
        <v>-2.2480000000000002E-5</v>
      </c>
      <c r="V72" s="655">
        <f>($Q49-$Q50)*SIN(V45)/1000000</f>
        <v>-2.754133726634578E-21</v>
      </c>
      <c r="W72" s="655">
        <f>($Q49-$Q50)*SIN(W45)/1000000</f>
        <v>2.2480000000000002E-5</v>
      </c>
      <c r="X72" s="656"/>
      <c r="Z72" s="652"/>
      <c r="AH72" s="669" t="s">
        <v>1412</v>
      </c>
      <c r="AI72" s="651">
        <f>AI71/2/AI53</f>
        <v>0.78256678295969251</v>
      </c>
      <c r="AJ72" s="651">
        <f>AJ71/2/AJ53</f>
        <v>1.1509588721929032</v>
      </c>
      <c r="AK72" s="651">
        <f>AK71/2/AK53</f>
        <v>-1.4765242019062113</v>
      </c>
      <c r="AL72" s="651">
        <f>AL71/2/AL53</f>
        <v>1.1509588721929032</v>
      </c>
      <c r="AM72" s="676"/>
    </row>
    <row r="73" spans="1:39">
      <c r="A73" s="1429"/>
      <c r="B73" s="1420"/>
      <c r="C73" s="1426"/>
      <c r="D73" s="1427"/>
      <c r="E73" s="651"/>
      <c r="F73" s="651"/>
      <c r="H73" s="664"/>
      <c r="I73" s="664"/>
      <c r="K73" s="652" t="s">
        <v>1414</v>
      </c>
      <c r="L73" s="654">
        <f>L69/L66</f>
        <v>0.3199456812476853</v>
      </c>
      <c r="M73" s="654">
        <f>M69/M66</f>
        <v>0.32254459400860702</v>
      </c>
      <c r="N73" s="654">
        <f t="shared" si="29"/>
        <v>1.0081229812222712</v>
      </c>
      <c r="O73" s="652" t="s">
        <v>1415</v>
      </c>
      <c r="P73" s="659">
        <f>(P66*L63^2+2*P68*L63*L62+P67*L62^2)</f>
        <v>9674.6427319793438</v>
      </c>
      <c r="Q73" s="659">
        <f>(Q66*M63^2+2*Q68*M63*M62+Q67*M62^2)</f>
        <v>499.1928624086633</v>
      </c>
      <c r="R73" s="654">
        <f t="shared" si="28"/>
        <v>5.1598066847325638E-2</v>
      </c>
      <c r="S73" s="653" t="s">
        <v>580</v>
      </c>
      <c r="T73" s="655">
        <f>($Q52+$Q53)/2+($Q52-$Q53)/2*COS(T45)</f>
        <v>0</v>
      </c>
      <c r="U73" s="655">
        <f>($Q52+$Q53)/2+($Q52-$Q53)/2*COS(U45)</f>
        <v>0.3</v>
      </c>
      <c r="V73" s="655">
        <f>($Q52+$Q53)/2+($Q52-$Q53)/2*COS(V45)</f>
        <v>0.6</v>
      </c>
      <c r="W73" s="655">
        <f>($Q52+$Q53)/2+($Q52-$Q53)/2*COS(W45)</f>
        <v>0.3</v>
      </c>
      <c r="X73" s="656"/>
      <c r="Z73" s="652"/>
      <c r="AH73" s="669"/>
      <c r="AI73" s="703"/>
      <c r="AJ73" s="676"/>
      <c r="AK73" s="676"/>
      <c r="AL73" s="676"/>
      <c r="AM73" s="676"/>
    </row>
    <row r="74" spans="1:39">
      <c r="A74" s="1425"/>
      <c r="B74" s="1420"/>
      <c r="C74" s="1426"/>
      <c r="D74" s="1427"/>
      <c r="E74" s="651"/>
      <c r="F74" s="651"/>
      <c r="H74" s="664"/>
      <c r="I74" s="664"/>
      <c r="K74" s="704" t="s">
        <v>1718</v>
      </c>
      <c r="L74" s="705">
        <f>2*(L66+L70)</f>
        <v>182.5336322869955</v>
      </c>
      <c r="M74" s="705">
        <f>2*(M66+M70)</f>
        <v>166.31165575682539</v>
      </c>
      <c r="N74" s="679">
        <f t="shared" si="29"/>
        <v>0.91112883512521958</v>
      </c>
      <c r="O74" s="652" t="s">
        <v>1416</v>
      </c>
      <c r="P74" s="659">
        <f>(P66*L61*L63+P68*(L61*L62+L63^2)+P67*L63*L62)</f>
        <v>751.38759841235924</v>
      </c>
      <c r="Q74" s="659">
        <f>(Q66*M61*M63+Q68*(M61*M62+M63^2)+Q67*M63*M62)</f>
        <v>-75.549551993973395</v>
      </c>
      <c r="R74" s="654">
        <f t="shared" si="28"/>
        <v>-0.10054671138252143</v>
      </c>
      <c r="S74" s="653" t="s">
        <v>581</v>
      </c>
      <c r="T74" s="655">
        <f>($Q52+$Q53)/2+($Q53-$Q52)/2*COS(T45)</f>
        <v>0.6</v>
      </c>
      <c r="U74" s="655">
        <f>($Q52+$Q53)/2+($Q53-$Q52)/2*COS(U45)</f>
        <v>0.3</v>
      </c>
      <c r="V74" s="655">
        <f>($Q52+$Q53)/2+($Q53-$Q52)/2*COS(V45)</f>
        <v>0</v>
      </c>
      <c r="W74" s="655">
        <f>($Q52+$Q53)/2+($Q53-$Q52)/2*COS(W45)</f>
        <v>0.3</v>
      </c>
      <c r="X74" s="656"/>
      <c r="Z74" s="652"/>
      <c r="AA74" s="650">
        <v>0.5625</v>
      </c>
      <c r="AB74" s="650">
        <v>6.25E-2</v>
      </c>
      <c r="AC74" s="650">
        <v>0.375</v>
      </c>
      <c r="AF74" s="656"/>
      <c r="AH74" s="669"/>
      <c r="AI74" s="703"/>
      <c r="AJ74" s="676"/>
      <c r="AK74" s="676"/>
      <c r="AL74" s="676"/>
      <c r="AM74" s="676"/>
    </row>
    <row r="75" spans="1:39">
      <c r="A75" s="1425" t="s">
        <v>1380</v>
      </c>
      <c r="B75" s="1430">
        <f>L66</f>
        <v>68.108183856502237</v>
      </c>
      <c r="C75" s="1426"/>
      <c r="D75" s="1427"/>
      <c r="E75" s="651"/>
      <c r="F75" s="651"/>
      <c r="H75" s="664"/>
      <c r="I75" s="664"/>
      <c r="K75" s="652" t="s">
        <v>1417</v>
      </c>
      <c r="L75" s="654">
        <f>$E$30</f>
        <v>1.6</v>
      </c>
      <c r="M75" s="654">
        <f>M76*(1-$M$50)+M77*$M$50</f>
        <v>1.6</v>
      </c>
      <c r="N75" s="654">
        <f t="shared" si="29"/>
        <v>1</v>
      </c>
      <c r="O75" s="652" t="s">
        <v>1418</v>
      </c>
      <c r="P75" s="659">
        <f>P69*L64^2</f>
        <v>2603.0820491461891</v>
      </c>
      <c r="Q75" s="659">
        <f>Q69*M64^2</f>
        <v>132.50995123848494</v>
      </c>
      <c r="R75" s="654">
        <f t="shared" si="28"/>
        <v>5.090502286777638E-2</v>
      </c>
      <c r="S75" s="653" t="s">
        <v>582</v>
      </c>
      <c r="T75" s="655">
        <f>($Q52-$Q53)*SIN(T45)</f>
        <v>0</v>
      </c>
      <c r="U75" s="655">
        <f>($Q52-$Q53)*SIN(U45)</f>
        <v>-0.6</v>
      </c>
      <c r="V75" s="655">
        <f>($Q52-$Q53)*SIN(V45)</f>
        <v>-7.3508907294517201E-17</v>
      </c>
      <c r="W75" s="655">
        <f>($Q52-$Q53)*SIN(W45)</f>
        <v>0.6</v>
      </c>
      <c r="X75" s="656"/>
      <c r="Z75" s="652"/>
      <c r="AA75" s="650">
        <v>0.25</v>
      </c>
      <c r="AB75" s="650">
        <v>0.25</v>
      </c>
      <c r="AC75" s="650">
        <v>0.5</v>
      </c>
      <c r="AF75" s="655"/>
      <c r="AH75" s="669"/>
      <c r="AI75" s="703"/>
      <c r="AJ75" s="676"/>
      <c r="AK75" s="676"/>
      <c r="AL75" s="676"/>
      <c r="AM75" s="669" t="s">
        <v>583</v>
      </c>
    </row>
    <row r="76" spans="1:39">
      <c r="A76" s="1425" t="s">
        <v>1384</v>
      </c>
      <c r="B76" s="1430">
        <f>L67</f>
        <v>77.186098654708516</v>
      </c>
      <c r="C76" s="1426"/>
      <c r="D76" s="1427"/>
      <c r="E76" s="651"/>
      <c r="F76" s="651"/>
      <c r="H76" s="664"/>
      <c r="I76" s="664"/>
      <c r="K76" s="652" t="s">
        <v>1587</v>
      </c>
      <c r="L76" s="654">
        <f>$G$29</f>
        <v>1.2</v>
      </c>
      <c r="M76" s="654">
        <f>L76</f>
        <v>1.2</v>
      </c>
      <c r="N76" s="654">
        <f t="shared" si="29"/>
        <v>1</v>
      </c>
      <c r="O76" s="652" t="s">
        <v>1422</v>
      </c>
      <c r="P76" s="659">
        <f>(P70*L61+P71*L63)</f>
        <v>-14.677206152245681</v>
      </c>
      <c r="Q76" s="659">
        <f>(Q70*M61+Q71*M63)</f>
        <v>-53.459820204819117</v>
      </c>
      <c r="R76" s="654">
        <f t="shared" si="28"/>
        <v>3.6423703292223304</v>
      </c>
      <c r="S76" s="652" t="s">
        <v>584</v>
      </c>
      <c r="T76" s="651">
        <f>(T54*T70+T56*T71+T58*T72)*T50</f>
        <v>1.5012600045266018E-6</v>
      </c>
      <c r="U76" s="651">
        <f>(U54*U70+U56*U71+U58*U72)*U50</f>
        <v>6.5111300399850523E-6</v>
      </c>
      <c r="V76" s="651">
        <f>(V54*V70+V56*V71+V58*V72)*V50</f>
        <v>1.1521000075443485E-5</v>
      </c>
      <c r="W76" s="651">
        <f>(W54*W70+W56*W71+W58*W72)*W50</f>
        <v>6.5111300399850523E-6</v>
      </c>
      <c r="X76" s="650"/>
      <c r="Z76" s="655"/>
      <c r="AA76" s="650">
        <v>1.37E-2</v>
      </c>
      <c r="AB76" s="650">
        <v>0.78</v>
      </c>
      <c r="AC76" s="650">
        <v>0.20599999999999999</v>
      </c>
      <c r="AH76" s="652" t="s">
        <v>1424</v>
      </c>
      <c r="AI76" s="651">
        <f>IF(AI42=0,1000000000,(AI72^2-AI69/AI53)^0.5-AI72)</f>
        <v>1.1005674925362114</v>
      </c>
      <c r="AJ76" s="651">
        <f>IF(AJ42=0,1000000000,(AJ72^2-AJ69/AJ53)^0.5-AJ72)</f>
        <v>3.1984656459995593</v>
      </c>
      <c r="AK76" s="651">
        <f>IF(AK42=0,1000000000,(AK72^2-AK69/AK53)^0.5-AK72)</f>
        <v>5.4311005138316473</v>
      </c>
      <c r="AL76" s="651">
        <f>IF(AL42=0,1000000000,(AL72^2-AL69/AL53)^0.5-AL72)</f>
        <v>3.1984656459995593</v>
      </c>
      <c r="AM76" s="651">
        <f>MIN(AI76:AL76)</f>
        <v>1.1005674925362114</v>
      </c>
    </row>
    <row r="77" spans="1:39">
      <c r="A77" s="1425" t="s">
        <v>1388</v>
      </c>
      <c r="B77" s="1430">
        <f>L68</f>
        <v>18.158632286995516</v>
      </c>
      <c r="C77" s="1426"/>
      <c r="D77" s="1427"/>
      <c r="E77" s="651"/>
      <c r="F77" s="651"/>
      <c r="H77" s="664"/>
      <c r="I77" s="664"/>
      <c r="K77" s="652" t="s">
        <v>1425</v>
      </c>
      <c r="L77" s="654">
        <f>(L75-L76*(1-$L$50))/$L$50</f>
        <v>1.8250000000000002</v>
      </c>
      <c r="M77" s="654">
        <f>L77</f>
        <v>1.8250000000000002</v>
      </c>
      <c r="N77" s="654">
        <f t="shared" si="29"/>
        <v>1</v>
      </c>
      <c r="O77" s="652" t="s">
        <v>1426</v>
      </c>
      <c r="P77" s="659">
        <f>(P70*L63+P71*L62)</f>
        <v>100.38812557756911</v>
      </c>
      <c r="Q77" s="659">
        <f>(Q70*M63+Q71*M62)</f>
        <v>22.877269640903492</v>
      </c>
      <c r="R77" s="654">
        <f t="shared" si="28"/>
        <v>0.22788820400104398</v>
      </c>
      <c r="S77" s="652" t="s">
        <v>585</v>
      </c>
      <c r="T77" s="651">
        <f>(T56*T70+T55*T71+T59*T72)*T50</f>
        <v>1.1521000075443485E-5</v>
      </c>
      <c r="U77" s="651">
        <f>(U56*U70+U55*U71+U59*U72)*U50</f>
        <v>6.5111300399850252E-6</v>
      </c>
      <c r="V77" s="651">
        <f>(V56*V70+V55*V71+V59*V72)*V50</f>
        <v>1.5012600045266018E-6</v>
      </c>
      <c r="W77" s="651">
        <f>(W56*W70+W55*W71+W59*W72)*W50</f>
        <v>6.5111300399850252E-6</v>
      </c>
      <c r="X77" s="650"/>
      <c r="Z77" s="655"/>
    </row>
    <row r="78" spans="1:39">
      <c r="A78" s="1425" t="s">
        <v>1391</v>
      </c>
      <c r="B78" s="1430">
        <f>L69</f>
        <v>21.790919282511211</v>
      </c>
      <c r="C78" s="1426"/>
      <c r="D78" s="1427"/>
      <c r="E78" s="651"/>
      <c r="F78" s="651"/>
      <c r="G78" s="659"/>
      <c r="H78" s="654"/>
      <c r="I78" s="654"/>
      <c r="S78" s="652" t="s">
        <v>586</v>
      </c>
      <c r="T78" s="651">
        <f>(T58*T70+T59*T71+T57*T72)*T50</f>
        <v>0</v>
      </c>
      <c r="U78" s="651">
        <f>(U58*U70+U59*U71+U57*U72)*U50</f>
        <v>-5.0098700354584379E-6</v>
      </c>
      <c r="V78" s="651">
        <f>(V58*V70+V59*V71+V57*V72)*V50</f>
        <v>-6.1378345332348712E-22</v>
      </c>
      <c r="W78" s="651">
        <f>(W58*W70+W59*W71+W57*W72)*W50</f>
        <v>5.0098700354584379E-6</v>
      </c>
      <c r="X78" s="650"/>
      <c r="Z78" s="655"/>
      <c r="AA78" s="652" t="s">
        <v>1978</v>
      </c>
      <c r="AB78" s="652" t="s">
        <v>1979</v>
      </c>
      <c r="AC78" s="650" t="s">
        <v>1980</v>
      </c>
      <c r="AD78" s="650" t="s">
        <v>1981</v>
      </c>
    </row>
    <row r="79" spans="1:39">
      <c r="A79" s="1425" t="s">
        <v>2162</v>
      </c>
      <c r="B79" s="1430">
        <f>L70</f>
        <v>23.158632286995513</v>
      </c>
      <c r="C79" s="1426"/>
      <c r="D79" s="1427"/>
      <c r="E79" s="716"/>
      <c r="F79" s="716"/>
      <c r="G79" s="718"/>
      <c r="H79" s="718"/>
      <c r="I79" s="718"/>
      <c r="S79" s="652" t="s">
        <v>587</v>
      </c>
      <c r="T79" s="651">
        <f>(T54*T73+T56*T74+T58*T75)*T50</f>
        <v>1.843261704780037E-2</v>
      </c>
      <c r="U79" s="651">
        <f>(U54*U73+U56*U74+U58*U75)*U50</f>
        <v>0.16282145058890407</v>
      </c>
      <c r="V79" s="651">
        <f>(V54*V73+V56*V74+V58*V75)*V50</f>
        <v>0.30721028413000601</v>
      </c>
      <c r="W79" s="651">
        <f>(W54*W73+W56*W74+W58*W75)*W50</f>
        <v>0.16282145058890407</v>
      </c>
      <c r="X79" s="650"/>
      <c r="Y79" s="864" t="s">
        <v>1982</v>
      </c>
      <c r="Z79" s="698">
        <v>65</v>
      </c>
      <c r="AA79" s="865">
        <f>COS(Z79/57.3)</f>
        <v>0.42269399138387415</v>
      </c>
      <c r="AB79" s="865">
        <f>SIN(Z79/57.3)</f>
        <v>0.90627246987204091</v>
      </c>
      <c r="AC79" s="865">
        <f>COS((Z79+180)/57.3)</f>
        <v>-0.4229036888372702</v>
      </c>
      <c r="AD79" s="865">
        <f>SIN((Z79+180)/57.3)</f>
        <v>-0.9061746354692507</v>
      </c>
    </row>
    <row r="80" spans="1:39">
      <c r="A80" s="1425"/>
      <c r="B80" s="1420"/>
      <c r="C80" s="1426"/>
      <c r="D80" s="1427"/>
      <c r="E80" s="654"/>
      <c r="F80" s="654"/>
      <c r="G80" s="654"/>
      <c r="S80" s="652" t="s">
        <v>588</v>
      </c>
      <c r="T80" s="651">
        <f>(T56*T73+T55*T74+T59*T75)*T50</f>
        <v>0.30721028413000601</v>
      </c>
      <c r="U80" s="651">
        <f>(U56*U73+U55*U74+U59*U75)*U50</f>
        <v>0.16282145058890318</v>
      </c>
      <c r="V80" s="651">
        <f>(V56*V73+V55*V74+V59*V75)*V50</f>
        <v>1.843261704780037E-2</v>
      </c>
      <c r="W80" s="651">
        <f>(W56*W73+W55*W74+W59*W75)*W50</f>
        <v>0.16282145058890318</v>
      </c>
      <c r="X80" s="650"/>
      <c r="Y80" s="864" t="s">
        <v>1983</v>
      </c>
      <c r="Z80" s="654">
        <f>-Z79</f>
        <v>-65</v>
      </c>
      <c r="AA80" s="865">
        <f>COS(Z80/57.3)</f>
        <v>0.42269399138387415</v>
      </c>
      <c r="AB80" s="865">
        <f>SIN(Z80/57.3)</f>
        <v>-0.90627246987204091</v>
      </c>
      <c r="AC80" s="865">
        <f>COS((Z80+180)/57.3)</f>
        <v>-0.42248427129750027</v>
      </c>
      <c r="AD80" s="865">
        <f>SIN((Z80+180)/57.3)</f>
        <v>0.90637025574884145</v>
      </c>
    </row>
    <row r="81" spans="1:30">
      <c r="A81" s="1425"/>
      <c r="B81" s="1420"/>
      <c r="C81" s="1426"/>
      <c r="D81" s="1427"/>
      <c r="L81" s="651"/>
      <c r="S81" s="650" t="s">
        <v>589</v>
      </c>
      <c r="T81" s="650">
        <f>(T58*T73+T59*T74+T57*T75)*T50</f>
        <v>0</v>
      </c>
      <c r="U81" s="650">
        <f>(U58*U73+U59*U74+U57*U75)*U50</f>
        <v>-0.14438883354110299</v>
      </c>
      <c r="V81" s="650">
        <f>(V58*V73+V59*V74+V57*V75)*V50</f>
        <v>-1.7689775631893918E-17</v>
      </c>
      <c r="W81" s="650">
        <f>(W58*W73+W59*W74+W57*W75)*W50</f>
        <v>0.14438883354110299</v>
      </c>
      <c r="X81" s="650"/>
      <c r="Y81" s="864" t="s">
        <v>1984</v>
      </c>
      <c r="Z81" s="698">
        <v>25</v>
      </c>
      <c r="AA81" s="865">
        <f>COS(Z81/57.3)</f>
        <v>0.90632136887651715</v>
      </c>
      <c r="AB81" s="865">
        <f>SIN(Z81/57.3)</f>
        <v>0.42258913416910765</v>
      </c>
      <c r="AC81" s="865">
        <f>COS((Z81+180)/57.3)</f>
        <v>-0.90641913048835909</v>
      </c>
      <c r="AD81" s="865">
        <f>SIN((Z81+180)/57.3)</f>
        <v>-0.42237940277045599</v>
      </c>
    </row>
    <row r="82" spans="1:30">
      <c r="A82" s="1425"/>
      <c r="B82" s="1420"/>
      <c r="C82" s="1426"/>
      <c r="D82" s="1427"/>
      <c r="S82" s="652"/>
      <c r="T82" s="656" t="s">
        <v>1408</v>
      </c>
      <c r="U82" s="656" t="s">
        <v>1409</v>
      </c>
      <c r="V82" s="656" t="s">
        <v>1410</v>
      </c>
      <c r="W82" s="656" t="s">
        <v>1411</v>
      </c>
      <c r="X82" s="650"/>
      <c r="Y82" s="864" t="s">
        <v>1985</v>
      </c>
      <c r="Z82" s="654">
        <f>-Z81</f>
        <v>-25</v>
      </c>
      <c r="AA82" s="865">
        <f>COS(Z82/57.3)</f>
        <v>0.90632136887651715</v>
      </c>
      <c r="AB82" s="865">
        <f>SIN(Z82/57.3)</f>
        <v>-0.42258913416910765</v>
      </c>
      <c r="AC82" s="865">
        <f>COS((Z82+180)/57.3)</f>
        <v>-0.90622355873606708</v>
      </c>
      <c r="AD82" s="865">
        <f>SIN((Z82+180)/57.3)</f>
        <v>0.42279884294039644</v>
      </c>
    </row>
    <row r="83" spans="1:30">
      <c r="A83" s="1425"/>
      <c r="B83" s="1420"/>
      <c r="C83" s="1426"/>
      <c r="D83" s="1427"/>
      <c r="E83" s="654"/>
      <c r="F83" s="654"/>
      <c r="S83" s="652">
        <v>1</v>
      </c>
      <c r="T83" s="676">
        <f>SUM(T76:W76)</f>
        <v>2.6044520159940189E-5</v>
      </c>
      <c r="U83" s="651">
        <f>SUM(T79:W79)</f>
        <v>0.65128580235561451</v>
      </c>
      <c r="V83" s="651">
        <f>(V62*T83+V64*T84+V66*T85)*1000000</f>
        <v>0.31703382082331727</v>
      </c>
      <c r="W83" s="651">
        <f>V62*U83+V64*U84+V66*U85</f>
        <v>7.9279489543590265E-3</v>
      </c>
      <c r="X83" s="650"/>
      <c r="Y83" s="864"/>
      <c r="Z83" s="655"/>
    </row>
    <row r="84" spans="1:30">
      <c r="A84" s="1425" t="s">
        <v>2163</v>
      </c>
      <c r="B84" s="1420">
        <f>(B67-B68)/2/$B$76</f>
        <v>9.205579089295706E-17</v>
      </c>
      <c r="C84" s="1426"/>
      <c r="D84" s="1428"/>
      <c r="E84" s="654"/>
      <c r="F84" s="654"/>
      <c r="G84" s="654"/>
      <c r="H84" s="654"/>
      <c r="I84" s="654"/>
      <c r="S84" s="652">
        <v>2</v>
      </c>
      <c r="T84" s="676">
        <f>SUM(T77:W77)</f>
        <v>2.6044520159940135E-5</v>
      </c>
      <c r="U84" s="651">
        <f>SUM(T80:W80)</f>
        <v>0.65128580235561273</v>
      </c>
      <c r="V84" s="651">
        <f>(T83*V64+V63*T84+V67*T85)*1000000</f>
        <v>0.3170338208233161</v>
      </c>
      <c r="W84" s="651">
        <f>V64*U83+V63*U84+V67*U85</f>
        <v>7.9279489543589866E-3</v>
      </c>
      <c r="X84" s="650"/>
      <c r="Y84" s="864"/>
    </row>
    <row r="85" spans="1:30">
      <c r="A85" s="1425" t="s">
        <v>2164</v>
      </c>
      <c r="B85" s="1420">
        <f>(B67+B68-2*$B$75)/2/$B$77</f>
        <v>7.8259499342245327E-16</v>
      </c>
      <c r="C85" s="1426"/>
      <c r="D85" s="1428"/>
      <c r="E85" s="659"/>
      <c r="F85" s="659"/>
      <c r="G85" s="654"/>
      <c r="H85" s="654"/>
      <c r="I85" s="654"/>
      <c r="S85" s="652">
        <v>6</v>
      </c>
      <c r="T85" s="676">
        <f>SUM(T78:W78)</f>
        <v>0</v>
      </c>
      <c r="U85" s="651">
        <f>SUM(T81:W81)</f>
        <v>0</v>
      </c>
      <c r="V85" s="651">
        <f>(V66*T83+V67*T84+V65*T85)*1000000</f>
        <v>-2.6766072444404911E-17</v>
      </c>
      <c r="W85" s="651">
        <f>V66*U83+V67*U84+V65*U85</f>
        <v>-6.6932939677176122E-19</v>
      </c>
      <c r="X85" s="650"/>
      <c r="Y85" s="650"/>
      <c r="AA85" s="865">
        <f>AA81</f>
        <v>0.90632136887651715</v>
      </c>
      <c r="AB85" s="865">
        <f>AB81</f>
        <v>0.42258913416910765</v>
      </c>
    </row>
    <row r="86" spans="1:30">
      <c r="A86" s="1425" t="s">
        <v>2165</v>
      </c>
      <c r="B86" s="1420">
        <f>(B71+B72)/$B$76</f>
        <v>2.3013947723239265E-17</v>
      </c>
      <c r="C86" s="1426"/>
      <c r="D86" s="1428"/>
      <c r="E86" s="654"/>
      <c r="F86" s="654"/>
      <c r="G86" s="654"/>
      <c r="H86" s="654"/>
      <c r="I86" s="654"/>
      <c r="L86" s="711"/>
      <c r="M86" s="711"/>
      <c r="T86" s="656" t="s">
        <v>1419</v>
      </c>
      <c r="U86" s="656" t="s">
        <v>1420</v>
      </c>
      <c r="AA86" s="866">
        <v>0</v>
      </c>
      <c r="AB86" s="866">
        <v>0</v>
      </c>
    </row>
    <row r="87" spans="1:30">
      <c r="A87" s="1425" t="s">
        <v>2166</v>
      </c>
      <c r="B87" s="1420">
        <f>(B71-B72)/2/$B$77</f>
        <v>-4.8912187088903329E-17</v>
      </c>
      <c r="C87" s="1426"/>
      <c r="D87" s="1428"/>
      <c r="E87" s="654"/>
      <c r="F87" s="654"/>
      <c r="G87" s="654"/>
      <c r="H87" s="654"/>
      <c r="I87" s="654"/>
      <c r="S87" s="652">
        <v>1</v>
      </c>
      <c r="T87" s="655">
        <f>$Q$46*T83+$Q$42*U83</f>
        <v>6.5197699578405403E-4</v>
      </c>
      <c r="U87" s="655">
        <f>$Q$46*V83/1000000+$Q$42*W83</f>
        <v>7.9363626894634028E-6</v>
      </c>
      <c r="V87" s="656" t="s">
        <v>1423</v>
      </c>
      <c r="W87" s="655">
        <f>$Q$46*$Q$49/1000000+$Q$42*$Q$52</f>
        <v>-1.9999999999999999E-6</v>
      </c>
      <c r="AA87" s="865">
        <f>AA82</f>
        <v>0.90632136887651715</v>
      </c>
      <c r="AB87" s="865">
        <f>AB82</f>
        <v>-0.42258913416910765</v>
      </c>
    </row>
    <row r="88" spans="1:30">
      <c r="A88" s="1425"/>
      <c r="B88" s="1420"/>
      <c r="C88" s="1426"/>
      <c r="D88" s="1427"/>
      <c r="E88" s="654"/>
      <c r="F88" s="654"/>
      <c r="G88" s="654"/>
      <c r="H88" s="654"/>
      <c r="I88" s="654"/>
      <c r="L88" s="1419"/>
      <c r="M88" s="1419"/>
      <c r="S88" s="652">
        <v>2</v>
      </c>
      <c r="T88" s="655">
        <f>$Q$46*T84+$Q$42*U84</f>
        <v>6.5197699578405013E-4</v>
      </c>
      <c r="U88" s="655">
        <f>$Q$46*V84/1000000+$Q$42*W84</f>
        <v>7.9363626894633215E-6</v>
      </c>
      <c r="V88" s="656" t="s">
        <v>1427</v>
      </c>
      <c r="W88" s="655">
        <f>$Q$46*$Q$50/1000000+$Q$42*$Q$53</f>
        <v>7.5000000000000023E-4</v>
      </c>
      <c r="AA88" s="866">
        <v>0</v>
      </c>
      <c r="AB88" s="866">
        <v>0</v>
      </c>
    </row>
    <row r="89" spans="1:30">
      <c r="A89" s="1425"/>
      <c r="B89" s="1420"/>
      <c r="C89" s="1426"/>
      <c r="D89" s="1427"/>
      <c r="S89" s="652">
        <v>6</v>
      </c>
      <c r="T89" s="655">
        <f>$Q$46*T85+$Q$42*U85</f>
        <v>0</v>
      </c>
      <c r="U89" s="655">
        <f>$Q$46*V85/1000000+$Q$42*W85</f>
        <v>-6.7003973941831527E-22</v>
      </c>
      <c r="V89" s="656" t="s">
        <v>1429</v>
      </c>
      <c r="W89" s="655">
        <f>0</f>
        <v>0</v>
      </c>
      <c r="AA89" s="865">
        <f>AC81</f>
        <v>-0.90641913048835909</v>
      </c>
      <c r="AB89" s="865">
        <f>AD81</f>
        <v>-0.42237940277045599</v>
      </c>
    </row>
    <row r="90" spans="1:30">
      <c r="A90" s="1425"/>
      <c r="B90" s="1420"/>
      <c r="C90" s="1426"/>
      <c r="D90" s="1427"/>
      <c r="E90" s="654"/>
      <c r="AA90" s="866">
        <v>0</v>
      </c>
      <c r="AB90" s="866">
        <v>0</v>
      </c>
    </row>
    <row r="91" spans="1:30">
      <c r="A91" s="1425"/>
      <c r="B91" s="1420"/>
      <c r="C91" s="1426"/>
      <c r="D91" s="1427"/>
      <c r="E91" s="654"/>
      <c r="AA91" s="865">
        <f>AC82</f>
        <v>-0.90622355873606708</v>
      </c>
      <c r="AB91" s="865">
        <f>AD82</f>
        <v>0.42279884294039644</v>
      </c>
    </row>
    <row r="92" spans="1:30">
      <c r="A92" s="1425"/>
      <c r="B92" s="1420"/>
      <c r="C92" s="1426"/>
      <c r="D92" s="1427"/>
      <c r="U92" s="654"/>
      <c r="AA92" s="866">
        <v>0</v>
      </c>
      <c r="AB92" s="866">
        <v>0</v>
      </c>
    </row>
    <row r="93" spans="1:30">
      <c r="A93" s="1425"/>
      <c r="B93" s="1420"/>
      <c r="C93" s="1426"/>
      <c r="D93" s="1427"/>
      <c r="U93" s="654"/>
      <c r="AA93" s="865">
        <f>AA79</f>
        <v>0.42269399138387415</v>
      </c>
      <c r="AB93" s="865">
        <f>AB79</f>
        <v>0.90627246987204091</v>
      </c>
    </row>
    <row r="94" spans="1:30">
      <c r="A94" s="1425" t="s">
        <v>2179</v>
      </c>
      <c r="B94" s="1430">
        <f>B84+SQRT(ABS(-B84*B84+B85/2+1/2))</f>
        <v>0.70710678118654791</v>
      </c>
      <c r="C94" s="1426"/>
      <c r="D94" s="1431"/>
      <c r="U94" s="654"/>
      <c r="AA94" s="866">
        <v>0</v>
      </c>
      <c r="AB94" s="866">
        <v>0</v>
      </c>
    </row>
    <row r="95" spans="1:30">
      <c r="A95" s="1425" t="s">
        <v>2172</v>
      </c>
      <c r="B95" s="1420">
        <f>2*$B$84-B94</f>
        <v>-0.70710678118654768</v>
      </c>
      <c r="C95" s="1420"/>
      <c r="D95" s="1428"/>
      <c r="E95" s="654"/>
      <c r="F95" s="654"/>
      <c r="G95" s="654"/>
      <c r="H95" s="654"/>
      <c r="I95" s="654"/>
      <c r="U95" s="654"/>
      <c r="AA95" s="865">
        <f>AA80</f>
        <v>0.42269399138387415</v>
      </c>
      <c r="AB95" s="865">
        <f>AB80</f>
        <v>-0.90627246987204091</v>
      </c>
    </row>
    <row r="96" spans="1:30">
      <c r="A96" s="1425"/>
      <c r="B96" s="1420"/>
      <c r="C96" s="1426"/>
      <c r="D96" s="1427"/>
      <c r="E96" s="659"/>
      <c r="F96" s="659"/>
      <c r="G96" s="654"/>
      <c r="H96" s="654"/>
      <c r="I96" s="654"/>
      <c r="U96" s="654"/>
      <c r="AA96" s="866">
        <v>0</v>
      </c>
      <c r="AB96" s="866">
        <v>0</v>
      </c>
    </row>
    <row r="97" spans="1:28">
      <c r="A97" s="1425" t="s">
        <v>2185</v>
      </c>
      <c r="B97" s="1432">
        <f>ACOS(B94)*180/PI()/2</f>
        <v>22.499999999999982</v>
      </c>
      <c r="C97" s="1426"/>
      <c r="D97" s="1433"/>
      <c r="E97" s="654"/>
      <c r="F97" s="654"/>
      <c r="G97" s="654"/>
      <c r="H97" s="654"/>
      <c r="I97" s="654"/>
      <c r="AA97" s="865">
        <f>AC79</f>
        <v>-0.4229036888372702</v>
      </c>
      <c r="AB97" s="865">
        <f>AD79</f>
        <v>-0.9061746354692507</v>
      </c>
    </row>
    <row r="98" spans="1:28">
      <c r="A98" s="1425" t="s">
        <v>2186</v>
      </c>
      <c r="B98" s="1432">
        <f>ACOS(B95)*180/PI()/2</f>
        <v>67.5</v>
      </c>
      <c r="C98" s="1426"/>
      <c r="D98" s="1433"/>
      <c r="E98" s="654"/>
      <c r="F98" s="654"/>
      <c r="G98" s="654"/>
      <c r="H98" s="654"/>
      <c r="I98" s="654"/>
      <c r="AA98" s="866">
        <v>0</v>
      </c>
      <c r="AB98" s="866">
        <v>0</v>
      </c>
    </row>
    <row r="99" spans="1:28">
      <c r="A99" s="1425"/>
      <c r="B99" s="1420"/>
      <c r="C99" s="1426"/>
      <c r="D99" s="1427"/>
      <c r="E99" s="654"/>
      <c r="F99" s="654"/>
      <c r="G99" s="654"/>
      <c r="H99" s="654"/>
      <c r="I99" s="654"/>
      <c r="AA99" s="865">
        <f>AC80</f>
        <v>-0.42248427129750027</v>
      </c>
      <c r="AB99" s="865">
        <f>AD80</f>
        <v>0.90637025574884145</v>
      </c>
    </row>
    <row r="100" spans="1:28">
      <c r="A100" s="1425" t="s">
        <v>2183</v>
      </c>
      <c r="B100" s="1420" t="s">
        <v>2132</v>
      </c>
      <c r="C100" s="1426"/>
      <c r="D100" s="1428"/>
    </row>
    <row r="101" spans="1:28">
      <c r="A101" s="1425">
        <v>11</v>
      </c>
      <c r="B101" s="1430">
        <f>$B75+$B76*B84+$B77*B85</f>
        <v>68.108183856502265</v>
      </c>
      <c r="C101" s="1426"/>
      <c r="D101" s="1427"/>
      <c r="G101" s="654"/>
      <c r="H101" s="654"/>
      <c r="I101" s="654"/>
      <c r="U101"/>
      <c r="V101" s="1187"/>
      <c r="W101" s="1188"/>
      <c r="X101" s="1187"/>
    </row>
    <row r="102" spans="1:28">
      <c r="A102" s="1425">
        <v>22</v>
      </c>
      <c r="B102" s="1430">
        <f>$B75-$B76*B84+$B77*B85</f>
        <v>68.108183856502237</v>
      </c>
      <c r="C102" s="1426"/>
      <c r="D102" s="1427"/>
      <c r="G102" s="654"/>
      <c r="H102" s="654"/>
      <c r="I102" s="654"/>
      <c r="U102"/>
      <c r="V102"/>
      <c r="W102"/>
      <c r="X102"/>
    </row>
    <row r="103" spans="1:28">
      <c r="A103" s="1425">
        <v>12</v>
      </c>
      <c r="B103" s="1430">
        <f>$B78-$B77*B85</f>
        <v>21.790919282511197</v>
      </c>
      <c r="C103" s="1434"/>
      <c r="D103" s="1435"/>
      <c r="E103" s="654"/>
      <c r="F103" s="654"/>
      <c r="G103" s="654"/>
      <c r="H103" s="654"/>
      <c r="I103" s="654"/>
      <c r="U103"/>
      <c r="V103" s="1187"/>
      <c r="W103" s="1188"/>
      <c r="X103" s="1187"/>
    </row>
    <row r="104" spans="1:28">
      <c r="A104" s="1425">
        <v>66</v>
      </c>
      <c r="B104" s="1430">
        <f>$B79-$B77*B85</f>
        <v>23.158632286995498</v>
      </c>
      <c r="C104" s="1434"/>
      <c r="D104" s="1435"/>
      <c r="E104" s="654"/>
      <c r="F104" s="654"/>
      <c r="G104" s="654"/>
      <c r="H104" s="654"/>
      <c r="I104" s="654"/>
      <c r="U104"/>
      <c r="V104"/>
      <c r="W104"/>
      <c r="X104"/>
    </row>
    <row r="105" spans="1:28">
      <c r="A105" s="1425">
        <v>16</v>
      </c>
      <c r="B105" s="1430">
        <v>0</v>
      </c>
      <c r="C105" s="1434"/>
      <c r="D105" s="1435"/>
      <c r="E105" s="654"/>
      <c r="F105" s="654"/>
      <c r="G105" s="654"/>
      <c r="H105" s="654"/>
      <c r="I105" s="654"/>
      <c r="U105"/>
      <c r="V105" s="1187"/>
      <c r="W105" s="1188"/>
      <c r="X105" s="1187"/>
    </row>
    <row r="106" spans="1:28">
      <c r="A106" s="1425">
        <v>26</v>
      </c>
      <c r="B106" s="1430">
        <v>0</v>
      </c>
      <c r="C106" s="1426"/>
      <c r="D106" s="1427"/>
      <c r="U106"/>
      <c r="V106"/>
      <c r="W106"/>
      <c r="X106"/>
    </row>
    <row r="107" spans="1:28">
      <c r="A107" s="1425"/>
      <c r="B107" s="1420"/>
      <c r="C107" s="1426"/>
      <c r="D107" s="1427"/>
      <c r="U107"/>
      <c r="V107" s="1187"/>
      <c r="W107" s="1188"/>
      <c r="X107" s="1187"/>
    </row>
    <row r="108" spans="1:28" ht="16.2" thickBot="1">
      <c r="A108" s="1436"/>
      <c r="B108" s="1437"/>
      <c r="C108" s="1438"/>
      <c r="D108" s="1439"/>
      <c r="U108"/>
      <c r="V108"/>
      <c r="W108"/>
      <c r="X108"/>
    </row>
    <row r="109" spans="1:28">
      <c r="U109"/>
      <c r="V109" s="1187"/>
      <c r="W109" s="1188"/>
      <c r="X109" s="1187"/>
    </row>
    <row r="110" spans="1:28">
      <c r="U110"/>
      <c r="V110"/>
      <c r="W110"/>
      <c r="X110"/>
    </row>
    <row r="111" spans="1:28">
      <c r="U111"/>
      <c r="V111" s="1187"/>
      <c r="W111" s="1188"/>
      <c r="X111" s="1187"/>
    </row>
    <row r="112" spans="1:28">
      <c r="D112" s="654"/>
      <c r="E112" s="654"/>
      <c r="F112" s="654"/>
      <c r="L112" s="651"/>
      <c r="U112"/>
      <c r="V112"/>
      <c r="W112"/>
      <c r="X112"/>
    </row>
    <row r="113" spans="2:33">
      <c r="D113" s="654"/>
      <c r="E113" s="654"/>
      <c r="F113" s="654"/>
      <c r="G113" s="651"/>
      <c r="U113"/>
      <c r="V113" s="1187"/>
      <c r="W113" s="1188"/>
      <c r="X113" s="1187"/>
    </row>
    <row r="114" spans="2:33">
      <c r="D114" s="654"/>
      <c r="E114" s="654"/>
      <c r="F114" s="654"/>
      <c r="U114"/>
      <c r="V114"/>
      <c r="W114"/>
      <c r="X114"/>
    </row>
    <row r="115" spans="2:33">
      <c r="D115" s="654"/>
      <c r="E115" s="654"/>
      <c r="F115" s="654"/>
      <c r="J115" s="651"/>
      <c r="U115"/>
      <c r="V115" s="1187"/>
      <c r="W115" s="1188"/>
      <c r="X115" s="1187"/>
    </row>
    <row r="116" spans="2:33" ht="16.2" thickBot="1">
      <c r="C116" s="651"/>
      <c r="D116" s="654"/>
      <c r="E116" s="654"/>
      <c r="F116" s="654"/>
    </row>
    <row r="117" spans="2:33" s="721" customFormat="1" ht="23.1" customHeight="1">
      <c r="B117" s="883" t="s">
        <v>1859</v>
      </c>
      <c r="C117" s="991" t="s">
        <v>1719</v>
      </c>
      <c r="D117" s="945" t="s">
        <v>86</v>
      </c>
      <c r="E117" s="945" t="s">
        <v>1863</v>
      </c>
      <c r="F117" s="945" t="s">
        <v>1782</v>
      </c>
      <c r="G117" s="945" t="s">
        <v>1904</v>
      </c>
      <c r="H117" s="945" t="s">
        <v>1905</v>
      </c>
      <c r="I117" s="945" t="s">
        <v>1989</v>
      </c>
      <c r="J117" s="994" t="s">
        <v>1990</v>
      </c>
      <c r="K117" s="946"/>
      <c r="L117" s="721" t="s">
        <v>1991</v>
      </c>
      <c r="T117" s="722"/>
      <c r="U117" s="722"/>
      <c r="X117" s="722"/>
      <c r="Y117" s="722"/>
      <c r="AG117" s="722"/>
    </row>
    <row r="118" spans="2:33" s="721" customFormat="1" ht="15.9" customHeight="1">
      <c r="B118" s="957" t="s">
        <v>1860</v>
      </c>
      <c r="C118" s="954"/>
      <c r="D118" s="966">
        <v>100</v>
      </c>
      <c r="E118" s="970">
        <v>50</v>
      </c>
      <c r="F118" s="955">
        <v>25</v>
      </c>
      <c r="G118" s="970">
        <v>10</v>
      </c>
      <c r="H118" s="955">
        <v>50</v>
      </c>
      <c r="I118" s="973">
        <v>50</v>
      </c>
      <c r="J118" s="975">
        <v>50</v>
      </c>
      <c r="K118" s="947"/>
      <c r="L118" s="944"/>
      <c r="M118" s="723"/>
      <c r="T118" s="722"/>
      <c r="U118" s="722"/>
      <c r="X118" s="722"/>
      <c r="Y118" s="722"/>
      <c r="AG118" s="722"/>
    </row>
    <row r="119" spans="2:33" s="721" customFormat="1" ht="15.9" customHeight="1">
      <c r="B119" s="958" t="s">
        <v>1861</v>
      </c>
      <c r="C119" s="992" t="s">
        <v>1882</v>
      </c>
      <c r="D119" s="966">
        <v>0</v>
      </c>
      <c r="E119" s="971">
        <v>0</v>
      </c>
      <c r="F119" s="955">
        <v>50</v>
      </c>
      <c r="G119" s="971">
        <v>80</v>
      </c>
      <c r="H119" s="955">
        <v>40</v>
      </c>
      <c r="I119" s="966">
        <v>50</v>
      </c>
      <c r="J119" s="976">
        <v>50</v>
      </c>
      <c r="K119" s="948" t="s">
        <v>1882</v>
      </c>
      <c r="L119" s="723"/>
      <c r="M119" s="723"/>
      <c r="N119" s="723"/>
      <c r="Q119" s="724"/>
      <c r="S119" s="724"/>
      <c r="T119" s="724"/>
      <c r="U119" s="724"/>
      <c r="X119" s="722"/>
      <c r="Y119" s="722"/>
      <c r="AG119" s="722"/>
    </row>
    <row r="120" spans="2:33" s="652" customFormat="1" ht="18">
      <c r="B120" s="959" t="s">
        <v>1862</v>
      </c>
      <c r="C120" s="993" t="s">
        <v>1988</v>
      </c>
      <c r="D120" s="967">
        <v>0</v>
      </c>
      <c r="E120" s="972">
        <v>50</v>
      </c>
      <c r="F120" s="956">
        <v>25</v>
      </c>
      <c r="G120" s="972">
        <v>10</v>
      </c>
      <c r="H120" s="956">
        <v>10</v>
      </c>
      <c r="I120" s="974">
        <v>0</v>
      </c>
      <c r="J120" s="977">
        <v>0</v>
      </c>
      <c r="K120" s="949" t="s">
        <v>1988</v>
      </c>
      <c r="P120" s="725"/>
      <c r="Q120" s="725"/>
      <c r="R120" s="725"/>
      <c r="S120" s="725"/>
      <c r="T120" s="725"/>
      <c r="U120" s="725"/>
      <c r="V120" s="725"/>
      <c r="W120" s="726"/>
      <c r="X120" s="656"/>
      <c r="AF120" s="656"/>
    </row>
    <row r="121" spans="2:33" ht="15.9" customHeight="1">
      <c r="B121" s="965" t="s">
        <v>1854</v>
      </c>
      <c r="C121" s="988">
        <v>139</v>
      </c>
      <c r="D121" s="978">
        <v>0.86899999999999999</v>
      </c>
      <c r="E121" s="978">
        <v>0.46600000000000003</v>
      </c>
      <c r="F121" s="978">
        <v>0.371</v>
      </c>
      <c r="G121" s="978">
        <v>0.314</v>
      </c>
      <c r="H121" s="978">
        <v>0.55300000000000005</v>
      </c>
      <c r="I121" s="983">
        <v>0.746</v>
      </c>
      <c r="J121" s="981">
        <v>0.57499999999999996</v>
      </c>
      <c r="K121" s="950">
        <v>139</v>
      </c>
      <c r="M121" s="654"/>
      <c r="N121" s="654"/>
      <c r="P121" s="594"/>
      <c r="Q121" s="595"/>
      <c r="R121" s="610"/>
      <c r="S121" s="594"/>
      <c r="T121" s="610"/>
      <c r="U121" s="610"/>
      <c r="V121" s="594"/>
      <c r="W121" s="594"/>
      <c r="Y121" s="650"/>
      <c r="AF121" s="655"/>
      <c r="AG121" s="650"/>
    </row>
    <row r="122" spans="2:33" ht="18">
      <c r="B122" s="965" t="s">
        <v>1876</v>
      </c>
      <c r="C122" s="989">
        <v>142.80000000000001</v>
      </c>
      <c r="D122" s="978">
        <v>0.88900000000000001</v>
      </c>
      <c r="E122" s="978">
        <v>0.47399999999999998</v>
      </c>
      <c r="F122" s="978">
        <v>0.371</v>
      </c>
      <c r="G122" s="978">
        <v>0.312</v>
      </c>
      <c r="H122" s="978">
        <v>0.55000000000000004</v>
      </c>
      <c r="I122" s="983">
        <v>0.748</v>
      </c>
      <c r="J122" s="981">
        <v>0.57299999999999995</v>
      </c>
      <c r="K122" s="951">
        <v>142.80000000000001</v>
      </c>
      <c r="M122" s="654"/>
      <c r="N122" s="654"/>
      <c r="P122" s="594"/>
      <c r="Q122" s="595"/>
      <c r="R122" s="610"/>
      <c r="S122" s="594"/>
      <c r="T122" s="610"/>
      <c r="U122" s="610"/>
      <c r="V122" s="594"/>
      <c r="W122" s="594"/>
      <c r="Y122" s="650"/>
      <c r="AF122" s="655"/>
      <c r="AG122" s="650"/>
    </row>
    <row r="123" spans="2:33" ht="18">
      <c r="B123" s="965" t="s">
        <v>1864</v>
      </c>
      <c r="C123" s="989">
        <v>143.69999999999999</v>
      </c>
      <c r="D123" s="978">
        <v>0.877</v>
      </c>
      <c r="E123" s="978">
        <v>0.47</v>
      </c>
      <c r="F123" s="978">
        <v>0.372</v>
      </c>
      <c r="G123" s="978">
        <v>0.313</v>
      </c>
      <c r="H123" s="978">
        <v>0.55700000000000005</v>
      </c>
      <c r="I123" s="983">
        <v>0.751</v>
      </c>
      <c r="J123" s="981">
        <v>0.57799999999999996</v>
      </c>
      <c r="K123" s="951">
        <v>143.69999999999999</v>
      </c>
      <c r="M123" s="654"/>
      <c r="N123" s="654"/>
      <c r="P123" s="594"/>
      <c r="Q123" s="594"/>
      <c r="R123" s="610"/>
      <c r="S123" s="594"/>
      <c r="T123" s="610"/>
      <c r="U123" s="610"/>
      <c r="V123" s="594"/>
      <c r="W123" s="594"/>
      <c r="Y123" s="650"/>
      <c r="AF123" s="655"/>
      <c r="AG123" s="650"/>
    </row>
    <row r="124" spans="2:33" ht="18">
      <c r="B124" s="965" t="s">
        <v>1865</v>
      </c>
      <c r="C124" s="989">
        <v>158.19999999999999</v>
      </c>
      <c r="D124" s="978">
        <v>0.89700000000000002</v>
      </c>
      <c r="E124" s="978">
        <v>0.47499999999999998</v>
      </c>
      <c r="F124" s="978">
        <v>0.373</v>
      </c>
      <c r="G124" s="978">
        <v>0.311</v>
      </c>
      <c r="H124" s="978">
        <v>0.56499999999999995</v>
      </c>
      <c r="I124" s="983">
        <v>0.76600000000000001</v>
      </c>
      <c r="J124" s="981">
        <v>0.58699999999999997</v>
      </c>
      <c r="K124" s="951">
        <v>158.19999999999999</v>
      </c>
      <c r="M124" s="654"/>
      <c r="N124" s="654"/>
      <c r="P124" s="594"/>
      <c r="Q124" s="594"/>
      <c r="R124" s="610"/>
      <c r="S124" s="594"/>
      <c r="T124" s="610"/>
      <c r="U124" s="610"/>
      <c r="V124" s="594"/>
      <c r="W124" s="594"/>
      <c r="Y124" s="650"/>
      <c r="AF124" s="655"/>
      <c r="AG124" s="650"/>
    </row>
    <row r="125" spans="2:33" ht="18">
      <c r="B125" s="965" t="s">
        <v>1866</v>
      </c>
      <c r="C125" s="989">
        <v>160.4</v>
      </c>
      <c r="D125" s="978">
        <v>0.86599999999999999</v>
      </c>
      <c r="E125" s="978">
        <v>0.46500000000000002</v>
      </c>
      <c r="F125" s="978">
        <v>0.371</v>
      </c>
      <c r="G125" s="978">
        <v>0.314</v>
      </c>
      <c r="H125" s="978">
        <v>0.55300000000000005</v>
      </c>
      <c r="I125" s="983">
        <v>0.74399999999999999</v>
      </c>
      <c r="J125" s="981">
        <v>0.57399999999999995</v>
      </c>
      <c r="K125" s="951">
        <v>160.4</v>
      </c>
      <c r="M125" s="654"/>
      <c r="N125" s="654"/>
      <c r="P125" s="594"/>
      <c r="Q125" s="594"/>
      <c r="R125" s="610"/>
      <c r="S125" s="594"/>
      <c r="T125" s="610"/>
      <c r="U125" s="610"/>
      <c r="V125" s="594"/>
      <c r="W125" s="594"/>
      <c r="Y125" s="650"/>
      <c r="AF125" s="655"/>
      <c r="AG125" s="650"/>
    </row>
    <row r="126" spans="2:33" ht="18">
      <c r="B126" s="965" t="s">
        <v>1788</v>
      </c>
      <c r="C126" s="988">
        <v>162</v>
      </c>
      <c r="D126" s="978">
        <v>0.85199999999999998</v>
      </c>
      <c r="E126" s="978">
        <v>0.45600000000000002</v>
      </c>
      <c r="F126" s="978">
        <v>0.36799999999999999</v>
      </c>
      <c r="G126" s="978">
        <v>0.315</v>
      </c>
      <c r="H126" s="978">
        <v>0.54600000000000004</v>
      </c>
      <c r="I126" s="983">
        <v>0.73399999999999999</v>
      </c>
      <c r="J126" s="981">
        <v>0.56799999999999995</v>
      </c>
      <c r="K126" s="950">
        <v>162</v>
      </c>
      <c r="M126" s="654"/>
      <c r="N126" s="654"/>
      <c r="P126" s="594"/>
      <c r="Q126" s="594"/>
      <c r="R126" s="610"/>
      <c r="S126" s="594"/>
      <c r="T126" s="610"/>
      <c r="U126" s="610"/>
      <c r="V126" s="594"/>
      <c r="W126" s="594"/>
      <c r="Y126" s="650"/>
      <c r="AF126" s="655"/>
      <c r="AG126" s="650"/>
    </row>
    <row r="127" spans="2:33" ht="18">
      <c r="B127" s="965" t="s">
        <v>1855</v>
      </c>
      <c r="C127" s="988">
        <v>163</v>
      </c>
      <c r="D127" s="978">
        <v>0.86599999999999999</v>
      </c>
      <c r="E127" s="978">
        <v>0.46400000000000002</v>
      </c>
      <c r="F127" s="978">
        <v>0.37</v>
      </c>
      <c r="G127" s="978">
        <v>0.314</v>
      </c>
      <c r="H127" s="978">
        <v>0.55200000000000005</v>
      </c>
      <c r="I127" s="983">
        <v>0.74299999999999999</v>
      </c>
      <c r="J127" s="981">
        <v>0.57399999999999995</v>
      </c>
      <c r="K127" s="950">
        <v>163</v>
      </c>
      <c r="M127" s="654"/>
      <c r="N127" s="654"/>
      <c r="P127" s="594"/>
      <c r="Q127" s="594"/>
      <c r="R127" s="610"/>
      <c r="S127" s="594"/>
      <c r="T127" s="610"/>
      <c r="U127" s="610"/>
      <c r="V127" s="594"/>
      <c r="W127" s="594"/>
      <c r="Y127" s="650"/>
      <c r="AF127" s="655"/>
      <c r="AG127" s="650"/>
    </row>
    <row r="128" spans="2:33" ht="18">
      <c r="B128" s="965" t="s">
        <v>1794</v>
      </c>
      <c r="C128" s="988">
        <v>168</v>
      </c>
      <c r="D128" s="978">
        <v>0.88300000000000001</v>
      </c>
      <c r="E128" s="978">
        <v>0.47199999999999998</v>
      </c>
      <c r="F128" s="978">
        <v>0.373</v>
      </c>
      <c r="G128" s="978">
        <v>0.312</v>
      </c>
      <c r="H128" s="978">
        <v>0.55900000000000005</v>
      </c>
      <c r="I128" s="983">
        <v>0.755</v>
      </c>
      <c r="J128" s="981">
        <v>0.57999999999999996</v>
      </c>
      <c r="K128" s="950">
        <v>168</v>
      </c>
      <c r="M128" s="654"/>
      <c r="N128" s="654"/>
      <c r="P128" s="594"/>
      <c r="Q128" s="594"/>
      <c r="R128" s="610"/>
      <c r="S128" s="594"/>
      <c r="T128" s="610"/>
      <c r="U128" s="610"/>
      <c r="V128" s="594"/>
      <c r="W128" s="594"/>
      <c r="Y128" s="650"/>
      <c r="AF128" s="655"/>
      <c r="AG128" s="650"/>
    </row>
    <row r="129" spans="2:33" ht="18">
      <c r="B129" s="965" t="s">
        <v>1874</v>
      </c>
      <c r="C129" s="989">
        <v>168</v>
      </c>
      <c r="D129" s="978">
        <v>0.89800000000000002</v>
      </c>
      <c r="E129" s="978">
        <v>0.47599999999999998</v>
      </c>
      <c r="F129" s="978">
        <v>0.373</v>
      </c>
      <c r="G129" s="978">
        <v>0.311</v>
      </c>
      <c r="H129" s="978">
        <v>0.56499999999999995</v>
      </c>
      <c r="I129" s="983">
        <v>0.76700000000000002</v>
      </c>
      <c r="J129" s="981">
        <v>0.58699999999999997</v>
      </c>
      <c r="K129" s="951">
        <v>168</v>
      </c>
      <c r="N129" s="654"/>
      <c r="P129" s="594"/>
      <c r="Q129" s="594"/>
      <c r="R129" s="610"/>
      <c r="S129" s="594"/>
      <c r="T129" s="610"/>
      <c r="U129" s="610"/>
      <c r="V129" s="594"/>
      <c r="W129" s="594"/>
      <c r="Y129" s="650"/>
      <c r="AF129" s="655"/>
      <c r="AG129" s="650"/>
    </row>
    <row r="130" spans="2:33" ht="18">
      <c r="B130" s="965" t="s">
        <v>1780</v>
      </c>
      <c r="C130" s="989">
        <v>179.9</v>
      </c>
      <c r="D130" s="978">
        <v>0.88400000000000001</v>
      </c>
      <c r="E130" s="978">
        <v>0.46899999999999997</v>
      </c>
      <c r="F130" s="978">
        <v>0.372</v>
      </c>
      <c r="G130" s="978">
        <v>0.312</v>
      </c>
      <c r="H130" s="978">
        <v>0.56200000000000006</v>
      </c>
      <c r="I130" s="983">
        <v>0.76200000000000001</v>
      </c>
      <c r="J130" s="981">
        <v>0.58399999999999996</v>
      </c>
      <c r="K130" s="951">
        <v>179.9</v>
      </c>
      <c r="M130" s="654"/>
      <c r="N130" s="654"/>
      <c r="P130" s="594"/>
      <c r="Q130" s="595"/>
      <c r="R130" s="610"/>
      <c r="S130" s="594"/>
      <c r="T130" s="610"/>
      <c r="U130" s="610"/>
      <c r="V130" s="594"/>
      <c r="W130" s="594"/>
      <c r="Y130" s="650"/>
      <c r="AF130" s="655"/>
      <c r="AG130" s="650"/>
    </row>
    <row r="131" spans="2:33" ht="18">
      <c r="B131" s="965" t="s">
        <v>1753</v>
      </c>
      <c r="C131" s="989">
        <v>182.5</v>
      </c>
      <c r="D131" s="978">
        <v>0.88800000000000001</v>
      </c>
      <c r="E131" s="978">
        <v>0.47199999999999998</v>
      </c>
      <c r="F131" s="978">
        <v>0.373</v>
      </c>
      <c r="G131" s="978">
        <v>0.313</v>
      </c>
      <c r="H131" s="978">
        <v>0.56200000000000006</v>
      </c>
      <c r="I131" s="983">
        <v>0.76200000000000001</v>
      </c>
      <c r="J131" s="981">
        <v>0.58499999999999996</v>
      </c>
      <c r="K131" s="951">
        <v>182.5</v>
      </c>
      <c r="M131" s="654"/>
      <c r="N131" s="654"/>
      <c r="P131" s="594"/>
      <c r="Q131" s="595"/>
      <c r="R131" s="610"/>
      <c r="S131" s="594"/>
      <c r="T131" s="610"/>
      <c r="U131" s="610"/>
      <c r="V131" s="594"/>
      <c r="W131" s="594"/>
      <c r="Y131" s="650"/>
      <c r="AF131" s="655"/>
      <c r="AG131" s="650"/>
    </row>
    <row r="132" spans="2:33" ht="18">
      <c r="B132" s="965" t="s">
        <v>1780</v>
      </c>
      <c r="C132" s="988">
        <v>192</v>
      </c>
      <c r="D132" s="979">
        <v>0.89200000000000002</v>
      </c>
      <c r="E132" s="978">
        <v>0.47199999999999998</v>
      </c>
      <c r="F132" s="979">
        <v>0.372</v>
      </c>
      <c r="G132" s="978">
        <v>0.312</v>
      </c>
      <c r="H132" s="978">
        <v>0.55900000000000005</v>
      </c>
      <c r="I132" s="983">
        <v>0.75600000000000001</v>
      </c>
      <c r="J132" s="981">
        <v>0.58099999999999996</v>
      </c>
      <c r="K132" s="950">
        <v>192</v>
      </c>
      <c r="M132" s="654"/>
      <c r="N132" s="654"/>
      <c r="P132" s="594"/>
      <c r="Q132" s="595"/>
      <c r="R132" s="610"/>
      <c r="S132" s="594"/>
      <c r="T132" s="610"/>
      <c r="U132" s="610"/>
      <c r="V132" s="594"/>
      <c r="W132" s="594"/>
      <c r="Y132" s="650"/>
      <c r="AF132" s="655"/>
      <c r="AG132" s="650"/>
    </row>
    <row r="133" spans="2:33" ht="18">
      <c r="B133" s="965" t="s">
        <v>1795</v>
      </c>
      <c r="C133" s="988">
        <v>206</v>
      </c>
      <c r="D133" s="979">
        <v>0.877</v>
      </c>
      <c r="E133" s="979">
        <v>0.46500000000000002</v>
      </c>
      <c r="F133" s="979">
        <v>0.37</v>
      </c>
      <c r="G133" s="979">
        <v>0.313</v>
      </c>
      <c r="H133" s="986">
        <v>0.55500000000000005</v>
      </c>
      <c r="I133" s="984">
        <v>0.75</v>
      </c>
      <c r="J133" s="981">
        <v>0.57699999999999996</v>
      </c>
      <c r="K133" s="950">
        <v>206</v>
      </c>
      <c r="M133" s="654"/>
      <c r="N133" s="654"/>
      <c r="P133" s="594"/>
      <c r="Q133" s="595"/>
      <c r="R133" s="610"/>
      <c r="S133" s="594"/>
      <c r="T133" s="610"/>
      <c r="U133" s="610"/>
      <c r="V133" s="594"/>
      <c r="W133" s="594"/>
      <c r="Y133" s="650"/>
      <c r="AF133" s="655"/>
      <c r="AG133" s="650"/>
    </row>
    <row r="134" spans="2:33" ht="18">
      <c r="B134" s="965" t="s">
        <v>1755</v>
      </c>
      <c r="C134" s="989">
        <v>217.8</v>
      </c>
      <c r="D134" s="978">
        <v>0.877</v>
      </c>
      <c r="E134" s="978">
        <v>0.46400000000000002</v>
      </c>
      <c r="F134" s="978">
        <v>0.37</v>
      </c>
      <c r="G134" s="978">
        <v>0.314</v>
      </c>
      <c r="H134" s="978">
        <v>0.55600000000000005</v>
      </c>
      <c r="I134" s="983">
        <v>0.753</v>
      </c>
      <c r="J134" s="981">
        <v>0.57899999999999996</v>
      </c>
      <c r="K134" s="951">
        <v>217.8</v>
      </c>
      <c r="M134" s="654"/>
      <c r="N134" s="654"/>
      <c r="P134" s="596"/>
      <c r="Q134" s="597"/>
      <c r="R134" s="598"/>
      <c r="S134" s="597"/>
      <c r="T134" s="598"/>
      <c r="U134" s="611"/>
      <c r="V134" s="611"/>
      <c r="W134" s="611"/>
      <c r="Y134" s="650"/>
      <c r="AF134" s="655"/>
      <c r="AG134" s="650"/>
    </row>
    <row r="135" spans="2:33" ht="18">
      <c r="B135" s="965" t="s">
        <v>1772</v>
      </c>
      <c r="C135" s="990">
        <v>232</v>
      </c>
      <c r="D135" s="980">
        <v>0.874</v>
      </c>
      <c r="E135" s="980">
        <v>0.46300000000000002</v>
      </c>
      <c r="F135" s="980">
        <v>0.37</v>
      </c>
      <c r="G135" s="980">
        <v>0.313</v>
      </c>
      <c r="H135" s="980">
        <v>0.55500000000000005</v>
      </c>
      <c r="I135" s="985">
        <v>0.75</v>
      </c>
      <c r="J135" s="981">
        <v>0.57699999999999996</v>
      </c>
      <c r="K135" s="950">
        <v>232</v>
      </c>
      <c r="M135" s="654"/>
      <c r="P135" s="594"/>
      <c r="Q135" s="729"/>
      <c r="R135" s="602"/>
      <c r="S135" s="595"/>
      <c r="T135" s="602"/>
      <c r="U135" s="602"/>
      <c r="V135" s="602"/>
      <c r="W135" s="602"/>
      <c r="Y135" s="650"/>
      <c r="AF135" s="655"/>
      <c r="AG135" s="650"/>
    </row>
    <row r="136" spans="2:33">
      <c r="B136" s="960"/>
      <c r="C136" s="961" t="s">
        <v>1756</v>
      </c>
      <c r="D136" s="964">
        <f t="shared" ref="D136:J136" si="30">AVERAGE(D121:D135)</f>
        <v>0.87926666666666664</v>
      </c>
      <c r="E136" s="964">
        <f t="shared" si="30"/>
        <v>0.46820000000000006</v>
      </c>
      <c r="F136" s="964">
        <f t="shared" si="30"/>
        <v>0.37126666666666674</v>
      </c>
      <c r="G136" s="964">
        <f t="shared" si="30"/>
        <v>0.31286666666666663</v>
      </c>
      <c r="H136" s="964">
        <f t="shared" si="30"/>
        <v>0.55659999999999998</v>
      </c>
      <c r="I136" s="982">
        <f t="shared" si="30"/>
        <v>0.75246666666666673</v>
      </c>
      <c r="J136" s="987">
        <f t="shared" si="30"/>
        <v>0.5786</v>
      </c>
      <c r="K136" s="952"/>
      <c r="L136" s="711"/>
      <c r="M136" s="698"/>
      <c r="N136" s="698"/>
      <c r="S136" s="655"/>
      <c r="U136" s="650"/>
      <c r="W136" s="655"/>
      <c r="Y136" s="650"/>
      <c r="AF136" s="655"/>
      <c r="AG136" s="650"/>
    </row>
    <row r="137" spans="2:33" ht="16.2" thickBot="1">
      <c r="B137" s="962"/>
      <c r="C137" s="963" t="s">
        <v>1890</v>
      </c>
      <c r="D137" s="968">
        <v>1.3327081867802548E-2</v>
      </c>
      <c r="E137" s="968">
        <v>5.2546275901447954E-3</v>
      </c>
      <c r="F137" s="968">
        <v>9.660917830792967E-4</v>
      </c>
      <c r="G137" s="968">
        <v>8.6049081601400294E-3</v>
      </c>
      <c r="H137" s="968">
        <v>3.2403703492039299E-3</v>
      </c>
      <c r="I137" s="968">
        <v>3.2403703492039299E-3</v>
      </c>
      <c r="J137" s="969">
        <v>3.2403703492039299E-3</v>
      </c>
      <c r="K137" s="953"/>
      <c r="L137" s="659"/>
      <c r="M137" s="718"/>
      <c r="N137" s="718"/>
      <c r="S137" s="655"/>
      <c r="U137" s="650"/>
      <c r="W137" s="655"/>
      <c r="Y137" s="650"/>
      <c r="AF137" s="655"/>
      <c r="AG137" s="650"/>
    </row>
    <row r="138" spans="2:33">
      <c r="B138" s="731"/>
      <c r="C138" s="718"/>
      <c r="D138" s="732"/>
      <c r="E138" s="732"/>
      <c r="F138" s="718"/>
      <c r="G138" s="732"/>
      <c r="H138" s="718"/>
      <c r="I138" s="718"/>
      <c r="J138" s="718"/>
      <c r="K138" s="732"/>
      <c r="L138" s="659"/>
      <c r="M138" s="659"/>
      <c r="N138" s="718"/>
      <c r="S138" s="655"/>
      <c r="U138" s="650"/>
      <c r="W138" s="655"/>
      <c r="Y138" s="650"/>
      <c r="AF138" s="655"/>
      <c r="AG138" s="650"/>
    </row>
    <row r="139" spans="2:33">
      <c r="B139" s="718"/>
    </row>
    <row r="141" spans="2:33">
      <c r="T141" s="650"/>
      <c r="U141" s="650"/>
    </row>
    <row r="142" spans="2:33">
      <c r="I142" s="651"/>
      <c r="J142" s="651"/>
      <c r="K142" s="651"/>
      <c r="L142" s="651"/>
      <c r="M142" s="655"/>
      <c r="N142" s="664"/>
      <c r="O142" s="664"/>
      <c r="P142" s="664"/>
      <c r="Q142" s="664"/>
      <c r="S142" s="664"/>
      <c r="T142" s="664"/>
      <c r="U142" s="664"/>
      <c r="V142" s="664"/>
      <c r="X142" s="650"/>
      <c r="AG142" s="650"/>
    </row>
    <row r="143" spans="2:33">
      <c r="F143" s="654"/>
      <c r="G143" s="654"/>
      <c r="H143" s="654"/>
      <c r="I143" s="651"/>
      <c r="J143" s="651"/>
      <c r="L143" s="651"/>
      <c r="M143" s="655"/>
      <c r="N143" s="664"/>
      <c r="O143" s="664"/>
      <c r="P143" s="664"/>
      <c r="Q143" s="664"/>
      <c r="T143" s="650"/>
      <c r="U143" s="650"/>
      <c r="X143" s="650"/>
      <c r="AG143" s="650"/>
    </row>
    <row r="144" spans="2:33">
      <c r="F144" s="654"/>
      <c r="G144" s="654"/>
      <c r="H144" s="654"/>
      <c r="I144" s="651"/>
      <c r="J144" s="651"/>
      <c r="K144" s="651"/>
      <c r="L144" s="651"/>
      <c r="M144" s="655"/>
      <c r="P144" s="655"/>
      <c r="Q144" s="655"/>
      <c r="T144" s="650"/>
      <c r="U144" s="650"/>
      <c r="X144" s="650"/>
      <c r="AG144" s="650"/>
    </row>
    <row r="145" spans="3:33">
      <c r="L145" s="655"/>
      <c r="M145" s="655"/>
      <c r="N145" s="664"/>
      <c r="O145" s="664"/>
      <c r="P145" s="664"/>
      <c r="Q145" s="664"/>
      <c r="T145" s="650"/>
      <c r="U145" s="650"/>
      <c r="X145" s="650"/>
      <c r="AG145" s="650"/>
    </row>
    <row r="147" spans="3:33">
      <c r="E147" s="733"/>
      <c r="F147" s="733"/>
      <c r="G147" s="733"/>
      <c r="H147" s="733"/>
      <c r="I147" s="733"/>
      <c r="J147" s="733"/>
      <c r="K147" s="733"/>
      <c r="L147" s="733"/>
      <c r="M147" s="734"/>
    </row>
    <row r="150" spans="3:33" s="735" customFormat="1">
      <c r="T150" s="736"/>
      <c r="U150" s="736"/>
      <c r="X150" s="736"/>
      <c r="Y150" s="736"/>
      <c r="AG150" s="736"/>
    </row>
    <row r="151" spans="3:33">
      <c r="C151" s="719"/>
      <c r="D151" s="737"/>
      <c r="E151" s="738"/>
      <c r="F151" s="739"/>
      <c r="G151" s="738"/>
      <c r="H151" s="737"/>
      <c r="I151" s="739"/>
      <c r="J151" s="719"/>
      <c r="K151" s="720"/>
      <c r="M151" s="659"/>
      <c r="N151" s="659"/>
      <c r="P151" s="659"/>
      <c r="Q151" s="654"/>
      <c r="T151" s="664"/>
      <c r="U151" s="650"/>
      <c r="W151" s="655"/>
      <c r="Y151" s="650"/>
      <c r="AF151" s="655"/>
      <c r="AG151" s="650"/>
    </row>
    <row r="152" spans="3:33">
      <c r="C152" s="719"/>
      <c r="D152" s="737"/>
      <c r="E152" s="738"/>
      <c r="F152" s="739"/>
      <c r="G152" s="738"/>
      <c r="H152" s="737"/>
      <c r="I152" s="739"/>
      <c r="J152" s="719"/>
      <c r="K152" s="720"/>
      <c r="M152" s="659"/>
      <c r="N152" s="659"/>
      <c r="P152" s="659"/>
      <c r="Q152" s="654"/>
      <c r="T152" s="664"/>
      <c r="U152" s="650"/>
      <c r="W152" s="655"/>
      <c r="Y152" s="650"/>
      <c r="AF152" s="655"/>
      <c r="AG152" s="650"/>
    </row>
    <row r="153" spans="3:33">
      <c r="C153" s="719"/>
      <c r="D153" s="737"/>
      <c r="E153" s="738"/>
      <c r="F153" s="719"/>
      <c r="G153" s="738"/>
      <c r="H153" s="737"/>
      <c r="I153" s="739"/>
      <c r="J153" s="719"/>
      <c r="K153" s="720"/>
      <c r="M153" s="659"/>
      <c r="N153" s="659"/>
      <c r="P153" s="659"/>
      <c r="Q153" s="654"/>
      <c r="T153" s="664"/>
      <c r="U153" s="650"/>
      <c r="W153" s="655"/>
      <c r="Y153" s="650"/>
      <c r="AF153" s="655"/>
      <c r="AG153" s="650"/>
    </row>
    <row r="154" spans="3:33">
      <c r="C154" s="719"/>
      <c r="D154" s="737"/>
      <c r="E154" s="738"/>
      <c r="F154" s="719"/>
      <c r="G154" s="738"/>
      <c r="H154" s="737"/>
      <c r="I154" s="739"/>
      <c r="J154" s="719"/>
      <c r="K154" s="720"/>
      <c r="M154" s="659"/>
      <c r="N154" s="659"/>
      <c r="P154" s="659"/>
      <c r="Q154" s="654"/>
      <c r="T154" s="664"/>
      <c r="U154" s="650"/>
      <c r="W154" s="655"/>
      <c r="Y154" s="650"/>
      <c r="AF154" s="655"/>
      <c r="AG154" s="650"/>
    </row>
    <row r="155" spans="3:33">
      <c r="C155" s="719"/>
      <c r="D155" s="737"/>
      <c r="E155" s="738"/>
      <c r="F155" s="719"/>
      <c r="G155" s="738"/>
      <c r="H155" s="737"/>
      <c r="I155" s="739"/>
      <c r="J155" s="719"/>
      <c r="K155" s="720"/>
      <c r="M155" s="659"/>
      <c r="N155" s="659"/>
      <c r="P155" s="659"/>
      <c r="Q155" s="654"/>
      <c r="T155" s="664"/>
      <c r="U155" s="650"/>
      <c r="W155" s="655"/>
      <c r="Y155" s="650"/>
      <c r="AF155" s="655"/>
      <c r="AG155" s="650"/>
    </row>
    <row r="156" spans="3:33">
      <c r="C156" s="719"/>
      <c r="D156" s="737"/>
      <c r="E156" s="738"/>
      <c r="F156" s="719"/>
      <c r="G156" s="738"/>
      <c r="H156" s="737"/>
      <c r="I156" s="739"/>
      <c r="J156" s="719"/>
      <c r="K156" s="720"/>
      <c r="M156" s="659"/>
      <c r="N156" s="659"/>
      <c r="P156" s="659"/>
      <c r="Q156" s="654"/>
      <c r="T156" s="664"/>
      <c r="U156" s="650"/>
      <c r="W156" s="655"/>
      <c r="Y156" s="650"/>
      <c r="AF156" s="655"/>
      <c r="AG156" s="650"/>
    </row>
    <row r="157" spans="3:33">
      <c r="C157" s="719"/>
      <c r="D157" s="737"/>
      <c r="E157" s="738"/>
      <c r="F157" s="719"/>
      <c r="G157" s="738"/>
      <c r="H157" s="737"/>
      <c r="I157" s="739"/>
      <c r="J157" s="719"/>
      <c r="K157" s="720"/>
      <c r="M157" s="659"/>
      <c r="N157" s="659"/>
      <c r="P157" s="659"/>
      <c r="Q157" s="654"/>
      <c r="T157" s="664"/>
      <c r="U157" s="650"/>
      <c r="W157" s="655"/>
      <c r="Y157" s="650"/>
      <c r="AF157" s="655"/>
      <c r="AG157" s="650"/>
    </row>
    <row r="158" spans="3:33">
      <c r="C158" s="719"/>
      <c r="D158" s="737"/>
      <c r="E158" s="738"/>
      <c r="F158" s="719"/>
      <c r="G158" s="738"/>
      <c r="H158" s="737"/>
      <c r="I158" s="739"/>
      <c r="J158" s="719"/>
      <c r="K158" s="720"/>
      <c r="L158" s="740"/>
      <c r="M158" s="659"/>
      <c r="N158" s="659"/>
      <c r="O158" s="740"/>
      <c r="P158" s="659"/>
      <c r="Q158" s="654"/>
      <c r="T158" s="664"/>
      <c r="U158" s="650"/>
      <c r="W158" s="655"/>
      <c r="Y158" s="650"/>
      <c r="AF158" s="655"/>
      <c r="AG158" s="650"/>
    </row>
    <row r="159" spans="3:33">
      <c r="C159" s="719"/>
      <c r="D159" s="737"/>
      <c r="E159" s="738"/>
      <c r="F159" s="719"/>
      <c r="G159" s="738"/>
      <c r="H159" s="737"/>
      <c r="I159" s="739"/>
      <c r="J159" s="719"/>
      <c r="K159" s="720"/>
      <c r="M159" s="659"/>
      <c r="N159" s="659"/>
      <c r="P159" s="659"/>
      <c r="Q159" s="654"/>
      <c r="T159" s="664"/>
      <c r="U159" s="650"/>
      <c r="W159" s="655"/>
      <c r="Y159" s="650"/>
      <c r="AF159" s="655"/>
      <c r="AG159" s="650"/>
    </row>
    <row r="160" spans="3:33">
      <c r="C160" s="719"/>
      <c r="D160" s="737"/>
      <c r="E160" s="738"/>
      <c r="F160" s="719"/>
      <c r="G160" s="738"/>
      <c r="H160" s="737"/>
      <c r="I160" s="739"/>
      <c r="J160" s="719"/>
      <c r="K160" s="720"/>
      <c r="M160" s="659"/>
      <c r="N160" s="659"/>
      <c r="P160" s="659"/>
      <c r="Q160" s="654"/>
      <c r="T160" s="664"/>
      <c r="U160" s="650"/>
      <c r="W160" s="655"/>
      <c r="Y160" s="650"/>
      <c r="AF160" s="655"/>
      <c r="AG160" s="650"/>
    </row>
    <row r="161" spans="2:20">
      <c r="C161" s="719"/>
      <c r="D161" s="737"/>
      <c r="E161" s="738"/>
      <c r="F161" s="739"/>
      <c r="G161" s="738"/>
      <c r="H161" s="737"/>
      <c r="I161" s="739"/>
      <c r="J161" s="719"/>
      <c r="K161" s="720"/>
      <c r="M161" s="659"/>
      <c r="N161" s="659"/>
      <c r="P161" s="659"/>
      <c r="Q161" s="654"/>
      <c r="T161" s="664"/>
    </row>
    <row r="162" spans="2:20">
      <c r="C162" s="719"/>
      <c r="D162" s="737"/>
      <c r="E162" s="738"/>
      <c r="F162" s="739"/>
      <c r="G162" s="738"/>
      <c r="H162" s="737"/>
      <c r="I162" s="739"/>
      <c r="J162" s="719"/>
      <c r="K162" s="720"/>
      <c r="M162" s="659"/>
      <c r="N162" s="659"/>
      <c r="P162" s="659"/>
      <c r="Q162" s="654"/>
      <c r="T162" s="664"/>
    </row>
    <row r="163" spans="2:20">
      <c r="C163" s="719"/>
      <c r="D163" s="737"/>
      <c r="E163" s="738"/>
      <c r="F163" s="739"/>
      <c r="G163" s="738"/>
      <c r="H163" s="737"/>
      <c r="I163" s="739"/>
      <c r="J163" s="719"/>
      <c r="K163" s="720"/>
      <c r="M163" s="659"/>
      <c r="N163" s="659"/>
      <c r="P163" s="659"/>
      <c r="Q163" s="654"/>
      <c r="T163" s="664"/>
    </row>
    <row r="164" spans="2:20">
      <c r="C164" s="719"/>
      <c r="D164" s="737"/>
      <c r="E164" s="738"/>
      <c r="F164" s="739"/>
      <c r="G164" s="738"/>
      <c r="H164" s="737"/>
      <c r="I164" s="739"/>
      <c r="J164" s="719"/>
      <c r="K164" s="720"/>
      <c r="M164" s="659"/>
      <c r="N164" s="659"/>
      <c r="P164" s="659"/>
      <c r="Q164" s="654"/>
      <c r="T164" s="664"/>
    </row>
    <row r="165" spans="2:20">
      <c r="C165" s="719"/>
      <c r="D165" s="737"/>
      <c r="E165" s="738"/>
      <c r="F165" s="739"/>
      <c r="G165" s="738"/>
      <c r="H165" s="737"/>
      <c r="I165" s="739"/>
      <c r="J165" s="719"/>
      <c r="K165" s="720"/>
      <c r="M165" s="659"/>
      <c r="N165" s="659"/>
      <c r="P165" s="659"/>
      <c r="Q165" s="654"/>
      <c r="T165" s="664"/>
    </row>
    <row r="166" spans="2:20">
      <c r="B166" s="740"/>
      <c r="C166" s="719"/>
      <c r="D166" s="737"/>
      <c r="E166" s="738"/>
      <c r="F166" s="739"/>
      <c r="G166" s="738"/>
      <c r="H166" s="737"/>
      <c r="I166" s="739"/>
      <c r="J166" s="719"/>
      <c r="K166" s="720"/>
      <c r="M166" s="659"/>
      <c r="N166" s="659"/>
      <c r="P166" s="659"/>
      <c r="Q166" s="654"/>
      <c r="T166" s="664"/>
    </row>
    <row r="167" spans="2:20">
      <c r="B167" s="740"/>
      <c r="C167" s="711"/>
      <c r="D167" s="712"/>
      <c r="E167" s="741"/>
      <c r="F167" s="714"/>
      <c r="G167" s="712"/>
      <c r="H167" s="712"/>
      <c r="I167" s="714"/>
      <c r="J167" s="698"/>
      <c r="K167" s="698"/>
      <c r="L167" s="740"/>
      <c r="M167" s="659"/>
      <c r="N167" s="659"/>
      <c r="O167" s="742"/>
      <c r="P167" s="659"/>
      <c r="Q167" s="654"/>
      <c r="T167" s="650"/>
    </row>
    <row r="168" spans="2:20">
      <c r="B168" s="740"/>
      <c r="C168" s="743"/>
      <c r="D168" s="744"/>
      <c r="E168" s="745"/>
      <c r="F168" s="746"/>
      <c r="G168" s="744"/>
      <c r="H168" s="744"/>
      <c r="I168" s="746"/>
      <c r="J168" s="747"/>
      <c r="K168" s="747"/>
      <c r="L168" s="740"/>
      <c r="M168" s="659"/>
      <c r="N168" s="659"/>
      <c r="O168" s="742"/>
      <c r="P168" s="659"/>
      <c r="Q168" s="654"/>
      <c r="T168" s="650"/>
    </row>
    <row r="169" spans="2:20">
      <c r="C169" s="740"/>
      <c r="D169" s="708"/>
      <c r="E169" s="708"/>
      <c r="F169" s="748"/>
      <c r="G169" s="708"/>
      <c r="H169" s="708"/>
      <c r="I169" s="712"/>
      <c r="J169" s="714"/>
    </row>
    <row r="170" spans="2:20">
      <c r="C170" s="740"/>
      <c r="D170" s="749"/>
      <c r="E170" s="749"/>
      <c r="F170" s="750"/>
      <c r="G170" s="751"/>
      <c r="H170" s="751"/>
      <c r="I170" s="716"/>
      <c r="J170" s="716"/>
    </row>
    <row r="171" spans="2:20">
      <c r="C171" s="718"/>
      <c r="D171" s="716"/>
      <c r="E171" s="716"/>
      <c r="F171" s="716"/>
      <c r="G171" s="718"/>
      <c r="H171" s="718"/>
      <c r="I171" s="718"/>
      <c r="J171" s="718"/>
    </row>
    <row r="172" spans="2:20">
      <c r="D172" s="651"/>
      <c r="E172" s="651"/>
      <c r="F172" s="651"/>
      <c r="G172" s="651"/>
    </row>
    <row r="174" spans="2:20">
      <c r="B174" s="719"/>
      <c r="D174" s="714"/>
      <c r="E174" s="714"/>
      <c r="F174" s="714"/>
      <c r="G174" s="714"/>
      <c r="H174" s="714"/>
      <c r="I174" s="714"/>
      <c r="J174" s="714"/>
      <c r="K174" s="714"/>
    </row>
    <row r="175" spans="2:20">
      <c r="B175" s="711"/>
      <c r="E175" s="651"/>
      <c r="I175" s="651"/>
    </row>
    <row r="176" spans="2:20" ht="18">
      <c r="C176" s="721"/>
      <c r="D176" s="721"/>
      <c r="E176" s="721"/>
      <c r="F176" s="721"/>
      <c r="G176" s="721"/>
      <c r="H176" s="721"/>
      <c r="I176" s="721"/>
      <c r="J176" s="721"/>
      <c r="K176" s="721"/>
      <c r="L176" s="721"/>
      <c r="M176" s="721"/>
    </row>
    <row r="177" spans="2:45">
      <c r="B177" s="718"/>
      <c r="C177" s="723"/>
      <c r="D177" s="723"/>
      <c r="E177" s="723"/>
      <c r="F177" s="723"/>
      <c r="G177" s="723"/>
      <c r="H177" s="723"/>
      <c r="I177" s="723"/>
      <c r="J177" s="723"/>
      <c r="K177" s="723"/>
      <c r="L177" s="723"/>
      <c r="T177" s="650"/>
      <c r="X177" s="650"/>
    </row>
    <row r="178" spans="2:45">
      <c r="B178" s="723"/>
      <c r="C178" s="723"/>
      <c r="D178" s="723"/>
      <c r="E178" s="723"/>
      <c r="F178" s="723"/>
      <c r="G178" s="723"/>
      <c r="H178" s="723"/>
      <c r="I178" s="723"/>
      <c r="J178" s="723"/>
      <c r="K178" s="723"/>
      <c r="L178" s="723"/>
      <c r="U178" s="659"/>
      <c r="V178" s="659"/>
      <c r="W178" s="659"/>
      <c r="X178" s="659"/>
      <c r="Y178" s="659"/>
      <c r="Z178" s="659"/>
      <c r="AA178" s="659"/>
      <c r="AB178" s="659"/>
      <c r="AC178" s="659"/>
      <c r="AD178" s="659"/>
      <c r="AE178" s="659"/>
      <c r="AF178" s="659"/>
      <c r="AG178" s="659"/>
    </row>
    <row r="179" spans="2:45">
      <c r="B179" s="723"/>
      <c r="C179" s="668"/>
      <c r="D179" s="668"/>
      <c r="E179" s="668"/>
      <c r="F179" s="668"/>
      <c r="G179" s="668"/>
      <c r="H179" s="668"/>
      <c r="I179" s="652"/>
      <c r="J179" s="652"/>
      <c r="K179" s="652"/>
      <c r="L179" s="652"/>
      <c r="U179" s="659"/>
      <c r="V179" s="659"/>
      <c r="W179" s="659"/>
      <c r="X179" s="659"/>
      <c r="Y179" s="659"/>
      <c r="Z179" s="659"/>
      <c r="AA179" s="659"/>
      <c r="AB179" s="659"/>
      <c r="AC179" s="659"/>
      <c r="AD179" s="659"/>
      <c r="AE179" s="659"/>
      <c r="AF179" s="659"/>
      <c r="AG179" s="659"/>
    </row>
    <row r="180" spans="2:45">
      <c r="C180" s="712"/>
      <c r="D180" s="712"/>
      <c r="E180" s="712"/>
      <c r="F180" s="712"/>
      <c r="G180" s="712"/>
      <c r="H180" s="712"/>
      <c r="I180" s="868"/>
      <c r="J180" s="712"/>
      <c r="K180" s="712"/>
      <c r="L180" s="659"/>
      <c r="U180" s="659"/>
      <c r="V180" s="659"/>
      <c r="W180" s="659"/>
      <c r="X180" s="659"/>
      <c r="Y180" s="659"/>
      <c r="Z180" s="659"/>
      <c r="AA180" s="659"/>
      <c r="AB180" s="659"/>
      <c r="AC180" s="659"/>
      <c r="AD180" s="659"/>
      <c r="AE180" s="659"/>
      <c r="AF180" s="659"/>
      <c r="AG180" s="659"/>
    </row>
    <row r="181" spans="2:45">
      <c r="B181" s="652"/>
      <c r="C181" s="659"/>
      <c r="D181" s="651"/>
      <c r="E181" s="659"/>
      <c r="F181" s="659"/>
      <c r="G181" s="659"/>
      <c r="J181" s="654"/>
      <c r="K181" s="654"/>
      <c r="L181" s="659"/>
      <c r="P181" s="711"/>
      <c r="Q181" s="711"/>
      <c r="R181" s="715"/>
      <c r="S181" s="712"/>
      <c r="T181" s="715"/>
      <c r="U181" s="712"/>
      <c r="V181" s="715"/>
      <c r="W181" s="711"/>
      <c r="X181" s="715"/>
      <c r="Y181" s="712"/>
      <c r="Z181" s="715"/>
      <c r="AA181" s="711"/>
      <c r="AB181" s="715"/>
      <c r="AC181" s="711"/>
      <c r="AD181" s="715"/>
      <c r="AE181" s="711"/>
      <c r="AF181" s="715"/>
      <c r="AG181" s="698"/>
      <c r="AH181" s="715"/>
      <c r="AI181" s="714"/>
    </row>
    <row r="182" spans="2:45">
      <c r="B182" s="652"/>
      <c r="C182" s="659"/>
      <c r="D182" s="651"/>
      <c r="E182" s="659"/>
      <c r="F182" s="659"/>
      <c r="G182" s="659"/>
      <c r="J182" s="654"/>
      <c r="K182" s="654"/>
      <c r="L182" s="659"/>
      <c r="Q182" s="731"/>
      <c r="R182" s="752"/>
      <c r="T182" s="664"/>
      <c r="U182" s="753"/>
      <c r="V182" s="752"/>
      <c r="W182" s="731"/>
      <c r="X182" s="752"/>
      <c r="Y182" s="753"/>
      <c r="Z182" s="752"/>
      <c r="AB182" s="664"/>
      <c r="AD182" s="664"/>
      <c r="AF182" s="664"/>
      <c r="AG182" s="654"/>
      <c r="AH182" s="664"/>
      <c r="AI182" s="719"/>
      <c r="AJ182" s="754"/>
      <c r="AK182" s="754"/>
      <c r="AL182" s="754"/>
      <c r="AM182" s="754"/>
    </row>
    <row r="183" spans="2:45">
      <c r="B183" s="652"/>
      <c r="C183" s="654"/>
      <c r="D183" s="651"/>
      <c r="E183" s="659"/>
      <c r="F183" s="659"/>
      <c r="G183" s="659"/>
      <c r="J183" s="654"/>
      <c r="K183" s="654"/>
      <c r="L183" s="659"/>
      <c r="Q183" s="731"/>
      <c r="R183" s="752"/>
      <c r="S183" s="755"/>
      <c r="T183" s="664"/>
      <c r="U183" s="753"/>
      <c r="V183" s="752"/>
      <c r="W183" s="731"/>
      <c r="X183" s="752"/>
      <c r="Y183" s="753"/>
      <c r="Z183" s="752"/>
      <c r="AB183" s="664"/>
      <c r="AD183" s="664"/>
      <c r="AF183" s="664"/>
      <c r="AG183" s="654"/>
      <c r="AH183" s="664"/>
      <c r="AI183" s="743"/>
      <c r="AJ183" s="756"/>
      <c r="AK183" s="756"/>
      <c r="AL183" s="756"/>
      <c r="AM183" s="756"/>
    </row>
    <row r="184" spans="2:45">
      <c r="B184" s="652"/>
      <c r="C184" s="654"/>
      <c r="D184" s="651"/>
      <c r="E184" s="659"/>
      <c r="F184" s="659"/>
      <c r="G184" s="659"/>
      <c r="J184" s="654"/>
      <c r="K184" s="654"/>
      <c r="L184" s="659"/>
      <c r="R184" s="664"/>
      <c r="T184" s="664"/>
      <c r="U184" s="659"/>
      <c r="V184" s="664"/>
      <c r="X184" s="664"/>
      <c r="Y184" s="659"/>
      <c r="Z184" s="664"/>
      <c r="AB184" s="664"/>
      <c r="AD184" s="664"/>
      <c r="AF184" s="664"/>
      <c r="AG184" s="654"/>
      <c r="AH184" s="664"/>
      <c r="AI184" s="719"/>
      <c r="AJ184" s="664"/>
      <c r="AK184" s="754"/>
      <c r="AL184" s="754"/>
      <c r="AM184" s="664"/>
    </row>
    <row r="185" spans="2:45">
      <c r="C185" s="712"/>
      <c r="D185" s="712"/>
      <c r="E185" s="869"/>
      <c r="F185" s="869"/>
      <c r="G185" s="869"/>
      <c r="H185" s="869"/>
      <c r="I185" s="869"/>
      <c r="J185" s="869"/>
      <c r="K185" s="869"/>
      <c r="L185" s="758"/>
      <c r="R185" s="664"/>
      <c r="T185" s="664"/>
      <c r="U185" s="659"/>
      <c r="V185" s="664"/>
      <c r="X185" s="664"/>
      <c r="Y185" s="659"/>
      <c r="Z185" s="664"/>
      <c r="AB185" s="664"/>
      <c r="AD185" s="664"/>
      <c r="AF185" s="664"/>
      <c r="AG185" s="654"/>
      <c r="AH185" s="664"/>
      <c r="AI185" s="743"/>
      <c r="AJ185" s="664"/>
      <c r="AK185" s="756"/>
      <c r="AL185" s="756"/>
      <c r="AM185" s="756"/>
    </row>
    <row r="186" spans="2:45">
      <c r="B186" s="652"/>
      <c r="C186" s="659"/>
      <c r="D186" s="651"/>
      <c r="E186" s="659"/>
      <c r="F186" s="659"/>
      <c r="G186" s="659"/>
      <c r="J186" s="659"/>
      <c r="K186" s="659"/>
      <c r="L186" s="659"/>
      <c r="P186" s="711"/>
      <c r="Q186" s="712"/>
      <c r="R186" s="715"/>
      <c r="S186" s="712"/>
      <c r="T186" s="715"/>
      <c r="U186" s="712"/>
      <c r="V186" s="715"/>
      <c r="W186" s="712"/>
      <c r="X186" s="715"/>
      <c r="Y186" s="712"/>
      <c r="Z186" s="715"/>
      <c r="AA186" s="712"/>
      <c r="AB186" s="715"/>
      <c r="AC186" s="712"/>
      <c r="AD186" s="715"/>
      <c r="AE186" s="712"/>
      <c r="AF186" s="715"/>
      <c r="AG186" s="712"/>
      <c r="AH186" s="715"/>
      <c r="AI186" s="711"/>
      <c r="AJ186" s="664"/>
      <c r="AK186" s="664"/>
      <c r="AL186" s="664"/>
      <c r="AM186" s="664"/>
    </row>
    <row r="187" spans="2:45">
      <c r="B187" s="652"/>
      <c r="C187" s="659"/>
      <c r="D187" s="651"/>
      <c r="Q187" s="731"/>
      <c r="R187" s="752"/>
      <c r="T187" s="664"/>
      <c r="U187" s="753"/>
      <c r="V187" s="752"/>
      <c r="X187" s="664"/>
      <c r="Y187" s="753"/>
      <c r="Z187" s="752"/>
      <c r="AB187" s="664"/>
      <c r="AD187" s="664"/>
      <c r="AF187" s="664"/>
      <c r="AG187" s="659"/>
      <c r="AH187" s="664"/>
      <c r="AI187" s="719"/>
      <c r="AJ187" s="754"/>
      <c r="AK187" s="754"/>
      <c r="AL187" s="754"/>
      <c r="AM187" s="754"/>
      <c r="AN187" s="719"/>
      <c r="AO187" s="719"/>
      <c r="AP187" s="754"/>
      <c r="AQ187" s="754"/>
      <c r="AR187" s="754"/>
      <c r="AS187" s="754"/>
    </row>
    <row r="188" spans="2:45">
      <c r="B188" s="652"/>
      <c r="C188" s="654"/>
      <c r="D188" s="651"/>
      <c r="Q188" s="731"/>
      <c r="R188" s="752"/>
      <c r="S188" s="759"/>
      <c r="T188" s="664"/>
      <c r="U188" s="659"/>
      <c r="V188" s="664"/>
      <c r="X188" s="664"/>
      <c r="Y188" s="753"/>
      <c r="Z188" s="752"/>
      <c r="AB188" s="664"/>
      <c r="AD188" s="664"/>
      <c r="AF188" s="664"/>
      <c r="AG188" s="659"/>
      <c r="AH188" s="664"/>
      <c r="AI188" s="743"/>
      <c r="AJ188" s="756"/>
      <c r="AK188" s="664"/>
      <c r="AL188" s="664"/>
      <c r="AM188" s="756"/>
      <c r="AN188" s="743"/>
      <c r="AO188" s="743"/>
      <c r="AP188" s="756"/>
      <c r="AQ188" s="756"/>
      <c r="AR188" s="756"/>
      <c r="AS188" s="756"/>
    </row>
    <row r="189" spans="2:45">
      <c r="B189" s="652"/>
      <c r="C189" s="654"/>
      <c r="D189" s="651"/>
      <c r="R189" s="664"/>
      <c r="T189" s="664"/>
      <c r="U189" s="659"/>
      <c r="V189" s="664"/>
      <c r="X189" s="664"/>
      <c r="Y189" s="659"/>
      <c r="Z189" s="664"/>
      <c r="AB189" s="664"/>
      <c r="AD189" s="664"/>
      <c r="AF189" s="664"/>
      <c r="AG189" s="659"/>
      <c r="AH189" s="664"/>
      <c r="AI189" s="719"/>
      <c r="AJ189" s="664"/>
      <c r="AK189" s="754"/>
      <c r="AL189" s="754"/>
      <c r="AM189" s="754"/>
      <c r="AN189" s="719"/>
      <c r="AO189" s="719"/>
      <c r="AP189" s="754"/>
      <c r="AQ189" s="754"/>
      <c r="AR189" s="754"/>
      <c r="AS189" s="754"/>
    </row>
    <row r="190" spans="2:45">
      <c r="C190" s="712"/>
      <c r="D190" s="712"/>
      <c r="E190" s="868"/>
      <c r="F190" s="868"/>
      <c r="G190" s="868"/>
      <c r="H190" s="712"/>
      <c r="I190" s="712"/>
      <c r="J190" s="712"/>
      <c r="K190" s="712"/>
      <c r="L190" s="659"/>
      <c r="R190" s="664"/>
      <c r="T190" s="664"/>
      <c r="U190" s="659"/>
      <c r="V190" s="664"/>
      <c r="X190" s="664"/>
      <c r="Y190" s="659"/>
      <c r="Z190" s="664"/>
      <c r="AB190" s="664"/>
      <c r="AD190" s="664"/>
      <c r="AF190" s="664"/>
      <c r="AG190" s="654"/>
      <c r="AH190" s="664"/>
      <c r="AI190" s="743"/>
      <c r="AJ190" s="664"/>
      <c r="AK190" s="756"/>
      <c r="AL190" s="756"/>
      <c r="AM190" s="756"/>
      <c r="AN190" s="743"/>
      <c r="AO190" s="743"/>
      <c r="AP190" s="756"/>
    </row>
    <row r="191" spans="2:45">
      <c r="B191" s="652"/>
      <c r="C191" s="659"/>
      <c r="D191" s="651"/>
      <c r="E191" s="659"/>
      <c r="F191" s="659"/>
      <c r="J191" s="654"/>
      <c r="K191" s="659"/>
      <c r="L191" s="659"/>
      <c r="P191" s="711"/>
      <c r="Q191" s="711"/>
      <c r="R191" s="715"/>
      <c r="S191" s="712"/>
      <c r="T191" s="715"/>
      <c r="U191" s="712"/>
      <c r="V191" s="715"/>
      <c r="W191" s="712"/>
      <c r="X191" s="715"/>
      <c r="Y191" s="712"/>
      <c r="Z191" s="715"/>
      <c r="AA191" s="712"/>
      <c r="AB191" s="715"/>
      <c r="AC191" s="712"/>
      <c r="AD191" s="715"/>
      <c r="AE191" s="712"/>
      <c r="AF191" s="715"/>
      <c r="AG191" s="712"/>
      <c r="AI191" s="714"/>
      <c r="AJ191" s="664"/>
      <c r="AK191" s="664"/>
      <c r="AL191" s="664"/>
      <c r="AM191" s="664"/>
    </row>
    <row r="192" spans="2:45">
      <c r="B192" s="652"/>
      <c r="C192" s="654"/>
      <c r="D192" s="651"/>
      <c r="E192" s="659"/>
      <c r="F192" s="659"/>
      <c r="J192" s="654"/>
      <c r="K192" s="659"/>
      <c r="L192" s="659"/>
      <c r="Q192" s="731"/>
      <c r="R192" s="752"/>
      <c r="T192" s="664"/>
      <c r="U192" s="753"/>
      <c r="V192" s="752"/>
      <c r="W192" s="731"/>
      <c r="X192" s="752"/>
      <c r="Y192" s="753"/>
      <c r="Z192" s="752"/>
      <c r="AB192" s="664"/>
      <c r="AD192" s="664"/>
      <c r="AG192" s="654"/>
      <c r="AI192" s="719"/>
      <c r="AJ192" s="754"/>
      <c r="AK192" s="754"/>
      <c r="AL192" s="754"/>
      <c r="AM192" s="754"/>
    </row>
    <row r="193" spans="2:52">
      <c r="B193" s="652"/>
      <c r="C193" s="654"/>
      <c r="D193" s="651"/>
      <c r="E193" s="659"/>
      <c r="F193" s="659"/>
      <c r="J193" s="654"/>
      <c r="K193" s="659"/>
      <c r="L193" s="659"/>
      <c r="R193" s="664"/>
      <c r="T193" s="664"/>
      <c r="U193" s="753"/>
      <c r="V193" s="752"/>
      <c r="W193" s="731"/>
      <c r="X193" s="752"/>
      <c r="Y193" s="753"/>
      <c r="Z193" s="752"/>
      <c r="AB193" s="664"/>
      <c r="AD193" s="664"/>
      <c r="AG193" s="654"/>
      <c r="AI193" s="743"/>
      <c r="AJ193" s="664"/>
      <c r="AK193" s="756"/>
      <c r="AL193" s="756"/>
      <c r="AM193" s="756"/>
    </row>
    <row r="194" spans="2:52">
      <c r="B194" s="652"/>
      <c r="C194" s="654"/>
      <c r="D194" s="651"/>
      <c r="E194" s="659"/>
      <c r="F194" s="659"/>
      <c r="J194" s="654"/>
      <c r="K194" s="659"/>
      <c r="L194" s="659"/>
      <c r="R194" s="664"/>
      <c r="T194" s="664"/>
      <c r="U194" s="659"/>
      <c r="V194" s="664"/>
      <c r="X194" s="664"/>
      <c r="Y194" s="659"/>
      <c r="Z194" s="664"/>
      <c r="AB194" s="664"/>
      <c r="AD194" s="664"/>
      <c r="AG194" s="654"/>
      <c r="AI194" s="719"/>
      <c r="AJ194" s="664"/>
      <c r="AK194" s="754"/>
      <c r="AL194" s="754"/>
      <c r="AM194" s="754"/>
    </row>
    <row r="195" spans="2:52">
      <c r="C195" s="712"/>
      <c r="D195" s="712"/>
      <c r="E195" s="868"/>
      <c r="F195" s="712"/>
      <c r="G195" s="712"/>
      <c r="H195" s="868"/>
      <c r="I195" s="868"/>
      <c r="J195" s="712"/>
      <c r="K195" s="712"/>
      <c r="L195" s="659"/>
      <c r="R195" s="664"/>
      <c r="T195" s="664"/>
      <c r="U195" s="659"/>
      <c r="V195" s="664"/>
      <c r="X195" s="664"/>
      <c r="Y195" s="659"/>
      <c r="Z195" s="664"/>
      <c r="AB195" s="664"/>
      <c r="AD195" s="664"/>
      <c r="AG195" s="654"/>
      <c r="AI195" s="743"/>
      <c r="AJ195" s="664"/>
      <c r="AK195" s="756"/>
      <c r="AL195" s="756"/>
      <c r="AM195" s="756"/>
    </row>
    <row r="196" spans="2:52">
      <c r="B196" s="652"/>
      <c r="C196" s="659"/>
      <c r="D196" s="651"/>
      <c r="E196" s="659"/>
      <c r="F196" s="654"/>
      <c r="G196" s="654"/>
      <c r="H196" s="659"/>
      <c r="I196" s="659"/>
      <c r="J196" s="654"/>
      <c r="K196" s="654"/>
      <c r="L196" s="659"/>
      <c r="P196" s="711"/>
      <c r="Q196" s="712"/>
      <c r="R196" s="715"/>
      <c r="S196" s="712"/>
      <c r="T196" s="715"/>
      <c r="U196" s="712"/>
      <c r="V196" s="715"/>
      <c r="W196" s="712"/>
      <c r="X196" s="715"/>
      <c r="Y196" s="712"/>
      <c r="Z196" s="715"/>
      <c r="AA196" s="712"/>
      <c r="AB196" s="715"/>
      <c r="AC196" s="712"/>
      <c r="AD196" s="715"/>
      <c r="AE196" s="712"/>
      <c r="AF196" s="712"/>
      <c r="AG196" s="712"/>
      <c r="AI196" s="714"/>
      <c r="AJ196" s="664"/>
      <c r="AK196" s="664"/>
      <c r="AL196" s="664"/>
      <c r="AM196" s="664"/>
    </row>
    <row r="197" spans="2:52">
      <c r="B197" s="652"/>
      <c r="C197" s="654"/>
      <c r="D197" s="651"/>
      <c r="E197" s="659"/>
      <c r="F197" s="654"/>
      <c r="G197" s="654"/>
      <c r="H197" s="659"/>
      <c r="I197" s="659"/>
      <c r="J197" s="654"/>
      <c r="K197" s="654"/>
      <c r="L197" s="659"/>
      <c r="Q197" s="731"/>
      <c r="R197" s="752"/>
      <c r="T197" s="664"/>
      <c r="U197" s="753"/>
      <c r="V197" s="752"/>
      <c r="X197" s="664"/>
      <c r="Y197" s="654"/>
      <c r="Z197" s="664"/>
      <c r="AA197" s="731"/>
      <c r="AB197" s="752"/>
      <c r="AC197" s="731"/>
      <c r="AD197" s="752"/>
      <c r="AG197" s="654"/>
      <c r="AI197" s="719"/>
      <c r="AJ197" s="754"/>
      <c r="AK197" s="754"/>
      <c r="AL197" s="664"/>
      <c r="AM197" s="664"/>
      <c r="AN197" s="754"/>
      <c r="AO197" s="754"/>
    </row>
    <row r="198" spans="2:52">
      <c r="B198" s="652"/>
      <c r="C198" s="654"/>
      <c r="D198" s="651"/>
      <c r="E198" s="659"/>
      <c r="F198" s="654"/>
      <c r="G198" s="654"/>
      <c r="H198" s="659"/>
      <c r="I198" s="659"/>
      <c r="J198" s="654"/>
      <c r="K198" s="654"/>
      <c r="L198" s="659"/>
      <c r="R198" s="664"/>
      <c r="T198" s="664"/>
      <c r="U198" s="753"/>
      <c r="V198" s="752"/>
      <c r="X198" s="664"/>
      <c r="Y198" s="654"/>
      <c r="Z198" s="664"/>
      <c r="AA198" s="731"/>
      <c r="AB198" s="752"/>
      <c r="AC198" s="731"/>
      <c r="AD198" s="752"/>
      <c r="AG198" s="654"/>
      <c r="AI198" s="743"/>
      <c r="AJ198" s="664"/>
      <c r="AK198" s="756"/>
      <c r="AL198" s="664"/>
      <c r="AM198" s="664"/>
      <c r="AN198" s="756"/>
      <c r="AO198" s="756"/>
    </row>
    <row r="199" spans="2:52">
      <c r="B199" s="652"/>
      <c r="C199" s="654"/>
      <c r="D199" s="651"/>
      <c r="E199" s="659"/>
      <c r="F199" s="654"/>
      <c r="G199" s="654"/>
      <c r="H199" s="659"/>
      <c r="I199" s="659"/>
      <c r="J199" s="654"/>
      <c r="K199" s="654"/>
      <c r="L199" s="659"/>
      <c r="R199" s="664"/>
      <c r="T199" s="664"/>
      <c r="U199" s="659"/>
      <c r="V199" s="664"/>
      <c r="X199" s="664"/>
      <c r="Y199" s="654"/>
      <c r="Z199" s="664"/>
      <c r="AB199" s="664"/>
      <c r="AD199" s="664"/>
      <c r="AG199" s="654"/>
      <c r="AI199" s="719"/>
      <c r="AJ199" s="664"/>
      <c r="AK199" s="754"/>
      <c r="AL199" s="754"/>
      <c r="AM199" s="754"/>
      <c r="AN199" s="754"/>
      <c r="AO199" s="754"/>
      <c r="AX199" s="747"/>
      <c r="AY199" s="747"/>
      <c r="AZ199" s="654"/>
    </row>
    <row r="200" spans="2:52">
      <c r="C200" s="712"/>
      <c r="D200" s="712"/>
      <c r="E200" s="868"/>
      <c r="F200" s="868"/>
      <c r="G200" s="712"/>
      <c r="H200" s="712"/>
      <c r="I200" s="712"/>
      <c r="J200" s="712"/>
      <c r="K200" s="712"/>
      <c r="L200" s="659"/>
      <c r="R200" s="664"/>
      <c r="T200" s="664"/>
      <c r="U200" s="659"/>
      <c r="V200" s="664"/>
      <c r="X200" s="664"/>
      <c r="Y200" s="654"/>
      <c r="Z200" s="664"/>
      <c r="AB200" s="664"/>
      <c r="AD200" s="664"/>
      <c r="AG200" s="654"/>
      <c r="AI200" s="743"/>
      <c r="AJ200" s="664"/>
      <c r="AK200" s="756"/>
      <c r="AL200" s="756"/>
      <c r="AM200" s="756"/>
      <c r="AN200" s="756"/>
      <c r="AO200" s="756"/>
      <c r="AX200" s="654"/>
      <c r="AY200" s="654"/>
    </row>
    <row r="201" spans="2:52">
      <c r="B201" s="652"/>
      <c r="C201" s="659"/>
      <c r="D201" s="651"/>
      <c r="E201" s="659"/>
      <c r="F201" s="659"/>
      <c r="G201" s="654"/>
      <c r="H201" s="654"/>
      <c r="I201" s="654"/>
      <c r="J201" s="654"/>
      <c r="K201" s="654"/>
      <c r="L201" s="659"/>
      <c r="P201" s="711"/>
      <c r="Q201" s="712"/>
      <c r="R201" s="715"/>
      <c r="S201" s="712"/>
      <c r="T201" s="715"/>
      <c r="U201" s="712"/>
      <c r="V201" s="715"/>
      <c r="W201" s="712"/>
      <c r="X201" s="715"/>
      <c r="Y201" s="712"/>
      <c r="Z201" s="715"/>
      <c r="AA201" s="712"/>
      <c r="AB201" s="712"/>
      <c r="AC201" s="712"/>
      <c r="AD201" s="712"/>
      <c r="AE201" s="712"/>
      <c r="AF201" s="715"/>
      <c r="AG201" s="712"/>
      <c r="AI201" s="714"/>
      <c r="AJ201" s="664"/>
      <c r="AK201" s="664"/>
      <c r="AL201" s="664"/>
      <c r="AM201" s="664"/>
      <c r="AN201" s="664"/>
      <c r="AX201" s="651"/>
      <c r="AY201" s="651"/>
    </row>
    <row r="202" spans="2:52">
      <c r="B202" s="652"/>
      <c r="C202" s="659"/>
      <c r="D202" s="654"/>
      <c r="E202" s="659"/>
      <c r="F202" s="659"/>
      <c r="G202" s="654"/>
      <c r="H202" s="654"/>
      <c r="I202" s="654"/>
      <c r="J202" s="654"/>
      <c r="K202" s="654"/>
      <c r="L202" s="659"/>
      <c r="Q202" s="731"/>
      <c r="R202" s="752"/>
      <c r="T202" s="664"/>
      <c r="U202" s="753"/>
      <c r="V202" s="752"/>
      <c r="W202" s="731"/>
      <c r="X202" s="752"/>
      <c r="Y202" s="654"/>
      <c r="Z202" s="664"/>
      <c r="AF202" s="664"/>
      <c r="AG202" s="654"/>
      <c r="AI202" s="719"/>
      <c r="AJ202" s="754"/>
      <c r="AK202" s="754"/>
      <c r="AL202" s="754"/>
      <c r="AM202" s="664"/>
      <c r="AX202" s="718"/>
      <c r="AY202" s="718"/>
    </row>
    <row r="203" spans="2:52">
      <c r="B203" s="652"/>
      <c r="C203" s="654"/>
      <c r="D203" s="654"/>
      <c r="E203" s="659"/>
      <c r="F203" s="659"/>
      <c r="G203" s="654"/>
      <c r="H203" s="654"/>
      <c r="I203" s="654"/>
      <c r="J203" s="654"/>
      <c r="K203" s="654"/>
      <c r="L203" s="659"/>
      <c r="Q203" s="731"/>
      <c r="R203" s="752"/>
      <c r="S203" s="755"/>
      <c r="T203" s="664"/>
      <c r="U203" s="659"/>
      <c r="V203" s="664"/>
      <c r="W203" s="731"/>
      <c r="X203" s="752"/>
      <c r="Y203" s="654"/>
      <c r="Z203" s="664"/>
      <c r="AF203" s="664"/>
      <c r="AG203" s="654"/>
      <c r="AI203" s="743"/>
      <c r="AJ203" s="756"/>
      <c r="AK203" s="664"/>
      <c r="AL203" s="756"/>
      <c r="AM203" s="664"/>
      <c r="AX203" s="756"/>
      <c r="AY203" s="756"/>
    </row>
    <row r="204" spans="2:52">
      <c r="B204" s="652"/>
      <c r="C204" s="654"/>
      <c r="D204" s="654"/>
      <c r="E204" s="659"/>
      <c r="F204" s="659"/>
      <c r="G204" s="654"/>
      <c r="H204" s="654"/>
      <c r="I204" s="654"/>
      <c r="J204" s="654"/>
      <c r="K204" s="654"/>
      <c r="L204" s="659"/>
      <c r="U204" s="659"/>
      <c r="V204" s="664"/>
      <c r="X204" s="664"/>
      <c r="Y204" s="654"/>
      <c r="Z204" s="664"/>
      <c r="AF204" s="664"/>
      <c r="AG204" s="654"/>
      <c r="AI204" s="719"/>
      <c r="AK204" s="754"/>
      <c r="AL204" s="754"/>
      <c r="AM204" s="664"/>
      <c r="AX204" s="754"/>
      <c r="AY204" s="664"/>
    </row>
    <row r="205" spans="2:52">
      <c r="B205" s="711"/>
      <c r="C205" s="712"/>
      <c r="D205" s="712"/>
      <c r="E205" s="712"/>
      <c r="F205" s="712"/>
      <c r="G205" s="712"/>
      <c r="H205" s="712"/>
      <c r="I205" s="712"/>
      <c r="J205" s="712"/>
      <c r="K205" s="712"/>
      <c r="L205" s="714"/>
      <c r="U205" s="659"/>
      <c r="V205" s="664"/>
      <c r="X205" s="664"/>
      <c r="Y205" s="654"/>
      <c r="Z205" s="664"/>
      <c r="AF205" s="664"/>
      <c r="AG205" s="654"/>
      <c r="AI205" s="743"/>
      <c r="AK205" s="756"/>
      <c r="AL205" s="756"/>
      <c r="AM205" s="664"/>
      <c r="AY205" s="754"/>
      <c r="AZ205" s="754"/>
    </row>
    <row r="206" spans="2:52">
      <c r="C206" s="870"/>
      <c r="D206" s="870"/>
      <c r="E206" s="870"/>
      <c r="F206" s="870"/>
      <c r="G206" s="870"/>
      <c r="H206" s="870"/>
      <c r="I206" s="870"/>
      <c r="J206" s="870"/>
      <c r="K206" s="870"/>
      <c r="L206" s="659"/>
      <c r="U206" s="654"/>
      <c r="Y206" s="654"/>
      <c r="AG206" s="654"/>
      <c r="AI206" s="659"/>
      <c r="AL206" s="664"/>
      <c r="AY206" s="756"/>
      <c r="AZ206" s="756"/>
    </row>
    <row r="207" spans="2:52">
      <c r="C207" s="871"/>
      <c r="D207" s="871"/>
      <c r="E207" s="871"/>
      <c r="F207" s="871"/>
      <c r="G207" s="871"/>
      <c r="H207" s="871"/>
      <c r="I207" s="871"/>
      <c r="J207" s="871"/>
      <c r="K207" s="871"/>
      <c r="U207" s="654"/>
      <c r="Y207" s="654"/>
      <c r="AG207" s="654"/>
      <c r="AI207" s="664"/>
      <c r="AL207" s="664"/>
    </row>
    <row r="208" spans="2:52" ht="16.2" thickBot="1">
      <c r="Q208" s="652"/>
      <c r="R208" s="652"/>
      <c r="S208" s="652"/>
      <c r="AH208" s="719"/>
      <c r="AI208" s="719"/>
      <c r="AJ208" s="664"/>
      <c r="AK208" s="664"/>
      <c r="AL208" s="664"/>
      <c r="AM208" s="664"/>
      <c r="AN208" s="664"/>
      <c r="AO208" s="664"/>
      <c r="AP208" s="664"/>
      <c r="AQ208" s="664"/>
      <c r="AR208" s="664"/>
      <c r="AS208" s="664"/>
      <c r="AT208" s="754"/>
      <c r="AU208" s="654"/>
      <c r="AV208" s="717"/>
      <c r="AW208" s="717"/>
      <c r="AX208" s="719"/>
    </row>
    <row r="209" spans="2:50" ht="18">
      <c r="B209" s="883"/>
      <c r="C209" s="901"/>
      <c r="D209" s="901"/>
      <c r="E209" s="901"/>
      <c r="F209" s="901"/>
      <c r="G209" s="901"/>
      <c r="H209" s="902"/>
      <c r="J209" s="721"/>
      <c r="K209" s="760"/>
      <c r="M209" s="674"/>
      <c r="N209" s="674"/>
      <c r="P209" s="711"/>
      <c r="Q209" s="740"/>
      <c r="R209" s="761"/>
      <c r="S209" s="740"/>
      <c r="T209" s="650"/>
      <c r="U209" s="650"/>
      <c r="V209" s="655"/>
      <c r="W209" s="655"/>
      <c r="X209" s="650"/>
      <c r="Y209" s="650"/>
      <c r="AE209" s="655"/>
      <c r="AG209" s="650"/>
      <c r="AJ209" s="762"/>
      <c r="AK209" s="762"/>
      <c r="AL209" s="762"/>
      <c r="AM209" s="762"/>
      <c r="AN209" s="762"/>
      <c r="AO209" s="762"/>
      <c r="AP209" s="762"/>
      <c r="AQ209" s="762"/>
      <c r="AR209" s="762"/>
      <c r="AS209" s="762"/>
      <c r="AT209" s="664"/>
      <c r="AU209" s="654"/>
      <c r="AV209" s="717"/>
      <c r="AW209" s="717"/>
      <c r="AX209" s="720"/>
    </row>
    <row r="210" spans="2:50">
      <c r="B210" s="884"/>
      <c r="C210" s="872"/>
      <c r="D210" s="872"/>
      <c r="E210" s="872"/>
      <c r="F210" s="872"/>
      <c r="G210" s="872"/>
      <c r="H210" s="885"/>
      <c r="J210" s="723"/>
      <c r="K210" s="723"/>
      <c r="L210" s="740"/>
      <c r="M210" s="761"/>
      <c r="N210" s="740"/>
      <c r="Q210" s="740"/>
      <c r="R210" s="761"/>
      <c r="S210" s="740"/>
      <c r="T210" s="650"/>
      <c r="U210" s="650"/>
      <c r="V210" s="655"/>
      <c r="W210" s="655"/>
      <c r="X210" s="650"/>
      <c r="Y210" s="650"/>
      <c r="AE210" s="655"/>
      <c r="AG210" s="650"/>
      <c r="AJ210" s="718"/>
      <c r="AK210" s="718"/>
      <c r="AL210" s="718"/>
      <c r="AM210" s="718"/>
      <c r="AN210" s="718"/>
      <c r="AO210" s="718"/>
      <c r="AP210" s="718"/>
      <c r="AQ210" s="718"/>
      <c r="AR210" s="718"/>
      <c r="AS210" s="718"/>
      <c r="AU210" s="654"/>
    </row>
    <row r="211" spans="2:50">
      <c r="B211" s="884"/>
      <c r="C211" s="872"/>
      <c r="D211" s="872"/>
      <c r="E211" s="872"/>
      <c r="F211" s="872"/>
      <c r="G211" s="872"/>
      <c r="H211" s="885"/>
      <c r="J211" s="723"/>
      <c r="K211" s="723"/>
      <c r="L211" s="740"/>
      <c r="M211" s="761"/>
      <c r="N211" s="740"/>
      <c r="Q211" s="711"/>
      <c r="R211" s="715"/>
      <c r="S211" s="711"/>
      <c r="T211" s="650"/>
      <c r="U211" s="650"/>
      <c r="V211" s="655"/>
      <c r="W211" s="655"/>
      <c r="X211" s="650"/>
      <c r="Y211" s="650"/>
      <c r="AE211" s="655"/>
      <c r="AG211" s="650"/>
      <c r="AH211" s="743"/>
      <c r="AI211" s="743"/>
      <c r="AJ211" s="664"/>
      <c r="AK211" s="664"/>
      <c r="AL211" s="664"/>
      <c r="AM211" s="664"/>
      <c r="AN211" s="664"/>
      <c r="AO211" s="664"/>
      <c r="AP211" s="664"/>
      <c r="AQ211" s="664"/>
      <c r="AR211" s="664"/>
      <c r="AS211" s="664"/>
      <c r="AT211" s="756"/>
      <c r="AU211" s="654"/>
      <c r="AV211" s="717"/>
      <c r="AW211" s="717"/>
      <c r="AX211" s="743"/>
    </row>
    <row r="212" spans="2:50">
      <c r="B212" s="884"/>
      <c r="C212" s="873"/>
      <c r="D212" s="873"/>
      <c r="E212" s="873"/>
      <c r="F212" s="874"/>
      <c r="G212" s="873"/>
      <c r="H212" s="886"/>
      <c r="J212" s="652"/>
      <c r="L212" s="711"/>
      <c r="M212" s="715"/>
      <c r="N212" s="711"/>
      <c r="Q212" s="711"/>
      <c r="R212" s="715"/>
      <c r="S212" s="711"/>
      <c r="T212" s="650"/>
      <c r="U212" s="650"/>
      <c r="V212" s="655"/>
      <c r="W212" s="655"/>
      <c r="X212" s="650"/>
      <c r="Y212" s="650"/>
      <c r="AE212" s="655"/>
      <c r="AG212" s="650"/>
      <c r="AJ212" s="654"/>
      <c r="AK212" s="654"/>
      <c r="AL212" s="654"/>
      <c r="AM212" s="654"/>
      <c r="AN212" s="654"/>
      <c r="AO212" s="654"/>
      <c r="AP212" s="654"/>
      <c r="AQ212" s="654"/>
      <c r="AR212" s="654"/>
      <c r="AS212" s="654"/>
      <c r="AT212" s="756"/>
      <c r="AU212" s="747"/>
      <c r="AV212" s="717"/>
      <c r="AW212" s="717"/>
      <c r="AX212" s="747"/>
    </row>
    <row r="213" spans="2:50">
      <c r="B213" s="887"/>
      <c r="C213" s="875"/>
      <c r="D213" s="918"/>
      <c r="E213" s="918"/>
      <c r="F213" s="918"/>
      <c r="G213" s="918"/>
      <c r="H213" s="919"/>
      <c r="J213" s="763"/>
      <c r="L213" s="711"/>
      <c r="M213" s="715"/>
      <c r="N213" s="711"/>
      <c r="R213" s="664"/>
      <c r="T213" s="650"/>
      <c r="U213" s="650"/>
      <c r="V213" s="655"/>
      <c r="W213" s="655"/>
      <c r="X213" s="650"/>
      <c r="Y213" s="650"/>
      <c r="AE213" s="655"/>
      <c r="AG213" s="650"/>
      <c r="AJ213" s="718"/>
      <c r="AK213" s="718"/>
      <c r="AL213" s="718"/>
      <c r="AM213" s="718"/>
      <c r="AN213" s="718"/>
      <c r="AO213" s="718"/>
      <c r="AP213" s="718"/>
      <c r="AQ213" s="718"/>
      <c r="AR213" s="718"/>
      <c r="AS213" s="718"/>
    </row>
    <row r="214" spans="2:50">
      <c r="B214" s="888"/>
      <c r="C214" s="934"/>
      <c r="D214" s="876"/>
      <c r="E214" s="920"/>
      <c r="F214" s="876"/>
      <c r="G214" s="904"/>
      <c r="H214" s="889"/>
      <c r="I214" s="755"/>
      <c r="J214" s="905"/>
      <c r="K214" s="760"/>
      <c r="L214" s="711"/>
      <c r="M214" s="715"/>
      <c r="N214" s="711"/>
      <c r="R214" s="664"/>
      <c r="T214" s="650"/>
      <c r="U214" s="650"/>
      <c r="V214" s="655"/>
      <c r="W214" s="655"/>
      <c r="X214" s="650"/>
      <c r="Y214" s="650"/>
      <c r="AE214" s="655"/>
      <c r="AG214" s="650"/>
      <c r="AJ214" s="718"/>
      <c r="AK214" s="718"/>
      <c r="AL214" s="718"/>
      <c r="AM214" s="718"/>
      <c r="AN214" s="718"/>
      <c r="AO214" s="718"/>
      <c r="AP214" s="718"/>
      <c r="AQ214" s="718"/>
      <c r="AR214" s="718"/>
      <c r="AS214" s="718"/>
    </row>
    <row r="215" spans="2:50">
      <c r="B215" s="890"/>
      <c r="C215" s="906"/>
      <c r="D215" s="909"/>
      <c r="E215" s="909"/>
      <c r="F215" s="909"/>
      <c r="G215" s="909"/>
      <c r="H215" s="910"/>
      <c r="I215" s="755"/>
      <c r="J215" s="906"/>
      <c r="K215" s="907"/>
      <c r="L215" s="711"/>
      <c r="M215" s="715"/>
      <c r="N215" s="711"/>
      <c r="R215" s="664"/>
      <c r="T215" s="650"/>
      <c r="U215" s="650"/>
      <c r="V215" s="655"/>
      <c r="W215" s="655"/>
      <c r="X215" s="650"/>
      <c r="Y215" s="650"/>
      <c r="AE215" s="655"/>
      <c r="AG215" s="650"/>
      <c r="AJ215" s="718"/>
      <c r="AK215" s="718"/>
      <c r="AL215" s="718"/>
      <c r="AM215" s="718"/>
      <c r="AN215" s="718"/>
      <c r="AO215" s="718"/>
      <c r="AP215" s="718"/>
      <c r="AQ215" s="718"/>
      <c r="AR215" s="718"/>
      <c r="AS215" s="718"/>
    </row>
    <row r="216" spans="2:50">
      <c r="B216" s="891"/>
      <c r="C216" s="906"/>
      <c r="D216" s="909"/>
      <c r="E216" s="909"/>
      <c r="F216" s="909"/>
      <c r="G216" s="909"/>
      <c r="H216" s="910"/>
      <c r="I216" s="755"/>
      <c r="J216" s="906"/>
      <c r="K216" s="907"/>
      <c r="M216" s="664"/>
      <c r="R216" s="664"/>
      <c r="T216" s="650"/>
      <c r="U216" s="650"/>
      <c r="V216" s="655"/>
      <c r="W216" s="655"/>
      <c r="X216" s="650"/>
      <c r="Y216" s="650"/>
      <c r="AE216" s="655"/>
      <c r="AG216" s="650"/>
      <c r="AH216" s="719"/>
      <c r="AI216" s="719"/>
      <c r="AJ216" s="664"/>
      <c r="AK216" s="664"/>
      <c r="AL216" s="664"/>
      <c r="AM216" s="664"/>
      <c r="AN216" s="664"/>
      <c r="AO216" s="664"/>
      <c r="AP216" s="664"/>
      <c r="AQ216" s="664"/>
      <c r="AR216" s="664"/>
      <c r="AS216" s="664"/>
      <c r="AT216" s="754"/>
      <c r="AU216" s="654"/>
      <c r="AV216" s="717"/>
      <c r="AW216" s="717"/>
      <c r="AX216" s="719"/>
    </row>
    <row r="217" spans="2:50">
      <c r="B217" s="891"/>
      <c r="C217" s="906"/>
      <c r="D217" s="909"/>
      <c r="E217" s="909"/>
      <c r="F217" s="909"/>
      <c r="G217" s="909"/>
      <c r="H217" s="910"/>
      <c r="I217" s="755"/>
      <c r="J217" s="906"/>
      <c r="K217" s="907"/>
      <c r="M217" s="664"/>
      <c r="R217" s="664"/>
      <c r="T217" s="650"/>
      <c r="U217" s="650"/>
      <c r="V217" s="655"/>
      <c r="W217" s="655"/>
      <c r="X217" s="650"/>
      <c r="Y217" s="650"/>
      <c r="AE217" s="655"/>
      <c r="AG217" s="650"/>
      <c r="AT217" s="664"/>
      <c r="AU217" s="654"/>
      <c r="AV217" s="717"/>
      <c r="AW217" s="717"/>
      <c r="AX217" s="719"/>
    </row>
    <row r="218" spans="2:50">
      <c r="B218" s="891"/>
      <c r="C218" s="906"/>
      <c r="D218" s="909"/>
      <c r="E218" s="909"/>
      <c r="F218" s="909"/>
      <c r="G218" s="909"/>
      <c r="H218" s="910"/>
      <c r="I218" s="755"/>
      <c r="J218" s="906"/>
      <c r="K218" s="907"/>
      <c r="Q218" s="652"/>
      <c r="R218" s="661"/>
      <c r="S218" s="652"/>
      <c r="T218" s="650"/>
      <c r="U218" s="650"/>
      <c r="V218" s="655"/>
      <c r="W218" s="655"/>
      <c r="X218" s="650"/>
      <c r="Y218" s="650"/>
      <c r="AE218" s="655"/>
      <c r="AG218" s="650"/>
      <c r="AU218" s="654"/>
      <c r="AV218" s="717"/>
      <c r="AW218" s="717"/>
    </row>
    <row r="219" spans="2:50">
      <c r="B219" s="891"/>
      <c r="C219" s="906"/>
      <c r="D219" s="909"/>
      <c r="E219" s="909"/>
      <c r="F219" s="909"/>
      <c r="G219" s="909"/>
      <c r="H219" s="910"/>
      <c r="I219" s="755"/>
      <c r="J219" s="906"/>
      <c r="K219" s="907"/>
      <c r="M219" s="664"/>
      <c r="P219" s="711"/>
      <c r="Q219" s="740"/>
      <c r="R219" s="664"/>
      <c r="S219" s="659"/>
      <c r="T219" s="650"/>
      <c r="U219" s="650"/>
      <c r="V219" s="655"/>
      <c r="W219" s="655"/>
      <c r="X219" s="650"/>
      <c r="Y219" s="650"/>
      <c r="AE219" s="655"/>
      <c r="AG219" s="650"/>
      <c r="AH219" s="743"/>
      <c r="AI219" s="743"/>
      <c r="AJ219" s="664"/>
      <c r="AK219" s="664"/>
      <c r="AL219" s="664"/>
      <c r="AM219" s="664"/>
      <c r="AN219" s="664"/>
      <c r="AO219" s="664"/>
      <c r="AP219" s="664"/>
      <c r="AQ219" s="664"/>
      <c r="AR219" s="664"/>
      <c r="AS219" s="664"/>
      <c r="AT219" s="756"/>
      <c r="AU219" s="654"/>
      <c r="AV219" s="717"/>
      <c r="AW219" s="717"/>
      <c r="AX219" s="743"/>
    </row>
    <row r="220" spans="2:50" s="740" customFormat="1">
      <c r="B220" s="892"/>
      <c r="C220" s="908"/>
      <c r="D220" s="911"/>
      <c r="E220" s="911"/>
      <c r="F220" s="911"/>
      <c r="G220" s="911"/>
      <c r="H220" s="912"/>
      <c r="I220" s="748"/>
      <c r="J220" s="748"/>
      <c r="L220" s="650"/>
      <c r="M220" s="664"/>
      <c r="N220" s="650"/>
      <c r="R220" s="761"/>
      <c r="S220" s="748"/>
      <c r="V220" s="764"/>
      <c r="W220" s="764"/>
      <c r="AE220" s="764"/>
      <c r="AJ220" s="761"/>
      <c r="AK220" s="761"/>
      <c r="AL220" s="761"/>
      <c r="AM220" s="761"/>
      <c r="AN220" s="761"/>
      <c r="AO220" s="761"/>
      <c r="AP220" s="761"/>
      <c r="AQ220" s="761"/>
      <c r="AR220" s="761"/>
      <c r="AS220" s="761"/>
      <c r="AT220" s="761"/>
      <c r="AU220" s="765"/>
      <c r="AV220" s="766"/>
      <c r="AW220" s="766"/>
    </row>
    <row r="221" spans="2:50">
      <c r="B221" s="893"/>
      <c r="C221" s="770"/>
      <c r="D221" s="913"/>
      <c r="E221" s="914"/>
      <c r="F221" s="915"/>
      <c r="G221" s="915"/>
      <c r="H221" s="916"/>
      <c r="I221" s="748"/>
      <c r="J221" s="903"/>
      <c r="K221" s="758"/>
      <c r="Q221" s="740"/>
      <c r="R221" s="664"/>
      <c r="S221" s="659"/>
      <c r="T221" s="650"/>
      <c r="U221" s="650"/>
      <c r="V221" s="655"/>
      <c r="W221" s="655"/>
      <c r="X221" s="650"/>
      <c r="Y221" s="650"/>
      <c r="AE221" s="655"/>
      <c r="AG221" s="650"/>
      <c r="AT221" s="756"/>
      <c r="AU221" s="747"/>
      <c r="AV221" s="717"/>
      <c r="AW221" s="717"/>
      <c r="AX221" s="747"/>
    </row>
    <row r="222" spans="2:50">
      <c r="B222" s="893"/>
      <c r="C222" s="770"/>
      <c r="D222" s="914"/>
      <c r="E222" s="914"/>
      <c r="F222" s="914"/>
      <c r="G222" s="914"/>
      <c r="H222" s="917"/>
      <c r="I222" s="748"/>
      <c r="J222" s="734"/>
      <c r="K222" s="758"/>
      <c r="M222" s="664"/>
      <c r="Q222" s="711"/>
      <c r="R222" s="715"/>
      <c r="S222" s="714"/>
      <c r="T222" s="650"/>
      <c r="U222" s="650"/>
      <c r="V222" s="655"/>
      <c r="W222" s="655"/>
      <c r="X222" s="650"/>
      <c r="Y222" s="650"/>
      <c r="AE222" s="655"/>
      <c r="AG222" s="650"/>
      <c r="AQ222" s="674"/>
      <c r="AR222" s="674"/>
      <c r="AS222" s="674"/>
      <c r="AT222" s="720"/>
      <c r="AU222" s="654"/>
    </row>
    <row r="223" spans="2:50">
      <c r="B223" s="893"/>
      <c r="C223" s="900"/>
      <c r="D223" s="914"/>
      <c r="E223" s="914"/>
      <c r="F223" s="914"/>
      <c r="G223" s="914"/>
      <c r="H223" s="917"/>
      <c r="I223" s="748"/>
      <c r="J223" s="734"/>
      <c r="K223" s="758"/>
      <c r="L223" s="659"/>
      <c r="M223" s="664"/>
      <c r="R223" s="664"/>
      <c r="S223" s="659"/>
      <c r="T223" s="650"/>
      <c r="U223" s="650"/>
      <c r="V223" s="655"/>
      <c r="W223" s="655"/>
      <c r="X223" s="650"/>
      <c r="Y223" s="650"/>
      <c r="AE223" s="655"/>
      <c r="AG223" s="650"/>
      <c r="AQ223" s="674"/>
      <c r="AR223" s="674"/>
      <c r="AS223" s="674"/>
      <c r="AT223" s="747"/>
      <c r="AU223" s="654"/>
    </row>
    <row r="224" spans="2:50">
      <c r="B224" s="893"/>
      <c r="C224" s="900"/>
      <c r="D224" s="914"/>
      <c r="E224" s="914"/>
      <c r="F224" s="914"/>
      <c r="G224" s="914"/>
      <c r="H224" s="917"/>
      <c r="I224" s="748"/>
      <c r="J224" s="734"/>
      <c r="K224" s="682"/>
      <c r="L224" s="659"/>
      <c r="M224" s="664"/>
      <c r="Q224" s="655"/>
      <c r="R224" s="664"/>
      <c r="S224" s="659"/>
      <c r="T224" s="650"/>
      <c r="V224" s="655"/>
      <c r="X224" s="650"/>
      <c r="Y224" s="650"/>
      <c r="AD224" s="655"/>
      <c r="AG224" s="650"/>
      <c r="AQ224" s="674"/>
      <c r="AR224" s="674"/>
      <c r="AS224" s="674"/>
      <c r="AT224" s="654"/>
      <c r="AU224" s="654"/>
    </row>
    <row r="225" spans="2:47">
      <c r="B225" s="923"/>
      <c r="C225" s="924"/>
      <c r="D225" s="922"/>
      <c r="E225" s="925"/>
      <c r="F225" s="925"/>
      <c r="G225" s="925"/>
      <c r="H225" s="926"/>
      <c r="J225" s="768"/>
      <c r="K225" s="652"/>
      <c r="Q225" s="655"/>
      <c r="R225" s="664"/>
      <c r="S225" s="659"/>
      <c r="T225" s="650"/>
      <c r="V225" s="655"/>
      <c r="X225" s="650"/>
      <c r="Y225" s="650"/>
      <c r="AD225" s="655"/>
      <c r="AG225" s="650"/>
      <c r="AQ225" s="674"/>
      <c r="AR225" s="674"/>
      <c r="AS225" s="674"/>
      <c r="AT225" s="654"/>
      <c r="AU225" s="654"/>
    </row>
    <row r="226" spans="2:47">
      <c r="B226" s="923"/>
      <c r="C226" s="921"/>
      <c r="D226" s="927"/>
      <c r="E226" s="927"/>
      <c r="F226" s="928"/>
      <c r="G226" s="928"/>
      <c r="H226" s="929"/>
      <c r="J226" s="769"/>
      <c r="K226" s="760"/>
      <c r="M226" s="674"/>
      <c r="N226" s="674"/>
      <c r="Q226" s="652"/>
      <c r="R226" s="661"/>
      <c r="S226" s="652"/>
      <c r="U226" s="650"/>
      <c r="W226" s="655"/>
      <c r="Y226" s="650"/>
      <c r="AF226" s="655"/>
      <c r="AG226" s="650"/>
      <c r="AQ226" s="674"/>
      <c r="AR226" s="674"/>
      <c r="AS226" s="674"/>
      <c r="AT226" s="654"/>
      <c r="AU226" s="654"/>
    </row>
    <row r="227" spans="2:47">
      <c r="B227" s="923"/>
      <c r="C227" s="921"/>
      <c r="D227" s="927"/>
      <c r="E227" s="927"/>
      <c r="F227" s="930"/>
      <c r="G227" s="931"/>
      <c r="H227" s="932"/>
      <c r="J227" s="733"/>
      <c r="K227" s="757"/>
      <c r="L227" s="740"/>
      <c r="M227" s="654"/>
      <c r="N227" s="659"/>
      <c r="P227" s="711"/>
      <c r="R227" s="664"/>
      <c r="U227" s="650"/>
      <c r="W227" s="655"/>
      <c r="Y227" s="650"/>
      <c r="AF227" s="655"/>
      <c r="AG227" s="650"/>
    </row>
    <row r="228" spans="2:47">
      <c r="B228" s="923"/>
      <c r="C228" s="921"/>
      <c r="D228" s="927"/>
      <c r="E228" s="928"/>
      <c r="F228" s="927"/>
      <c r="G228" s="931"/>
      <c r="H228" s="933"/>
      <c r="J228" s="733"/>
      <c r="L228" s="740"/>
      <c r="M228" s="654"/>
      <c r="N228" s="659"/>
      <c r="Q228" s="711"/>
      <c r="R228" s="715"/>
      <c r="S228" s="711"/>
      <c r="U228" s="650"/>
      <c r="W228" s="655"/>
      <c r="Y228" s="650"/>
      <c r="AF228" s="655"/>
      <c r="AG228" s="650"/>
    </row>
    <row r="229" spans="2:47">
      <c r="B229" s="923"/>
      <c r="C229" s="921"/>
      <c r="D229" s="927"/>
      <c r="E229" s="930"/>
      <c r="F229" s="930"/>
      <c r="G229" s="931"/>
      <c r="H229" s="932"/>
      <c r="J229" s="733"/>
      <c r="L229" s="711"/>
      <c r="M229" s="698"/>
      <c r="N229" s="714"/>
      <c r="Q229" s="711"/>
      <c r="R229" s="715"/>
      <c r="S229" s="711"/>
      <c r="U229" s="650"/>
      <c r="W229" s="655"/>
      <c r="Y229" s="650"/>
      <c r="AF229" s="655"/>
      <c r="AG229" s="650"/>
    </row>
    <row r="230" spans="2:47" ht="16.2" thickBot="1">
      <c r="B230" s="894"/>
      <c r="C230" s="895"/>
      <c r="D230" s="896"/>
      <c r="E230" s="897"/>
      <c r="F230" s="895"/>
      <c r="G230" s="898"/>
      <c r="H230" s="899"/>
      <c r="I230" s="712"/>
      <c r="L230" s="711"/>
      <c r="M230" s="698"/>
      <c r="N230" s="714"/>
      <c r="R230" s="664"/>
    </row>
    <row r="231" spans="2:47" ht="16.2" thickBot="1">
      <c r="L231" s="711"/>
      <c r="M231" s="664"/>
      <c r="R231" s="664"/>
    </row>
    <row r="232" spans="2:47" ht="18">
      <c r="B232" s="883"/>
      <c r="C232" s="901"/>
      <c r="D232" s="901"/>
      <c r="E232" s="901"/>
      <c r="F232" s="902"/>
      <c r="G232" s="877"/>
      <c r="H232" s="721"/>
      <c r="I232" s="721"/>
      <c r="J232" s="721"/>
      <c r="R232" s="664"/>
      <c r="U232" s="650"/>
      <c r="W232" s="655"/>
      <c r="Y232" s="650"/>
      <c r="AF232" s="655"/>
      <c r="AG232" s="650"/>
    </row>
    <row r="233" spans="2:47">
      <c r="B233" s="884"/>
      <c r="C233" s="866"/>
      <c r="D233" s="872"/>
      <c r="E233" s="872"/>
      <c r="F233" s="885"/>
      <c r="G233" s="878"/>
      <c r="M233" s="654"/>
      <c r="N233" s="659"/>
      <c r="O233" s="655"/>
      <c r="P233" s="655"/>
      <c r="R233" s="664"/>
      <c r="U233" s="650"/>
      <c r="X233" s="650"/>
      <c r="Y233" s="650"/>
      <c r="AB233" s="655"/>
      <c r="AG233" s="650"/>
    </row>
    <row r="234" spans="2:47">
      <c r="B234" s="884"/>
      <c r="C234" s="866"/>
      <c r="D234" s="872"/>
      <c r="E234" s="872"/>
      <c r="F234" s="885"/>
      <c r="G234" s="878"/>
      <c r="L234" s="655"/>
      <c r="M234" s="654"/>
      <c r="N234" s="659"/>
      <c r="O234" s="655"/>
      <c r="Q234" s="652"/>
      <c r="R234" s="661"/>
      <c r="S234" s="652"/>
      <c r="U234" s="650"/>
      <c r="X234" s="650"/>
      <c r="Y234" s="650"/>
      <c r="AB234" s="655"/>
      <c r="AG234" s="650"/>
    </row>
    <row r="235" spans="2:47">
      <c r="B235" s="887"/>
      <c r="C235" s="875"/>
      <c r="D235" s="918"/>
      <c r="E235" s="918"/>
      <c r="F235" s="919"/>
      <c r="G235" s="879"/>
      <c r="O235" s="655"/>
      <c r="P235" s="711"/>
      <c r="R235" s="664"/>
      <c r="U235" s="650"/>
      <c r="X235" s="650"/>
      <c r="Y235" s="650"/>
      <c r="AB235" s="655"/>
      <c r="AG235" s="650"/>
    </row>
    <row r="236" spans="2:47">
      <c r="B236" s="941"/>
      <c r="C236" s="934"/>
      <c r="D236" s="876"/>
      <c r="E236" s="920"/>
      <c r="F236" s="942"/>
      <c r="G236" s="879"/>
      <c r="M236" s="664"/>
      <c r="O236" s="655"/>
      <c r="P236" s="655"/>
      <c r="Q236" s="711"/>
      <c r="R236" s="715"/>
      <c r="S236" s="711"/>
      <c r="U236" s="650"/>
      <c r="X236" s="650"/>
      <c r="Y236" s="650"/>
      <c r="AB236" s="655"/>
      <c r="AG236" s="650"/>
    </row>
    <row r="237" spans="2:47">
      <c r="B237" s="891"/>
      <c r="C237" s="937"/>
      <c r="D237" s="909"/>
      <c r="E237" s="909"/>
      <c r="F237" s="910"/>
      <c r="G237" s="880"/>
      <c r="I237" s="654"/>
      <c r="L237" s="659"/>
      <c r="M237" s="664"/>
      <c r="O237" s="655"/>
      <c r="P237" s="655"/>
      <c r="Q237" s="711"/>
      <c r="R237" s="715"/>
      <c r="S237" s="711"/>
      <c r="U237" s="650"/>
      <c r="X237" s="650"/>
      <c r="Y237" s="650"/>
      <c r="AB237" s="655"/>
      <c r="AG237" s="650"/>
    </row>
    <row r="238" spans="2:47">
      <c r="B238" s="891"/>
      <c r="C238" s="937"/>
      <c r="D238" s="909"/>
      <c r="E238" s="909"/>
      <c r="F238" s="910"/>
      <c r="G238" s="880"/>
      <c r="I238" s="654"/>
      <c r="O238" s="655"/>
      <c r="P238" s="655"/>
      <c r="R238" s="664"/>
      <c r="U238" s="650"/>
      <c r="X238" s="650"/>
      <c r="Y238" s="650"/>
      <c r="AB238" s="655"/>
      <c r="AG238" s="650"/>
    </row>
    <row r="239" spans="2:47">
      <c r="B239" s="891"/>
      <c r="C239" s="937"/>
      <c r="D239" s="909"/>
      <c r="E239" s="909"/>
      <c r="F239" s="910"/>
      <c r="G239" s="879"/>
      <c r="I239" s="654"/>
      <c r="M239" s="674"/>
      <c r="N239" s="674"/>
      <c r="O239" s="655"/>
      <c r="P239" s="655"/>
      <c r="R239" s="664"/>
      <c r="U239" s="650"/>
      <c r="X239" s="650"/>
      <c r="Y239" s="650"/>
      <c r="AB239" s="655"/>
      <c r="AG239" s="650"/>
    </row>
    <row r="240" spans="2:47">
      <c r="B240" s="891"/>
      <c r="C240" s="938"/>
      <c r="D240" s="939"/>
      <c r="E240" s="939"/>
      <c r="F240" s="943"/>
      <c r="G240" s="880"/>
      <c r="M240" s="654"/>
      <c r="O240" s="655"/>
      <c r="P240" s="655"/>
      <c r="R240" s="664"/>
      <c r="U240" s="650"/>
      <c r="X240" s="650"/>
      <c r="Y240" s="650"/>
      <c r="AB240" s="655"/>
      <c r="AG240" s="650"/>
    </row>
    <row r="241" spans="2:33">
      <c r="B241" s="893"/>
      <c r="C241" s="940"/>
      <c r="D241" s="913"/>
      <c r="E241" s="914"/>
      <c r="F241" s="917"/>
      <c r="G241" s="880"/>
      <c r="I241" s="654"/>
      <c r="K241" s="771"/>
      <c r="M241" s="654"/>
      <c r="O241" s="655"/>
      <c r="P241" s="655"/>
      <c r="R241" s="664"/>
      <c r="U241" s="650"/>
      <c r="X241" s="650"/>
      <c r="Y241" s="650"/>
      <c r="AB241" s="655"/>
      <c r="AG241" s="650"/>
    </row>
    <row r="242" spans="2:33">
      <c r="B242" s="893"/>
      <c r="C242" s="940"/>
      <c r="D242" s="913"/>
      <c r="E242" s="914"/>
      <c r="F242" s="917"/>
      <c r="G242" s="880"/>
      <c r="I242" s="654"/>
      <c r="O242" s="655"/>
      <c r="Q242" s="652"/>
      <c r="R242" s="661"/>
      <c r="S242" s="652"/>
      <c r="U242" s="650"/>
      <c r="X242" s="650"/>
      <c r="Y242" s="650"/>
      <c r="AB242" s="655"/>
      <c r="AG242" s="650"/>
    </row>
    <row r="243" spans="2:33">
      <c r="B243" s="893"/>
      <c r="C243" s="940"/>
      <c r="D243" s="914"/>
      <c r="E243" s="914"/>
      <c r="F243" s="917"/>
      <c r="G243" s="879"/>
      <c r="I243" s="654"/>
      <c r="J243" s="712"/>
      <c r="L243" s="711"/>
      <c r="M243" s="698"/>
      <c r="N243" s="711"/>
      <c r="P243" s="711"/>
      <c r="Q243" s="740"/>
      <c r="R243" s="664"/>
      <c r="U243" s="650"/>
      <c r="W243" s="655"/>
      <c r="Y243" s="650"/>
      <c r="AF243" s="655"/>
      <c r="AG243" s="650"/>
    </row>
    <row r="244" spans="2:33">
      <c r="B244" s="893"/>
      <c r="C244" s="940"/>
      <c r="D244" s="914"/>
      <c r="E244" s="914"/>
      <c r="F244" s="917"/>
      <c r="G244" s="881"/>
      <c r="I244" s="654"/>
      <c r="L244" s="711"/>
      <c r="M244" s="698"/>
      <c r="N244" s="711"/>
      <c r="Q244" s="740"/>
      <c r="R244" s="664"/>
      <c r="T244" s="650"/>
      <c r="U244" s="650"/>
      <c r="V244" s="655"/>
      <c r="W244" s="655"/>
      <c r="X244" s="650"/>
      <c r="Y244" s="650"/>
      <c r="AE244" s="655"/>
      <c r="AG244" s="650"/>
    </row>
    <row r="245" spans="2:33">
      <c r="B245" s="923"/>
      <c r="C245" s="921"/>
      <c r="D245" s="922"/>
      <c r="E245" s="922"/>
      <c r="F245" s="935"/>
      <c r="G245" s="880"/>
      <c r="Q245" s="711"/>
      <c r="R245" s="715"/>
      <c r="S245" s="711"/>
      <c r="T245" s="650"/>
      <c r="U245" s="650"/>
      <c r="V245" s="655"/>
      <c r="W245" s="655"/>
      <c r="X245" s="650"/>
      <c r="Y245" s="650"/>
      <c r="AE245" s="655"/>
      <c r="AG245" s="650"/>
    </row>
    <row r="246" spans="2:33">
      <c r="B246" s="923"/>
      <c r="C246" s="921"/>
      <c r="D246" s="922"/>
      <c r="E246" s="922"/>
      <c r="F246" s="935"/>
      <c r="G246" s="880"/>
      <c r="M246" s="654"/>
      <c r="Q246" s="711"/>
      <c r="R246" s="715"/>
      <c r="S246" s="711"/>
      <c r="T246" s="650"/>
      <c r="U246" s="650"/>
      <c r="V246" s="655"/>
      <c r="W246" s="655"/>
      <c r="X246" s="650"/>
      <c r="Y246" s="650"/>
      <c r="AE246" s="655"/>
      <c r="AG246" s="650"/>
    </row>
    <row r="247" spans="2:33">
      <c r="B247" s="923"/>
      <c r="C247" s="921"/>
      <c r="D247" s="922"/>
      <c r="E247" s="922"/>
      <c r="F247" s="935"/>
      <c r="G247" s="880"/>
      <c r="M247" s="654"/>
      <c r="R247" s="664"/>
      <c r="T247" s="650"/>
      <c r="U247" s="650"/>
      <c r="V247" s="655"/>
      <c r="W247" s="655"/>
      <c r="X247" s="650"/>
      <c r="Y247" s="650"/>
      <c r="AE247" s="655"/>
      <c r="AG247" s="650"/>
    </row>
    <row r="248" spans="2:33">
      <c r="B248" s="923"/>
      <c r="C248" s="921"/>
      <c r="D248" s="922"/>
      <c r="E248" s="922"/>
      <c r="F248" s="935"/>
      <c r="G248" s="880"/>
      <c r="K248" s="655"/>
      <c r="R248" s="664"/>
      <c r="T248" s="650"/>
      <c r="U248" s="650"/>
      <c r="V248" s="655"/>
      <c r="W248" s="655"/>
      <c r="X248" s="650"/>
      <c r="Y248" s="650"/>
      <c r="AE248" s="655"/>
      <c r="AG248" s="650"/>
    </row>
    <row r="249" spans="2:33" ht="16.2" thickBot="1">
      <c r="B249" s="894"/>
      <c r="C249" s="895"/>
      <c r="D249" s="896"/>
      <c r="E249" s="897"/>
      <c r="F249" s="936"/>
      <c r="G249" s="882"/>
      <c r="M249" s="654"/>
      <c r="R249" s="715"/>
      <c r="S249" s="655"/>
    </row>
    <row r="250" spans="2:33">
      <c r="M250" s="654"/>
      <c r="R250" s="715"/>
    </row>
    <row r="251" spans="2:33">
      <c r="G251" s="674"/>
      <c r="H251" s="674"/>
      <c r="R251" s="664"/>
    </row>
    <row r="252" spans="2:33">
      <c r="E252" s="760"/>
      <c r="F252" s="740"/>
      <c r="G252" s="761"/>
      <c r="H252" s="740"/>
      <c r="M252" s="654"/>
    </row>
    <row r="253" spans="2:33">
      <c r="F253" s="740"/>
      <c r="G253" s="761"/>
      <c r="H253" s="740"/>
      <c r="M253" s="654"/>
      <c r="Q253" s="740"/>
      <c r="R253" s="654"/>
    </row>
    <row r="254" spans="2:33">
      <c r="F254" s="711"/>
      <c r="G254" s="715"/>
      <c r="H254" s="711"/>
      <c r="Q254" s="740"/>
      <c r="R254" s="654"/>
    </row>
    <row r="255" spans="2:33">
      <c r="F255" s="711"/>
      <c r="G255" s="715"/>
      <c r="H255" s="711"/>
      <c r="M255" s="674"/>
      <c r="N255" s="674"/>
    </row>
    <row r="256" spans="2:33">
      <c r="F256" s="711"/>
      <c r="G256" s="715"/>
      <c r="H256" s="711"/>
      <c r="M256" s="654"/>
      <c r="Q256" s="711"/>
      <c r="R256" s="698"/>
      <c r="S256" s="711"/>
    </row>
    <row r="257" spans="5:33">
      <c r="K257" s="760"/>
      <c r="M257" s="654"/>
      <c r="Q257" s="711"/>
      <c r="R257" s="698"/>
      <c r="S257" s="711"/>
    </row>
    <row r="258" spans="5:33">
      <c r="G258" s="664"/>
    </row>
    <row r="259" spans="5:33">
      <c r="G259" s="664"/>
      <c r="K259" s="655"/>
      <c r="L259" s="711"/>
      <c r="M259" s="698"/>
      <c r="N259" s="711"/>
      <c r="R259" s="654"/>
    </row>
    <row r="260" spans="5:33">
      <c r="K260" s="655"/>
      <c r="L260" s="711"/>
      <c r="M260" s="698"/>
      <c r="N260" s="711"/>
      <c r="R260" s="654"/>
    </row>
    <row r="261" spans="5:33">
      <c r="G261" s="664"/>
      <c r="K261" s="655"/>
    </row>
    <row r="262" spans="5:33">
      <c r="G262" s="664"/>
      <c r="K262" s="655"/>
      <c r="M262" s="654"/>
    </row>
    <row r="263" spans="5:33">
      <c r="K263" s="655"/>
      <c r="M263" s="654"/>
      <c r="S263" s="655"/>
      <c r="U263" s="650"/>
      <c r="X263" s="650"/>
      <c r="Y263" s="650"/>
      <c r="AB263" s="655"/>
      <c r="AG263" s="650"/>
    </row>
    <row r="264" spans="5:33">
      <c r="E264" s="760"/>
      <c r="F264" s="740"/>
      <c r="G264" s="654"/>
      <c r="H264" s="659"/>
      <c r="K264" s="655"/>
      <c r="S264" s="655"/>
      <c r="U264" s="650"/>
      <c r="X264" s="650"/>
      <c r="Y264" s="650"/>
      <c r="AB264" s="655"/>
      <c r="AG264" s="650"/>
    </row>
    <row r="265" spans="5:33">
      <c r="F265" s="740"/>
      <c r="G265" s="654"/>
      <c r="H265" s="659"/>
      <c r="M265" s="654"/>
      <c r="S265" s="655"/>
      <c r="U265" s="650"/>
      <c r="X265" s="650"/>
      <c r="Y265" s="650"/>
      <c r="AB265" s="655"/>
      <c r="AG265" s="650"/>
    </row>
    <row r="266" spans="5:33">
      <c r="F266" s="711"/>
      <c r="G266" s="698"/>
      <c r="H266" s="714"/>
      <c r="M266" s="654"/>
      <c r="S266" s="655"/>
      <c r="U266" s="650"/>
      <c r="X266" s="650"/>
      <c r="Y266" s="650"/>
      <c r="AB266" s="655"/>
      <c r="AG266" s="650"/>
    </row>
    <row r="267" spans="5:33">
      <c r="F267" s="711"/>
      <c r="G267" s="698"/>
      <c r="H267" s="714"/>
      <c r="S267" s="655"/>
      <c r="U267" s="650"/>
      <c r="X267" s="650"/>
      <c r="Y267" s="650"/>
      <c r="AB267" s="655"/>
      <c r="AG267" s="650"/>
    </row>
    <row r="268" spans="5:33">
      <c r="F268" s="711"/>
      <c r="G268" s="664"/>
      <c r="M268" s="654"/>
    </row>
    <row r="269" spans="5:33">
      <c r="M269" s="654"/>
      <c r="W269" s="771"/>
      <c r="Y269" s="656"/>
      <c r="Z269" s="652"/>
      <c r="AA269" s="652"/>
      <c r="AB269" s="652"/>
      <c r="AC269" s="652"/>
      <c r="AD269" s="652"/>
    </row>
    <row r="270" spans="5:33">
      <c r="G270" s="654"/>
      <c r="H270" s="659"/>
      <c r="Y270" s="664"/>
      <c r="Z270" s="659"/>
      <c r="AA270" s="654"/>
      <c r="AB270" s="654"/>
      <c r="AC270" s="654"/>
      <c r="AD270" s="654"/>
    </row>
    <row r="271" spans="5:33">
      <c r="F271" s="655"/>
      <c r="G271" s="654"/>
      <c r="H271" s="659"/>
      <c r="K271" s="760"/>
      <c r="M271" s="674"/>
      <c r="N271" s="674"/>
      <c r="Y271" s="664"/>
      <c r="Z271" s="659"/>
      <c r="AA271" s="654"/>
      <c r="AB271" s="654"/>
      <c r="AC271" s="654"/>
      <c r="AD271" s="654"/>
    </row>
    <row r="272" spans="5:33">
      <c r="L272" s="740"/>
      <c r="M272" s="654"/>
      <c r="Y272" s="664"/>
      <c r="Z272" s="659"/>
    </row>
    <row r="273" spans="5:32">
      <c r="E273" s="771"/>
      <c r="G273" s="654"/>
      <c r="L273" s="740"/>
      <c r="M273" s="654"/>
      <c r="Y273" s="654"/>
      <c r="AA273" s="654"/>
      <c r="AB273" s="654"/>
      <c r="AC273" s="654"/>
      <c r="AD273" s="654"/>
    </row>
    <row r="274" spans="5:32">
      <c r="G274" s="654"/>
      <c r="Y274" s="654"/>
      <c r="AA274" s="654"/>
      <c r="AB274" s="654"/>
      <c r="AC274" s="654"/>
      <c r="AD274" s="654"/>
    </row>
    <row r="275" spans="5:32">
      <c r="L275" s="711"/>
      <c r="M275" s="698"/>
      <c r="N275" s="711"/>
      <c r="Y275" s="650"/>
    </row>
    <row r="276" spans="5:32">
      <c r="F276" s="711"/>
      <c r="G276" s="698"/>
      <c r="H276" s="711"/>
      <c r="L276" s="711"/>
      <c r="M276" s="698"/>
      <c r="N276" s="711"/>
      <c r="Y276" s="698"/>
      <c r="Z276" s="711"/>
      <c r="AA276" s="654"/>
      <c r="AB276" s="654"/>
      <c r="AC276" s="654"/>
      <c r="AE276" s="654"/>
      <c r="AF276" s="654"/>
    </row>
    <row r="277" spans="5:32">
      <c r="F277" s="711"/>
      <c r="G277" s="698"/>
      <c r="H277" s="711"/>
      <c r="Y277" s="698"/>
      <c r="Z277" s="711"/>
      <c r="AA277" s="654"/>
      <c r="AB277" s="654"/>
      <c r="AC277" s="654"/>
      <c r="AE277" s="654"/>
      <c r="AF277" s="654"/>
    </row>
    <row r="278" spans="5:32">
      <c r="M278" s="654"/>
      <c r="Y278" s="650"/>
      <c r="AB278" s="654"/>
      <c r="AF278" s="654"/>
    </row>
    <row r="279" spans="5:32">
      <c r="G279" s="654"/>
      <c r="M279" s="654"/>
      <c r="Y279" s="654"/>
      <c r="AA279" s="654"/>
      <c r="AB279" s="654"/>
      <c r="AC279" s="654"/>
      <c r="AE279" s="654"/>
      <c r="AF279" s="654"/>
    </row>
    <row r="280" spans="5:32">
      <c r="G280" s="654"/>
      <c r="Y280" s="654"/>
      <c r="AA280" s="654"/>
      <c r="AB280" s="654"/>
      <c r="AC280" s="654"/>
      <c r="AE280" s="654"/>
      <c r="AF280" s="654"/>
    </row>
    <row r="281" spans="5:32">
      <c r="M281" s="654"/>
      <c r="Y281" s="650"/>
      <c r="AF281" s="654"/>
    </row>
    <row r="282" spans="5:32">
      <c r="G282" s="654"/>
      <c r="M282" s="654"/>
      <c r="Y282" s="654"/>
      <c r="AA282" s="654"/>
      <c r="AB282" s="654"/>
      <c r="AC282" s="654"/>
      <c r="AE282" s="654"/>
      <c r="AF282" s="654"/>
    </row>
    <row r="283" spans="5:32">
      <c r="G283" s="654"/>
      <c r="Y283" s="654"/>
      <c r="AA283" s="654"/>
      <c r="AB283" s="654"/>
      <c r="AC283" s="654"/>
      <c r="AE283" s="654"/>
      <c r="AF283" s="654"/>
    </row>
    <row r="284" spans="5:32">
      <c r="M284" s="654"/>
      <c r="Y284" s="664"/>
      <c r="Z284" s="664"/>
    </row>
    <row r="285" spans="5:32">
      <c r="E285" s="760"/>
      <c r="G285" s="654"/>
      <c r="M285" s="654"/>
      <c r="Y285" s="664"/>
      <c r="Z285" s="664"/>
      <c r="AC285" s="654"/>
    </row>
    <row r="286" spans="5:32">
      <c r="G286" s="654"/>
      <c r="Y286" s="664"/>
      <c r="Z286" s="664"/>
    </row>
    <row r="287" spans="5:32">
      <c r="M287" s="654"/>
      <c r="Y287" s="664"/>
      <c r="Z287" s="664"/>
    </row>
    <row r="288" spans="5:32">
      <c r="F288" s="711"/>
      <c r="G288" s="698"/>
      <c r="H288" s="711"/>
    </row>
    <row r="289" spans="5:31" ht="18">
      <c r="F289" s="711"/>
      <c r="G289" s="698"/>
      <c r="H289" s="711"/>
      <c r="Y289" s="772"/>
      <c r="Z289" s="773"/>
      <c r="AA289" s="635"/>
      <c r="AB289" s="635"/>
    </row>
    <row r="290" spans="5:31" ht="18">
      <c r="Y290" s="774"/>
      <c r="Z290" s="725"/>
      <c r="AA290" s="610"/>
      <c r="AB290" s="610"/>
    </row>
    <row r="291" spans="5:31" ht="18" customHeight="1">
      <c r="G291" s="654"/>
      <c r="Y291" s="775"/>
      <c r="Z291" s="725"/>
      <c r="AA291" s="610"/>
      <c r="AB291" s="610"/>
    </row>
    <row r="292" spans="5:31" ht="18" customHeight="1">
      <c r="G292" s="654"/>
      <c r="Y292" s="775"/>
      <c r="Z292" s="725"/>
      <c r="AA292" s="610"/>
      <c r="AB292" s="610"/>
    </row>
    <row r="293" spans="5:31" ht="18" customHeight="1">
      <c r="M293" s="654"/>
      <c r="Y293" s="775"/>
      <c r="Z293" s="725"/>
      <c r="AA293" s="776"/>
      <c r="AB293" s="610"/>
    </row>
    <row r="294" spans="5:31" ht="18" customHeight="1">
      <c r="G294" s="654"/>
      <c r="Y294" s="775"/>
      <c r="Z294" s="725"/>
      <c r="AA294" s="610"/>
      <c r="AB294" s="610"/>
    </row>
    <row r="295" spans="5:31" ht="18" customHeight="1">
      <c r="G295" s="654"/>
      <c r="Y295" s="775"/>
      <c r="Z295" s="725"/>
      <c r="AA295" s="610"/>
      <c r="AB295" s="610"/>
    </row>
    <row r="296" spans="5:31" ht="18" customHeight="1">
      <c r="Y296" s="775"/>
      <c r="Z296" s="725"/>
      <c r="AA296" s="610"/>
      <c r="AB296" s="610"/>
    </row>
    <row r="297" spans="5:31" ht="18" customHeight="1">
      <c r="E297" s="760"/>
      <c r="F297" s="740"/>
      <c r="G297" s="654"/>
      <c r="Y297" s="775"/>
      <c r="Z297" s="725"/>
      <c r="AA297" s="610"/>
      <c r="AB297" s="610"/>
    </row>
    <row r="298" spans="5:31" ht="18" customHeight="1">
      <c r="F298" s="740"/>
      <c r="G298" s="654"/>
      <c r="Y298" s="775"/>
      <c r="Z298" s="725"/>
      <c r="AA298" s="610"/>
      <c r="AB298" s="610"/>
    </row>
    <row r="299" spans="5:31" ht="18" customHeight="1">
      <c r="M299" s="654"/>
      <c r="T299" s="655" t="s">
        <v>1909</v>
      </c>
      <c r="Y299" s="774"/>
      <c r="Z299" s="725"/>
      <c r="AA299" s="610"/>
      <c r="AB299" s="610"/>
    </row>
    <row r="300" spans="5:31" ht="18" customHeight="1">
      <c r="F300" s="711"/>
      <c r="G300" s="698"/>
      <c r="H300" s="711"/>
      <c r="Y300" s="775"/>
      <c r="Z300" s="725"/>
      <c r="AA300" s="610"/>
      <c r="AB300" s="610"/>
    </row>
    <row r="301" spans="5:31" ht="18" customHeight="1">
      <c r="F301" s="711"/>
      <c r="G301" s="698"/>
      <c r="H301" s="711"/>
      <c r="Y301" s="775"/>
      <c r="Z301" s="725"/>
      <c r="AA301" s="610"/>
      <c r="AB301" s="610"/>
    </row>
    <row r="302" spans="5:31" ht="18" customHeight="1">
      <c r="Y302" s="775"/>
      <c r="Z302" s="725"/>
      <c r="AA302" s="610"/>
      <c r="AB302" s="610"/>
    </row>
    <row r="303" spans="5:31" ht="18" customHeight="1">
      <c r="G303" s="654"/>
      <c r="Y303" s="775"/>
      <c r="Z303" s="725"/>
      <c r="AA303" s="610"/>
      <c r="AB303" s="610"/>
    </row>
    <row r="304" spans="5:31" ht="18" customHeight="1">
      <c r="G304" s="654"/>
      <c r="X304" s="650"/>
      <c r="Y304" s="775"/>
      <c r="Z304" s="725"/>
      <c r="AA304" s="610"/>
      <c r="AB304" s="610"/>
      <c r="AE304" s="655"/>
    </row>
    <row r="305" spans="7:33" ht="18" customHeight="1">
      <c r="X305" s="650"/>
      <c r="Y305" s="774"/>
      <c r="Z305" s="725"/>
      <c r="AA305" s="610"/>
      <c r="AB305" s="610"/>
      <c r="AE305" s="655"/>
    </row>
    <row r="306" spans="7:33" ht="18" customHeight="1">
      <c r="R306" s="655"/>
      <c r="S306" s="655"/>
      <c r="T306" s="650"/>
      <c r="U306" s="650"/>
      <c r="V306" s="655"/>
      <c r="W306" s="655"/>
      <c r="X306" s="650"/>
      <c r="Y306" s="775"/>
      <c r="Z306" s="725"/>
      <c r="AA306" s="610"/>
      <c r="AB306" s="610"/>
      <c r="AE306" s="655"/>
      <c r="AG306" s="650"/>
    </row>
    <row r="307" spans="7:33" ht="18" customHeight="1">
      <c r="R307" s="655"/>
      <c r="S307" s="655"/>
      <c r="T307" s="650"/>
      <c r="U307" s="650"/>
      <c r="V307" s="655"/>
      <c r="W307" s="655"/>
      <c r="X307" s="650"/>
      <c r="Y307" s="775"/>
      <c r="Z307" s="725"/>
      <c r="AA307" s="610"/>
      <c r="AB307" s="610"/>
      <c r="AE307" s="655"/>
      <c r="AG307" s="650"/>
    </row>
    <row r="308" spans="7:33" ht="18" customHeight="1">
      <c r="R308" s="655"/>
      <c r="S308" s="655"/>
      <c r="T308" s="650"/>
      <c r="U308" s="650"/>
      <c r="V308" s="655"/>
      <c r="W308" s="655"/>
      <c r="Y308" s="775"/>
      <c r="Z308" s="725"/>
      <c r="AA308" s="610"/>
      <c r="AB308" s="610"/>
      <c r="AG308" s="650"/>
    </row>
    <row r="309" spans="7:33" ht="18" customHeight="1">
      <c r="G309" s="654"/>
      <c r="R309" s="655"/>
      <c r="S309" s="655"/>
      <c r="T309" s="650"/>
      <c r="U309" s="650"/>
      <c r="V309" s="655"/>
      <c r="W309" s="655"/>
      <c r="Y309" s="775"/>
      <c r="Z309" s="725"/>
      <c r="AA309" s="610"/>
      <c r="AB309" s="610"/>
      <c r="AG309" s="650"/>
    </row>
    <row r="310" spans="7:33" ht="18" customHeight="1">
      <c r="G310" s="654"/>
      <c r="Y310" s="775"/>
      <c r="Z310" s="725"/>
      <c r="AA310" s="610"/>
      <c r="AB310" s="610"/>
    </row>
    <row r="311" spans="7:33" ht="18" customHeight="1">
      <c r="G311" s="654"/>
      <c r="Y311" s="775"/>
      <c r="Z311" s="725"/>
      <c r="AA311" s="610"/>
      <c r="AB311" s="610"/>
    </row>
    <row r="312" spans="7:33" ht="18" customHeight="1">
      <c r="G312" s="654"/>
      <c r="Y312" s="775"/>
      <c r="Z312" s="725"/>
      <c r="AA312" s="610"/>
      <c r="AB312" s="610"/>
    </row>
    <row r="313" spans="7:33" ht="18" customHeight="1">
      <c r="G313" s="654"/>
      <c r="Y313" s="775"/>
      <c r="Z313" s="725"/>
      <c r="AA313" s="610"/>
      <c r="AB313" s="610"/>
    </row>
    <row r="314" spans="7:33" ht="18" customHeight="1">
      <c r="G314" s="654"/>
      <c r="Y314" s="774"/>
      <c r="Z314" s="725"/>
      <c r="AA314" s="610"/>
      <c r="AB314" s="610"/>
    </row>
    <row r="315" spans="7:33" ht="18" customHeight="1">
      <c r="G315" s="654"/>
      <c r="Y315" s="775"/>
      <c r="Z315" s="725"/>
      <c r="AA315" s="610"/>
      <c r="AB315" s="777"/>
    </row>
    <row r="316" spans="7:33" ht="18" customHeight="1">
      <c r="Y316" s="775"/>
      <c r="Z316" s="725"/>
      <c r="AA316" s="778"/>
      <c r="AB316" s="610"/>
    </row>
    <row r="317" spans="7:33" ht="18" customHeight="1">
      <c r="Y317" s="775"/>
      <c r="Z317" s="725"/>
      <c r="AA317" s="776"/>
      <c r="AB317" s="610"/>
    </row>
    <row r="318" spans="7:33" ht="18" customHeight="1">
      <c r="M318" s="654"/>
      <c r="X318" s="736"/>
      <c r="Y318" s="779"/>
      <c r="Z318" s="725"/>
      <c r="AA318" s="610"/>
      <c r="AB318" s="610"/>
      <c r="AC318" s="735"/>
      <c r="AD318" s="735"/>
      <c r="AE318" s="735"/>
      <c r="AF318" s="735"/>
    </row>
    <row r="319" spans="7:33" ht="18" customHeight="1">
      <c r="Y319" s="775"/>
      <c r="Z319" s="725"/>
      <c r="AA319" s="594"/>
      <c r="AB319" s="594"/>
    </row>
    <row r="320" spans="7:33" s="735" customFormat="1" ht="18" customHeight="1">
      <c r="K320" s="650"/>
      <c r="L320" s="650"/>
      <c r="M320" s="650"/>
      <c r="N320" s="650"/>
      <c r="T320" s="736"/>
      <c r="U320" s="736"/>
      <c r="X320" s="655"/>
      <c r="Y320" s="775"/>
      <c r="Z320" s="725"/>
      <c r="AA320" s="610"/>
      <c r="AB320" s="610"/>
      <c r="AC320" s="650"/>
      <c r="AD320" s="650"/>
      <c r="AE320" s="650"/>
      <c r="AF320" s="650"/>
      <c r="AG320" s="736"/>
    </row>
    <row r="321" spans="2:28" ht="18" customHeight="1">
      <c r="C321" s="668"/>
      <c r="D321" s="654"/>
      <c r="E321" s="654"/>
      <c r="F321" s="654"/>
      <c r="G321" s="654"/>
      <c r="H321" s="654"/>
      <c r="I321" s="654"/>
      <c r="J321" s="654"/>
      <c r="K321" s="651"/>
      <c r="Y321" s="775"/>
      <c r="Z321" s="725"/>
      <c r="AA321" s="776"/>
      <c r="AB321" s="610"/>
    </row>
    <row r="322" spans="2:28" ht="18" customHeight="1">
      <c r="C322" s="668"/>
      <c r="D322" s="654"/>
      <c r="E322" s="654"/>
      <c r="F322" s="654"/>
      <c r="G322" s="654"/>
      <c r="H322" s="654"/>
      <c r="I322" s="654"/>
      <c r="J322" s="654"/>
      <c r="K322" s="651"/>
      <c r="Y322" s="775"/>
      <c r="Z322" s="725"/>
      <c r="AA322" s="610"/>
      <c r="AB322" s="610"/>
    </row>
    <row r="323" spans="2:28" ht="18" customHeight="1">
      <c r="C323" s="668"/>
      <c r="D323" s="654"/>
      <c r="E323" s="654"/>
      <c r="F323" s="654"/>
      <c r="G323" s="654"/>
      <c r="H323" s="654"/>
      <c r="I323" s="654"/>
      <c r="J323" s="654"/>
      <c r="K323" s="651"/>
      <c r="Y323" s="774"/>
      <c r="Z323" s="725"/>
      <c r="AA323" s="610"/>
      <c r="AB323" s="610"/>
    </row>
    <row r="324" spans="2:28" ht="18" customHeight="1">
      <c r="C324" s="668"/>
      <c r="D324" s="654"/>
      <c r="E324" s="654"/>
      <c r="F324" s="654"/>
      <c r="G324" s="654"/>
      <c r="H324" s="654"/>
      <c r="I324" s="654"/>
      <c r="J324" s="654"/>
      <c r="K324" s="651"/>
      <c r="Y324" s="772"/>
      <c r="Z324" s="725"/>
      <c r="AA324" s="610"/>
      <c r="AB324" s="610"/>
    </row>
    <row r="325" spans="2:28" ht="18" customHeight="1">
      <c r="C325" s="668"/>
      <c r="D325" s="654"/>
      <c r="E325" s="654"/>
      <c r="F325" s="654"/>
      <c r="G325" s="654"/>
      <c r="H325" s="654"/>
      <c r="I325" s="654"/>
      <c r="J325" s="654"/>
      <c r="K325" s="651"/>
      <c r="Y325" s="772"/>
      <c r="Z325" s="725"/>
      <c r="AA325" s="610"/>
      <c r="AB325" s="610"/>
    </row>
    <row r="326" spans="2:28" ht="18" customHeight="1">
      <c r="C326" s="668"/>
      <c r="D326" s="654"/>
      <c r="E326" s="654"/>
      <c r="F326" s="654"/>
      <c r="G326" s="654"/>
      <c r="H326" s="654"/>
      <c r="I326" s="654"/>
      <c r="J326" s="654"/>
      <c r="K326" s="651"/>
      <c r="Y326" s="772"/>
      <c r="Z326" s="725"/>
      <c r="AA326" s="610"/>
      <c r="AB326" s="610"/>
    </row>
    <row r="327" spans="2:28" ht="18" customHeight="1">
      <c r="C327" s="668"/>
      <c r="D327" s="654"/>
      <c r="E327" s="654"/>
      <c r="F327" s="654"/>
      <c r="G327" s="654"/>
      <c r="H327" s="654"/>
      <c r="I327" s="654"/>
      <c r="J327" s="654"/>
      <c r="K327" s="651"/>
      <c r="Y327" s="772"/>
      <c r="Z327" s="725"/>
      <c r="AA327" s="610"/>
      <c r="AB327" s="610"/>
    </row>
    <row r="328" spans="2:28" ht="18" customHeight="1">
      <c r="C328" s="668"/>
      <c r="D328" s="654"/>
      <c r="E328" s="654"/>
      <c r="F328" s="654"/>
      <c r="G328" s="654"/>
      <c r="H328" s="654"/>
      <c r="I328" s="654"/>
      <c r="J328" s="654"/>
      <c r="K328" s="651"/>
      <c r="Y328" s="772"/>
      <c r="Z328" s="725"/>
      <c r="AA328" s="610"/>
      <c r="AB328" s="610"/>
    </row>
    <row r="329" spans="2:28" ht="18" customHeight="1">
      <c r="C329" s="668"/>
      <c r="D329" s="654"/>
      <c r="E329" s="654"/>
      <c r="F329" s="654"/>
      <c r="G329" s="654"/>
      <c r="H329" s="654"/>
      <c r="I329" s="654"/>
      <c r="J329" s="654"/>
      <c r="K329" s="651"/>
      <c r="Y329" s="772"/>
      <c r="Z329" s="780"/>
      <c r="AA329" s="610"/>
      <c r="AB329" s="610"/>
    </row>
    <row r="330" spans="2:28" ht="18" customHeight="1">
      <c r="C330" s="668"/>
      <c r="D330" s="654"/>
      <c r="E330" s="654"/>
      <c r="F330" s="654"/>
      <c r="G330" s="654"/>
      <c r="H330" s="654"/>
      <c r="I330" s="654"/>
      <c r="J330" s="654"/>
      <c r="K330" s="651"/>
      <c r="Y330" s="772"/>
      <c r="Z330" s="780"/>
      <c r="AA330" s="610"/>
      <c r="AB330" s="610"/>
    </row>
    <row r="331" spans="2:28" ht="18" customHeight="1">
      <c r="C331" s="668"/>
      <c r="D331" s="654"/>
      <c r="E331" s="654"/>
      <c r="F331" s="654"/>
      <c r="G331" s="654"/>
      <c r="H331" s="654"/>
      <c r="I331" s="654"/>
      <c r="J331" s="654"/>
      <c r="K331" s="651"/>
    </row>
    <row r="332" spans="2:28" ht="18" customHeight="1">
      <c r="C332" s="668"/>
      <c r="D332" s="654"/>
      <c r="E332" s="654"/>
      <c r="F332" s="654"/>
      <c r="G332" s="654"/>
      <c r="H332" s="654"/>
      <c r="I332" s="654"/>
      <c r="J332" s="654"/>
      <c r="K332" s="651"/>
    </row>
    <row r="333" spans="2:28" ht="18" customHeight="1">
      <c r="C333" s="668"/>
      <c r="D333" s="654"/>
      <c r="E333" s="654"/>
      <c r="F333" s="654"/>
      <c r="G333" s="654"/>
      <c r="H333" s="654"/>
      <c r="I333" s="654"/>
      <c r="J333" s="654"/>
      <c r="K333" s="651"/>
    </row>
    <row r="334" spans="2:28" ht="18" customHeight="1">
      <c r="C334" s="668"/>
      <c r="D334" s="654"/>
      <c r="E334" s="654"/>
      <c r="F334" s="654"/>
      <c r="G334" s="654"/>
      <c r="H334" s="654"/>
      <c r="I334" s="654"/>
      <c r="J334" s="654"/>
      <c r="K334" s="651"/>
      <c r="AB334" s="655"/>
    </row>
    <row r="335" spans="2:28" ht="18" customHeight="1">
      <c r="B335" s="711"/>
      <c r="C335" s="714"/>
      <c r="D335" s="712"/>
      <c r="E335" s="712"/>
      <c r="F335" s="712"/>
      <c r="G335" s="712"/>
      <c r="H335" s="712"/>
      <c r="I335" s="712"/>
      <c r="J335" s="712"/>
      <c r="K335" s="712"/>
      <c r="AB335" s="655"/>
    </row>
    <row r="336" spans="2:28" ht="18" customHeight="1">
      <c r="B336" s="711"/>
      <c r="C336" s="711"/>
      <c r="D336" s="1014"/>
      <c r="E336" s="1014"/>
      <c r="F336" s="1014"/>
      <c r="G336" s="1014"/>
      <c r="H336" s="1014"/>
      <c r="I336" s="1014"/>
      <c r="J336" s="1014"/>
      <c r="K336" s="1014"/>
      <c r="AB336" s="655"/>
    </row>
    <row r="337" spans="3:33" ht="18" customHeight="1">
      <c r="X337" s="650"/>
      <c r="Y337" s="650"/>
      <c r="AB337" s="655"/>
    </row>
    <row r="338" spans="3:33" ht="18" customHeight="1">
      <c r="X338" s="650"/>
      <c r="Y338" s="650"/>
      <c r="AB338" s="655"/>
    </row>
    <row r="339" spans="3:33">
      <c r="C339" s="651"/>
      <c r="E339" s="651"/>
      <c r="F339" s="651"/>
      <c r="G339" s="651"/>
      <c r="O339" s="655"/>
      <c r="P339" s="655"/>
      <c r="S339" s="655"/>
      <c r="U339" s="650"/>
      <c r="X339" s="650"/>
      <c r="Y339" s="650"/>
      <c r="AB339" s="655"/>
      <c r="AG339" s="650"/>
    </row>
    <row r="340" spans="3:33">
      <c r="C340" s="651"/>
      <c r="E340" s="651"/>
      <c r="O340" s="655"/>
      <c r="P340" s="655"/>
      <c r="S340" s="655"/>
      <c r="T340" s="655" t="s">
        <v>1986</v>
      </c>
      <c r="U340" s="650"/>
      <c r="X340" s="650"/>
      <c r="Y340" s="650"/>
      <c r="AB340" s="655"/>
      <c r="AG340" s="650"/>
    </row>
    <row r="341" spans="3:33">
      <c r="C341" s="651"/>
      <c r="O341" s="655"/>
      <c r="P341" s="655"/>
      <c r="S341" s="655"/>
      <c r="T341" s="655">
        <v>4</v>
      </c>
      <c r="U341" s="650"/>
      <c r="X341" s="650"/>
      <c r="Y341" s="650"/>
      <c r="AB341" s="655"/>
      <c r="AG341" s="650"/>
    </row>
    <row r="342" spans="3:33">
      <c r="C342" s="651"/>
      <c r="O342" s="655"/>
      <c r="P342" s="655"/>
      <c r="S342" s="655"/>
      <c r="U342" s="650"/>
      <c r="X342" s="650"/>
      <c r="Y342" s="650"/>
      <c r="AB342" s="655"/>
      <c r="AG342" s="650"/>
    </row>
    <row r="343" spans="3:33">
      <c r="C343" s="651"/>
      <c r="O343" s="655"/>
      <c r="P343" s="655"/>
      <c r="S343" s="655"/>
      <c r="U343" s="650"/>
      <c r="X343" s="650"/>
      <c r="Y343" s="650"/>
      <c r="AB343" s="655"/>
      <c r="AG343" s="650"/>
    </row>
    <row r="344" spans="3:33">
      <c r="C344" s="651"/>
      <c r="O344" s="655"/>
      <c r="P344" s="655"/>
      <c r="S344" s="655"/>
      <c r="U344" s="650"/>
      <c r="X344" s="650"/>
      <c r="Y344" s="650"/>
      <c r="AB344" s="655"/>
      <c r="AG344" s="650"/>
    </row>
    <row r="345" spans="3:33">
      <c r="C345" s="651"/>
      <c r="O345" s="655"/>
      <c r="P345" s="655"/>
      <c r="S345" s="655"/>
      <c r="U345" s="650"/>
      <c r="X345" s="650"/>
      <c r="Y345" s="650"/>
      <c r="AB345" s="655"/>
      <c r="AG345" s="650"/>
    </row>
    <row r="346" spans="3:33">
      <c r="C346" s="651"/>
      <c r="O346" s="655"/>
      <c r="P346" s="655"/>
      <c r="S346" s="655"/>
      <c r="U346" s="650"/>
      <c r="X346" s="650"/>
      <c r="Y346" s="650"/>
      <c r="AB346" s="655"/>
      <c r="AG346" s="650"/>
    </row>
    <row r="347" spans="3:33">
      <c r="C347" s="651"/>
      <c r="O347" s="655"/>
      <c r="P347" s="655"/>
      <c r="S347" s="655"/>
      <c r="U347" s="650"/>
      <c r="X347" s="650"/>
      <c r="Y347" s="650"/>
      <c r="AB347" s="655"/>
      <c r="AG347" s="650"/>
    </row>
    <row r="348" spans="3:33">
      <c r="C348" s="651"/>
      <c r="O348" s="655"/>
      <c r="P348" s="655"/>
      <c r="S348" s="655"/>
      <c r="U348" s="650"/>
      <c r="X348" s="650"/>
      <c r="Y348" s="650"/>
      <c r="AB348" s="655"/>
      <c r="AG348" s="650"/>
    </row>
    <row r="349" spans="3:33">
      <c r="C349" s="651"/>
      <c r="O349" s="655"/>
      <c r="P349" s="655"/>
      <c r="S349" s="655"/>
      <c r="U349" s="650"/>
      <c r="X349" s="650"/>
      <c r="Y349" s="650"/>
      <c r="AB349" s="655"/>
      <c r="AG349" s="650"/>
    </row>
    <row r="350" spans="3:33">
      <c r="C350" s="651"/>
      <c r="O350" s="655"/>
      <c r="P350" s="655"/>
      <c r="S350" s="655"/>
      <c r="U350" s="650"/>
      <c r="X350" s="650"/>
      <c r="Y350" s="650"/>
      <c r="AB350" s="655"/>
      <c r="AG350" s="650"/>
    </row>
    <row r="351" spans="3:33">
      <c r="C351" s="651"/>
      <c r="O351" s="655"/>
      <c r="P351" s="655"/>
      <c r="S351" s="655"/>
      <c r="U351" s="650"/>
      <c r="X351" s="650"/>
      <c r="Y351" s="650"/>
      <c r="AG351" s="650"/>
    </row>
    <row r="352" spans="3:33">
      <c r="C352" s="651"/>
      <c r="O352" s="655"/>
      <c r="P352" s="655"/>
      <c r="S352" s="655"/>
      <c r="U352" s="650"/>
      <c r="X352" s="650"/>
      <c r="Y352" s="650"/>
      <c r="AB352" s="655"/>
      <c r="AG352" s="650"/>
    </row>
    <row r="353" spans="2:33">
      <c r="C353" s="651"/>
      <c r="O353" s="655"/>
      <c r="P353" s="655"/>
      <c r="S353" s="655"/>
      <c r="U353" s="650"/>
      <c r="X353" s="650"/>
      <c r="Y353" s="650"/>
      <c r="AB353" s="655"/>
      <c r="AG353" s="650"/>
    </row>
    <row r="354" spans="2:33">
      <c r="C354" s="651"/>
      <c r="O354" s="655"/>
      <c r="P354" s="655"/>
      <c r="S354" s="655"/>
      <c r="U354" s="650"/>
      <c r="X354" s="650"/>
      <c r="Y354" s="650"/>
      <c r="AC354" s="655"/>
      <c r="AG354" s="650"/>
    </row>
    <row r="355" spans="2:33">
      <c r="C355" s="651"/>
      <c r="O355" s="655"/>
      <c r="P355" s="655"/>
      <c r="S355" s="655"/>
      <c r="U355" s="650"/>
      <c r="X355" s="650"/>
      <c r="Y355" s="650"/>
      <c r="AG355" s="650"/>
    </row>
    <row r="356" spans="2:33">
      <c r="C356" s="651"/>
      <c r="P356" s="655"/>
      <c r="Q356" s="655"/>
      <c r="X356" s="650"/>
      <c r="Y356" s="650"/>
      <c r="AG356" s="650"/>
    </row>
    <row r="357" spans="2:33">
      <c r="O357" s="655"/>
      <c r="P357" s="655"/>
      <c r="S357" s="655"/>
      <c r="U357" s="650"/>
      <c r="AG357" s="650"/>
    </row>
    <row r="358" spans="2:33">
      <c r="O358" s="655"/>
      <c r="P358" s="655"/>
      <c r="S358" s="655"/>
      <c r="U358" s="650"/>
      <c r="AG358" s="650"/>
    </row>
    <row r="359" spans="2:33" ht="18">
      <c r="B359" s="635"/>
      <c r="C359" s="635"/>
    </row>
    <row r="360" spans="2:33" ht="18">
      <c r="B360" s="594"/>
      <c r="C360" s="595"/>
      <c r="D360" s="635"/>
      <c r="E360" s="635"/>
      <c r="F360" s="635"/>
      <c r="G360" s="635"/>
      <c r="H360" s="635"/>
      <c r="I360" s="635"/>
      <c r="J360" s="635"/>
      <c r="K360" s="635"/>
    </row>
    <row r="361" spans="2:33" s="735" customFormat="1" ht="18">
      <c r="B361" s="594"/>
      <c r="C361" s="595"/>
      <c r="D361" s="610"/>
      <c r="E361" s="610"/>
      <c r="F361" s="610"/>
      <c r="G361" s="610"/>
      <c r="H361" s="610"/>
      <c r="I361" s="610"/>
      <c r="J361" s="610"/>
      <c r="K361" s="610"/>
      <c r="T361" s="736"/>
      <c r="U361" s="736"/>
      <c r="X361" s="736"/>
      <c r="Y361" s="736"/>
      <c r="AG361" s="736"/>
    </row>
    <row r="362" spans="2:33" ht="18">
      <c r="B362" s="594"/>
      <c r="C362" s="595"/>
      <c r="D362" s="610"/>
      <c r="E362" s="610"/>
      <c r="F362" s="610"/>
      <c r="G362" s="610"/>
      <c r="H362" s="610"/>
      <c r="I362" s="610"/>
      <c r="J362" s="610"/>
      <c r="K362" s="610"/>
    </row>
    <row r="363" spans="2:33" ht="18">
      <c r="B363" s="594"/>
      <c r="C363" s="595"/>
      <c r="D363" s="610"/>
      <c r="E363" s="610"/>
      <c r="F363" s="610"/>
      <c r="G363" s="610"/>
      <c r="H363" s="610"/>
      <c r="I363" s="610"/>
      <c r="J363" s="610"/>
      <c r="K363" s="610"/>
    </row>
    <row r="364" spans="2:33" ht="18">
      <c r="B364" s="594"/>
      <c r="C364" s="595"/>
      <c r="D364" s="610"/>
      <c r="E364" s="610"/>
      <c r="F364" s="610"/>
      <c r="G364" s="610"/>
      <c r="H364" s="610"/>
      <c r="I364" s="610"/>
      <c r="J364" s="610"/>
      <c r="K364" s="610"/>
    </row>
    <row r="365" spans="2:33" ht="18">
      <c r="B365" s="594"/>
      <c r="C365" s="595"/>
      <c r="D365" s="610"/>
      <c r="E365" s="610"/>
      <c r="F365" s="610"/>
      <c r="G365" s="610"/>
      <c r="H365" s="610"/>
      <c r="I365" s="610"/>
      <c r="J365" s="610"/>
      <c r="K365" s="610"/>
    </row>
    <row r="366" spans="2:33" ht="18">
      <c r="B366" s="594"/>
      <c r="C366" s="595"/>
      <c r="D366" s="610"/>
      <c r="E366" s="610"/>
      <c r="F366" s="610"/>
      <c r="G366" s="610"/>
      <c r="H366" s="610"/>
      <c r="I366" s="610"/>
      <c r="J366" s="610"/>
      <c r="K366" s="610"/>
    </row>
    <row r="367" spans="2:33" ht="18">
      <c r="B367" s="594"/>
      <c r="C367" s="595"/>
      <c r="D367" s="610"/>
      <c r="E367" s="610"/>
      <c r="F367" s="610"/>
      <c r="G367" s="610"/>
      <c r="H367" s="610"/>
      <c r="I367" s="610"/>
      <c r="J367" s="610"/>
      <c r="K367" s="610"/>
    </row>
    <row r="368" spans="2:33" ht="18">
      <c r="B368" s="594"/>
      <c r="C368" s="595"/>
      <c r="D368" s="610"/>
      <c r="E368" s="610"/>
      <c r="F368" s="610"/>
      <c r="G368" s="610"/>
      <c r="H368" s="610"/>
      <c r="I368" s="610"/>
      <c r="J368" s="610"/>
      <c r="K368" s="610"/>
    </row>
    <row r="369" spans="2:11" ht="18">
      <c r="B369" s="594"/>
      <c r="C369" s="595"/>
      <c r="D369" s="610"/>
      <c r="E369" s="610"/>
      <c r="F369" s="610"/>
      <c r="G369" s="610"/>
      <c r="H369" s="610"/>
      <c r="I369" s="610"/>
      <c r="J369" s="610"/>
      <c r="K369" s="610"/>
    </row>
    <row r="370" spans="2:11" ht="18">
      <c r="B370" s="594"/>
      <c r="C370" s="595"/>
      <c r="D370" s="610"/>
      <c r="E370" s="610"/>
      <c r="F370" s="610"/>
      <c r="G370" s="610"/>
      <c r="H370" s="610"/>
      <c r="I370" s="610"/>
      <c r="J370" s="610"/>
      <c r="K370" s="610"/>
    </row>
    <row r="371" spans="2:11" ht="18">
      <c r="B371" s="594"/>
      <c r="C371" s="595"/>
      <c r="D371" s="610"/>
      <c r="E371" s="610"/>
      <c r="F371" s="610"/>
      <c r="G371" s="610"/>
      <c r="H371" s="610"/>
      <c r="I371" s="610"/>
      <c r="J371" s="610"/>
      <c r="K371" s="610"/>
    </row>
    <row r="372" spans="2:11" ht="18">
      <c r="B372" s="594"/>
      <c r="C372" s="595"/>
      <c r="D372" s="610"/>
      <c r="E372" s="610"/>
      <c r="F372" s="610"/>
      <c r="G372" s="610"/>
      <c r="H372" s="610"/>
      <c r="I372" s="610"/>
      <c r="J372" s="610"/>
      <c r="K372" s="610"/>
    </row>
    <row r="373" spans="2:11" ht="18">
      <c r="B373" s="594"/>
      <c r="C373" s="595"/>
      <c r="D373" s="610"/>
      <c r="E373" s="610"/>
      <c r="F373" s="610"/>
      <c r="G373" s="610"/>
      <c r="H373" s="610"/>
      <c r="I373" s="610"/>
      <c r="J373" s="610"/>
      <c r="K373" s="610"/>
    </row>
    <row r="374" spans="2:11" ht="18">
      <c r="B374" s="596"/>
      <c r="C374" s="596"/>
      <c r="D374" s="610"/>
      <c r="E374" s="610"/>
      <c r="F374" s="610"/>
      <c r="G374" s="610"/>
      <c r="H374" s="610"/>
      <c r="I374" s="610"/>
      <c r="J374" s="610"/>
      <c r="K374" s="610"/>
    </row>
    <row r="375" spans="2:11" ht="18">
      <c r="B375" s="596"/>
      <c r="C375" s="596"/>
      <c r="D375" s="598"/>
      <c r="E375" s="598"/>
      <c r="F375" s="598"/>
      <c r="G375" s="598"/>
      <c r="H375" s="598"/>
      <c r="I375" s="598"/>
      <c r="J375" s="598"/>
      <c r="K375" s="598"/>
    </row>
    <row r="376" spans="2:11" ht="18">
      <c r="D376" s="1412"/>
      <c r="E376" s="1412"/>
      <c r="F376" s="1412"/>
      <c r="G376" s="1412"/>
      <c r="H376" s="1412"/>
      <c r="I376" s="1411"/>
      <c r="J376" s="1411"/>
      <c r="K376" s="1411"/>
    </row>
    <row r="379" spans="2:11" ht="18">
      <c r="B379" s="721"/>
      <c r="C379" s="721"/>
    </row>
    <row r="380" spans="2:11" ht="18">
      <c r="B380" s="723"/>
      <c r="D380" s="721"/>
      <c r="E380" s="1413"/>
      <c r="F380" s="1413"/>
      <c r="G380" s="721"/>
    </row>
    <row r="381" spans="2:11">
      <c r="B381" s="723"/>
      <c r="D381" s="723"/>
      <c r="E381" s="723"/>
      <c r="F381" s="723"/>
      <c r="G381" s="723"/>
    </row>
    <row r="382" spans="2:11">
      <c r="B382" s="1414"/>
      <c r="C382" s="1415"/>
      <c r="D382" s="723"/>
      <c r="E382" s="723"/>
      <c r="F382" s="723"/>
      <c r="G382" s="723"/>
    </row>
    <row r="383" spans="2:11">
      <c r="B383" s="1416"/>
      <c r="C383" s="1417"/>
      <c r="D383" s="741"/>
      <c r="E383" s="741"/>
      <c r="F383" s="741"/>
    </row>
    <row r="384" spans="2:11">
      <c r="C384" s="748"/>
      <c r="D384" s="761"/>
      <c r="E384" s="761"/>
      <c r="F384" s="761"/>
      <c r="G384" s="652"/>
      <c r="H384" s="652"/>
      <c r="I384" s="652"/>
      <c r="J384" s="652"/>
      <c r="K384" s="652"/>
    </row>
    <row r="385" spans="3:24">
      <c r="C385" s="748"/>
      <c r="D385" s="761"/>
      <c r="E385" s="761"/>
      <c r="F385" s="761"/>
      <c r="G385" s="659"/>
      <c r="I385" s="664"/>
      <c r="L385" s="652"/>
      <c r="M385" s="652"/>
      <c r="N385" s="652"/>
      <c r="O385" s="652"/>
      <c r="P385" s="652"/>
      <c r="Q385" s="652"/>
      <c r="R385" s="652"/>
      <c r="S385" s="652"/>
      <c r="T385" s="652"/>
      <c r="U385" s="652"/>
      <c r="V385" s="652"/>
      <c r="W385" s="652"/>
      <c r="X385" s="652"/>
    </row>
    <row r="386" spans="3:24">
      <c r="C386" s="748"/>
      <c r="D386" s="761"/>
      <c r="E386" s="761"/>
      <c r="F386" s="761"/>
      <c r="G386" s="659"/>
      <c r="I386" s="664"/>
      <c r="K386" s="664"/>
      <c r="L386" s="664"/>
      <c r="M386" s="659"/>
      <c r="O386" s="664"/>
      <c r="R386" s="664"/>
      <c r="S386" s="659"/>
      <c r="T386" s="650"/>
      <c r="U386" s="664"/>
      <c r="X386" s="664"/>
    </row>
    <row r="387" spans="3:24">
      <c r="C387" s="748"/>
      <c r="D387" s="761"/>
      <c r="E387" s="761"/>
      <c r="F387" s="761"/>
      <c r="G387" s="659"/>
      <c r="I387" s="664"/>
      <c r="L387" s="664"/>
      <c r="M387" s="659"/>
      <c r="N387" s="664"/>
      <c r="O387" s="664"/>
      <c r="Q387" s="664"/>
      <c r="R387" s="664"/>
      <c r="S387" s="659"/>
      <c r="T387" s="664"/>
      <c r="U387" s="664"/>
      <c r="W387" s="664"/>
      <c r="X387" s="664"/>
    </row>
    <row r="388" spans="3:24">
      <c r="C388" s="748"/>
      <c r="D388" s="761"/>
      <c r="E388" s="761"/>
      <c r="F388" s="761"/>
      <c r="I388" s="664"/>
      <c r="L388" s="664"/>
      <c r="M388" s="659"/>
      <c r="O388" s="664"/>
      <c r="R388" s="664"/>
      <c r="S388" s="659"/>
      <c r="T388" s="664"/>
      <c r="U388" s="664"/>
      <c r="X388" s="664"/>
    </row>
    <row r="389" spans="3:24">
      <c r="C389" s="1415"/>
      <c r="D389" s="761"/>
      <c r="E389" s="664"/>
      <c r="F389" s="664"/>
      <c r="G389" s="659"/>
      <c r="I389" s="664"/>
      <c r="L389" s="664"/>
      <c r="O389" s="664"/>
      <c r="R389" s="664"/>
      <c r="T389" s="650"/>
      <c r="U389" s="664"/>
      <c r="X389" s="664"/>
    </row>
    <row r="390" spans="3:24">
      <c r="C390" s="1415"/>
      <c r="D390" s="761"/>
      <c r="E390" s="664"/>
      <c r="F390" s="664"/>
      <c r="G390" s="654"/>
      <c r="L390" s="664"/>
      <c r="M390" s="659"/>
      <c r="O390" s="664"/>
      <c r="R390" s="664"/>
      <c r="S390" s="659"/>
      <c r="T390" s="650"/>
      <c r="U390" s="664"/>
      <c r="X390" s="664"/>
    </row>
    <row r="391" spans="3:24" ht="18">
      <c r="C391" s="1415"/>
      <c r="D391" s="664"/>
      <c r="E391" s="664"/>
      <c r="F391" s="664"/>
      <c r="G391" s="654"/>
      <c r="J391" s="772"/>
      <c r="K391" s="773"/>
    </row>
    <row r="392" spans="3:24" ht="18">
      <c r="C392" s="1415"/>
      <c r="D392" s="664"/>
      <c r="E392" s="664"/>
      <c r="F392" s="664"/>
      <c r="J392" s="1418"/>
      <c r="K392" s="725"/>
      <c r="L392" s="635"/>
      <c r="M392" s="635"/>
    </row>
    <row r="393" spans="3:24" ht="18">
      <c r="C393" s="1415"/>
      <c r="D393" s="654"/>
      <c r="E393" s="654"/>
      <c r="F393" s="654"/>
      <c r="G393" s="652"/>
      <c r="J393" s="775"/>
      <c r="K393" s="725"/>
      <c r="L393" s="781"/>
      <c r="M393" s="595"/>
    </row>
    <row r="394" spans="3:24" ht="18">
      <c r="C394" s="1415"/>
      <c r="D394" s="654"/>
      <c r="E394" s="654"/>
      <c r="F394" s="654"/>
      <c r="G394" s="654"/>
      <c r="J394" s="775"/>
      <c r="K394" s="725"/>
      <c r="L394" s="781"/>
      <c r="M394" s="595"/>
    </row>
    <row r="395" spans="3:24" ht="18">
      <c r="C395" s="1415"/>
      <c r="D395" s="654"/>
      <c r="E395" s="654"/>
      <c r="F395" s="654"/>
      <c r="G395" s="654"/>
      <c r="J395" s="775"/>
      <c r="K395" s="725"/>
      <c r="L395" s="610"/>
      <c r="M395" s="610"/>
    </row>
    <row r="396" spans="3:24" ht="18">
      <c r="C396" s="1415"/>
      <c r="D396" s="654"/>
      <c r="E396" s="654"/>
      <c r="F396" s="654"/>
      <c r="G396" s="654"/>
      <c r="J396" s="775"/>
      <c r="K396" s="725"/>
      <c r="L396" s="781"/>
      <c r="M396" s="595"/>
    </row>
    <row r="397" spans="3:24" ht="18">
      <c r="D397" s="654"/>
      <c r="G397" s="654"/>
      <c r="J397" s="775"/>
      <c r="K397" s="725"/>
      <c r="L397" s="781"/>
      <c r="M397" s="595"/>
    </row>
    <row r="398" spans="3:24" ht="18">
      <c r="G398" s="712"/>
      <c r="J398" s="775"/>
      <c r="K398" s="725"/>
      <c r="L398" s="781"/>
      <c r="M398" s="595"/>
    </row>
    <row r="399" spans="3:24" ht="18">
      <c r="J399" s="775"/>
      <c r="K399" s="725"/>
      <c r="L399" s="781"/>
      <c r="M399" s="595"/>
    </row>
    <row r="400" spans="3:24" ht="18">
      <c r="J400" s="775"/>
      <c r="K400" s="725"/>
      <c r="L400" s="781"/>
      <c r="M400" s="595"/>
    </row>
    <row r="401" spans="10:13" ht="18">
      <c r="J401" s="1408"/>
      <c r="K401" s="725"/>
      <c r="L401" s="610"/>
      <c r="M401" s="610"/>
    </row>
    <row r="402" spans="10:13" ht="18">
      <c r="J402" s="775"/>
      <c r="K402" s="725"/>
      <c r="L402" s="781"/>
      <c r="M402" s="595"/>
    </row>
    <row r="403" spans="10:13" ht="18">
      <c r="J403" s="775"/>
      <c r="K403" s="725"/>
      <c r="L403" s="781"/>
      <c r="M403" s="595"/>
    </row>
    <row r="404" spans="10:13" ht="18">
      <c r="J404" s="775"/>
      <c r="K404" s="725"/>
      <c r="L404" s="781"/>
      <c r="M404" s="595"/>
    </row>
    <row r="405" spans="10:13" ht="18">
      <c r="J405" s="775"/>
      <c r="K405" s="725"/>
      <c r="L405" s="781"/>
      <c r="M405" s="595"/>
    </row>
    <row r="406" spans="10:13" ht="18">
      <c r="J406" s="775"/>
      <c r="K406" s="725"/>
      <c r="L406" s="781"/>
      <c r="M406" s="595"/>
    </row>
    <row r="407" spans="10:13" ht="18">
      <c r="K407" s="725"/>
      <c r="L407" s="781"/>
      <c r="M407" s="595"/>
    </row>
    <row r="408" spans="10:13" ht="18">
      <c r="K408" s="725"/>
      <c r="L408" s="781"/>
      <c r="M408" s="595"/>
    </row>
    <row r="409" spans="10:13" ht="18">
      <c r="K409" s="725"/>
      <c r="L409" s="781"/>
      <c r="M409" s="595"/>
    </row>
    <row r="410" spans="10:13" ht="18">
      <c r="J410" s="1408"/>
      <c r="K410" s="725"/>
      <c r="L410" s="610"/>
      <c r="M410" s="610"/>
    </row>
    <row r="411" spans="10:13" ht="18">
      <c r="J411" s="775"/>
      <c r="K411" s="725"/>
      <c r="L411" s="781"/>
      <c r="M411" s="595"/>
    </row>
    <row r="412" spans="10:13" ht="18">
      <c r="J412" s="775"/>
      <c r="K412" s="725"/>
      <c r="L412" s="781"/>
      <c r="M412" s="595"/>
    </row>
    <row r="413" spans="10:13" ht="18">
      <c r="J413" s="775"/>
      <c r="K413" s="725"/>
      <c r="L413" s="781"/>
      <c r="M413" s="595"/>
    </row>
    <row r="414" spans="10:13" ht="18">
      <c r="J414" s="775"/>
      <c r="K414" s="725"/>
      <c r="L414" s="781"/>
      <c r="M414" s="595"/>
    </row>
    <row r="415" spans="10:13" ht="18">
      <c r="J415" s="775"/>
      <c r="K415" s="725"/>
      <c r="L415" s="781"/>
      <c r="M415" s="595"/>
    </row>
    <row r="416" spans="10:13" ht="18">
      <c r="J416" s="775"/>
      <c r="K416" s="725"/>
      <c r="L416" s="781"/>
      <c r="M416" s="595"/>
    </row>
    <row r="417" spans="10:13" ht="18">
      <c r="J417" s="775"/>
      <c r="K417" s="725"/>
      <c r="L417" s="781"/>
      <c r="M417" s="595"/>
    </row>
    <row r="418" spans="10:13" ht="18">
      <c r="J418" s="775"/>
      <c r="K418" s="725"/>
      <c r="L418" s="781"/>
      <c r="M418" s="595"/>
    </row>
    <row r="419" spans="10:13" ht="18">
      <c r="J419" s="1408"/>
      <c r="K419" s="725"/>
      <c r="L419" s="781"/>
      <c r="M419" s="595"/>
    </row>
    <row r="420" spans="10:13" ht="18">
      <c r="J420" s="775"/>
      <c r="K420" s="725"/>
      <c r="L420" s="781"/>
      <c r="M420" s="595"/>
    </row>
    <row r="421" spans="10:13" ht="18">
      <c r="J421" s="775"/>
      <c r="K421" s="725"/>
      <c r="L421" s="781"/>
      <c r="M421" s="1409"/>
    </row>
    <row r="422" spans="10:13" ht="18">
      <c r="J422" s="775"/>
      <c r="K422" s="725"/>
      <c r="L422" s="1410"/>
      <c r="M422" s="595"/>
    </row>
    <row r="423" spans="10:13" ht="18">
      <c r="J423" s="779"/>
      <c r="K423" s="725"/>
      <c r="L423" s="781"/>
      <c r="M423" s="595"/>
    </row>
    <row r="424" spans="10:13" ht="18">
      <c r="J424" s="775"/>
      <c r="K424" s="725"/>
      <c r="L424" s="781"/>
      <c r="M424" s="595"/>
    </row>
    <row r="425" spans="10:13" ht="18">
      <c r="J425" s="775"/>
      <c r="K425" s="725"/>
      <c r="L425" s="781"/>
      <c r="M425" s="595"/>
    </row>
    <row r="426" spans="10:13" ht="18">
      <c r="J426" s="775"/>
      <c r="K426" s="725"/>
      <c r="L426" s="781"/>
      <c r="M426" s="595"/>
    </row>
    <row r="427" spans="10:13" ht="18">
      <c r="J427" s="775"/>
      <c r="K427" s="725"/>
      <c r="L427" s="781"/>
      <c r="M427" s="595"/>
    </row>
    <row r="428" spans="10:13" ht="18">
      <c r="J428" s="1408"/>
      <c r="K428" s="725"/>
      <c r="L428" s="781"/>
      <c r="M428" s="595"/>
    </row>
    <row r="429" spans="10:13" ht="18">
      <c r="J429" s="772"/>
      <c r="K429" s="725"/>
      <c r="L429" s="781"/>
      <c r="M429" s="595"/>
    </row>
    <row r="430" spans="10:13" ht="18">
      <c r="J430" s="772"/>
      <c r="K430" s="725"/>
      <c r="L430" s="781"/>
      <c r="M430" s="595"/>
    </row>
    <row r="431" spans="10:13" ht="18">
      <c r="J431" s="772"/>
      <c r="K431" s="725"/>
      <c r="L431" s="781"/>
      <c r="M431" s="595"/>
    </row>
    <row r="432" spans="10:13" ht="18">
      <c r="J432" s="772"/>
      <c r="K432" s="725"/>
      <c r="L432" s="781"/>
      <c r="M432" s="595"/>
    </row>
    <row r="433" spans="4:13" ht="18">
      <c r="K433" s="725"/>
      <c r="L433" s="781"/>
      <c r="M433" s="595"/>
    </row>
    <row r="434" spans="4:13" ht="18">
      <c r="K434" s="725"/>
      <c r="L434" s="664"/>
      <c r="M434" s="659"/>
    </row>
    <row r="435" spans="4:13">
      <c r="L435" s="664"/>
      <c r="M435" s="659"/>
    </row>
    <row r="436" spans="4:13">
      <c r="L436" s="664"/>
      <c r="M436" s="659"/>
    </row>
    <row r="437" spans="4:13">
      <c r="L437" s="783"/>
      <c r="M437" s="659"/>
    </row>
    <row r="438" spans="4:13">
      <c r="L438" s="715"/>
      <c r="M438" s="659"/>
    </row>
    <row r="439" spans="4:13">
      <c r="D439" s="711"/>
      <c r="L439" s="784"/>
    </row>
    <row r="440" spans="4:13">
      <c r="D440" s="711"/>
      <c r="L440" s="711"/>
    </row>
    <row r="441" spans="4:13">
      <c r="D441" s="784"/>
      <c r="L441" s="715"/>
    </row>
    <row r="442" spans="4:13">
      <c r="D442" s="711"/>
      <c r="L442" s="784"/>
    </row>
    <row r="443" spans="4:13">
      <c r="D443" s="715"/>
    </row>
    <row r="444" spans="4:13">
      <c r="D444" s="784"/>
    </row>
    <row r="445" spans="4:13">
      <c r="D445" s="717"/>
    </row>
    <row r="447" spans="4:13">
      <c r="J447" s="674"/>
    </row>
    <row r="448" spans="4:13">
      <c r="L448" s="664"/>
    </row>
    <row r="449" spans="3:12">
      <c r="L449" s="664"/>
    </row>
    <row r="450" spans="3:12">
      <c r="L450" s="664"/>
    </row>
    <row r="451" spans="3:12">
      <c r="L451" s="664"/>
    </row>
    <row r="452" spans="3:12">
      <c r="L452" s="664"/>
    </row>
    <row r="460" spans="3:12">
      <c r="J460" s="1408"/>
    </row>
    <row r="461" spans="3:12">
      <c r="L461" s="664"/>
    </row>
    <row r="462" spans="3:12">
      <c r="L462" s="664"/>
    </row>
    <row r="463" spans="3:12">
      <c r="D463" s="651"/>
      <c r="E463" s="651"/>
      <c r="F463" s="651"/>
      <c r="L463" s="664"/>
    </row>
    <row r="464" spans="3:12">
      <c r="C464" s="674"/>
      <c r="D464" s="652"/>
      <c r="E464" s="652"/>
      <c r="F464" s="652"/>
      <c r="H464" s="652"/>
      <c r="I464" s="652"/>
      <c r="J464" s="652"/>
      <c r="L464" s="664"/>
    </row>
    <row r="465" spans="3:12">
      <c r="D465" s="651"/>
      <c r="E465" s="651"/>
      <c r="F465" s="651"/>
      <c r="H465" s="651"/>
      <c r="I465" s="651"/>
      <c r="J465" s="651"/>
      <c r="L465" s="664"/>
    </row>
    <row r="466" spans="3:12">
      <c r="D466" s="651"/>
      <c r="E466" s="651"/>
      <c r="F466" s="651"/>
      <c r="H466" s="651"/>
      <c r="I466" s="651"/>
      <c r="J466" s="651"/>
    </row>
    <row r="467" spans="3:12">
      <c r="D467" s="651"/>
      <c r="E467" s="651"/>
      <c r="F467" s="651"/>
      <c r="H467" s="651"/>
      <c r="I467" s="651"/>
      <c r="J467" s="651"/>
    </row>
    <row r="468" spans="3:12">
      <c r="D468" s="651"/>
      <c r="E468" s="651"/>
      <c r="F468" s="651"/>
      <c r="H468" s="651"/>
      <c r="I468" s="651"/>
      <c r="J468" s="651"/>
    </row>
    <row r="469" spans="3:12">
      <c r="D469" s="651"/>
      <c r="E469" s="651"/>
      <c r="F469" s="651"/>
      <c r="H469" s="651"/>
      <c r="I469" s="651"/>
      <c r="J469" s="651"/>
    </row>
    <row r="470" spans="3:12">
      <c r="D470" s="651"/>
      <c r="E470" s="651"/>
      <c r="F470" s="651"/>
      <c r="H470" s="651"/>
      <c r="I470" s="651"/>
      <c r="J470" s="651"/>
    </row>
    <row r="471" spans="3:12">
      <c r="D471" s="651"/>
      <c r="E471" s="651"/>
      <c r="F471" s="651"/>
      <c r="H471" s="651"/>
      <c r="I471" s="651"/>
      <c r="J471" s="651"/>
    </row>
    <row r="472" spans="3:12">
      <c r="D472" s="651"/>
      <c r="E472" s="651"/>
      <c r="F472" s="651"/>
      <c r="H472" s="651"/>
      <c r="I472" s="651"/>
      <c r="J472" s="651"/>
    </row>
    <row r="473" spans="3:12">
      <c r="D473" s="651"/>
      <c r="E473" s="651"/>
      <c r="F473" s="651"/>
      <c r="H473" s="651"/>
      <c r="I473" s="651"/>
      <c r="J473" s="651"/>
    </row>
    <row r="474" spans="3:12">
      <c r="D474" s="651"/>
      <c r="E474" s="651"/>
      <c r="F474" s="651"/>
      <c r="H474" s="651"/>
      <c r="I474" s="651"/>
      <c r="J474" s="651"/>
      <c r="L474" s="664"/>
    </row>
    <row r="475" spans="3:12">
      <c r="C475" s="674"/>
      <c r="D475" s="651"/>
      <c r="E475" s="651"/>
      <c r="F475" s="651"/>
      <c r="H475" s="651"/>
      <c r="I475" s="651"/>
      <c r="J475" s="651"/>
      <c r="L475" s="664"/>
    </row>
    <row r="476" spans="3:12">
      <c r="C476" s="674"/>
      <c r="D476" s="651"/>
      <c r="E476" s="651"/>
      <c r="F476" s="651"/>
      <c r="H476" s="651"/>
      <c r="I476" s="651"/>
      <c r="J476" s="651"/>
      <c r="L476" s="664"/>
    </row>
    <row r="477" spans="3:12">
      <c r="C477" s="674"/>
      <c r="D477" s="651"/>
      <c r="E477" s="651"/>
      <c r="F477" s="651"/>
      <c r="G477" s="651"/>
      <c r="H477" s="651"/>
      <c r="I477" s="651"/>
      <c r="J477" s="651"/>
      <c r="L477" s="664"/>
    </row>
    <row r="478" spans="3:12">
      <c r="L478" s="664"/>
    </row>
    <row r="479" spans="3:12">
      <c r="D479" s="651"/>
      <c r="E479" s="651"/>
      <c r="F479" s="651"/>
    </row>
    <row r="480" spans="3:12">
      <c r="C480" s="674"/>
      <c r="D480" s="652"/>
      <c r="E480" s="652"/>
      <c r="F480" s="652"/>
      <c r="H480" s="652"/>
      <c r="I480" s="652"/>
      <c r="J480" s="652"/>
    </row>
    <row r="481" spans="3:13">
      <c r="C481" s="659"/>
      <c r="D481" s="651"/>
      <c r="E481" s="651"/>
      <c r="F481" s="651"/>
      <c r="H481" s="651"/>
      <c r="I481" s="651"/>
      <c r="J481" s="651"/>
    </row>
    <row r="482" spans="3:13">
      <c r="C482" s="659"/>
      <c r="D482" s="651"/>
      <c r="E482" s="651"/>
      <c r="F482" s="651"/>
      <c r="H482" s="651"/>
      <c r="I482" s="651"/>
      <c r="J482" s="651"/>
    </row>
    <row r="483" spans="3:13">
      <c r="C483" s="659"/>
      <c r="D483" s="651"/>
      <c r="E483" s="651"/>
      <c r="F483" s="651"/>
      <c r="H483" s="651"/>
      <c r="I483" s="651"/>
      <c r="J483" s="651"/>
    </row>
    <row r="484" spans="3:13">
      <c r="C484" s="659"/>
      <c r="D484" s="651"/>
      <c r="E484" s="651"/>
      <c r="F484" s="651"/>
      <c r="H484" s="651"/>
      <c r="I484" s="651"/>
      <c r="J484" s="651"/>
    </row>
    <row r="485" spans="3:13">
      <c r="C485" s="659"/>
      <c r="D485" s="651"/>
      <c r="E485" s="651"/>
      <c r="F485" s="651"/>
      <c r="H485" s="651"/>
      <c r="I485" s="651"/>
      <c r="J485" s="651"/>
    </row>
    <row r="486" spans="3:13">
      <c r="C486" s="659"/>
      <c r="D486" s="651"/>
      <c r="E486" s="651"/>
      <c r="F486" s="651"/>
      <c r="H486" s="651"/>
      <c r="I486" s="651"/>
      <c r="J486" s="651"/>
    </row>
    <row r="487" spans="3:13">
      <c r="C487" s="659"/>
      <c r="D487" s="651"/>
      <c r="E487" s="651"/>
      <c r="F487" s="651"/>
      <c r="H487" s="651"/>
      <c r="I487" s="651"/>
      <c r="J487" s="651"/>
      <c r="L487" s="664"/>
    </row>
    <row r="488" spans="3:13">
      <c r="C488" s="659"/>
      <c r="D488" s="651"/>
      <c r="E488" s="651"/>
      <c r="F488" s="651"/>
      <c r="H488" s="651"/>
      <c r="I488" s="651"/>
      <c r="J488" s="651"/>
      <c r="L488" s="664"/>
    </row>
    <row r="489" spans="3:13">
      <c r="C489" s="659"/>
      <c r="D489" s="651"/>
      <c r="E489" s="651"/>
      <c r="F489" s="651"/>
      <c r="H489" s="651"/>
      <c r="I489" s="651"/>
      <c r="J489" s="651"/>
      <c r="L489" s="664"/>
    </row>
    <row r="490" spans="3:13">
      <c r="C490" s="674"/>
      <c r="D490" s="651"/>
      <c r="E490" s="651"/>
      <c r="F490" s="651"/>
      <c r="H490" s="651"/>
      <c r="I490" s="651"/>
      <c r="J490" s="651"/>
      <c r="L490" s="664"/>
      <c r="M490" s="659"/>
    </row>
    <row r="491" spans="3:13">
      <c r="C491" s="674"/>
      <c r="D491" s="651"/>
      <c r="E491" s="651"/>
      <c r="F491" s="651"/>
      <c r="H491" s="651"/>
      <c r="I491" s="651"/>
      <c r="J491" s="651"/>
      <c r="L491" s="664"/>
      <c r="M491" s="785"/>
    </row>
    <row r="492" spans="3:13">
      <c r="C492" s="674"/>
      <c r="D492" s="651"/>
      <c r="E492" s="651"/>
      <c r="F492" s="651"/>
      <c r="G492" s="651"/>
      <c r="H492" s="651"/>
      <c r="I492" s="651"/>
      <c r="J492" s="651"/>
      <c r="L492" s="786"/>
      <c r="M492" s="659"/>
    </row>
    <row r="493" spans="3:13">
      <c r="L493" s="664"/>
      <c r="M493" s="659"/>
    </row>
    <row r="494" spans="3:13">
      <c r="C494" s="674"/>
      <c r="D494" s="654"/>
      <c r="E494" s="654"/>
      <c r="F494" s="654"/>
      <c r="L494" s="664"/>
      <c r="M494" s="659"/>
    </row>
    <row r="495" spans="3:13">
      <c r="L495" s="664"/>
      <c r="M495" s="659"/>
    </row>
    <row r="496" spans="3:13">
      <c r="L496" s="664"/>
      <c r="M496" s="659"/>
    </row>
    <row r="497" spans="10:13">
      <c r="L497" s="664"/>
      <c r="M497" s="659"/>
    </row>
    <row r="499" spans="10:13">
      <c r="J499" s="782"/>
    </row>
    <row r="500" spans="10:13">
      <c r="L500" s="664"/>
    </row>
    <row r="501" spans="10:13">
      <c r="L501" s="664"/>
    </row>
    <row r="502" spans="10:13">
      <c r="L502" s="664"/>
    </row>
    <row r="503" spans="10:13">
      <c r="L503" s="664"/>
      <c r="M503" s="659"/>
    </row>
    <row r="504" spans="10:13">
      <c r="L504" s="664"/>
      <c r="M504" s="785"/>
    </row>
    <row r="505" spans="10:13">
      <c r="L505" s="786"/>
      <c r="M505" s="659"/>
    </row>
    <row r="506" spans="10:13">
      <c r="L506" s="664"/>
      <c r="M506" s="659"/>
    </row>
    <row r="507" spans="10:13">
      <c r="L507" s="664"/>
      <c r="M507" s="659"/>
    </row>
    <row r="508" spans="10:13">
      <c r="L508" s="664"/>
      <c r="M508" s="659"/>
    </row>
    <row r="509" spans="10:13">
      <c r="L509" s="664"/>
      <c r="M509" s="659"/>
    </row>
    <row r="510" spans="10:13">
      <c r="L510" s="664"/>
      <c r="M510" s="659"/>
    </row>
    <row r="512" spans="10:13">
      <c r="L512" s="715"/>
    </row>
    <row r="513" spans="3:16">
      <c r="L513" s="715"/>
    </row>
    <row r="514" spans="3:16">
      <c r="L514" s="711"/>
    </row>
    <row r="517" spans="3:16">
      <c r="L517" s="664"/>
    </row>
    <row r="519" spans="3:16">
      <c r="L519" s="711"/>
    </row>
    <row r="520" spans="3:16">
      <c r="L520" s="715"/>
    </row>
    <row r="521" spans="3:16">
      <c r="L521" s="711"/>
    </row>
    <row r="522" spans="3:16">
      <c r="C522" s="735"/>
      <c r="D522" s="735"/>
      <c r="E522" s="735"/>
      <c r="F522" s="735"/>
      <c r="G522" s="735"/>
      <c r="H522" s="735"/>
      <c r="I522" s="735"/>
      <c r="J522" s="735"/>
      <c r="K522" s="735"/>
      <c r="M522" s="735"/>
      <c r="N522" s="735"/>
    </row>
    <row r="523" spans="3:16">
      <c r="C523" s="719"/>
      <c r="D523" s="737"/>
      <c r="E523" s="737"/>
      <c r="F523" s="739"/>
      <c r="G523" s="719"/>
      <c r="H523" s="737"/>
      <c r="I523" s="739"/>
      <c r="J523" s="720"/>
      <c r="K523" s="720"/>
      <c r="M523" s="719"/>
      <c r="N523" s="739"/>
      <c r="O523" s="654"/>
      <c r="P523" s="654"/>
    </row>
    <row r="524" spans="3:16">
      <c r="C524" s="719"/>
      <c r="D524" s="737"/>
      <c r="E524" s="737"/>
      <c r="F524" s="739"/>
      <c r="G524" s="719"/>
      <c r="H524" s="737"/>
      <c r="I524" s="739"/>
      <c r="J524" s="720"/>
      <c r="K524" s="720"/>
      <c r="M524" s="719"/>
      <c r="N524" s="739"/>
      <c r="O524" s="654"/>
      <c r="P524" s="654"/>
    </row>
    <row r="525" spans="3:16">
      <c r="C525" s="719"/>
      <c r="D525" s="737"/>
      <c r="E525" s="737"/>
      <c r="F525" s="739"/>
      <c r="G525" s="719"/>
      <c r="H525" s="737"/>
      <c r="I525" s="739"/>
      <c r="J525" s="720"/>
      <c r="K525" s="720"/>
      <c r="M525" s="719"/>
      <c r="N525" s="739"/>
      <c r="O525" s="654"/>
      <c r="P525" s="654"/>
    </row>
    <row r="526" spans="3:16">
      <c r="C526" s="719"/>
      <c r="D526" s="737"/>
      <c r="E526" s="737"/>
      <c r="F526" s="739"/>
      <c r="G526" s="719"/>
      <c r="H526" s="737"/>
      <c r="I526" s="739"/>
      <c r="J526" s="720"/>
      <c r="K526" s="720"/>
      <c r="M526" s="719"/>
      <c r="N526" s="739"/>
      <c r="O526" s="654"/>
      <c r="P526" s="654"/>
    </row>
    <row r="527" spans="3:16">
      <c r="C527" s="719"/>
      <c r="D527" s="737"/>
      <c r="E527" s="737"/>
      <c r="F527" s="739"/>
      <c r="G527" s="719"/>
      <c r="H527" s="737"/>
      <c r="I527" s="739"/>
      <c r="J527" s="720"/>
      <c r="K527" s="720"/>
      <c r="M527" s="719"/>
      <c r="N527" s="739"/>
      <c r="O527" s="654"/>
      <c r="P527" s="654"/>
    </row>
    <row r="528" spans="3:16">
      <c r="C528" s="719"/>
      <c r="D528" s="737"/>
      <c r="E528" s="737"/>
      <c r="F528" s="739"/>
      <c r="G528" s="719"/>
      <c r="H528" s="737"/>
      <c r="I528" s="739"/>
      <c r="J528" s="720"/>
      <c r="K528" s="720"/>
      <c r="M528" s="719"/>
      <c r="N528" s="739"/>
      <c r="O528" s="654"/>
      <c r="P528" s="654"/>
    </row>
    <row r="529" spans="2:16">
      <c r="C529" s="719"/>
      <c r="D529" s="737"/>
      <c r="E529" s="737"/>
      <c r="F529" s="739"/>
      <c r="G529" s="719"/>
      <c r="H529" s="737"/>
      <c r="I529" s="739"/>
      <c r="J529" s="720"/>
      <c r="K529" s="720"/>
      <c r="M529" s="719"/>
      <c r="N529" s="739"/>
      <c r="O529" s="654"/>
      <c r="P529" s="654"/>
    </row>
    <row r="530" spans="2:16">
      <c r="C530" s="719"/>
      <c r="D530" s="737"/>
      <c r="E530" s="737"/>
      <c r="F530" s="739"/>
      <c r="G530" s="719"/>
      <c r="H530" s="737"/>
      <c r="I530" s="739"/>
      <c r="J530" s="720"/>
      <c r="K530" s="720"/>
      <c r="M530" s="719"/>
      <c r="N530" s="739"/>
      <c r="O530" s="654"/>
      <c r="P530" s="654"/>
    </row>
    <row r="531" spans="2:16">
      <c r="C531" s="719"/>
      <c r="D531" s="737"/>
      <c r="E531" s="737"/>
      <c r="F531" s="739"/>
      <c r="G531" s="719"/>
      <c r="H531" s="737"/>
      <c r="I531" s="739"/>
      <c r="J531" s="720"/>
      <c r="K531" s="720"/>
      <c r="M531" s="719"/>
      <c r="N531" s="739"/>
      <c r="O531" s="654"/>
      <c r="P531" s="654"/>
    </row>
    <row r="532" spans="2:16">
      <c r="C532" s="719"/>
      <c r="D532" s="737"/>
      <c r="E532" s="737"/>
      <c r="F532" s="739"/>
      <c r="G532" s="719"/>
      <c r="H532" s="737"/>
      <c r="I532" s="739"/>
      <c r="J532" s="720"/>
      <c r="K532" s="720"/>
      <c r="M532" s="719"/>
      <c r="N532" s="739"/>
      <c r="O532" s="654"/>
      <c r="P532" s="654"/>
    </row>
    <row r="533" spans="2:16">
      <c r="C533" s="719"/>
      <c r="D533" s="737"/>
      <c r="E533" s="737"/>
      <c r="F533" s="739"/>
      <c r="G533" s="719"/>
      <c r="H533" s="737"/>
      <c r="I533" s="739"/>
      <c r="J533" s="720"/>
      <c r="K533" s="720"/>
      <c r="M533" s="719"/>
      <c r="N533" s="739"/>
      <c r="O533" s="654"/>
      <c r="P533" s="654"/>
    </row>
    <row r="534" spans="2:16">
      <c r="C534" s="719"/>
      <c r="D534" s="737"/>
      <c r="E534" s="737"/>
      <c r="F534" s="739"/>
      <c r="G534" s="719"/>
      <c r="H534" s="737"/>
      <c r="I534" s="739"/>
      <c r="J534" s="720"/>
      <c r="K534" s="720"/>
      <c r="M534" s="719"/>
      <c r="N534" s="739"/>
      <c r="O534" s="654"/>
      <c r="P534" s="654"/>
    </row>
    <row r="535" spans="2:16">
      <c r="C535" s="719"/>
      <c r="D535" s="737"/>
      <c r="E535" s="737"/>
      <c r="F535" s="739"/>
      <c r="G535" s="719"/>
      <c r="H535" s="737"/>
      <c r="I535" s="739"/>
      <c r="J535" s="720"/>
      <c r="K535" s="720"/>
      <c r="M535" s="719"/>
      <c r="N535" s="739"/>
      <c r="O535" s="654"/>
      <c r="P535" s="654"/>
    </row>
    <row r="536" spans="2:16">
      <c r="C536" s="719"/>
      <c r="D536" s="737"/>
      <c r="E536" s="737"/>
      <c r="F536" s="739"/>
      <c r="G536" s="719"/>
      <c r="H536" s="737"/>
      <c r="I536" s="739"/>
      <c r="J536" s="720"/>
      <c r="K536" s="720"/>
      <c r="M536" s="719"/>
      <c r="N536" s="739"/>
      <c r="O536" s="654"/>
      <c r="P536" s="654"/>
    </row>
    <row r="537" spans="2:16">
      <c r="C537" s="719"/>
      <c r="D537" s="737"/>
      <c r="E537" s="737"/>
      <c r="F537" s="739"/>
      <c r="G537" s="719"/>
      <c r="H537" s="737"/>
      <c r="I537" s="739"/>
      <c r="J537" s="720"/>
      <c r="K537" s="720"/>
      <c r="M537" s="719"/>
      <c r="N537" s="739"/>
      <c r="O537" s="654"/>
      <c r="P537" s="654"/>
    </row>
    <row r="538" spans="2:16">
      <c r="B538" s="711"/>
      <c r="C538" s="711"/>
      <c r="D538" s="712"/>
      <c r="E538" s="712"/>
      <c r="F538" s="714"/>
      <c r="G538" s="711"/>
      <c r="H538" s="712"/>
      <c r="I538" s="714"/>
      <c r="J538" s="698"/>
      <c r="K538" s="698"/>
      <c r="M538" s="711"/>
      <c r="N538" s="714"/>
      <c r="O538" s="654"/>
      <c r="P538" s="654"/>
    </row>
    <row r="539" spans="2:16">
      <c r="B539" s="743"/>
      <c r="C539" s="743"/>
      <c r="D539" s="744"/>
      <c r="E539" s="744"/>
      <c r="F539" s="746"/>
      <c r="G539" s="743"/>
      <c r="H539" s="744"/>
      <c r="I539" s="746"/>
      <c r="J539" s="747"/>
      <c r="K539" s="747"/>
      <c r="M539" s="743"/>
      <c r="N539" s="746"/>
      <c r="O539" s="654"/>
      <c r="P539" s="654"/>
    </row>
    <row r="540" spans="2:16">
      <c r="D540" s="787"/>
      <c r="E540" s="787"/>
      <c r="F540" s="788"/>
      <c r="G540" s="651"/>
      <c r="H540" s="651"/>
      <c r="I540" s="659"/>
      <c r="J540" s="654"/>
      <c r="K540" s="654"/>
      <c r="N540" s="659"/>
      <c r="O540" s="654"/>
      <c r="P540" s="654"/>
    </row>
    <row r="541" spans="2:16">
      <c r="D541" s="718"/>
      <c r="E541" s="718"/>
      <c r="F541" s="718"/>
      <c r="G541" s="718"/>
      <c r="H541" s="718"/>
      <c r="I541" s="717"/>
      <c r="J541" s="717"/>
      <c r="K541" s="717"/>
    </row>
    <row r="542" spans="2:16">
      <c r="C542" s="706"/>
      <c r="D542" s="767"/>
      <c r="E542" s="767"/>
      <c r="F542" s="767"/>
      <c r="G542" s="664"/>
      <c r="H542" s="654"/>
    </row>
    <row r="546" spans="3:19">
      <c r="C546" s="735"/>
      <c r="D546" s="735"/>
      <c r="E546" s="735"/>
      <c r="H546" s="735"/>
      <c r="I546" s="789"/>
      <c r="J546" s="735"/>
      <c r="K546" s="735"/>
      <c r="L546" s="735"/>
      <c r="M546" s="735"/>
      <c r="N546" s="735"/>
      <c r="O546" s="735"/>
      <c r="P546" s="735"/>
      <c r="Q546" s="735"/>
      <c r="R546" s="735"/>
      <c r="S546" s="685"/>
    </row>
    <row r="547" spans="3:19">
      <c r="C547" s="740"/>
      <c r="D547" s="718"/>
      <c r="E547" s="718"/>
    </row>
    <row r="548" spans="3:19">
      <c r="C548" s="740"/>
      <c r="D548" s="718"/>
      <c r="E548" s="718"/>
      <c r="I548" s="735"/>
    </row>
    <row r="549" spans="3:19">
      <c r="C549" s="740"/>
      <c r="D549" s="718"/>
      <c r="E549" s="718"/>
      <c r="I549" s="735"/>
    </row>
    <row r="550" spans="3:19">
      <c r="C550" s="740"/>
      <c r="D550" s="790"/>
      <c r="E550" s="790"/>
      <c r="I550" s="659"/>
      <c r="K550" s="651"/>
      <c r="L550" s="651"/>
      <c r="O550" s="651"/>
      <c r="P550" s="651"/>
      <c r="Q550" s="651"/>
      <c r="R550" s="651"/>
      <c r="S550" s="651"/>
    </row>
    <row r="551" spans="3:19">
      <c r="C551" s="740"/>
      <c r="D551" s="790"/>
      <c r="E551" s="790"/>
      <c r="I551" s="659"/>
      <c r="K551" s="651"/>
      <c r="L551" s="651"/>
      <c r="O551" s="651"/>
      <c r="P551" s="651"/>
      <c r="Q551" s="651"/>
      <c r="R551" s="651"/>
      <c r="S551" s="651"/>
    </row>
    <row r="552" spans="3:19">
      <c r="C552" s="740"/>
      <c r="D552" s="791"/>
      <c r="E552" s="718"/>
      <c r="I552" s="659"/>
      <c r="K552" s="651"/>
      <c r="L552" s="651"/>
      <c r="O552" s="651"/>
      <c r="P552" s="651"/>
      <c r="Q552" s="651"/>
      <c r="R552" s="651"/>
      <c r="S552" s="651"/>
    </row>
    <row r="553" spans="3:19">
      <c r="C553" s="740"/>
      <c r="D553" s="791"/>
      <c r="E553" s="718"/>
      <c r="I553" s="659"/>
      <c r="K553" s="651"/>
      <c r="L553" s="651"/>
      <c r="O553" s="651"/>
      <c r="P553" s="651"/>
      <c r="Q553" s="651"/>
      <c r="R553" s="651"/>
      <c r="S553" s="651"/>
    </row>
    <row r="554" spans="3:19">
      <c r="C554" s="740"/>
      <c r="D554" s="718"/>
      <c r="E554" s="718"/>
      <c r="I554" s="659"/>
      <c r="K554" s="651"/>
      <c r="L554" s="651"/>
      <c r="O554" s="651"/>
      <c r="P554" s="651"/>
      <c r="Q554" s="651"/>
      <c r="R554" s="651"/>
      <c r="S554" s="651"/>
    </row>
    <row r="555" spans="3:19">
      <c r="C555" s="740"/>
      <c r="D555" s="718"/>
      <c r="E555" s="718"/>
      <c r="I555" s="659"/>
      <c r="K555" s="651"/>
      <c r="L555" s="651"/>
      <c r="O555" s="651"/>
      <c r="P555" s="651"/>
      <c r="Q555" s="651"/>
      <c r="R555" s="651"/>
      <c r="S555" s="651"/>
    </row>
    <row r="556" spans="3:19">
      <c r="C556" s="740"/>
      <c r="D556" s="718"/>
      <c r="E556" s="718"/>
      <c r="I556" s="659"/>
      <c r="K556" s="651"/>
      <c r="L556" s="651"/>
      <c r="O556" s="651"/>
      <c r="P556" s="651"/>
      <c r="Q556" s="651"/>
      <c r="R556" s="651"/>
      <c r="S556" s="651"/>
    </row>
    <row r="557" spans="3:19">
      <c r="C557" s="740"/>
      <c r="D557" s="718"/>
      <c r="E557" s="718"/>
      <c r="I557" s="659"/>
      <c r="K557" s="651"/>
      <c r="L557" s="651"/>
      <c r="O557" s="651"/>
      <c r="P557" s="651"/>
      <c r="Q557" s="651"/>
      <c r="R557" s="651"/>
      <c r="S557" s="651"/>
    </row>
    <row r="558" spans="3:19">
      <c r="C558" s="740"/>
      <c r="D558" s="718"/>
      <c r="E558" s="718"/>
      <c r="I558" s="659"/>
      <c r="K558" s="651"/>
      <c r="L558" s="651"/>
      <c r="O558" s="651"/>
      <c r="P558" s="651"/>
      <c r="Q558" s="651"/>
      <c r="R558" s="651"/>
      <c r="S558" s="651"/>
    </row>
    <row r="559" spans="3:19">
      <c r="C559" s="740"/>
      <c r="D559" s="718"/>
      <c r="E559" s="718"/>
      <c r="H559" s="740"/>
      <c r="I559" s="659"/>
      <c r="K559" s="651"/>
      <c r="L559" s="651"/>
      <c r="O559" s="651"/>
      <c r="P559" s="651"/>
      <c r="Q559" s="651"/>
      <c r="R559" s="651"/>
      <c r="S559" s="651"/>
    </row>
    <row r="560" spans="3:19">
      <c r="C560" s="740"/>
      <c r="D560" s="718"/>
      <c r="E560" s="718"/>
      <c r="I560" s="659"/>
      <c r="K560" s="651"/>
      <c r="L560" s="651"/>
      <c r="O560" s="651"/>
      <c r="P560" s="651"/>
      <c r="Q560" s="651"/>
      <c r="R560" s="651"/>
      <c r="S560" s="651"/>
    </row>
    <row r="561" spans="3:33">
      <c r="C561" s="740"/>
      <c r="D561" s="718"/>
      <c r="E561" s="718"/>
      <c r="I561" s="659"/>
      <c r="K561" s="651"/>
      <c r="L561" s="651"/>
      <c r="O561" s="651"/>
      <c r="P561" s="651"/>
      <c r="Q561" s="651"/>
      <c r="R561" s="651"/>
      <c r="S561" s="651"/>
    </row>
    <row r="562" spans="3:33">
      <c r="C562" s="740"/>
      <c r="D562" s="718"/>
      <c r="E562" s="718"/>
      <c r="I562" s="659"/>
      <c r="K562" s="651"/>
      <c r="L562" s="651"/>
      <c r="O562" s="651"/>
      <c r="P562" s="651"/>
      <c r="Q562" s="651"/>
      <c r="R562" s="651"/>
      <c r="S562" s="651"/>
    </row>
    <row r="563" spans="3:33">
      <c r="C563" s="711"/>
      <c r="D563" s="792"/>
      <c r="E563" s="792"/>
      <c r="I563" s="659"/>
      <c r="K563" s="651"/>
      <c r="L563" s="651"/>
      <c r="O563" s="651"/>
      <c r="P563" s="651"/>
      <c r="Q563" s="651"/>
      <c r="R563" s="651"/>
      <c r="S563" s="651"/>
    </row>
    <row r="564" spans="3:33">
      <c r="I564" s="659"/>
      <c r="K564" s="651"/>
      <c r="L564" s="651"/>
      <c r="O564" s="651"/>
      <c r="P564" s="651"/>
      <c r="Q564" s="651"/>
      <c r="R564" s="651"/>
      <c r="S564" s="651"/>
    </row>
    <row r="565" spans="3:33">
      <c r="C565" s="735"/>
      <c r="H565" s="1406"/>
      <c r="I565" s="1407"/>
      <c r="J565" s="741"/>
      <c r="K565" s="741"/>
      <c r="L565" s="741"/>
      <c r="M565" s="741"/>
      <c r="N565" s="741"/>
      <c r="O565" s="741"/>
      <c r="P565" s="741"/>
      <c r="Q565" s="712"/>
      <c r="R565" s="712"/>
      <c r="S565" s="712"/>
    </row>
    <row r="566" spans="3:33">
      <c r="C566" s="740"/>
      <c r="I566" s="728"/>
      <c r="J566" s="718"/>
      <c r="K566" s="718"/>
      <c r="L566" s="718"/>
      <c r="M566" s="718"/>
      <c r="N566" s="718"/>
      <c r="O566" s="718"/>
      <c r="P566" s="718"/>
      <c r="Q566" s="718"/>
      <c r="R566" s="718"/>
      <c r="S566" s="718"/>
    </row>
    <row r="567" spans="3:33">
      <c r="C567" s="740"/>
      <c r="H567" s="740"/>
      <c r="I567" s="749"/>
      <c r="J567" s="751"/>
      <c r="K567" s="751"/>
      <c r="L567" s="751"/>
      <c r="M567" s="751"/>
      <c r="N567" s="751"/>
      <c r="O567" s="751"/>
      <c r="P567" s="751"/>
      <c r="Q567" s="751"/>
      <c r="R567" s="751"/>
      <c r="S567" s="751"/>
    </row>
    <row r="568" spans="3:33">
      <c r="C568" s="740"/>
    </row>
    <row r="569" spans="3:33">
      <c r="C569" s="740"/>
      <c r="H569" s="735"/>
      <c r="I569" s="789"/>
      <c r="J569" s="735"/>
      <c r="K569" s="735"/>
      <c r="L569" s="735"/>
      <c r="M569" s="735"/>
      <c r="N569" s="735"/>
      <c r="O569" s="735"/>
      <c r="P569" s="735"/>
      <c r="S569" s="655"/>
      <c r="U569" s="650"/>
      <c r="W569" s="655"/>
      <c r="Y569" s="650"/>
      <c r="AF569" s="655"/>
      <c r="AG569" s="650"/>
    </row>
    <row r="570" spans="3:33">
      <c r="C570" s="740"/>
      <c r="S570" s="655"/>
      <c r="U570" s="650"/>
      <c r="W570" s="655"/>
      <c r="Y570" s="650"/>
      <c r="AF570" s="655"/>
      <c r="AG570" s="650"/>
    </row>
    <row r="571" spans="3:33">
      <c r="C571" s="740"/>
      <c r="I571" s="735"/>
      <c r="S571" s="655"/>
      <c r="U571" s="650"/>
      <c r="W571" s="655"/>
      <c r="Y571" s="650"/>
      <c r="AF571" s="655"/>
      <c r="AG571" s="650"/>
    </row>
    <row r="572" spans="3:33">
      <c r="C572" s="740"/>
      <c r="I572" s="735"/>
      <c r="S572" s="655"/>
      <c r="U572" s="650"/>
      <c r="W572" s="655"/>
      <c r="Y572" s="650"/>
      <c r="AF572" s="655"/>
      <c r="AG572" s="650"/>
    </row>
    <row r="573" spans="3:33">
      <c r="C573" s="740"/>
      <c r="I573" s="727"/>
      <c r="K573" s="651"/>
      <c r="M573" s="651"/>
      <c r="N573" s="651"/>
      <c r="O573" s="651"/>
      <c r="S573" s="655"/>
      <c r="U573" s="650"/>
      <c r="W573" s="655"/>
      <c r="Y573" s="650"/>
      <c r="AF573" s="655"/>
      <c r="AG573" s="650"/>
    </row>
    <row r="574" spans="3:33">
      <c r="C574" s="740"/>
      <c r="I574" s="727"/>
      <c r="K574" s="651"/>
      <c r="M574" s="651"/>
      <c r="N574" s="651"/>
      <c r="O574" s="651"/>
      <c r="S574" s="655"/>
      <c r="U574" s="650"/>
      <c r="W574" s="655"/>
      <c r="Y574" s="650"/>
      <c r="AF574" s="655"/>
      <c r="AG574" s="650"/>
    </row>
    <row r="575" spans="3:33">
      <c r="C575" s="740"/>
      <c r="I575" s="727"/>
      <c r="K575" s="651"/>
      <c r="M575" s="651"/>
      <c r="N575" s="651"/>
      <c r="O575" s="651"/>
      <c r="S575" s="655"/>
      <c r="U575" s="650"/>
      <c r="W575" s="655"/>
      <c r="Y575" s="650"/>
      <c r="AF575" s="655"/>
      <c r="AG575" s="650"/>
    </row>
    <row r="576" spans="3:33">
      <c r="C576" s="740"/>
      <c r="I576" s="727"/>
      <c r="K576" s="651"/>
      <c r="M576" s="651"/>
      <c r="N576" s="651"/>
      <c r="O576" s="651"/>
      <c r="S576" s="655"/>
      <c r="U576" s="650"/>
      <c r="W576" s="655"/>
      <c r="Y576" s="650"/>
      <c r="AF576" s="655"/>
      <c r="AG576" s="650"/>
    </row>
    <row r="577" spans="3:33">
      <c r="C577" s="740"/>
      <c r="I577" s="727"/>
      <c r="K577" s="651"/>
      <c r="M577" s="651"/>
      <c r="N577" s="651"/>
      <c r="O577" s="651"/>
      <c r="S577" s="655"/>
      <c r="U577" s="650"/>
      <c r="W577" s="655"/>
      <c r="Y577" s="650"/>
      <c r="AF577" s="655"/>
      <c r="AG577" s="650"/>
    </row>
    <row r="578" spans="3:33">
      <c r="C578" s="740"/>
      <c r="H578" s="740"/>
      <c r="I578" s="727"/>
      <c r="K578" s="651"/>
      <c r="M578" s="651"/>
      <c r="N578" s="651"/>
      <c r="O578" s="651"/>
      <c r="S578" s="655"/>
      <c r="U578" s="650"/>
      <c r="W578" s="655"/>
      <c r="Y578" s="650"/>
      <c r="AF578" s="655"/>
      <c r="AG578" s="650"/>
    </row>
    <row r="579" spans="3:33">
      <c r="C579" s="740"/>
      <c r="I579" s="727"/>
      <c r="K579" s="651"/>
      <c r="M579" s="651"/>
      <c r="N579" s="651"/>
      <c r="O579" s="651"/>
      <c r="S579" s="655"/>
      <c r="U579" s="650"/>
      <c r="W579" s="655"/>
      <c r="Y579" s="650"/>
      <c r="AF579" s="655"/>
      <c r="AG579" s="650"/>
    </row>
    <row r="580" spans="3:33">
      <c r="C580" s="740"/>
      <c r="I580" s="727"/>
      <c r="K580" s="651"/>
      <c r="M580" s="651"/>
      <c r="N580" s="651"/>
      <c r="O580" s="651"/>
      <c r="S580" s="655"/>
      <c r="U580" s="650"/>
      <c r="W580" s="655"/>
      <c r="Y580" s="650"/>
      <c r="AF580" s="655"/>
      <c r="AG580" s="650"/>
    </row>
    <row r="581" spans="3:33">
      <c r="C581" s="711"/>
      <c r="I581" s="727"/>
      <c r="K581" s="651"/>
      <c r="M581" s="651"/>
      <c r="N581" s="651"/>
      <c r="O581" s="651"/>
      <c r="S581" s="655"/>
      <c r="U581" s="650"/>
      <c r="W581" s="655"/>
      <c r="Y581" s="650"/>
      <c r="AF581" s="655"/>
      <c r="AG581" s="650"/>
    </row>
    <row r="582" spans="3:33">
      <c r="I582" s="727"/>
      <c r="K582" s="651"/>
      <c r="M582" s="651"/>
      <c r="N582" s="651"/>
      <c r="O582" s="651"/>
      <c r="P582" s="651"/>
      <c r="S582" s="655"/>
      <c r="U582" s="650"/>
      <c r="W582" s="655"/>
      <c r="Y582" s="650"/>
      <c r="AF582" s="655"/>
      <c r="AG582" s="650"/>
    </row>
    <row r="583" spans="3:33">
      <c r="I583" s="727"/>
      <c r="K583" s="651"/>
      <c r="M583" s="651"/>
      <c r="N583" s="651"/>
      <c r="O583" s="651"/>
      <c r="S583" s="655"/>
      <c r="U583" s="650"/>
      <c r="W583" s="655"/>
      <c r="Y583" s="650"/>
      <c r="AF583" s="655"/>
      <c r="AG583" s="650"/>
    </row>
    <row r="584" spans="3:33">
      <c r="I584" s="727"/>
      <c r="K584" s="651"/>
      <c r="M584" s="651"/>
      <c r="N584" s="651"/>
      <c r="O584" s="651"/>
      <c r="S584" s="655"/>
      <c r="U584" s="650"/>
      <c r="W584" s="655"/>
      <c r="Y584" s="650"/>
      <c r="AF584" s="655"/>
      <c r="AG584" s="650"/>
    </row>
    <row r="585" spans="3:33">
      <c r="I585" s="727"/>
      <c r="K585" s="651"/>
      <c r="M585" s="651"/>
      <c r="N585" s="651"/>
      <c r="O585" s="651"/>
      <c r="S585" s="655"/>
      <c r="U585" s="650"/>
      <c r="W585" s="655"/>
      <c r="Y585" s="650"/>
      <c r="AF585" s="655"/>
      <c r="AG585" s="650"/>
    </row>
    <row r="586" spans="3:33">
      <c r="I586" s="727"/>
      <c r="K586" s="651"/>
      <c r="M586" s="651"/>
      <c r="N586" s="651"/>
      <c r="O586" s="651"/>
      <c r="P586" s="651"/>
      <c r="S586" s="655"/>
      <c r="U586" s="650"/>
      <c r="W586" s="655"/>
      <c r="Y586" s="650"/>
      <c r="AF586" s="655"/>
      <c r="AG586" s="650"/>
    </row>
    <row r="587" spans="3:33">
      <c r="I587" s="727"/>
      <c r="K587" s="651"/>
      <c r="M587" s="651"/>
      <c r="N587" s="651"/>
      <c r="O587" s="651"/>
      <c r="P587" s="651"/>
      <c r="S587" s="655"/>
      <c r="U587" s="650"/>
      <c r="W587" s="655"/>
      <c r="Y587" s="650"/>
      <c r="AF587" s="655"/>
      <c r="AG587" s="650"/>
    </row>
    <row r="588" spans="3:33">
      <c r="H588" s="730"/>
      <c r="I588" s="793"/>
      <c r="J588" s="741"/>
      <c r="K588" s="741"/>
      <c r="L588" s="741"/>
      <c r="M588" s="741"/>
      <c r="N588" s="741"/>
      <c r="O588" s="741"/>
      <c r="P588" s="741"/>
      <c r="S588" s="655"/>
      <c r="U588" s="650"/>
      <c r="W588" s="655"/>
      <c r="Y588" s="650"/>
      <c r="AF588" s="655"/>
      <c r="AG588" s="650"/>
    </row>
    <row r="589" spans="3:33">
      <c r="I589" s="728"/>
      <c r="J589" s="718"/>
      <c r="K589" s="718"/>
      <c r="L589" s="718"/>
      <c r="M589" s="718"/>
      <c r="N589" s="718"/>
      <c r="O589" s="718"/>
      <c r="P589" s="718"/>
      <c r="S589" s="655"/>
      <c r="U589" s="650"/>
      <c r="W589" s="655"/>
      <c r="Y589" s="650"/>
      <c r="AF589" s="655"/>
      <c r="AG589" s="650"/>
    </row>
    <row r="590" spans="3:33">
      <c r="H590" s="740"/>
      <c r="I590" s="749"/>
      <c r="J590" s="751"/>
      <c r="K590" s="751"/>
      <c r="L590" s="751"/>
      <c r="M590" s="751"/>
      <c r="N590" s="751"/>
      <c r="O590" s="751"/>
      <c r="P590" s="751"/>
      <c r="S590" s="655"/>
      <c r="U590" s="650"/>
      <c r="W590" s="655"/>
      <c r="Y590" s="650"/>
      <c r="AF590" s="655"/>
      <c r="AG590" s="650"/>
    </row>
    <row r="592" spans="3:33">
      <c r="P592" s="651"/>
    </row>
    <row r="593" spans="5:24">
      <c r="K593" s="651"/>
      <c r="L593" s="651"/>
    </row>
    <row r="596" spans="5:24">
      <c r="T596" s="650"/>
      <c r="U596" s="650"/>
      <c r="X596" s="659"/>
    </row>
    <row r="597" spans="5:24">
      <c r="E597" s="651"/>
      <c r="F597" s="651"/>
      <c r="G597" s="651"/>
      <c r="H597" s="651"/>
      <c r="I597" s="651"/>
      <c r="J597" s="651"/>
      <c r="K597" s="651"/>
      <c r="L597" s="651"/>
      <c r="M597" s="651"/>
      <c r="N597" s="651"/>
      <c r="O597" s="651"/>
      <c r="P597" s="651"/>
      <c r="Q597" s="651"/>
      <c r="R597" s="651"/>
      <c r="S597" s="651"/>
      <c r="T597" s="651"/>
      <c r="U597" s="651"/>
      <c r="V597" s="651"/>
      <c r="W597" s="651"/>
      <c r="X597" s="651"/>
    </row>
    <row r="598" spans="5:24">
      <c r="E598" s="651"/>
      <c r="F598" s="651"/>
      <c r="G598" s="651"/>
      <c r="H598" s="651"/>
      <c r="I598" s="651"/>
      <c r="J598" s="651"/>
      <c r="K598" s="651"/>
      <c r="L598" s="651"/>
      <c r="M598" s="651"/>
      <c r="N598" s="651"/>
      <c r="O598" s="651"/>
      <c r="P598" s="651"/>
      <c r="Q598" s="651"/>
      <c r="R598" s="651"/>
      <c r="S598" s="651"/>
      <c r="T598" s="651"/>
      <c r="U598" s="651"/>
      <c r="V598" s="651"/>
      <c r="W598" s="651"/>
      <c r="X598" s="651"/>
    </row>
    <row r="599" spans="5:24">
      <c r="E599" s="651"/>
      <c r="F599" s="651"/>
      <c r="G599" s="651"/>
      <c r="H599" s="651"/>
      <c r="I599" s="651"/>
      <c r="J599" s="651"/>
      <c r="K599" s="651"/>
      <c r="L599" s="651"/>
      <c r="M599" s="651"/>
      <c r="N599" s="651"/>
      <c r="O599" s="651"/>
      <c r="P599" s="651"/>
      <c r="Q599" s="651"/>
      <c r="R599" s="651"/>
      <c r="S599" s="651"/>
      <c r="T599" s="651"/>
      <c r="U599" s="651"/>
      <c r="V599" s="651"/>
      <c r="W599" s="651"/>
      <c r="X599" s="651"/>
    </row>
    <row r="600" spans="5:24">
      <c r="E600" s="651"/>
      <c r="F600" s="651"/>
      <c r="G600" s="651"/>
      <c r="H600" s="651"/>
      <c r="I600" s="651"/>
      <c r="J600" s="651"/>
      <c r="K600" s="651"/>
      <c r="L600" s="651"/>
      <c r="M600" s="651"/>
      <c r="N600" s="651"/>
      <c r="O600" s="651"/>
      <c r="P600" s="651"/>
      <c r="Q600" s="651"/>
      <c r="R600" s="651"/>
      <c r="S600" s="651"/>
      <c r="T600" s="651"/>
      <c r="U600" s="651"/>
      <c r="V600" s="651"/>
      <c r="W600" s="651"/>
      <c r="X600" s="651"/>
    </row>
    <row r="601" spans="5:24">
      <c r="E601" s="651"/>
      <c r="F601" s="651"/>
      <c r="G601" s="651"/>
      <c r="H601" s="651"/>
      <c r="I601" s="651"/>
      <c r="J601" s="651"/>
      <c r="K601" s="651"/>
      <c r="L601" s="651"/>
      <c r="M601" s="651"/>
      <c r="N601" s="651"/>
      <c r="O601" s="651"/>
      <c r="P601" s="651"/>
      <c r="Q601" s="651"/>
      <c r="R601" s="651"/>
      <c r="S601" s="651"/>
      <c r="T601" s="651"/>
      <c r="U601" s="651"/>
      <c r="V601" s="651"/>
      <c r="W601" s="651"/>
      <c r="X601" s="651"/>
    </row>
    <row r="602" spans="5:24">
      <c r="E602" s="651"/>
      <c r="F602" s="651"/>
      <c r="G602" s="651"/>
      <c r="H602" s="651"/>
      <c r="I602" s="651"/>
      <c r="J602" s="651"/>
      <c r="K602" s="651"/>
      <c r="L602" s="651"/>
      <c r="M602" s="651"/>
      <c r="N602" s="651"/>
      <c r="O602" s="651"/>
      <c r="P602" s="651"/>
      <c r="Q602" s="651"/>
      <c r="R602" s="651"/>
      <c r="S602" s="651"/>
      <c r="T602" s="651"/>
      <c r="U602" s="651"/>
      <c r="V602" s="651"/>
      <c r="W602" s="651"/>
      <c r="X602" s="651"/>
    </row>
    <row r="603" spans="5:24">
      <c r="E603" s="651"/>
      <c r="F603" s="651"/>
      <c r="G603" s="651"/>
      <c r="H603" s="651"/>
      <c r="I603" s="651"/>
      <c r="J603" s="651"/>
      <c r="K603" s="651"/>
      <c r="L603" s="651"/>
      <c r="M603" s="651"/>
      <c r="N603" s="651"/>
      <c r="O603" s="651"/>
      <c r="P603" s="651"/>
      <c r="Q603" s="651"/>
      <c r="R603" s="651"/>
      <c r="S603" s="651"/>
      <c r="T603" s="651"/>
      <c r="U603" s="651"/>
      <c r="V603" s="651"/>
      <c r="W603" s="651"/>
      <c r="X603" s="651"/>
    </row>
    <row r="604" spans="5:24">
      <c r="E604" s="651"/>
    </row>
    <row r="605" spans="5:24">
      <c r="E605" s="651"/>
    </row>
    <row r="606" spans="5:24">
      <c r="E606" s="651"/>
    </row>
    <row r="607" spans="5:24">
      <c r="E607" s="651"/>
    </row>
    <row r="608" spans="5:24">
      <c r="E608" s="651"/>
    </row>
    <row r="609" spans="5:5">
      <c r="E609" s="651"/>
    </row>
    <row r="610" spans="5:5">
      <c r="E610" s="651"/>
    </row>
    <row r="611" spans="5:5">
      <c r="E611" s="651"/>
    </row>
    <row r="612" spans="5:5">
      <c r="E612" s="651"/>
    </row>
    <row r="613" spans="5:5">
      <c r="E613" s="651"/>
    </row>
  </sheetData>
  <phoneticPr fontId="0" type="noConversion"/>
  <printOptions horizontalCentered="1" verticalCentered="1" headings="1" gridLines="1" gridLinesSet="0"/>
  <pageMargins left="0.55000000000000004" right="0.61" top="0.2" bottom="0.1" header="0.5" footer="0.5"/>
  <pageSetup scale="10" orientation="landscape" r:id="rId1"/>
  <headerFooter alignWithMargins="0"/>
  <rowBreaks count="1" manualBreakCount="1">
    <brk id="39" max="65535" man="1"/>
  </rowBreaks>
  <colBreaks count="5" manualBreakCount="5">
    <brk id="10" max="1048575" man="1"/>
    <brk id="18" max="1048575" man="1"/>
    <brk id="26" max="1048575" man="1"/>
    <brk id="33" max="1048575" man="1"/>
    <brk id="3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025">
              <controlPr defaultSize="0" print="0" autoFill="0" autoLine="0" autoPict="0" macro="[0]!ChartQ">
                <anchor moveWithCells="1" sizeWithCells="1">
                  <from>
                    <xdr:col>8</xdr:col>
                    <xdr:colOff>45720</xdr:colOff>
                    <xdr:row>0</xdr:row>
                    <xdr:rowOff>106680</xdr:rowOff>
                  </from>
                  <to>
                    <xdr:col>10</xdr:col>
                    <xdr:colOff>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1026">
              <controlPr defaultSize="0" print="0" autoFill="0" autoLine="0" autoPict="0" macro="[0]!SelectMaterial">
                <anchor moveWithCells="1" sizeWithCells="1">
                  <from>
                    <xdr:col>6</xdr:col>
                    <xdr:colOff>7620</xdr:colOff>
                    <xdr:row>0</xdr:row>
                    <xdr:rowOff>83820</xdr:rowOff>
                  </from>
                  <to>
                    <xdr:col>7</xdr:col>
                    <xdr:colOff>419100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1027">
              <controlPr defaultSize="0" print="0" autoFill="0" autoPict="0" macro="[0]!LaunchFinder">
                <anchor moveWithCells="1" sizeWithCells="1">
                  <from>
                    <xdr:col>11</xdr:col>
                    <xdr:colOff>403860</xdr:colOff>
                    <xdr:row>0</xdr:row>
                    <xdr:rowOff>114300</xdr:rowOff>
                  </from>
                  <to>
                    <xdr:col>12</xdr:col>
                    <xdr:colOff>487680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1028">
              <controlPr defaultSize="0" print="0" autoFill="0" autoPict="0" macro="[0]!Main">
                <anchor moveWithCells="1" sizeWithCells="1">
                  <from>
                    <xdr:col>12</xdr:col>
                    <xdr:colOff>182880</xdr:colOff>
                    <xdr:row>0</xdr:row>
                    <xdr:rowOff>114300</xdr:rowOff>
                  </from>
                  <to>
                    <xdr:col>13</xdr:col>
                    <xdr:colOff>266700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1030">
              <controlPr defaultSize="0" print="0" autoFill="0" autoPict="0" macro="[0]!GetVals">
                <anchor moveWithCells="1" sizeWithCells="1">
                  <from>
                    <xdr:col>15</xdr:col>
                    <xdr:colOff>182880</xdr:colOff>
                    <xdr:row>0</xdr:row>
                    <xdr:rowOff>114300</xdr:rowOff>
                  </from>
                  <to>
                    <xdr:col>16</xdr:col>
                    <xdr:colOff>274320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2:D49"/>
  <sheetViews>
    <sheetView topLeftCell="A4" workbookViewId="0">
      <selection activeCell="C41" sqref="C41"/>
    </sheetView>
  </sheetViews>
  <sheetFormatPr defaultColWidth="11.54296875" defaultRowHeight="15"/>
  <cols>
    <col min="1" max="1" width="11.54296875" style="613"/>
    <col min="2" max="3" width="13.453125" customWidth="1"/>
  </cols>
  <sheetData>
    <row r="2" spans="1:3">
      <c r="A2" s="613" t="s">
        <v>1718</v>
      </c>
      <c r="B2" s="623">
        <f>InPlane!C28/0.88</f>
        <v>184.09090909090909</v>
      </c>
    </row>
    <row r="3" spans="1:3">
      <c r="B3" t="s">
        <v>2160</v>
      </c>
      <c r="C3" t="s">
        <v>2161</v>
      </c>
    </row>
    <row r="4" spans="1:3">
      <c r="A4" s="613">
        <v>11</v>
      </c>
      <c r="B4">
        <f>InPlane!Y15</f>
        <v>68.108183856502251</v>
      </c>
      <c r="C4">
        <v>1</v>
      </c>
    </row>
    <row r="5" spans="1:3">
      <c r="A5" s="613">
        <v>22</v>
      </c>
      <c r="B5">
        <f>InPlane!Y16</f>
        <v>68.108183856502237</v>
      </c>
      <c r="C5">
        <v>2</v>
      </c>
    </row>
    <row r="6" spans="1:3">
      <c r="A6" s="613">
        <v>12</v>
      </c>
      <c r="B6">
        <f>InPlane!Y17</f>
        <v>21.790919282511211</v>
      </c>
      <c r="C6">
        <v>3</v>
      </c>
    </row>
    <row r="7" spans="1:3">
      <c r="A7" s="613">
        <v>66</v>
      </c>
      <c r="B7">
        <f>InPlane!Y18</f>
        <v>23.158632286995513</v>
      </c>
      <c r="C7">
        <v>4</v>
      </c>
    </row>
    <row r="8" spans="1:3">
      <c r="A8" s="613">
        <v>16</v>
      </c>
      <c r="B8">
        <f>InPlane!Y19</f>
        <v>0</v>
      </c>
      <c r="C8">
        <v>0</v>
      </c>
    </row>
    <row r="9" spans="1:3">
      <c r="A9" s="613">
        <v>26</v>
      </c>
      <c r="B9">
        <f>InPlane!Y20</f>
        <v>1.7763568394002505E-15</v>
      </c>
      <c r="C9">
        <v>0</v>
      </c>
    </row>
    <row r="12" spans="1:3">
      <c r="A12" s="613" t="s">
        <v>1380</v>
      </c>
      <c r="B12" s="114">
        <f>InPlane!L27</f>
        <v>68.108183856502237</v>
      </c>
      <c r="C12" s="114">
        <f>B12</f>
        <v>68.108183856502237</v>
      </c>
    </row>
    <row r="13" spans="1:3">
      <c r="A13" s="613" t="s">
        <v>1384</v>
      </c>
      <c r="B13" s="114">
        <f>InPlane!L28</f>
        <v>77.186098654708516</v>
      </c>
      <c r="C13" s="114">
        <f>B13</f>
        <v>77.186098654708516</v>
      </c>
    </row>
    <row r="14" spans="1:3">
      <c r="A14" s="613" t="s">
        <v>1388</v>
      </c>
      <c r="B14" s="114">
        <f>InPlane!L29</f>
        <v>18.158632286995516</v>
      </c>
      <c r="C14" s="114">
        <f>B14</f>
        <v>18.158632286995516</v>
      </c>
    </row>
    <row r="15" spans="1:3">
      <c r="A15" s="613" t="s">
        <v>1391</v>
      </c>
      <c r="B15" s="114">
        <f>InPlane!L30</f>
        <v>21.790919282511211</v>
      </c>
      <c r="C15" s="114">
        <f>B12-2*B16</f>
        <v>21.790919282511211</v>
      </c>
    </row>
    <row r="16" spans="1:3">
      <c r="A16" s="613" t="s">
        <v>2162</v>
      </c>
      <c r="B16" s="114">
        <f>InPlane!L31</f>
        <v>23.158632286995513</v>
      </c>
      <c r="C16" s="114">
        <f>(B12-B15)/2</f>
        <v>23.158632286995513</v>
      </c>
    </row>
    <row r="18" spans="1:4">
      <c r="A18" s="613" t="s">
        <v>1715</v>
      </c>
      <c r="B18" s="131">
        <f>B12/$B$2</f>
        <v>0.3699703814427282</v>
      </c>
      <c r="D18" t="s">
        <v>2171</v>
      </c>
    </row>
    <row r="19" spans="1:4">
      <c r="A19" s="613" t="s">
        <v>1911</v>
      </c>
      <c r="B19" s="131">
        <f>B13/$B$2</f>
        <v>0.41928251121076232</v>
      </c>
    </row>
    <row r="20" spans="1:4">
      <c r="A20" s="613" t="s">
        <v>1912</v>
      </c>
      <c r="B20" s="131">
        <f>B14/$B$2</f>
        <v>9.8639484028123794E-2</v>
      </c>
    </row>
    <row r="21" spans="1:4">
      <c r="A21" s="613" t="s">
        <v>1716</v>
      </c>
      <c r="B21" s="131">
        <f>B15/$B$2</f>
        <v>0.11837042573215967</v>
      </c>
    </row>
    <row r="22" spans="1:4">
      <c r="A22" s="613" t="s">
        <v>1717</v>
      </c>
      <c r="B22" s="131">
        <f>B16/$B$2</f>
        <v>0.12579997785528427</v>
      </c>
    </row>
    <row r="23" spans="1:4">
      <c r="B23" s="131"/>
    </row>
    <row r="26" spans="1:4">
      <c r="A26" s="613" t="s">
        <v>2163</v>
      </c>
      <c r="B26">
        <f>(B4-B5)/2/B13</f>
        <v>9.205579089295706E-17</v>
      </c>
      <c r="C26">
        <f>(C4-C6)/2/C13</f>
        <v>-1.2955700798838054E-2</v>
      </c>
    </row>
    <row r="27" spans="1:4">
      <c r="A27" s="613" t="s">
        <v>2164</v>
      </c>
      <c r="B27">
        <f>(B4+B5-2*B12)/2/B14</f>
        <v>7.8259499342245327E-16</v>
      </c>
      <c r="C27">
        <f>(C4+C6-2*C12)/2/C14</f>
        <v>-3.6405926840561813</v>
      </c>
    </row>
    <row r="28" spans="1:4">
      <c r="A28" s="613" t="s">
        <v>2165</v>
      </c>
      <c r="B28">
        <f>(B8+B9)/B13</f>
        <v>2.3013947723239265E-17</v>
      </c>
      <c r="C28">
        <f>(C8+C9)/C13</f>
        <v>0</v>
      </c>
    </row>
    <row r="29" spans="1:4">
      <c r="A29" s="613" t="s">
        <v>2166</v>
      </c>
      <c r="B29">
        <f>(B8-B9)/2/B14</f>
        <v>-4.8912187088903329E-17</v>
      </c>
      <c r="C29">
        <f>(C8-C9)/2/C14</f>
        <v>0</v>
      </c>
    </row>
    <row r="32" spans="1:4">
      <c r="A32" s="613" t="s">
        <v>2168</v>
      </c>
      <c r="B32">
        <f>2*B26-B33</f>
        <v>-0.70710678118654768</v>
      </c>
      <c r="C32">
        <f>2*B26-C33</f>
        <v>0.70710678118654791</v>
      </c>
    </row>
    <row r="33" spans="1:3">
      <c r="A33" s="613" t="s">
        <v>2167</v>
      </c>
      <c r="B33">
        <f>B26+SQRT(-B26*B26+B27/2+1/2)</f>
        <v>0.70710678118654791</v>
      </c>
      <c r="C33">
        <f>B26-SQRT(-B26*B26+B27/2+1/2)</f>
        <v>-0.70710678118654768</v>
      </c>
    </row>
    <row r="35" spans="1:3">
      <c r="A35" s="613" t="s">
        <v>2169</v>
      </c>
      <c r="B35">
        <f>ACOS(B32)/2/PI()*180</f>
        <v>67.5</v>
      </c>
      <c r="C35">
        <f>ACOS(C32)/2/PI()*180</f>
        <v>22.499999999999986</v>
      </c>
    </row>
    <row r="36" spans="1:3">
      <c r="A36" s="613" t="s">
        <v>2170</v>
      </c>
      <c r="B36">
        <f>ACOS(B33)/2*180/PI()</f>
        <v>22.499999999999982</v>
      </c>
      <c r="C36">
        <f>ACOS(C33)/2*180/PI()</f>
        <v>67.5</v>
      </c>
    </row>
    <row r="38" spans="1:3">
      <c r="A38" s="613" t="s">
        <v>2169</v>
      </c>
      <c r="B38">
        <f>InPlane!C3</f>
        <v>0</v>
      </c>
    </row>
    <row r="39" spans="1:3">
      <c r="A39" s="613" t="s">
        <v>2170</v>
      </c>
      <c r="B39">
        <f>InPlane!E3</f>
        <v>90</v>
      </c>
    </row>
    <row r="41" spans="1:3">
      <c r="A41" s="613" t="s">
        <v>2172</v>
      </c>
      <c r="B41">
        <f>COS(2*B38/180*PI())</f>
        <v>1</v>
      </c>
    </row>
    <row r="42" spans="1:3">
      <c r="A42" s="613" t="s">
        <v>2173</v>
      </c>
      <c r="B42">
        <f>COS(2*B39/180*PI())</f>
        <v>-1</v>
      </c>
    </row>
    <row r="46" spans="1:3">
      <c r="A46" s="613" t="s">
        <v>2163</v>
      </c>
      <c r="B46">
        <f>(COS(2*B38/180*PI())+COS(2*B39/180*PI()))/2</f>
        <v>0</v>
      </c>
    </row>
    <row r="47" spans="1:3">
      <c r="A47" s="613" t="s">
        <v>2164</v>
      </c>
      <c r="B47">
        <f>(COS(4*B38/180*PI())+COS(4*B39/180*PI()))/2</f>
        <v>1</v>
      </c>
    </row>
    <row r="48" spans="1:3">
      <c r="A48" s="613" t="s">
        <v>2165</v>
      </c>
      <c r="B48">
        <v>0</v>
      </c>
    </row>
    <row r="49" spans="1:2">
      <c r="A49" s="613" t="s">
        <v>2166</v>
      </c>
      <c r="B49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0BE8A-CDB9-4834-A92F-A2EF30CF64BF}">
  <dimension ref="A1"/>
  <sheetViews>
    <sheetView workbookViewId="0"/>
  </sheetViews>
  <sheetFormatPr defaultColWidth="8.906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L89"/>
  <sheetViews>
    <sheetView zoomScale="125" zoomScaleNormal="125" zoomScalePageLayoutView="125" workbookViewId="0">
      <selection activeCell="C4" sqref="C4"/>
    </sheetView>
  </sheetViews>
  <sheetFormatPr defaultColWidth="8.453125" defaultRowHeight="15.6"/>
  <cols>
    <col min="1" max="1" width="6.08984375" style="798" customWidth="1"/>
    <col min="2" max="5" width="7.90625" style="798" customWidth="1"/>
    <col min="6" max="6" width="9.08984375" style="798" customWidth="1"/>
    <col min="7" max="9" width="7.90625" style="798" customWidth="1"/>
    <col min="10" max="10" width="7.08984375" style="798" customWidth="1"/>
    <col min="11" max="11" width="6.08984375" style="798" customWidth="1"/>
    <col min="12" max="12" width="6.6328125" style="798" customWidth="1"/>
    <col min="13" max="13" width="7" style="798" customWidth="1"/>
    <col min="14" max="15" width="7.08984375" style="798" customWidth="1"/>
    <col min="16" max="16" width="7.90625" style="798" customWidth="1"/>
    <col min="17" max="17" width="6.6328125" style="798" customWidth="1"/>
    <col min="18" max="18" width="6.90625" style="798" customWidth="1"/>
    <col min="19" max="20" width="6.90625" style="802" customWidth="1"/>
    <col min="21" max="22" width="6.90625" style="798" customWidth="1"/>
    <col min="23" max="24" width="6.90625" style="802" customWidth="1"/>
    <col min="25" max="25" width="6.90625" style="798" customWidth="1"/>
    <col min="26" max="31" width="7.6328125" style="798" customWidth="1"/>
    <col min="32" max="32" width="7.6328125" style="802" customWidth="1"/>
    <col min="33" max="38" width="9.08984375" style="798" customWidth="1"/>
    <col min="39" max="39" width="7.453125" style="798" customWidth="1"/>
    <col min="40" max="52" width="13.08984375" style="798" customWidth="1"/>
    <col min="53" max="16384" width="8.453125" style="798"/>
  </cols>
  <sheetData>
    <row r="1" spans="1:38" ht="59.25" customHeight="1">
      <c r="A1" s="797" t="s">
        <v>1974</v>
      </c>
      <c r="H1" s="799"/>
      <c r="J1" s="800" t="s">
        <v>1550</v>
      </c>
      <c r="K1" s="799"/>
      <c r="L1" s="799"/>
      <c r="N1" s="798" t="s">
        <v>1551</v>
      </c>
      <c r="P1" s="801"/>
      <c r="R1" s="798" t="s">
        <v>528</v>
      </c>
      <c r="Z1" s="798" t="s">
        <v>529</v>
      </c>
      <c r="AG1" s="798" t="s">
        <v>530</v>
      </c>
    </row>
    <row r="2" spans="1:38">
      <c r="A2" s="798" t="s">
        <v>201</v>
      </c>
      <c r="B2" s="803" t="s">
        <v>202</v>
      </c>
      <c r="C2" s="803" t="s">
        <v>203</v>
      </c>
      <c r="D2" s="803" t="s">
        <v>204</v>
      </c>
      <c r="E2" s="803" t="s">
        <v>205</v>
      </c>
      <c r="G2" s="800" t="s">
        <v>1566</v>
      </c>
      <c r="H2" s="800" t="str">
        <f>J2</f>
        <v>IM7/977[SI]</v>
      </c>
      <c r="J2" s="800" t="str">
        <f>$A$30</f>
        <v>IM7/977[SI]</v>
      </c>
      <c r="K2" s="800"/>
      <c r="L2" s="799"/>
      <c r="N2" s="799" t="s">
        <v>1567</v>
      </c>
      <c r="O2" s="804">
        <f>$G$31</f>
        <v>22</v>
      </c>
      <c r="P2" s="804">
        <v>22</v>
      </c>
      <c r="Q2" s="805">
        <f t="shared" ref="Q2:Q7" si="0">P2/O2</f>
        <v>1</v>
      </c>
      <c r="R2" s="800"/>
      <c r="X2" s="806"/>
      <c r="Z2" s="799" t="s">
        <v>531</v>
      </c>
      <c r="AA2" s="807">
        <f t="shared" ref="AA2:AD3" si="1">S4</f>
        <v>0</v>
      </c>
      <c r="AB2" s="807">
        <f t="shared" si="1"/>
        <v>45</v>
      </c>
      <c r="AC2" s="807">
        <f t="shared" si="1"/>
        <v>-45</v>
      </c>
      <c r="AD2" s="807">
        <f t="shared" si="1"/>
        <v>90</v>
      </c>
      <c r="AE2" s="799" t="s">
        <v>532</v>
      </c>
      <c r="AF2" s="806" t="s">
        <v>533</v>
      </c>
      <c r="AG2" s="799" t="s">
        <v>531</v>
      </c>
      <c r="AH2" s="807">
        <f t="shared" ref="AH2:AK4" si="2">AA2</f>
        <v>0</v>
      </c>
      <c r="AI2" s="807">
        <f t="shared" si="2"/>
        <v>45</v>
      </c>
      <c r="AJ2" s="807">
        <f t="shared" si="2"/>
        <v>-45</v>
      </c>
      <c r="AK2" s="807">
        <f t="shared" si="2"/>
        <v>90</v>
      </c>
    </row>
    <row r="3" spans="1:38">
      <c r="A3" s="800" t="s">
        <v>206</v>
      </c>
      <c r="B3" s="808">
        <v>0</v>
      </c>
      <c r="C3" s="808">
        <v>45</v>
      </c>
      <c r="D3" s="808">
        <f>-C3</f>
        <v>-45</v>
      </c>
      <c r="E3" s="808">
        <v>90</v>
      </c>
      <c r="F3" s="800" t="s">
        <v>1570</v>
      </c>
      <c r="G3" s="800" t="s">
        <v>534</v>
      </c>
      <c r="H3" s="800" t="s">
        <v>1571</v>
      </c>
      <c r="I3" s="809" t="s">
        <v>1572</v>
      </c>
      <c r="J3" s="799"/>
      <c r="K3" s="799"/>
      <c r="L3" s="799"/>
      <c r="N3" s="799" t="s">
        <v>1573</v>
      </c>
      <c r="O3" s="810">
        <f>$H$31</f>
        <v>5.0000000000000001E-3</v>
      </c>
      <c r="P3" s="810">
        <f>C19</f>
        <v>5.0000000000000001E-3</v>
      </c>
      <c r="Q3" s="805">
        <f t="shared" si="0"/>
        <v>1</v>
      </c>
      <c r="R3" s="799" t="s">
        <v>535</v>
      </c>
      <c r="S3" s="806" t="s">
        <v>1562</v>
      </c>
      <c r="T3" s="806" t="s">
        <v>1563</v>
      </c>
      <c r="U3" s="806" t="s">
        <v>1564</v>
      </c>
      <c r="V3" s="806" t="s">
        <v>1565</v>
      </c>
      <c r="W3" s="806"/>
      <c r="X3" s="806"/>
      <c r="Z3" s="799" t="s">
        <v>536</v>
      </c>
      <c r="AA3" s="807">
        <f t="shared" si="1"/>
        <v>1</v>
      </c>
      <c r="AB3" s="807">
        <f t="shared" si="1"/>
        <v>1</v>
      </c>
      <c r="AC3" s="807">
        <f t="shared" si="1"/>
        <v>1</v>
      </c>
      <c r="AD3" s="807">
        <f t="shared" si="1"/>
        <v>1</v>
      </c>
      <c r="AE3" s="799">
        <f>W5</f>
        <v>1</v>
      </c>
      <c r="AF3" s="807">
        <f>X5</f>
        <v>0</v>
      </c>
      <c r="AG3" s="799" t="s">
        <v>536</v>
      </c>
      <c r="AH3" s="807">
        <f t="shared" si="2"/>
        <v>1</v>
      </c>
      <c r="AI3" s="807">
        <f t="shared" si="2"/>
        <v>1</v>
      </c>
      <c r="AJ3" s="807">
        <f t="shared" si="2"/>
        <v>1</v>
      </c>
      <c r="AK3" s="807">
        <f t="shared" si="2"/>
        <v>1</v>
      </c>
    </row>
    <row r="4" spans="1:38">
      <c r="A4" s="800" t="s">
        <v>602</v>
      </c>
      <c r="B4" s="811">
        <v>1</v>
      </c>
      <c r="C4" s="811">
        <v>1</v>
      </c>
      <c r="D4" s="811">
        <v>1</v>
      </c>
      <c r="E4" s="811">
        <v>1</v>
      </c>
      <c r="F4" s="811">
        <v>1</v>
      </c>
      <c r="G4" s="812">
        <f>(B4+C4+D4+E4)*F4*2</f>
        <v>8</v>
      </c>
      <c r="H4" s="813">
        <f>G4*L9/1000</f>
        <v>1</v>
      </c>
      <c r="I4" s="811">
        <v>0</v>
      </c>
      <c r="J4" s="799" t="s">
        <v>1553</v>
      </c>
      <c r="K4" s="799" t="s">
        <v>1554</v>
      </c>
      <c r="L4" s="799" t="s">
        <v>1555</v>
      </c>
      <c r="M4" s="814" t="s">
        <v>1556</v>
      </c>
      <c r="N4" s="799" t="s">
        <v>1557</v>
      </c>
      <c r="O4" s="804">
        <f>$G$30</f>
        <v>122</v>
      </c>
      <c r="P4" s="804">
        <v>122</v>
      </c>
      <c r="Q4" s="805">
        <f t="shared" si="0"/>
        <v>1</v>
      </c>
      <c r="R4" s="799" t="s">
        <v>537</v>
      </c>
      <c r="S4" s="815">
        <f>B3+$I$4</f>
        <v>0</v>
      </c>
      <c r="T4" s="815">
        <f>C3+$I$4</f>
        <v>45</v>
      </c>
      <c r="U4" s="815">
        <f>D3+$I$4</f>
        <v>-45</v>
      </c>
      <c r="V4" s="815">
        <f>E3+$I$4</f>
        <v>90</v>
      </c>
      <c r="W4" s="806" t="s">
        <v>538</v>
      </c>
      <c r="X4" s="806"/>
      <c r="Z4" s="799" t="s">
        <v>539</v>
      </c>
      <c r="AA4" s="807">
        <f>S6</f>
        <v>0</v>
      </c>
      <c r="AB4" s="807">
        <f>T6</f>
        <v>1.5707963267948966</v>
      </c>
      <c r="AC4" s="807">
        <f>U6</f>
        <v>-1.5707963267948966</v>
      </c>
      <c r="AD4" s="807">
        <f>V6</f>
        <v>3.1415926535897931</v>
      </c>
      <c r="AE4" s="799" t="s">
        <v>540</v>
      </c>
      <c r="AF4" s="802">
        <f>$W$12</f>
        <v>1E-3</v>
      </c>
      <c r="AG4" s="799" t="s">
        <v>539</v>
      </c>
      <c r="AH4" s="807">
        <f t="shared" si="2"/>
        <v>0</v>
      </c>
      <c r="AI4" s="807">
        <f t="shared" si="2"/>
        <v>1.5707963267948966</v>
      </c>
      <c r="AJ4" s="807">
        <f t="shared" si="2"/>
        <v>-1.5707963267948966</v>
      </c>
      <c r="AK4" s="807">
        <f t="shared" si="2"/>
        <v>3.1415926535897931</v>
      </c>
    </row>
    <row r="5" spans="1:38">
      <c r="B5" s="798">
        <v>0</v>
      </c>
      <c r="D5" s="801">
        <f>C16</f>
        <v>180</v>
      </c>
      <c r="H5" s="800" t="s">
        <v>207</v>
      </c>
      <c r="I5" s="811">
        <v>1</v>
      </c>
      <c r="J5" s="799" t="s">
        <v>298</v>
      </c>
      <c r="K5" s="812">
        <f>$B$30</f>
        <v>191</v>
      </c>
      <c r="L5" s="812">
        <f>L12*L11</f>
        <v>191</v>
      </c>
      <c r="M5" s="805">
        <f>L5/K5</f>
        <v>1</v>
      </c>
      <c r="N5" s="799" t="s">
        <v>299</v>
      </c>
      <c r="O5" s="804">
        <f>$H$30</f>
        <v>160</v>
      </c>
      <c r="P5" s="804">
        <f>O5-$H$31*(P3-O3)</f>
        <v>160</v>
      </c>
      <c r="Q5" s="805">
        <f t="shared" si="0"/>
        <v>1</v>
      </c>
      <c r="R5" s="799" t="s">
        <v>541</v>
      </c>
      <c r="S5" s="815">
        <f>$B$4</f>
        <v>1</v>
      </c>
      <c r="T5" s="815">
        <f>$C$4</f>
        <v>1</v>
      </c>
      <c r="U5" s="815">
        <f>$D$4</f>
        <v>1</v>
      </c>
      <c r="V5" s="815">
        <f>$E$4</f>
        <v>1</v>
      </c>
      <c r="W5" s="816">
        <f>F4</f>
        <v>1</v>
      </c>
      <c r="X5" s="807"/>
      <c r="Z5" s="799"/>
      <c r="AA5" s="802"/>
      <c r="AB5" s="802"/>
      <c r="AC5" s="802"/>
      <c r="AD5" s="802"/>
      <c r="AE5" s="806"/>
    </row>
    <row r="6" spans="1:38">
      <c r="J6" s="799" t="s">
        <v>1579</v>
      </c>
      <c r="K6" s="801">
        <f>$C$30</f>
        <v>9.94</v>
      </c>
      <c r="L6" s="801">
        <f>(1+L15)/(1/L16+L15/L13)</f>
        <v>9.94</v>
      </c>
      <c r="M6" s="805">
        <f>L6/K6</f>
        <v>1</v>
      </c>
      <c r="N6" s="799" t="s">
        <v>1580</v>
      </c>
      <c r="O6" s="801">
        <f>(O5-O2)/(O5-O2)</f>
        <v>1</v>
      </c>
      <c r="P6" s="801">
        <f>(P5-P2)/(P5-O2)</f>
        <v>1</v>
      </c>
      <c r="Q6" s="805">
        <f t="shared" si="0"/>
        <v>1</v>
      </c>
      <c r="R6" s="799" t="s">
        <v>1295</v>
      </c>
      <c r="S6" s="817">
        <f>S4*PI()/90</f>
        <v>0</v>
      </c>
      <c r="T6" s="817">
        <f>T4*PI()/90</f>
        <v>1.5707963267948966</v>
      </c>
      <c r="U6" s="817">
        <f>U4*PI()/90</f>
        <v>-1.5707963267948966</v>
      </c>
      <c r="V6" s="817">
        <f>V4*PI()/90</f>
        <v>3.1415926535897931</v>
      </c>
      <c r="W6" s="806" t="s">
        <v>1296</v>
      </c>
      <c r="X6" s="818"/>
      <c r="Y6" s="799"/>
      <c r="Z6" s="800" t="s">
        <v>1297</v>
      </c>
      <c r="AA6" s="806"/>
      <c r="AB6" s="806"/>
      <c r="AC6" s="802"/>
      <c r="AD6" s="802"/>
      <c r="AE6" s="802"/>
      <c r="AG6" s="800" t="s">
        <v>1298</v>
      </c>
      <c r="AL6" s="799" t="s">
        <v>1299</v>
      </c>
    </row>
    <row r="7" spans="1:38">
      <c r="A7" s="800" t="s">
        <v>300</v>
      </c>
      <c r="B7" s="818"/>
      <c r="C7" s="809" t="s">
        <v>543</v>
      </c>
      <c r="D7" s="809" t="s">
        <v>208</v>
      </c>
      <c r="E7" s="809" t="s">
        <v>544</v>
      </c>
      <c r="F7" s="819" t="s">
        <v>209</v>
      </c>
      <c r="G7" s="800" t="s">
        <v>210</v>
      </c>
      <c r="H7" s="820" t="s">
        <v>211</v>
      </c>
      <c r="I7" s="821" t="s">
        <v>212</v>
      </c>
      <c r="J7" s="799" t="s">
        <v>259</v>
      </c>
      <c r="K7" s="801">
        <f>$D$30</f>
        <v>0.35</v>
      </c>
      <c r="L7" s="801">
        <f>K7</f>
        <v>0.35</v>
      </c>
      <c r="M7" s="805">
        <f>L7/K7</f>
        <v>1</v>
      </c>
      <c r="N7" s="799" t="s">
        <v>260</v>
      </c>
      <c r="O7" s="804">
        <f>O2-O4</f>
        <v>-100</v>
      </c>
      <c r="P7" s="804">
        <f>P2-P4</f>
        <v>-100</v>
      </c>
      <c r="Q7" s="805">
        <f t="shared" si="0"/>
        <v>1</v>
      </c>
      <c r="R7" s="799" t="s">
        <v>1300</v>
      </c>
      <c r="S7" s="817">
        <f>2*S6</f>
        <v>0</v>
      </c>
      <c r="T7" s="817">
        <f>2*T6</f>
        <v>3.1415926535897931</v>
      </c>
      <c r="U7" s="817">
        <f>2*U6</f>
        <v>-3.1415926535897931</v>
      </c>
      <c r="V7" s="817">
        <f>2*V6</f>
        <v>6.2831853071795862</v>
      </c>
      <c r="W7" s="816">
        <f>G4/W5/2</f>
        <v>4</v>
      </c>
      <c r="X7" s="807"/>
      <c r="Y7" s="802"/>
      <c r="Z7" s="799"/>
      <c r="AA7" s="806" t="s">
        <v>1301</v>
      </c>
      <c r="AB7" s="806"/>
      <c r="AC7" s="822" t="s">
        <v>213</v>
      </c>
      <c r="AD7" s="822"/>
      <c r="AE7" s="806" t="s">
        <v>1303</v>
      </c>
      <c r="AF7" s="806" t="s">
        <v>1304</v>
      </c>
      <c r="AG7" s="799" t="s">
        <v>1305</v>
      </c>
      <c r="AH7" s="823">
        <f t="shared" ref="AH7:AK9" si="3">AA13/1000</f>
        <v>-9.9999997322770384E-4</v>
      </c>
      <c r="AI7" s="823">
        <f t="shared" si="3"/>
        <v>-4.9988428809223933E-4</v>
      </c>
      <c r="AJ7" s="823">
        <f t="shared" si="3"/>
        <v>-4.9988428809223933E-4</v>
      </c>
      <c r="AK7" s="823">
        <f t="shared" si="3"/>
        <v>2.313970432254453E-7</v>
      </c>
      <c r="AL7" s="823">
        <f>($T$37+$T$38)/2</f>
        <v>4.6538648760449829E-5</v>
      </c>
    </row>
    <row r="8" spans="1:38">
      <c r="A8" s="800" t="s">
        <v>214</v>
      </c>
      <c r="B8" s="824">
        <f>AA8</f>
        <v>-8.0600736624404451E-2</v>
      </c>
      <c r="C8" s="801">
        <f>IF(I26&lt;I25,B8,IF(G24&gt;G25,B8,AA47))*$I$26</f>
        <v>-0.40300368312202228</v>
      </c>
      <c r="D8" s="801">
        <f>IF(G24&gt;G25,B8,AA47)*$I$25</f>
        <v>-0.40300368312202228</v>
      </c>
      <c r="E8" s="801">
        <f>D8*I5</f>
        <v>-0.40300368312202228</v>
      </c>
      <c r="F8" s="825">
        <f>W23</f>
        <v>73.454705536318755</v>
      </c>
      <c r="G8" s="826">
        <f>$W$62/$F$8</f>
        <v>1</v>
      </c>
      <c r="H8" s="827">
        <f t="shared" ref="H8:I10" si="4">W34</f>
        <v>1.4709957767751489</v>
      </c>
      <c r="I8" s="810">
        <f t="shared" si="4"/>
        <v>3.8727645287592941E-2</v>
      </c>
      <c r="J8" s="799" t="s">
        <v>261</v>
      </c>
      <c r="K8" s="801">
        <f>$E$30</f>
        <v>7.79</v>
      </c>
      <c r="L8" s="801">
        <f>(1+L18)/(1/L19+L18*2.7/L13)</f>
        <v>7.79</v>
      </c>
      <c r="M8" s="805">
        <f>L8/K8</f>
        <v>1</v>
      </c>
      <c r="N8" s="799"/>
      <c r="O8" s="801"/>
      <c r="P8" s="801"/>
      <c r="Q8" s="801"/>
      <c r="S8" s="817"/>
      <c r="T8" s="817"/>
      <c r="U8" s="817"/>
      <c r="V8" s="803"/>
      <c r="W8" s="806"/>
      <c r="X8" s="806"/>
      <c r="Y8" s="802"/>
      <c r="Z8" s="799">
        <v>1</v>
      </c>
      <c r="AA8" s="823">
        <f>AC8*W15+AC9*W17+AC10*W19</f>
        <v>-8.0600736624404451E-2</v>
      </c>
      <c r="AB8" s="823"/>
      <c r="AC8" s="823">
        <f>F12</f>
        <v>-0.99999997322770384</v>
      </c>
      <c r="AD8" s="823"/>
      <c r="AE8" s="818" t="s">
        <v>1306</v>
      </c>
      <c r="AF8" s="823">
        <f>(AC8+AC9)/2</f>
        <v>-0.49988428809223923</v>
      </c>
      <c r="AG8" s="799" t="s">
        <v>1307</v>
      </c>
      <c r="AH8" s="823">
        <f t="shared" si="3"/>
        <v>2.3139704322538979E-7</v>
      </c>
      <c r="AI8" s="823">
        <f t="shared" si="3"/>
        <v>-4.9988428809223922E-4</v>
      </c>
      <c r="AJ8" s="823">
        <f t="shared" si="3"/>
        <v>-4.9988428809223922E-4</v>
      </c>
      <c r="AK8" s="823">
        <f t="shared" si="3"/>
        <v>-9.9999997322770384E-4</v>
      </c>
      <c r="AL8" s="823">
        <f>($T$37-$T$38)/2</f>
        <v>-4.0657581468206416E-20</v>
      </c>
    </row>
    <row r="9" spans="1:38">
      <c r="A9" s="800" t="s">
        <v>215</v>
      </c>
      <c r="B9" s="824">
        <f>AA9</f>
        <v>-2.3990993068203265E-2</v>
      </c>
      <c r="C9" s="801">
        <f>IF(I26&lt;I25,B9,IF(G24&gt;G25,B9,AA48))*$I$26</f>
        <v>-0.11995496534101632</v>
      </c>
      <c r="D9" s="801">
        <f>IF(G24&gt;G25,B9,AA48)*$I$25</f>
        <v>-0.11995496534101632</v>
      </c>
      <c r="E9" s="801">
        <f>D9*I5</f>
        <v>-0.11995496534101632</v>
      </c>
      <c r="F9" s="825">
        <f>W24</f>
        <v>73.454705536318741</v>
      </c>
      <c r="G9" s="826">
        <f>$W$63/$F$9</f>
        <v>1</v>
      </c>
      <c r="H9" s="827">
        <f t="shared" si="4"/>
        <v>1.4709957767751489</v>
      </c>
      <c r="I9" s="810">
        <f t="shared" si="4"/>
        <v>3.8727645287592954E-2</v>
      </c>
      <c r="J9" s="799" t="s">
        <v>262</v>
      </c>
      <c r="K9" s="804">
        <f>$B$32</f>
        <v>125</v>
      </c>
      <c r="L9" s="804">
        <f>K9/M11</f>
        <v>125</v>
      </c>
      <c r="M9" s="805">
        <f>L9/K9</f>
        <v>1</v>
      </c>
      <c r="N9" s="800" t="s">
        <v>263</v>
      </c>
      <c r="O9" s="801"/>
      <c r="P9" s="801"/>
      <c r="Q9" s="801"/>
      <c r="R9" s="799" t="s">
        <v>1308</v>
      </c>
      <c r="S9" s="805">
        <v>1</v>
      </c>
      <c r="T9" s="805">
        <f>S10</f>
        <v>0.75</v>
      </c>
      <c r="U9" s="805">
        <f>T10</f>
        <v>0.5</v>
      </c>
      <c r="V9" s="805">
        <f>U10</f>
        <v>0.25</v>
      </c>
      <c r="W9" s="817"/>
      <c r="X9" s="806"/>
      <c r="Y9" s="802"/>
      <c r="Z9" s="799">
        <v>2</v>
      </c>
      <c r="AA9" s="823">
        <f>AC8*W17+AC9*W16+AC10*W20</f>
        <v>-2.3990993068203265E-2</v>
      </c>
      <c r="AB9" s="823"/>
      <c r="AC9" s="823">
        <f>F13</f>
        <v>2.3139704322540602E-4</v>
      </c>
      <c r="AD9" s="823"/>
      <c r="AE9" s="818" t="s">
        <v>1309</v>
      </c>
      <c r="AF9" s="823">
        <f>(AC8-AC9)/2</f>
        <v>-0.50011568513546467</v>
      </c>
      <c r="AG9" s="799" t="s">
        <v>1310</v>
      </c>
      <c r="AH9" s="823">
        <f t="shared" si="3"/>
        <v>0</v>
      </c>
      <c r="AI9" s="823">
        <f t="shared" si="3"/>
        <v>1.0002313702709294E-3</v>
      </c>
      <c r="AJ9" s="823">
        <f t="shared" si="3"/>
        <v>-1.0002313702709294E-3</v>
      </c>
      <c r="AK9" s="823">
        <f t="shared" si="3"/>
        <v>1.2254319178385609E-19</v>
      </c>
      <c r="AL9" s="823">
        <f>$T$39/2</f>
        <v>-3.7164242896222281E-21</v>
      </c>
    </row>
    <row r="10" spans="1:38">
      <c r="A10" s="800" t="s">
        <v>216</v>
      </c>
      <c r="B10" s="824">
        <f>AA10</f>
        <v>-1.3840319424463096E-19</v>
      </c>
      <c r="C10" s="801">
        <f>IF(I26&lt;I25,B10,IF(G24&gt;G25,B10,AA49))*$I$26</f>
        <v>-6.9201597122315483E-19</v>
      </c>
      <c r="D10" s="801">
        <f>IF(G24&gt;G25,B10,AA49)*$I$25</f>
        <v>-6.9201597122315483E-19</v>
      </c>
      <c r="E10" s="801">
        <f>D10*I5</f>
        <v>-6.9201597122315483E-19</v>
      </c>
      <c r="F10" s="825">
        <f>W26</f>
        <v>28.298324387120299</v>
      </c>
      <c r="G10" s="826">
        <f>$W$65/$F$10</f>
        <v>1</v>
      </c>
      <c r="H10" s="827">
        <f t="shared" si="4"/>
        <v>-2.2219472880507339E-16</v>
      </c>
      <c r="I10" s="810">
        <f t="shared" si="4"/>
        <v>-5.9304642919503583E-18</v>
      </c>
      <c r="J10" s="800" t="s">
        <v>264</v>
      </c>
      <c r="K10" s="801"/>
      <c r="L10" s="801"/>
      <c r="N10" s="799" t="s">
        <v>265</v>
      </c>
      <c r="O10" s="801">
        <f>$A$33</f>
        <v>0.02</v>
      </c>
      <c r="P10" s="801">
        <f>O10</f>
        <v>0.02</v>
      </c>
      <c r="Q10" s="801">
        <f>P10/O10</f>
        <v>1</v>
      </c>
      <c r="R10" s="799" t="s">
        <v>1311</v>
      </c>
      <c r="S10" s="805">
        <f>S9-S5/$W$7</f>
        <v>0.75</v>
      </c>
      <c r="T10" s="805">
        <f>T9-T5/$W$7</f>
        <v>0.5</v>
      </c>
      <c r="U10" s="805">
        <f>U9-U5/$W$7</f>
        <v>0.25</v>
      </c>
      <c r="V10" s="805">
        <f>V9-V5/$W$7</f>
        <v>0</v>
      </c>
      <c r="Y10" s="802"/>
      <c r="Z10" s="799">
        <v>6</v>
      </c>
      <c r="AA10" s="823">
        <f>AC8*W19+AC9*W20+AC10*W18</f>
        <v>-1.3840319424463096E-19</v>
      </c>
      <c r="AB10" s="823"/>
      <c r="AC10" s="823">
        <f>F14</f>
        <v>0</v>
      </c>
      <c r="AD10" s="823"/>
      <c r="AE10" s="818" t="s">
        <v>1312</v>
      </c>
      <c r="AF10" s="823">
        <f>AC10/2</f>
        <v>0</v>
      </c>
      <c r="AG10" s="799"/>
      <c r="AH10" s="823"/>
      <c r="AI10" s="823"/>
      <c r="AJ10" s="823"/>
      <c r="AK10" s="823"/>
      <c r="AL10" s="823"/>
    </row>
    <row r="11" spans="1:38">
      <c r="B11" s="819" t="s">
        <v>217</v>
      </c>
      <c r="C11" s="821" t="s">
        <v>1315</v>
      </c>
      <c r="D11" s="821" t="s">
        <v>218</v>
      </c>
      <c r="E11" s="821" t="s">
        <v>1316</v>
      </c>
      <c r="F11" s="819" t="s">
        <v>219</v>
      </c>
      <c r="G11" s="821" t="s">
        <v>1319</v>
      </c>
      <c r="H11" s="821" t="s">
        <v>220</v>
      </c>
      <c r="I11" s="821" t="s">
        <v>1320</v>
      </c>
      <c r="J11" s="799" t="s">
        <v>1532</v>
      </c>
      <c r="K11" s="801">
        <f>$C$32</f>
        <v>0.64</v>
      </c>
      <c r="L11" s="801">
        <f>$D$19</f>
        <v>0.64</v>
      </c>
      <c r="M11" s="805">
        <f t="shared" ref="M11:M19" si="5">L11/K11</f>
        <v>1</v>
      </c>
      <c r="N11" s="799" t="s">
        <v>1533</v>
      </c>
      <c r="O11" s="801">
        <f>$B$33</f>
        <v>22.5</v>
      </c>
      <c r="P11" s="801">
        <f>O11*(1-L11)/(1-K11)</f>
        <v>22.5</v>
      </c>
      <c r="Q11" s="801">
        <f>P11/O11</f>
        <v>1</v>
      </c>
      <c r="R11" s="799" t="s">
        <v>1321</v>
      </c>
      <c r="S11" s="805">
        <f>S9-S10</f>
        <v>0.25</v>
      </c>
      <c r="T11" s="805">
        <f>T9-T10</f>
        <v>0.25</v>
      </c>
      <c r="U11" s="805">
        <f>U9-U10</f>
        <v>0.25</v>
      </c>
      <c r="V11" s="805">
        <f>V9-V10</f>
        <v>0.25</v>
      </c>
      <c r="W11" s="806" t="s">
        <v>1322</v>
      </c>
      <c r="X11" s="806"/>
      <c r="Y11" s="802"/>
      <c r="AA11" s="823"/>
      <c r="AB11" s="823"/>
      <c r="AC11" s="823"/>
      <c r="AD11" s="823"/>
      <c r="AE11" s="818"/>
      <c r="AF11" s="823"/>
      <c r="AG11" s="799"/>
      <c r="AH11" s="823"/>
      <c r="AI11" s="823"/>
      <c r="AJ11" s="823"/>
      <c r="AK11" s="823"/>
      <c r="AL11" s="823"/>
    </row>
    <row r="12" spans="1:38">
      <c r="A12" s="800" t="s">
        <v>214</v>
      </c>
      <c r="B12" s="828">
        <f t="shared" ref="B12:D14" si="6">B8/$H$4*1000</f>
        <v>-80.600736624404448</v>
      </c>
      <c r="C12" s="828">
        <f t="shared" si="6"/>
        <v>-403.00368312202227</v>
      </c>
      <c r="D12" s="828">
        <f t="shared" si="6"/>
        <v>-403.00368312202227</v>
      </c>
      <c r="E12" s="805">
        <f>B12*$G$26</f>
        <v>-403.00368312202227</v>
      </c>
      <c r="F12" s="829">
        <f>COS(C16/57.3)</f>
        <v>-0.99999997322770384</v>
      </c>
      <c r="G12" s="801">
        <f>F12*$I$26</f>
        <v>-4.999999866138519</v>
      </c>
      <c r="H12" s="801">
        <f>IF($I$25&gt;$I$26,AC47*$I$25,F12*$I$25)</f>
        <v>-4.999999866138519</v>
      </c>
      <c r="I12" s="805">
        <f>AC47*$G$26</f>
        <v>-4.999999866138519</v>
      </c>
      <c r="J12" s="799" t="s">
        <v>1534</v>
      </c>
      <c r="K12" s="804">
        <f>K5/K11</f>
        <v>298.4375</v>
      </c>
      <c r="L12" s="804">
        <f>$F$19*P6^$F$33</f>
        <v>298.4375</v>
      </c>
      <c r="M12" s="805">
        <f t="shared" si="5"/>
        <v>1</v>
      </c>
      <c r="N12" s="798" t="s">
        <v>1535</v>
      </c>
      <c r="O12" s="801"/>
      <c r="P12" s="801"/>
      <c r="Q12" s="801"/>
      <c r="R12" s="799"/>
      <c r="S12" s="817"/>
      <c r="T12" s="817"/>
      <c r="U12" s="817"/>
      <c r="V12" s="826"/>
      <c r="W12" s="802">
        <f>H4/1000</f>
        <v>1E-3</v>
      </c>
      <c r="Y12" s="802"/>
      <c r="Z12" s="800" t="s">
        <v>1323</v>
      </c>
      <c r="AA12" s="823"/>
      <c r="AB12" s="823"/>
      <c r="AC12" s="823"/>
      <c r="AD12" s="823"/>
      <c r="AE12" s="818"/>
      <c r="AF12" s="823"/>
      <c r="AG12" s="799"/>
      <c r="AH12" s="823"/>
      <c r="AI12" s="823"/>
      <c r="AJ12" s="823"/>
      <c r="AK12" s="823"/>
      <c r="AL12" s="823"/>
    </row>
    <row r="13" spans="1:38">
      <c r="A13" s="800" t="s">
        <v>215</v>
      </c>
      <c r="B13" s="828">
        <f t="shared" si="6"/>
        <v>-23.990993068203263</v>
      </c>
      <c r="C13" s="828">
        <f t="shared" si="6"/>
        <v>-119.95496534101632</v>
      </c>
      <c r="D13" s="828">
        <f t="shared" si="6"/>
        <v>-119.95496534101632</v>
      </c>
      <c r="E13" s="805">
        <f>B13*$G$26</f>
        <v>-119.95496534101632</v>
      </c>
      <c r="F13" s="829">
        <f>SIN(C16/57.3)</f>
        <v>2.3139704322540602E-4</v>
      </c>
      <c r="G13" s="830">
        <f>F13*$I$26</f>
        <v>1.15698521612703E-3</v>
      </c>
      <c r="H13" s="801">
        <f>IF($I$25&gt;$I$26,AC48*$I$25,F13*$I$25)</f>
        <v>1.15698521612703E-3</v>
      </c>
      <c r="I13" s="805">
        <f>AC48*$G$26</f>
        <v>1.15698521612703E-3</v>
      </c>
      <c r="J13" s="799" t="s">
        <v>1536</v>
      </c>
      <c r="K13" s="801">
        <f>$F$30</f>
        <v>3.4</v>
      </c>
      <c r="L13" s="801">
        <f>$E$19*P6^$F$32</f>
        <v>3.4</v>
      </c>
      <c r="M13" s="805">
        <f t="shared" si="5"/>
        <v>1</v>
      </c>
      <c r="N13" s="799" t="s">
        <v>1537</v>
      </c>
      <c r="O13" s="801">
        <f>$C$33</f>
        <v>0</v>
      </c>
      <c r="P13" s="801">
        <f>O13</f>
        <v>0</v>
      </c>
      <c r="Q13" s="801">
        <v>1</v>
      </c>
      <c r="R13" s="799"/>
      <c r="S13" s="817"/>
      <c r="T13" s="817"/>
      <c r="U13" s="817"/>
      <c r="V13" s="826"/>
      <c r="X13" s="810">
        <f>W15/W12</f>
        <v>80.606294543459924</v>
      </c>
      <c r="Z13" s="799" t="s">
        <v>1324</v>
      </c>
      <c r="AA13" s="810">
        <f>$AF$8+$AF$9*COS(AA4)+$AF$10*SIN(AA4)</f>
        <v>-0.99999997322770384</v>
      </c>
      <c r="AB13" s="810">
        <f>$AF$8+$AF$9*COS(AB4)+$AF$10*SIN(AB4)</f>
        <v>-0.49988428809223928</v>
      </c>
      <c r="AC13" s="810">
        <f>$AF$8+$AF$9*COS(AC4)+$AF$10*SIN(AC4)</f>
        <v>-0.49988428809223928</v>
      </c>
      <c r="AD13" s="810">
        <f>$AF$8+$AF$9*COS(AD4)+$AF$10*SIN(AD4)</f>
        <v>2.313970432254453E-4</v>
      </c>
      <c r="AE13" s="818"/>
      <c r="AF13" s="823"/>
      <c r="AG13" s="800"/>
      <c r="AH13" s="818"/>
      <c r="AI13" s="818"/>
      <c r="AJ13" s="818"/>
      <c r="AK13" s="818"/>
      <c r="AL13" s="823"/>
    </row>
    <row r="14" spans="1:38">
      <c r="A14" s="800" t="s">
        <v>216</v>
      </c>
      <c r="B14" s="828">
        <f t="shared" si="6"/>
        <v>-1.3840319424463096E-16</v>
      </c>
      <c r="C14" s="828">
        <f t="shared" si="6"/>
        <v>-6.9201597122315485E-16</v>
      </c>
      <c r="D14" s="828">
        <f t="shared" si="6"/>
        <v>-6.9201597122315485E-16</v>
      </c>
      <c r="E14" s="805">
        <f>B14*$G$26</f>
        <v>-6.9201597122315475E-16</v>
      </c>
      <c r="F14" s="811">
        <v>0</v>
      </c>
      <c r="G14" s="801">
        <f>F14*$I$26</f>
        <v>0</v>
      </c>
      <c r="H14" s="801">
        <f>IF($I$25&gt;$I$26,AC49*$I$25,F14*$I$25)</f>
        <v>0</v>
      </c>
      <c r="I14" s="805">
        <f>AC49*$G$26</f>
        <v>0</v>
      </c>
      <c r="J14" s="799" t="s">
        <v>1538</v>
      </c>
      <c r="K14" s="801">
        <f>$E$32</f>
        <v>0.52</v>
      </c>
      <c r="L14" s="801">
        <f>K14*P6^$G$32</f>
        <v>0.52</v>
      </c>
      <c r="M14" s="805">
        <f t="shared" si="5"/>
        <v>1</v>
      </c>
      <c r="N14" s="799" t="s">
        <v>1539</v>
      </c>
      <c r="O14" s="801">
        <f>$D$33</f>
        <v>0.6</v>
      </c>
      <c r="P14" s="801">
        <f>O14*(1-L11)/(1-K11)</f>
        <v>0.6</v>
      </c>
      <c r="Q14" s="801">
        <f>P14/O14</f>
        <v>1</v>
      </c>
      <c r="R14" s="799" t="s">
        <v>1325</v>
      </c>
      <c r="S14" s="806" t="s">
        <v>1326</v>
      </c>
      <c r="T14" s="806" t="s">
        <v>1327</v>
      </c>
      <c r="U14" s="806" t="s">
        <v>1328</v>
      </c>
      <c r="V14" s="806" t="s">
        <v>1329</v>
      </c>
      <c r="W14" s="806" t="s">
        <v>1330</v>
      </c>
      <c r="X14" s="806" t="s">
        <v>1331</v>
      </c>
      <c r="Y14" s="799"/>
      <c r="Z14" s="799" t="s">
        <v>1332</v>
      </c>
      <c r="AA14" s="810">
        <f>2*$AF$8-AA13</f>
        <v>2.3139704322538979E-4</v>
      </c>
      <c r="AB14" s="810">
        <f>2*$AF$8-AB13</f>
        <v>-0.49988428809223917</v>
      </c>
      <c r="AC14" s="810">
        <f>2*$AF$8-AC13</f>
        <v>-0.49988428809223917</v>
      </c>
      <c r="AD14" s="810">
        <f>2*$AF$8-AD13</f>
        <v>-0.99999997322770384</v>
      </c>
      <c r="AE14" s="823"/>
      <c r="AF14" s="823"/>
      <c r="AG14" s="799" t="s">
        <v>1333</v>
      </c>
      <c r="AH14" s="810">
        <f>$P$33*AH7^2+2*$P$35*AH7*AH8+$P$34*AH8^2+$P$36*AH9^2</f>
        <v>0.04</v>
      </c>
      <c r="AI14" s="810">
        <f>$P$33*AI7^2+2*$P$35*AI7*AI8+$P$34*AI8^2+$P$36*AI9^2</f>
        <v>1.999074411851879E-2</v>
      </c>
      <c r="AJ14" s="810">
        <f>$P$33*AJ7^2+2*$P$35*AJ7*AJ8+$P$34*AJ8^2+$P$36*AJ9^2</f>
        <v>1.999074411851879E-2</v>
      </c>
      <c r="AK14" s="810">
        <f>$P$33*AK7^2+2*$P$35*AK7*AK8+$P$34*AK8^2+$P$36*AK9^2</f>
        <v>0.04</v>
      </c>
      <c r="AL14" s="823"/>
    </row>
    <row r="15" spans="1:38">
      <c r="B15" s="798">
        <f>(H12+H13)/2</f>
        <v>-2.4994214404611959</v>
      </c>
      <c r="C15" s="798">
        <f>(I12-I13)/2</f>
        <v>-2.5005784256773231</v>
      </c>
      <c r="D15" s="831">
        <f xml:space="preserve"> (C15^2+(I14/2)^2)^0.5</f>
        <v>2.5005784256773231</v>
      </c>
      <c r="E15" s="831"/>
      <c r="F15" s="801">
        <f>C16</f>
        <v>180</v>
      </c>
      <c r="G15" s="801" t="s">
        <v>234</v>
      </c>
      <c r="H15" s="801">
        <f>(D12^2+D13^2)^0.5</f>
        <v>420.4773029782699</v>
      </c>
      <c r="I15" s="801">
        <f>(I12^2+I13^2)^0.5</f>
        <v>5</v>
      </c>
      <c r="J15" s="799" t="s">
        <v>1547</v>
      </c>
      <c r="K15" s="801">
        <f>K14*(1-K11)/K11</f>
        <v>0.29249999999999998</v>
      </c>
      <c r="L15" s="801">
        <f>L14*(1-L11)/L11</f>
        <v>0.29249999999999998</v>
      </c>
      <c r="M15" s="805">
        <f t="shared" si="5"/>
        <v>1</v>
      </c>
      <c r="O15" s="801"/>
      <c r="P15" s="801"/>
      <c r="Q15" s="801"/>
      <c r="R15" s="799">
        <v>11</v>
      </c>
      <c r="S15" s="801">
        <f>$L$27+$L$28*COS(S6)+$L$29*COS(S7)</f>
        <v>192.22546248373467</v>
      </c>
      <c r="T15" s="801">
        <f>$L$27+$L$28*COS(T6)+$L$29*COS(T7)</f>
        <v>60.097970156339628</v>
      </c>
      <c r="U15" s="801">
        <f>$L$27+$L$28*COS(U6)+$L$29*COS(U7)</f>
        <v>60.097970156339628</v>
      </c>
      <c r="V15" s="801">
        <f>$L$27+$L$28*COS(V6)+$L$29*COS(V7)</f>
        <v>10.003775377425772</v>
      </c>
      <c r="W15" s="801">
        <f t="shared" ref="W15:W20" si="7">($S$11*S15+$T$11*T15+$U$11*U15+$V$11*V15)*$W$12</f>
        <v>8.0606294543459925E-2</v>
      </c>
      <c r="X15" s="801">
        <f t="shared" ref="X15:X20" si="8">W15/$W$12</f>
        <v>80.606294543459924</v>
      </c>
      <c r="Y15" s="806"/>
      <c r="Z15" s="799" t="s">
        <v>1334</v>
      </c>
      <c r="AA15" s="810">
        <f>2*($AF$10*COS(AA4)-$AF$9*SIN(AA4))</f>
        <v>0</v>
      </c>
      <c r="AB15" s="810">
        <f>2*($AF$10*COS(AB4)-$AF$9*SIN(AB4))</f>
        <v>1.0002313702709293</v>
      </c>
      <c r="AC15" s="810">
        <f>2*($AF$10*COS(AC4)-$AF$9*SIN(AC4))</f>
        <v>-1.0002313702709293</v>
      </c>
      <c r="AD15" s="810">
        <f>2*($AF$10*COS(AD4)-$AF$9*SIN(AD4))</f>
        <v>1.2254319178385608E-16</v>
      </c>
      <c r="AE15" s="823"/>
      <c r="AF15" s="823"/>
      <c r="AG15" s="799" t="s">
        <v>1335</v>
      </c>
      <c r="AH15" s="810">
        <f>$P$37*AH7+$P$38*AH8</f>
        <v>0</v>
      </c>
      <c r="AI15" s="810">
        <f>$P$37*AI7+$P$38*AI8</f>
        <v>0</v>
      </c>
      <c r="AJ15" s="810">
        <f>$P$37*AJ7+$P$38*AJ8</f>
        <v>0</v>
      </c>
      <c r="AK15" s="810">
        <f>$P$37*AK7+$P$38*AK8</f>
        <v>0</v>
      </c>
      <c r="AL15" s="823"/>
    </row>
    <row r="16" spans="1:38">
      <c r="A16" s="832" t="s">
        <v>1544</v>
      </c>
      <c r="B16" s="833" t="s">
        <v>1545</v>
      </c>
      <c r="C16" s="834">
        <v>180</v>
      </c>
      <c r="D16" s="835" t="s">
        <v>1546</v>
      </c>
      <c r="E16" s="834">
        <f>G12</f>
        <v>-4.999999866138519</v>
      </c>
      <c r="F16" s="834">
        <f>G13</f>
        <v>1.15698521612703E-3</v>
      </c>
      <c r="G16" s="834">
        <f>D25</f>
        <v>6.3775201396450072</v>
      </c>
      <c r="H16" s="798">
        <f>P33+P34+2*P36</f>
        <v>80000</v>
      </c>
      <c r="I16" s="801">
        <f>1000/(H16)^0.5</f>
        <v>3.5355339059327373</v>
      </c>
      <c r="J16" s="799" t="s">
        <v>1548</v>
      </c>
      <c r="K16" s="801">
        <f>1/((1+K15)/K6-K15/K13)</f>
        <v>22.726875357250929</v>
      </c>
      <c r="L16" s="801">
        <f>K16*P6^$F$33</f>
        <v>22.726875357250929</v>
      </c>
      <c r="M16" s="805">
        <f t="shared" si="5"/>
        <v>1</v>
      </c>
      <c r="N16" s="798" t="s">
        <v>1549</v>
      </c>
      <c r="O16" s="801"/>
      <c r="P16" s="801"/>
      <c r="Q16" s="801"/>
      <c r="R16" s="799">
        <v>22</v>
      </c>
      <c r="S16" s="801">
        <f>S15-2*$L$28*COS(S6)</f>
        <v>10.003775377425768</v>
      </c>
      <c r="T16" s="801">
        <f>T15-2*$L$28*COS(T6)</f>
        <v>60.097970156339613</v>
      </c>
      <c r="U16" s="801">
        <f>U15-2*$L$28*COS(U6)</f>
        <v>60.097970156339613</v>
      </c>
      <c r="V16" s="801">
        <f>V15-2*$L$28*COS(V6)</f>
        <v>192.22546248373467</v>
      </c>
      <c r="W16" s="801">
        <f t="shared" si="7"/>
        <v>8.0606294543459911E-2</v>
      </c>
      <c r="X16" s="801">
        <f t="shared" si="8"/>
        <v>80.60629454345991</v>
      </c>
      <c r="Y16" s="806"/>
      <c r="Z16" s="799"/>
      <c r="AA16" s="823"/>
      <c r="AB16" s="823"/>
      <c r="AC16" s="823"/>
      <c r="AD16" s="823"/>
      <c r="AE16" s="823"/>
      <c r="AF16" s="823"/>
      <c r="AG16" s="799" t="s">
        <v>1344</v>
      </c>
      <c r="AH16" s="810">
        <f>AH15/2/AH14</f>
        <v>0</v>
      </c>
      <c r="AI16" s="810">
        <f>AI15/2/AI14</f>
        <v>0</v>
      </c>
      <c r="AJ16" s="810">
        <f>AJ15/2/AJ14</f>
        <v>0</v>
      </c>
      <c r="AK16" s="810">
        <f>AK15/2/AK14</f>
        <v>0</v>
      </c>
      <c r="AL16" s="823"/>
    </row>
    <row r="17" spans="1:38">
      <c r="B17" s="800" t="s">
        <v>1336</v>
      </c>
      <c r="C17" s="836" t="s">
        <v>1976</v>
      </c>
      <c r="D17" s="821" t="s">
        <v>1338</v>
      </c>
      <c r="E17" s="800" t="s">
        <v>1339</v>
      </c>
      <c r="F17" s="800" t="s">
        <v>1340</v>
      </c>
      <c r="G17" s="800" t="s">
        <v>1341</v>
      </c>
      <c r="H17" s="800" t="s">
        <v>221</v>
      </c>
      <c r="I17" s="800" t="s">
        <v>222</v>
      </c>
      <c r="J17" s="799" t="s">
        <v>295</v>
      </c>
      <c r="K17" s="801">
        <f>$E$33</f>
        <v>0.32</v>
      </c>
      <c r="L17" s="801">
        <f>K17*P6^$G$32</f>
        <v>0.32</v>
      </c>
      <c r="M17" s="805">
        <f t="shared" si="5"/>
        <v>1</v>
      </c>
      <c r="N17" s="799" t="s">
        <v>296</v>
      </c>
      <c r="O17" s="804">
        <f>$A$31</f>
        <v>3250</v>
      </c>
      <c r="P17" s="804">
        <f>P23*L11</f>
        <v>3250</v>
      </c>
      <c r="Q17" s="801">
        <f t="shared" ref="Q17:Q24" si="9">P17/O17</f>
        <v>1</v>
      </c>
      <c r="R17" s="799" t="s">
        <v>1345</v>
      </c>
      <c r="S17" s="801">
        <f>$L$30-$L$29*COS(S7)</f>
        <v>3.5013213820990217</v>
      </c>
      <c r="T17" s="801">
        <f>$L$30-$L$29*COS(T7)</f>
        <v>44.517970156339622</v>
      </c>
      <c r="U17" s="801">
        <f>$L$30-$L$29*COS(U7)</f>
        <v>44.517970156339622</v>
      </c>
      <c r="V17" s="801">
        <f>$L$30-$L$29*COS(V7)</f>
        <v>3.5013213820990217</v>
      </c>
      <c r="W17" s="801">
        <f t="shared" si="7"/>
        <v>2.4009645769219323E-2</v>
      </c>
      <c r="X17" s="801">
        <f t="shared" si="8"/>
        <v>24.009645769219322</v>
      </c>
      <c r="Y17" s="806"/>
      <c r="Z17" s="799" t="s">
        <v>1346</v>
      </c>
      <c r="AA17" s="810">
        <f>IF(ABS(AA21/AA23)&lt;0.000000001,0,AA21)</f>
        <v>-4.7206430801416052E-4</v>
      </c>
      <c r="AB17" s="810">
        <f>IF(ABS(AB21/AB23)&lt;0.000000001,0,AB21)</f>
        <v>-0.50058774944347872</v>
      </c>
      <c r="AC17" s="810">
        <f>IF(ABS(AC21/AC23)&lt;0.000000001,0,AC21)</f>
        <v>-0.50058774944347872</v>
      </c>
      <c r="AD17" s="810">
        <f>IF(ABS(AD21/AD23)&lt;0.000000001,0,AD21)</f>
        <v>-1.0007034345789434</v>
      </c>
      <c r="AE17" s="823"/>
      <c r="AF17" s="823"/>
      <c r="AG17" s="799"/>
      <c r="AH17" s="823"/>
      <c r="AI17" s="823"/>
      <c r="AJ17" s="823"/>
      <c r="AK17" s="823"/>
      <c r="AL17" s="823"/>
    </row>
    <row r="18" spans="1:38">
      <c r="A18" s="800" t="s">
        <v>223</v>
      </c>
      <c r="B18" s="815">
        <f>O2</f>
        <v>22</v>
      </c>
      <c r="C18" s="826">
        <f>O3</f>
        <v>5.0000000000000001E-3</v>
      </c>
      <c r="D18" s="805">
        <f>K11</f>
        <v>0.64</v>
      </c>
      <c r="E18" s="805">
        <f>K13</f>
        <v>3.4</v>
      </c>
      <c r="F18" s="837">
        <f>K12</f>
        <v>298.4375</v>
      </c>
      <c r="G18" s="815">
        <f>O24</f>
        <v>62</v>
      </c>
      <c r="H18" s="837">
        <f>O23</f>
        <v>5078.125</v>
      </c>
      <c r="I18" s="801">
        <f>A34</f>
        <v>0.15</v>
      </c>
      <c r="J18" s="799" t="s">
        <v>301</v>
      </c>
      <c r="K18" s="801">
        <f>K17*(1-K11)/K11</f>
        <v>0.18</v>
      </c>
      <c r="L18" s="801">
        <f>L17*(1-L11)/L11</f>
        <v>0.18</v>
      </c>
      <c r="M18" s="805">
        <f t="shared" si="5"/>
        <v>1</v>
      </c>
      <c r="N18" s="799" t="s">
        <v>302</v>
      </c>
      <c r="O18" s="804">
        <f>$B$31</f>
        <v>1600</v>
      </c>
      <c r="P18" s="804">
        <f>O18*Q17*M8^E34</f>
        <v>1600</v>
      </c>
      <c r="Q18" s="801">
        <f t="shared" si="9"/>
        <v>1</v>
      </c>
      <c r="R18" s="799">
        <v>66</v>
      </c>
      <c r="S18" s="801">
        <f>S17-$L$30+$L$31</f>
        <v>7.7900000000000027</v>
      </c>
      <c r="T18" s="801">
        <f>T17-$L$30+$L$31</f>
        <v>48.8066487742406</v>
      </c>
      <c r="U18" s="801">
        <f>U17-$L$30+$L$31</f>
        <v>48.8066487742406</v>
      </c>
      <c r="V18" s="801">
        <f>V17-$L$30+$L$31</f>
        <v>7.7900000000000027</v>
      </c>
      <c r="W18" s="801">
        <f t="shared" si="7"/>
        <v>2.8298324387120304E-2</v>
      </c>
      <c r="X18" s="801">
        <f t="shared" si="8"/>
        <v>28.298324387120303</v>
      </c>
      <c r="Y18" s="806"/>
      <c r="Z18" s="799"/>
      <c r="AA18" s="810"/>
      <c r="AB18" s="810"/>
      <c r="AC18" s="810"/>
      <c r="AD18" s="810"/>
      <c r="AE18" s="823"/>
      <c r="AF18" s="823"/>
      <c r="AG18" s="799"/>
      <c r="AH18" s="823"/>
      <c r="AI18" s="810"/>
      <c r="AJ18" s="823"/>
      <c r="AK18" s="823"/>
      <c r="AL18" s="823"/>
    </row>
    <row r="19" spans="1:38">
      <c r="A19" s="800" t="s">
        <v>297</v>
      </c>
      <c r="B19" s="838">
        <f>B18</f>
        <v>22</v>
      </c>
      <c r="C19" s="839">
        <v>5.0000000000000001E-3</v>
      </c>
      <c r="D19" s="840">
        <f>D18</f>
        <v>0.64</v>
      </c>
      <c r="E19" s="840">
        <f>E18</f>
        <v>3.4</v>
      </c>
      <c r="F19" s="841">
        <f>F18</f>
        <v>298.4375</v>
      </c>
      <c r="G19" s="838">
        <f>G18</f>
        <v>62</v>
      </c>
      <c r="H19" s="842">
        <f>H18</f>
        <v>5078.125</v>
      </c>
      <c r="I19" s="840">
        <v>1</v>
      </c>
      <c r="J19" s="799" t="s">
        <v>304</v>
      </c>
      <c r="K19" s="801">
        <f>1/((1+K18)/K8-K18*2.7/K13)</f>
        <v>117.16358488896765</v>
      </c>
      <c r="L19" s="801">
        <f>K19*P6^$G$33</f>
        <v>117.16358488896765</v>
      </c>
      <c r="M19" s="805">
        <f t="shared" si="5"/>
        <v>1</v>
      </c>
      <c r="N19" s="799" t="s">
        <v>305</v>
      </c>
      <c r="O19" s="804">
        <f>$C$31</f>
        <v>62</v>
      </c>
      <c r="P19" s="804">
        <f>O19*Q24</f>
        <v>62</v>
      </c>
      <c r="Q19" s="801">
        <f t="shared" si="9"/>
        <v>1</v>
      </c>
      <c r="R19" s="799" t="s">
        <v>1347</v>
      </c>
      <c r="S19" s="801">
        <f>$L$28*SIN(S6)/2+$L$29*SIN(S7)</f>
        <v>0</v>
      </c>
      <c r="T19" s="801">
        <f>$L$28*SIN(T6)/2+$L$29*SIN(T7)</f>
        <v>45.555421776577226</v>
      </c>
      <c r="U19" s="801">
        <f>$L$28*SIN(U6)/2+$L$29*SIN(U7)</f>
        <v>-45.555421776577226</v>
      </c>
      <c r="V19" s="801">
        <f>$L$28*SIN(V6)/2+$L$29*SIN(V7)</f>
        <v>5.5606707309936756E-16</v>
      </c>
      <c r="W19" s="801">
        <f t="shared" si="7"/>
        <v>1.3901676827484189E-19</v>
      </c>
      <c r="X19" s="801">
        <f t="shared" si="8"/>
        <v>1.3901676827484189E-16</v>
      </c>
      <c r="Y19" s="806"/>
      <c r="Z19" s="800" t="s">
        <v>1323</v>
      </c>
      <c r="AA19" s="823"/>
      <c r="AB19" s="823"/>
      <c r="AC19" s="823"/>
      <c r="AD19" s="823"/>
      <c r="AF19" s="798"/>
      <c r="AG19" s="799"/>
      <c r="AH19" s="823"/>
      <c r="AI19" s="823"/>
      <c r="AJ19" s="823"/>
      <c r="AK19" s="823"/>
      <c r="AL19" s="818" t="s">
        <v>1348</v>
      </c>
    </row>
    <row r="20" spans="1:38">
      <c r="A20" s="809" t="s">
        <v>224</v>
      </c>
      <c r="B20" s="826">
        <f t="shared" ref="B20:H20" si="10">B19/B18</f>
        <v>1</v>
      </c>
      <c r="C20" s="826">
        <f t="shared" si="10"/>
        <v>1</v>
      </c>
      <c r="D20" s="826">
        <f t="shared" si="10"/>
        <v>1</v>
      </c>
      <c r="E20" s="826">
        <f t="shared" si="10"/>
        <v>1</v>
      </c>
      <c r="F20" s="826">
        <f t="shared" si="10"/>
        <v>1</v>
      </c>
      <c r="G20" s="826">
        <f t="shared" si="10"/>
        <v>1</v>
      </c>
      <c r="H20" s="810">
        <f t="shared" si="10"/>
        <v>1</v>
      </c>
      <c r="I20" s="810"/>
      <c r="L20" s="801"/>
      <c r="N20" s="799" t="s">
        <v>1542</v>
      </c>
      <c r="O20" s="804">
        <f>$D$31</f>
        <v>98</v>
      </c>
      <c r="P20" s="804">
        <f>O20*Q24</f>
        <v>98</v>
      </c>
      <c r="Q20" s="801">
        <f t="shared" si="9"/>
        <v>1</v>
      </c>
      <c r="R20" s="799" t="s">
        <v>1349</v>
      </c>
      <c r="S20" s="801">
        <f>$L$28*SIN(S6)-S19</f>
        <v>0</v>
      </c>
      <c r="T20" s="801">
        <f>$L$28*SIN(T6)-T19</f>
        <v>45.555421776577226</v>
      </c>
      <c r="U20" s="801">
        <f>$L$28*SIN(U6)-U19</f>
        <v>-45.555421776577226</v>
      </c>
      <c r="V20" s="801">
        <f>$L$28*SIN(V6)-V19</f>
        <v>1.060636384735745E-14</v>
      </c>
      <c r="W20" s="801">
        <f t="shared" si="7"/>
        <v>2.6515909618393625E-18</v>
      </c>
      <c r="X20" s="801">
        <f t="shared" si="8"/>
        <v>2.6515909618393625E-15</v>
      </c>
      <c r="Y20" s="806"/>
      <c r="Z20" s="799" t="s">
        <v>1350</v>
      </c>
      <c r="AA20" s="810">
        <f t="shared" ref="AA20:AD22" si="11">AA13+AH23</f>
        <v>-0.99995143457894342</v>
      </c>
      <c r="AB20" s="810">
        <f t="shared" si="11"/>
        <v>-0.49983574944347881</v>
      </c>
      <c r="AC20" s="810">
        <f t="shared" si="11"/>
        <v>-0.49983574944347881</v>
      </c>
      <c r="AD20" s="810">
        <f t="shared" si="11"/>
        <v>2.7993569198589516E-4</v>
      </c>
      <c r="AF20" s="798"/>
      <c r="AG20" s="799" t="s">
        <v>1351</v>
      </c>
      <c r="AH20" s="810">
        <f>(AH16^2+1/AH14)^0.5-AH16</f>
        <v>5</v>
      </c>
      <c r="AI20" s="810">
        <f>(AI16^2+1/AI14)^0.5-AI16</f>
        <v>7.0727046041510242</v>
      </c>
      <c r="AJ20" s="810">
        <f>(AJ16^2+1/AJ14)^0.5-AJ16</f>
        <v>7.0727046041510242</v>
      </c>
      <c r="AK20" s="810">
        <f>(AK16^2+1/AK14)^0.5-AK16</f>
        <v>5</v>
      </c>
      <c r="AL20" s="810">
        <f>MIN(AH21:AK21)</f>
        <v>5</v>
      </c>
    </row>
    <row r="21" spans="1:38">
      <c r="A21" s="800" t="s">
        <v>1540</v>
      </c>
      <c r="B21" s="815">
        <f>B19-B18</f>
        <v>0</v>
      </c>
      <c r="C21" s="826">
        <f>C19-C18</f>
        <v>0</v>
      </c>
      <c r="D21" s="809" t="s">
        <v>1541</v>
      </c>
      <c r="E21" s="805">
        <f>L13</f>
        <v>3.4</v>
      </c>
      <c r="F21" s="837">
        <f>L12</f>
        <v>298.4375</v>
      </c>
      <c r="G21" s="815">
        <f>P24</f>
        <v>62</v>
      </c>
      <c r="H21" s="804">
        <f>P23</f>
        <v>5078.125</v>
      </c>
      <c r="J21" s="798" t="s">
        <v>1352</v>
      </c>
      <c r="N21" s="799" t="s">
        <v>1543</v>
      </c>
      <c r="O21" s="837">
        <f>$E$31</f>
        <v>75</v>
      </c>
      <c r="P21" s="837">
        <f>O21*Q24</f>
        <v>75</v>
      </c>
      <c r="Q21" s="801">
        <f t="shared" si="9"/>
        <v>1</v>
      </c>
      <c r="R21" s="800"/>
      <c r="V21" s="806" t="s">
        <v>1353</v>
      </c>
      <c r="W21" s="802">
        <f>W15*W16*W18+2*W17*W19*W20-W16*W19^2-W18*W17^2-W15*W20^2</f>
        <v>1.675518779750137E-4</v>
      </c>
      <c r="Z21" s="799" t="s">
        <v>1346</v>
      </c>
      <c r="AA21" s="810">
        <f t="shared" si="11"/>
        <v>-4.7206430801416052E-4</v>
      </c>
      <c r="AB21" s="810">
        <f t="shared" si="11"/>
        <v>-0.50058774944347872</v>
      </c>
      <c r="AC21" s="810">
        <f t="shared" si="11"/>
        <v>-0.50058774944347872</v>
      </c>
      <c r="AD21" s="810">
        <f t="shared" si="11"/>
        <v>-1.0007034345789434</v>
      </c>
      <c r="AF21" s="798"/>
      <c r="AG21" s="799"/>
      <c r="AH21" s="810">
        <f>IF(AH3=0,1000000000,AH20)</f>
        <v>5</v>
      </c>
      <c r="AI21" s="810">
        <f>IF(AI3=0,1000000000,AI20)</f>
        <v>7.0727046041510242</v>
      </c>
      <c r="AJ21" s="810">
        <f>IF(AJ3=0,1000000000,AJ20)</f>
        <v>7.0727046041510242</v>
      </c>
      <c r="AK21" s="810">
        <f>IF(AK3=0,1000000000,AK20)</f>
        <v>5</v>
      </c>
    </row>
    <row r="22" spans="1:38">
      <c r="J22" s="799" t="s">
        <v>1354</v>
      </c>
      <c r="K22" s="801">
        <f>K5/(1-K7^2*K6/K5)</f>
        <v>192.22546248373467</v>
      </c>
      <c r="L22" s="801">
        <f>L5/(1-L7^2*L6/L5)</f>
        <v>192.22546248373467</v>
      </c>
      <c r="M22" s="805">
        <f>L22/K22</f>
        <v>1</v>
      </c>
      <c r="N22" s="799" t="s">
        <v>1568</v>
      </c>
      <c r="O22" s="805">
        <v>0</v>
      </c>
      <c r="P22" s="805">
        <v>0</v>
      </c>
      <c r="Q22" s="801" t="e">
        <f t="shared" si="9"/>
        <v>#DIV/0!</v>
      </c>
      <c r="R22" s="799" t="s">
        <v>1355</v>
      </c>
      <c r="S22" s="806" t="s">
        <v>1356</v>
      </c>
      <c r="T22" s="806"/>
      <c r="U22" s="821" t="s">
        <v>1357</v>
      </c>
      <c r="V22" s="806"/>
      <c r="W22" s="806" t="s">
        <v>1358</v>
      </c>
      <c r="X22" s="806"/>
      <c r="Y22" s="799"/>
      <c r="Z22" s="799" t="s">
        <v>1359</v>
      </c>
      <c r="AA22" s="810">
        <f t="shared" si="11"/>
        <v>-7.4328485792444562E-21</v>
      </c>
      <c r="AB22" s="810">
        <f t="shared" si="11"/>
        <v>1.0002313702709293</v>
      </c>
      <c r="AC22" s="810">
        <f t="shared" si="11"/>
        <v>-1.0002313702709293</v>
      </c>
      <c r="AD22" s="810">
        <f t="shared" si="11"/>
        <v>1.2255062463243532E-16</v>
      </c>
      <c r="AF22" s="798"/>
      <c r="AG22" s="798" t="s">
        <v>1360</v>
      </c>
      <c r="AH22" s="810">
        <f>IF(AH3=0,0,AH20)</f>
        <v>5</v>
      </c>
      <c r="AI22" s="810">
        <f>IF(AI3=0,0,AI20)</f>
        <v>7.0727046041510242</v>
      </c>
      <c r="AJ22" s="810">
        <f>IF(AJ3=0,0,AJ20)</f>
        <v>7.0727046041510242</v>
      </c>
      <c r="AK22" s="810">
        <f>IF(AK3=0,0,AK20)</f>
        <v>5</v>
      </c>
    </row>
    <row r="23" spans="1:38">
      <c r="B23" s="803" t="s">
        <v>202</v>
      </c>
      <c r="C23" s="803" t="s">
        <v>203</v>
      </c>
      <c r="D23" s="803" t="s">
        <v>204</v>
      </c>
      <c r="E23" s="803" t="s">
        <v>205</v>
      </c>
      <c r="J23" s="799" t="s">
        <v>1361</v>
      </c>
      <c r="K23" s="801">
        <f>K22*K6/K5</f>
        <v>10.003775377425772</v>
      </c>
      <c r="L23" s="801">
        <f>L22*L6/L5</f>
        <v>10.003775377425772</v>
      </c>
      <c r="M23" s="805">
        <f>L23/K23</f>
        <v>1</v>
      </c>
      <c r="N23" s="799" t="s">
        <v>1530</v>
      </c>
      <c r="O23" s="804">
        <f>O17/K11</f>
        <v>5078.125</v>
      </c>
      <c r="P23" s="804">
        <f>$H$19*P6^$G$33</f>
        <v>5078.125</v>
      </c>
      <c r="Q23" s="801">
        <f t="shared" si="9"/>
        <v>1</v>
      </c>
      <c r="R23" s="799">
        <v>11</v>
      </c>
      <c r="S23" s="801">
        <f>(W16*W18-W20^2)/W21</f>
        <v>13.613831717092141</v>
      </c>
      <c r="U23" s="802">
        <f t="shared" ref="U23:U28" si="12">S23*$W$12</f>
        <v>1.3613831717092142E-2</v>
      </c>
      <c r="V23" s="802"/>
      <c r="W23" s="801">
        <f>1/U23</f>
        <v>73.454705536318755</v>
      </c>
      <c r="Y23" s="802"/>
      <c r="Z23" s="799" t="s">
        <v>1363</v>
      </c>
      <c r="AA23" s="810">
        <f>SQRT(AA20^2+AA21^2+AA22^2)</f>
        <v>0.99995154600670422</v>
      </c>
      <c r="AB23" s="810">
        <f>SQRT(AB20^2+AB21^2+AB22^2)</f>
        <v>1.2251067975440639</v>
      </c>
      <c r="AC23" s="810">
        <f>SQRT(AC20^2+AC21^2+AC22^2)</f>
        <v>1.2251067975440639</v>
      </c>
      <c r="AD23" s="810">
        <f>SQRT(AD20^2+AD21^2+AD22^2)</f>
        <v>1.000703473733396</v>
      </c>
      <c r="AF23" s="798"/>
      <c r="AG23" s="799" t="s">
        <v>1364</v>
      </c>
      <c r="AH23" s="843">
        <f>$AL$7+$AL$8*COS(AH4)+$AL$9*SIN(AH4)-$V$37</f>
        <v>4.8538648760449789E-5</v>
      </c>
      <c r="AI23" s="823">
        <f>$AL$7+$AL$8*COS(AI4)+$AL$9*SIN(AI4)-$V$37</f>
        <v>4.8538648760449823E-5</v>
      </c>
      <c r="AJ23" s="823">
        <f>$AL$7+$AL$8*COS(AJ4)+$AL$9*SIN(AJ4)-$V$37</f>
        <v>4.8538648760449837E-5</v>
      </c>
      <c r="AK23" s="823">
        <f>$AL$7+$AL$8*COS(AK4)+$AL$9*SIN(AK4)-$V$37</f>
        <v>4.8538648760449871E-5</v>
      </c>
      <c r="AL23" s="823"/>
    </row>
    <row r="24" spans="1:38">
      <c r="A24" s="800" t="s">
        <v>225</v>
      </c>
      <c r="B24" s="805">
        <f>AH21</f>
        <v>5</v>
      </c>
      <c r="C24" s="805">
        <f>AI21</f>
        <v>7.0727046041510242</v>
      </c>
      <c r="D24" s="805">
        <f>AJ21</f>
        <v>7.0727046041510242</v>
      </c>
      <c r="E24" s="837">
        <f>AK21</f>
        <v>5</v>
      </c>
      <c r="F24" s="844" t="s">
        <v>1528</v>
      </c>
      <c r="G24" s="827">
        <f>MIN(R_intact)</f>
        <v>5</v>
      </c>
      <c r="H24" s="844" t="s">
        <v>226</v>
      </c>
      <c r="I24" s="830">
        <f>MIN(R_FPF,R_LPF)/safety</f>
        <v>4.2962934079508841</v>
      </c>
      <c r="J24" s="799" t="s">
        <v>1365</v>
      </c>
      <c r="K24" s="801">
        <f>K23*K7</f>
        <v>3.5013213820990199</v>
      </c>
      <c r="L24" s="801">
        <f>L23*L7</f>
        <v>3.5013213820990199</v>
      </c>
      <c r="M24" s="805">
        <f>L24/K24</f>
        <v>1</v>
      </c>
      <c r="N24" s="799" t="s">
        <v>1560</v>
      </c>
      <c r="O24" s="804">
        <f>O19</f>
        <v>62</v>
      </c>
      <c r="P24" s="804">
        <f>$G$19*P6^$H$32</f>
        <v>62</v>
      </c>
      <c r="Q24" s="801">
        <f t="shared" si="9"/>
        <v>1</v>
      </c>
      <c r="R24" s="799">
        <v>22</v>
      </c>
      <c r="S24" s="801">
        <f>(W15*W18-W19^2)/W21</f>
        <v>13.613831717092143</v>
      </c>
      <c r="U24" s="802">
        <f t="shared" si="12"/>
        <v>1.3613831717092144E-2</v>
      </c>
      <c r="V24" s="802"/>
      <c r="W24" s="801">
        <f>1/U24</f>
        <v>73.454705536318741</v>
      </c>
      <c r="Y24" s="802"/>
      <c r="AF24" s="798"/>
      <c r="AG24" s="799" t="s">
        <v>1367</v>
      </c>
      <c r="AH24" s="823">
        <f>2*$AL$7-AH23-($V$38+$V$37)</f>
        <v>-7.0346135123955031E-4</v>
      </c>
      <c r="AI24" s="823">
        <f>2*$AL$7-AI23-($V$38+$V$37)</f>
        <v>-7.0346135123955031E-4</v>
      </c>
      <c r="AJ24" s="823">
        <f>2*$AL$7-AJ23-($V$38+$V$37)</f>
        <v>-7.0346135123955031E-4</v>
      </c>
      <c r="AK24" s="823">
        <f>2*$AL$7-AK23-($V$38+$V$37)</f>
        <v>-7.0346135123955042E-4</v>
      </c>
      <c r="AL24" s="823"/>
    </row>
    <row r="25" spans="1:38">
      <c r="A25" s="800" t="s">
        <v>227</v>
      </c>
      <c r="B25" s="805">
        <f>AH77</f>
        <v>10.379758484529104</v>
      </c>
      <c r="C25" s="805">
        <f>AI77</f>
        <v>6.3775201396450072</v>
      </c>
      <c r="D25" s="805">
        <f>AJ77</f>
        <v>6.3775201396450072</v>
      </c>
      <c r="E25" s="805">
        <f>AK77</f>
        <v>4.2962934079508841</v>
      </c>
      <c r="F25" s="844" t="s">
        <v>1558</v>
      </c>
      <c r="G25" s="827">
        <f>MIN(R_degrade)</f>
        <v>4.2962934079508841</v>
      </c>
      <c r="H25" s="844" t="s">
        <v>1559</v>
      </c>
      <c r="I25" s="830">
        <f>R_ult/safety</f>
        <v>5</v>
      </c>
      <c r="J25" s="799" t="s">
        <v>1370</v>
      </c>
      <c r="K25" s="801">
        <f>K8</f>
        <v>7.79</v>
      </c>
      <c r="L25" s="801">
        <f>L8</f>
        <v>7.79</v>
      </c>
      <c r="M25" s="805">
        <f>L25/K25</f>
        <v>1</v>
      </c>
      <c r="R25" s="799" t="s">
        <v>1345</v>
      </c>
      <c r="S25" s="801">
        <f>(W19*W20-W17*W18)/W21</f>
        <v>-4.0550589620877897</v>
      </c>
      <c r="U25" s="802">
        <f t="shared" si="12"/>
        <v>-4.0550589620877899E-3</v>
      </c>
      <c r="V25" s="802"/>
      <c r="W25" s="801">
        <f>-U25/U23</f>
        <v>0.29786316199256896</v>
      </c>
      <c r="X25" s="801">
        <f>X17/X16</f>
        <v>0.2978631619925689</v>
      </c>
      <c r="Y25" s="802"/>
      <c r="AF25" s="798"/>
      <c r="AG25" s="799" t="s">
        <v>1372</v>
      </c>
      <c r="AH25" s="843">
        <f>2*($AL$9*COS(AH4)-$AL$8*SIN(AH4))</f>
        <v>-7.4328485792444562E-21</v>
      </c>
      <c r="AI25" s="823">
        <f>2*($AL$9*COS(AI4)-$AL$8*SIN(AI4))</f>
        <v>8.1315162936412833E-20</v>
      </c>
      <c r="AJ25" s="823">
        <f>2*($AL$9*COS(AJ4)-$AL$8*SIN(AJ4))</f>
        <v>-8.1315162936412833E-20</v>
      </c>
      <c r="AK25" s="823">
        <f>2*($AL$9*COS(AK4)-$AL$8*SIN(AK4))</f>
        <v>7.4328485792444668E-21</v>
      </c>
      <c r="AL25" s="823"/>
    </row>
    <row r="26" spans="1:38">
      <c r="A26" s="798" t="s">
        <v>1368</v>
      </c>
      <c r="B26" s="799" t="str">
        <f>S47</f>
        <v>no</v>
      </c>
      <c r="C26" s="799" t="str">
        <f>T47</f>
        <v>no</v>
      </c>
      <c r="D26" s="799" t="str">
        <f>U47</f>
        <v>no</v>
      </c>
      <c r="E26" s="799" t="str">
        <f>V47</f>
        <v>no</v>
      </c>
      <c r="F26" s="844" t="s">
        <v>1529</v>
      </c>
      <c r="G26" s="845">
        <f>MAX(R_FPF,R_LPF)</f>
        <v>5</v>
      </c>
      <c r="H26" s="844" t="s">
        <v>1369</v>
      </c>
      <c r="I26" s="830">
        <f>MIN(R_FPF,R_lim_s)</f>
        <v>5</v>
      </c>
      <c r="J26" s="798" t="s">
        <v>1374</v>
      </c>
      <c r="K26" s="801"/>
      <c r="L26" s="801"/>
      <c r="N26" s="798" t="s">
        <v>1375</v>
      </c>
      <c r="R26" s="799">
        <v>66</v>
      </c>
      <c r="S26" s="801">
        <f>(W15*W16-W17^2)/W21</f>
        <v>35.337781358359862</v>
      </c>
      <c r="U26" s="802">
        <f t="shared" si="12"/>
        <v>3.5337781358359861E-2</v>
      </c>
      <c r="V26" s="802"/>
      <c r="W26" s="801">
        <f>1/U26</f>
        <v>28.298324387120299</v>
      </c>
      <c r="Y26" s="802"/>
      <c r="AF26" s="798"/>
      <c r="AG26" s="823"/>
      <c r="AH26" s="823"/>
      <c r="AI26" s="823"/>
      <c r="AJ26" s="823"/>
      <c r="AK26" s="823"/>
      <c r="AL26" s="823"/>
    </row>
    <row r="27" spans="1:38">
      <c r="A27" s="798" t="s">
        <v>1373</v>
      </c>
      <c r="B27" s="799" t="str">
        <f>IF(B4=0,I27,IF(S52*S51&lt;0,G27,H27))</f>
        <v>no</v>
      </c>
      <c r="C27" s="799" t="str">
        <f>IF(C4=0,I27,IF(T52*T51&lt;0,G27,H27))</f>
        <v>no</v>
      </c>
      <c r="D27" s="799" t="str">
        <f>IF(D4=0,I27,IF(U52*U51&lt;0,G27,H27))</f>
        <v>no</v>
      </c>
      <c r="E27" s="799" t="str">
        <f>IF(E4=0,I27,IF(V52*V51&lt;0,G27,H27))</f>
        <v>no</v>
      </c>
      <c r="G27" s="799" t="s">
        <v>1377</v>
      </c>
      <c r="H27" s="799" t="s">
        <v>1378</v>
      </c>
      <c r="I27" s="799" t="s">
        <v>1379</v>
      </c>
      <c r="J27" s="799" t="s">
        <v>1380</v>
      </c>
      <c r="K27" s="801">
        <f>(3*K22+3*K23+2*K24+4*K25)/8</f>
        <v>80.606294543459924</v>
      </c>
      <c r="L27" s="801">
        <f>(3*L22+3*L23+2*L24+4*L25)/8</f>
        <v>80.606294543459924</v>
      </c>
      <c r="M27" s="805">
        <f>L27/K27</f>
        <v>1</v>
      </c>
      <c r="N27" s="799" t="s">
        <v>1381</v>
      </c>
      <c r="O27" s="801">
        <f>1/O17/O18*1000000</f>
        <v>0.19230769230769232</v>
      </c>
      <c r="P27" s="801">
        <f>1/P17/P18*1000000</f>
        <v>0.19230769230769232</v>
      </c>
      <c r="Q27" s="801">
        <f t="shared" ref="Q27:Q38" si="13">P27/O27</f>
        <v>1</v>
      </c>
      <c r="R27" s="799" t="s">
        <v>1347</v>
      </c>
      <c r="S27" s="801">
        <f>(W17*W20-W16*W19)/W21</f>
        <v>3.1308591573296293E-16</v>
      </c>
      <c r="U27" s="802">
        <f t="shared" si="12"/>
        <v>3.1308591573296294E-19</v>
      </c>
      <c r="V27" s="802"/>
      <c r="W27" s="801">
        <f>U27/U23</f>
        <v>2.29976337477335E-17</v>
      </c>
      <c r="Y27" s="802"/>
      <c r="AF27" s="798"/>
      <c r="AG27" s="818" t="s">
        <v>1383</v>
      </c>
      <c r="AH27" s="843">
        <f>$P$33*AH23^2+2*$P$35*AH23*AH24+$P$34*AH24^2+$P$36*AH25^2</f>
        <v>1.9888554924450571E-2</v>
      </c>
      <c r="AI27" s="823">
        <f>$P$33*AI23^2+2*$P$35*AI23*AI24+$P$34*AI24^2+$P$36*AI25^2</f>
        <v>1.9888554924450571E-2</v>
      </c>
      <c r="AJ27" s="823">
        <f>$P$33*AJ23^2+2*$P$35*AJ23*AJ24+$P$34*AJ24^2+$P$36*AJ25^2</f>
        <v>1.9888554924450571E-2</v>
      </c>
      <c r="AK27" s="823">
        <f>$P$33*AK23^2+2*$P$35*AK23*AK24+$P$34*AK24^2+$P$36*AK25^2</f>
        <v>1.9888554924450578E-2</v>
      </c>
      <c r="AL27" s="823"/>
    </row>
    <row r="28" spans="1:38">
      <c r="D28" s="798">
        <f>A31/B30</f>
        <v>17.015706806282722</v>
      </c>
      <c r="E28" s="798">
        <f>B31/B30</f>
        <v>8.3769633507853403</v>
      </c>
      <c r="H28" s="798" t="s">
        <v>760</v>
      </c>
      <c r="I28" s="810">
        <f>AL20</f>
        <v>5</v>
      </c>
      <c r="J28" s="799" t="s">
        <v>1384</v>
      </c>
      <c r="K28" s="801">
        <f>(K22-K23)/2</f>
        <v>91.110843553154453</v>
      </c>
      <c r="L28" s="801">
        <f>(L22-L23)/2</f>
        <v>91.110843553154453</v>
      </c>
      <c r="M28" s="805">
        <f>L28/K28</f>
        <v>1</v>
      </c>
      <c r="N28" s="799" t="s">
        <v>1385</v>
      </c>
      <c r="O28" s="801">
        <f>1/O19/O20*1000000</f>
        <v>164.58196181698486</v>
      </c>
      <c r="P28" s="801">
        <f>1/P19/P20*1000000</f>
        <v>164.58196181698486</v>
      </c>
      <c r="Q28" s="801">
        <f t="shared" si="13"/>
        <v>1</v>
      </c>
      <c r="R28" s="799" t="s">
        <v>1349</v>
      </c>
      <c r="S28" s="801">
        <f>(W17*W19-W15*W20)/W21</f>
        <v>-1.2557136408098921E-15</v>
      </c>
      <c r="U28" s="802">
        <f t="shared" si="12"/>
        <v>-1.2557136408098922E-18</v>
      </c>
      <c r="V28" s="802"/>
      <c r="W28" s="801">
        <f>U28/U24</f>
        <v>-9.2238075723629354E-17</v>
      </c>
      <c r="Y28" s="799" t="s">
        <v>1184</v>
      </c>
      <c r="AF28" s="798"/>
      <c r="AG28" s="818" t="s">
        <v>1387</v>
      </c>
      <c r="AH28" s="843">
        <f>$P$37*AH23+$P$38*AH24</f>
        <v>0</v>
      </c>
      <c r="AI28" s="823">
        <f>$P$37*AI23+$P$38*AI24</f>
        <v>0</v>
      </c>
      <c r="AJ28" s="823">
        <f>$P$37*AJ23+$P$38*AJ24</f>
        <v>0</v>
      </c>
      <c r="AK28" s="823">
        <f>$P$37*AK23+$P$38*AK24</f>
        <v>0</v>
      </c>
      <c r="AL28" s="823"/>
    </row>
    <row r="29" spans="1:38">
      <c r="A29" s="800" t="s">
        <v>1574</v>
      </c>
      <c r="J29" s="799" t="s">
        <v>1388</v>
      </c>
      <c r="K29" s="801">
        <f>(K22+K23-2*K24-4*K25)/8</f>
        <v>20.5083243871203</v>
      </c>
      <c r="L29" s="801">
        <f>(L22+L23-2*L24-4*L25)/8</f>
        <v>20.5083243871203</v>
      </c>
      <c r="M29" s="805">
        <f>L29/K29</f>
        <v>1</v>
      </c>
      <c r="N29" s="799" t="s">
        <v>1389</v>
      </c>
      <c r="O29" s="801">
        <f>O22*(O27*O28)^0.5</f>
        <v>0</v>
      </c>
      <c r="P29" s="801">
        <f>P22*(P27*P28)^0.5</f>
        <v>0</v>
      </c>
      <c r="Q29" s="801" t="e">
        <f t="shared" si="13"/>
        <v>#DIV/0!</v>
      </c>
      <c r="U29" s="802"/>
      <c r="V29" s="802"/>
      <c r="W29" s="806"/>
      <c r="Y29" s="799" t="s">
        <v>269</v>
      </c>
      <c r="AF29" s="798"/>
      <c r="AG29" s="818" t="s">
        <v>1390</v>
      </c>
      <c r="AH29" s="843">
        <f>AH27+AH28</f>
        <v>1.9888554924450571E-2</v>
      </c>
      <c r="AI29" s="823">
        <f>AI27+AI28</f>
        <v>1.9888554924450571E-2</v>
      </c>
      <c r="AJ29" s="823">
        <f>AJ27+AJ28</f>
        <v>1.9888554924450571E-2</v>
      </c>
      <c r="AK29" s="823">
        <f>AK27+AK28</f>
        <v>1.9888554924450578E-2</v>
      </c>
      <c r="AL29" s="823"/>
    </row>
    <row r="30" spans="1:38">
      <c r="A30" s="801" t="s">
        <v>1767</v>
      </c>
      <c r="B30" s="801">
        <v>191</v>
      </c>
      <c r="C30" s="801">
        <v>9.94</v>
      </c>
      <c r="D30" s="801">
        <v>0.35</v>
      </c>
      <c r="E30" s="801">
        <v>7.79</v>
      </c>
      <c r="F30" s="801">
        <v>3.4</v>
      </c>
      <c r="G30" s="801">
        <v>122</v>
      </c>
      <c r="H30" s="801">
        <v>160</v>
      </c>
      <c r="J30" s="799" t="s">
        <v>1391</v>
      </c>
      <c r="K30" s="801">
        <f>(K22+K23+6*K24-4*K25)/8</f>
        <v>24.009645769219322</v>
      </c>
      <c r="L30" s="801">
        <f>(L22+L23+6*L24-4*L25)/8</f>
        <v>24.009645769219322</v>
      </c>
      <c r="M30" s="805">
        <f>L30/K30</f>
        <v>1</v>
      </c>
      <c r="N30" s="799" t="s">
        <v>1392</v>
      </c>
      <c r="O30" s="801">
        <f>1/O21^2*1000000</f>
        <v>177.7777777777778</v>
      </c>
      <c r="P30" s="801">
        <f>1/P21^2*1000000</f>
        <v>177.7777777777778</v>
      </c>
      <c r="Q30" s="801">
        <f t="shared" si="13"/>
        <v>1</v>
      </c>
      <c r="R30" s="800" t="s">
        <v>1393</v>
      </c>
      <c r="U30" s="802"/>
      <c r="V30" s="802"/>
      <c r="W30" s="806" t="s">
        <v>1394</v>
      </c>
      <c r="Y30" s="799" t="s">
        <v>1187</v>
      </c>
      <c r="AF30" s="798"/>
      <c r="AG30" s="818" t="s">
        <v>1395</v>
      </c>
      <c r="AH30" s="823">
        <f>-1+AH29</f>
        <v>-0.98011144507554948</v>
      </c>
      <c r="AI30" s="823">
        <f>-1+AI29</f>
        <v>-0.98011144507554948</v>
      </c>
      <c r="AJ30" s="823">
        <f>-1+AJ29</f>
        <v>-0.98011144507554948</v>
      </c>
      <c r="AK30" s="823">
        <f>-1+AK29</f>
        <v>-0.98011144507554937</v>
      </c>
      <c r="AL30" s="823"/>
    </row>
    <row r="31" spans="1:38">
      <c r="A31" s="650">
        <v>3250</v>
      </c>
      <c r="B31" s="659">
        <v>1600</v>
      </c>
      <c r="C31" s="650">
        <v>62</v>
      </c>
      <c r="D31" s="650">
        <v>98</v>
      </c>
      <c r="E31" s="650">
        <v>75</v>
      </c>
      <c r="F31" s="674">
        <v>1.2</v>
      </c>
      <c r="G31" s="801">
        <v>22</v>
      </c>
      <c r="H31" s="801">
        <v>5.0000000000000001E-3</v>
      </c>
      <c r="I31" s="812">
        <f>A31/B30</f>
        <v>17.015706806282722</v>
      </c>
      <c r="J31" s="799" t="s">
        <v>1396</v>
      </c>
      <c r="K31" s="801">
        <f>(K27-K30)/2</f>
        <v>28.298324387120303</v>
      </c>
      <c r="L31" s="801">
        <f>(L27-L30)/2</f>
        <v>28.298324387120303</v>
      </c>
      <c r="M31" s="805">
        <f>L31/K31</f>
        <v>1</v>
      </c>
      <c r="N31" s="799" t="s">
        <v>1397</v>
      </c>
      <c r="O31" s="801">
        <f>(1/O17-1/O18)*1000</f>
        <v>-0.31730769230769229</v>
      </c>
      <c r="P31" s="801">
        <f>(1/P17-1/P18)*1000</f>
        <v>-0.31730769230769229</v>
      </c>
      <c r="Q31" s="801">
        <f t="shared" si="13"/>
        <v>1</v>
      </c>
      <c r="R31" s="799" t="s">
        <v>1398</v>
      </c>
      <c r="S31" s="802">
        <f>S11*COS(S6)</f>
        <v>0.25</v>
      </c>
      <c r="T31" s="802">
        <f>T11*COS(T6)</f>
        <v>1.531435568635775E-17</v>
      </c>
      <c r="U31" s="802">
        <f>U11*COS(U6)</f>
        <v>1.531435568635775E-17</v>
      </c>
      <c r="V31" s="802">
        <f>V11*COS(V6)</f>
        <v>-0.25</v>
      </c>
      <c r="W31" s="802">
        <f>(S31+T31+U31+V31)</f>
        <v>0</v>
      </c>
      <c r="Y31" s="799" t="s">
        <v>228</v>
      </c>
      <c r="AF31" s="798"/>
      <c r="AG31" s="818" t="s">
        <v>1399</v>
      </c>
      <c r="AH31" s="823">
        <f>2*($P$33*AH7*AH23+$P$34*AH8*AH24+$P$35*(AH7*AH24+AH23*AH8)+$P$36*AH9*AH25)</f>
        <v>-3.8961141070127099E-3</v>
      </c>
      <c r="AI31" s="823">
        <f>2*($P$33*AI7*AI23+$P$34*AI8*AI24+$P$35*(AI7*AI24+AI23*AI8)+$P$36*AI9*AI25)</f>
        <v>2.6190845510736846E-2</v>
      </c>
      <c r="AJ31" s="823">
        <f>2*($P$33*AJ7*AJ23+$P$34*AJ8*AJ24+$P$35*(AJ7*AJ24+AJ23*AJ8)+$P$36*AJ9*AJ25)</f>
        <v>2.6190845510736846E-2</v>
      </c>
      <c r="AK31" s="823">
        <f>2*($P$33*AK7*AK23+$P$34*AK8*AK24+$P$35*(AK7*AK24+AK23*AK8)+$P$36*AK9*AK25)</f>
        <v>5.6277805128486402E-2</v>
      </c>
      <c r="AL31" s="823"/>
    </row>
    <row r="32" spans="1:38">
      <c r="A32" s="801">
        <v>-0.5</v>
      </c>
      <c r="B32" s="801">
        <v>125</v>
      </c>
      <c r="C32" s="801">
        <v>0.64</v>
      </c>
      <c r="D32" s="801">
        <v>1.6</v>
      </c>
      <c r="E32" s="801">
        <v>0.52</v>
      </c>
      <c r="F32" s="801">
        <v>0.5</v>
      </c>
      <c r="G32" s="801">
        <v>0.2</v>
      </c>
      <c r="H32" s="801">
        <v>0.9</v>
      </c>
      <c r="I32" s="812">
        <f>B31/B30</f>
        <v>8.3769633507853403</v>
      </c>
      <c r="J32" s="798" t="s">
        <v>1400</v>
      </c>
      <c r="N32" s="799" t="s">
        <v>1401</v>
      </c>
      <c r="O32" s="801">
        <f>(1/O19-1/O20)*1000</f>
        <v>5.924950625411455</v>
      </c>
      <c r="P32" s="801">
        <f>(1/P19-1/P20)*1000</f>
        <v>5.924950625411455</v>
      </c>
      <c r="Q32" s="801">
        <f t="shared" si="13"/>
        <v>1</v>
      </c>
      <c r="R32" s="799" t="s">
        <v>1402</v>
      </c>
      <c r="S32" s="802">
        <f>S11*SIN(S6)</f>
        <v>0</v>
      </c>
      <c r="T32" s="802">
        <f>T11*SIN(T6)</f>
        <v>0.25</v>
      </c>
      <c r="U32" s="802">
        <f>U11*SIN(U6)</f>
        <v>-0.25</v>
      </c>
      <c r="V32" s="802">
        <f>V11*SIN(V6)</f>
        <v>3.06287113727155E-17</v>
      </c>
      <c r="W32" s="802">
        <f>(S32+T32+U32+V32)</f>
        <v>3.06287113727155E-17</v>
      </c>
      <c r="Y32" s="799" t="s">
        <v>1189</v>
      </c>
      <c r="AF32" s="798"/>
      <c r="AG32" s="818" t="s">
        <v>1403</v>
      </c>
      <c r="AH32" s="843">
        <f>AH31+AH15</f>
        <v>-3.8961141070127099E-3</v>
      </c>
      <c r="AI32" s="823">
        <f>AI31+AI15</f>
        <v>2.6190845510736846E-2</v>
      </c>
      <c r="AJ32" s="823">
        <f>AJ31+AJ15</f>
        <v>2.6190845510736846E-2</v>
      </c>
      <c r="AK32" s="823">
        <f>AK31+AK15</f>
        <v>5.6277805128486402E-2</v>
      </c>
      <c r="AL32" s="823"/>
    </row>
    <row r="33" spans="1:38">
      <c r="A33" s="801">
        <v>0.02</v>
      </c>
      <c r="B33" s="801">
        <v>22.5</v>
      </c>
      <c r="C33" s="801">
        <v>0</v>
      </c>
      <c r="D33" s="801">
        <v>0.6</v>
      </c>
      <c r="E33" s="801">
        <v>0.32</v>
      </c>
      <c r="F33" s="801">
        <v>0</v>
      </c>
      <c r="G33" s="801">
        <v>0</v>
      </c>
      <c r="H33" s="801">
        <v>2000</v>
      </c>
      <c r="J33" s="799" t="s">
        <v>1404</v>
      </c>
      <c r="K33" s="801">
        <f>(1-(K30/K27)^2)*K27</f>
        <v>73.454705536318755</v>
      </c>
      <c r="L33" s="801">
        <f>(1-(L30/L27)^2)*L27</f>
        <v>73.454705536318755</v>
      </c>
      <c r="M33" s="801">
        <f>L33/K33</f>
        <v>1</v>
      </c>
      <c r="N33" s="799" t="s">
        <v>1405</v>
      </c>
      <c r="O33" s="804">
        <f>(O27*K22^2+2*O29*K22*K24+O28*K24^2)</f>
        <v>9123.5417313655344</v>
      </c>
      <c r="P33" s="804">
        <v>40000</v>
      </c>
      <c r="Q33" s="801">
        <f t="shared" si="13"/>
        <v>4.3842622939384679</v>
      </c>
      <c r="R33" s="799"/>
      <c r="S33" s="806" t="s">
        <v>1406</v>
      </c>
      <c r="T33" s="806" t="s">
        <v>1407</v>
      </c>
      <c r="U33" s="806" t="s">
        <v>1408</v>
      </c>
      <c r="V33" s="806" t="s">
        <v>1409</v>
      </c>
      <c r="W33" s="806" t="s">
        <v>1410</v>
      </c>
      <c r="X33" s="806" t="s">
        <v>1411</v>
      </c>
      <c r="Y33" s="799" t="s">
        <v>1190</v>
      </c>
      <c r="AF33" s="798"/>
      <c r="AG33" s="818" t="s">
        <v>1412</v>
      </c>
      <c r="AH33" s="843">
        <f>AH32/2/AH14</f>
        <v>-4.8701426337658872E-2</v>
      </c>
      <c r="AI33" s="823">
        <f>AI32/2/AI14</f>
        <v>0.65507430227358265</v>
      </c>
      <c r="AJ33" s="823">
        <f>AJ32/2/AJ14</f>
        <v>0.65507430227358265</v>
      </c>
      <c r="AK33" s="823">
        <f>AK32/2/AK14</f>
        <v>0.70347256410608006</v>
      </c>
      <c r="AL33" s="823"/>
    </row>
    <row r="34" spans="1:38">
      <c r="A34" s="801">
        <v>0.15</v>
      </c>
      <c r="B34" s="801">
        <v>0.01</v>
      </c>
      <c r="C34" s="801">
        <v>1</v>
      </c>
      <c r="D34" s="801">
        <v>1</v>
      </c>
      <c r="E34" s="801">
        <v>0</v>
      </c>
      <c r="F34" s="801">
        <v>0.5</v>
      </c>
      <c r="G34" s="801"/>
      <c r="H34" s="801"/>
      <c r="J34" s="799" t="s">
        <v>1414</v>
      </c>
      <c r="K34" s="801">
        <f>K30/K27</f>
        <v>0.29786316199256885</v>
      </c>
      <c r="L34" s="801">
        <f>L30/L27</f>
        <v>0.29786316199256885</v>
      </c>
      <c r="M34" s="801">
        <f>L34/K34</f>
        <v>1</v>
      </c>
      <c r="N34" s="799" t="s">
        <v>1415</v>
      </c>
      <c r="O34" s="804">
        <f>(O27*K24^2+2*O29*K24*K23+O28*K23^2)</f>
        <v>16472.983256380121</v>
      </c>
      <c r="P34" s="804">
        <v>40000</v>
      </c>
      <c r="Q34" s="801">
        <f t="shared" si="13"/>
        <v>2.4282183365000187</v>
      </c>
      <c r="R34" s="799">
        <v>1</v>
      </c>
      <c r="S34" s="802">
        <f>(($L$22+$L$24)/2*$P$10+($L$24+$L$23)/2*$P$11)*0.000001</f>
        <v>1.5388960638331223E-4</v>
      </c>
      <c r="T34" s="802">
        <f>(($L$22+$L$24)/2*$P$13+($L$24+$L$23)/2*$P$14)</f>
        <v>4.0515290278574376</v>
      </c>
      <c r="U34" s="802">
        <f>S34+S35*W31</f>
        <v>1.5388960638331223E-4</v>
      </c>
      <c r="V34" s="802">
        <f>T34+T35*W31</f>
        <v>4.0515290278574376</v>
      </c>
      <c r="W34" s="810">
        <f>(U34*U23+U35*U25+U36*U27)*1000000</f>
        <v>1.4709957767751489</v>
      </c>
      <c r="X34" s="810">
        <f>(V34*U23+V35*U25+V36*U27)</f>
        <v>3.8727645287592941E-2</v>
      </c>
      <c r="Y34" s="799" t="s">
        <v>229</v>
      </c>
      <c r="AF34" s="798"/>
      <c r="AG34" s="818"/>
      <c r="AH34" s="843"/>
      <c r="AI34" s="823"/>
      <c r="AJ34" s="823"/>
      <c r="AK34" s="823"/>
      <c r="AL34" s="823"/>
    </row>
    <row r="35" spans="1:38">
      <c r="N35" s="799" t="s">
        <v>1416</v>
      </c>
      <c r="O35" s="804">
        <f>(O27*K22*K24+O29*(K22*K23+K24^2)+O28*K24*K23)</f>
        <v>5894.1503674216783</v>
      </c>
      <c r="P35" s="804">
        <v>0</v>
      </c>
      <c r="Q35" s="801">
        <f t="shared" si="13"/>
        <v>0</v>
      </c>
      <c r="R35" s="799">
        <v>2</v>
      </c>
      <c r="S35" s="802">
        <f>(($L$22-$L$24)/2*$P$10+($L$24-$L$23)/2*$P$11)*0.000001</f>
        <v>-7.1265366036409587E-5</v>
      </c>
      <c r="T35" s="802">
        <f>(($L$22-$L$24)/2*$P$13+($L$24-$L$23)/2*$P$14)</f>
        <v>-1.9507361985980254</v>
      </c>
      <c r="U35" s="802">
        <f>S34-S35*W31</f>
        <v>1.5388960638331223E-4</v>
      </c>
      <c r="V35" s="802">
        <f>T34-T35*W31</f>
        <v>4.0515290278574376</v>
      </c>
      <c r="W35" s="810">
        <f>(U34*U25+U35*U24+U36*U28)*1000000</f>
        <v>1.4709957767751489</v>
      </c>
      <c r="X35" s="810">
        <f>(V34*U25+V35*U24+V36*U28)</f>
        <v>3.8727645287592954E-2</v>
      </c>
      <c r="Y35" s="798" t="s">
        <v>230</v>
      </c>
      <c r="AF35" s="798"/>
      <c r="AG35" s="818"/>
      <c r="AH35" s="843"/>
      <c r="AI35" s="823"/>
      <c r="AJ35" s="823"/>
      <c r="AK35" s="823"/>
      <c r="AL35" s="823"/>
    </row>
    <row r="36" spans="1:38">
      <c r="A36" s="799" t="s">
        <v>1413</v>
      </c>
      <c r="B36" s="799" t="s">
        <v>1577</v>
      </c>
      <c r="C36" s="799" t="s">
        <v>1578</v>
      </c>
      <c r="D36" s="799" t="s">
        <v>266</v>
      </c>
      <c r="E36" s="799" t="s">
        <v>267</v>
      </c>
      <c r="F36" s="799" t="s">
        <v>268</v>
      </c>
      <c r="G36" s="799" t="s">
        <v>1584</v>
      </c>
      <c r="H36" s="799" t="s">
        <v>1585</v>
      </c>
      <c r="J36" s="799" t="s">
        <v>1193</v>
      </c>
      <c r="K36" s="801">
        <f>$D$32</f>
        <v>1.6</v>
      </c>
      <c r="L36" s="801">
        <f>L37*(1-$L$11)+L38*$L$11</f>
        <v>1.6</v>
      </c>
      <c r="M36" s="801">
        <f>L36/K36</f>
        <v>1</v>
      </c>
      <c r="N36" s="799" t="s">
        <v>1418</v>
      </c>
      <c r="O36" s="804">
        <f>O30*K25^2</f>
        <v>10788.284444444445</v>
      </c>
      <c r="P36" s="804">
        <v>0</v>
      </c>
      <c r="Q36" s="801">
        <f t="shared" si="13"/>
        <v>0</v>
      </c>
      <c r="R36" s="799">
        <v>6</v>
      </c>
      <c r="S36" s="806" t="s">
        <v>1419</v>
      </c>
      <c r="T36" s="806" t="s">
        <v>1420</v>
      </c>
      <c r="U36" s="802">
        <f>S35*W32</f>
        <v>-2.1827663272001114E-21</v>
      </c>
      <c r="V36" s="802">
        <f>T35*W32</f>
        <v>-5.9748535991167146E-17</v>
      </c>
      <c r="W36" s="810">
        <f>(U34*U27+U35*U28+U36*U26)*1000000</f>
        <v>-2.2219472880507339E-16</v>
      </c>
      <c r="X36" s="810">
        <f>(V34*U27+V35*U28+V36*U26)</f>
        <v>-5.9304642919503583E-18</v>
      </c>
      <c r="Y36" s="799" t="s">
        <v>231</v>
      </c>
      <c r="AF36" s="798"/>
      <c r="AG36" s="818"/>
      <c r="AH36" s="843"/>
      <c r="AI36" s="823"/>
      <c r="AJ36" s="823"/>
      <c r="AK36" s="823"/>
      <c r="AL36" s="818" t="s">
        <v>1421</v>
      </c>
    </row>
    <row r="37" spans="1:38">
      <c r="A37" s="799" t="s">
        <v>269</v>
      </c>
      <c r="B37" s="799" t="s">
        <v>270</v>
      </c>
      <c r="C37" s="799" t="s">
        <v>271</v>
      </c>
      <c r="D37" s="799" t="s">
        <v>272</v>
      </c>
      <c r="E37" s="799" t="s">
        <v>273</v>
      </c>
      <c r="F37" s="799" t="s">
        <v>274</v>
      </c>
      <c r="G37" s="799" t="s">
        <v>1588</v>
      </c>
      <c r="H37" s="799" t="s">
        <v>275</v>
      </c>
      <c r="I37" s="798" t="s">
        <v>1891</v>
      </c>
      <c r="J37" s="799" t="s">
        <v>274</v>
      </c>
      <c r="K37" s="801">
        <f>$F$31</f>
        <v>1.2</v>
      </c>
      <c r="L37" s="801">
        <f>K37</f>
        <v>1.2</v>
      </c>
      <c r="M37" s="801">
        <f>L37/K37</f>
        <v>1</v>
      </c>
      <c r="N37" s="799" t="s">
        <v>1422</v>
      </c>
      <c r="O37" s="804">
        <f>(O31*K22+O32*K24)</f>
        <v>-40.249461590858644</v>
      </c>
      <c r="P37" s="804">
        <v>0</v>
      </c>
      <c r="Q37" s="801">
        <f t="shared" si="13"/>
        <v>0</v>
      </c>
      <c r="R37" s="799">
        <v>1</v>
      </c>
      <c r="S37" s="802">
        <f>$P$7*U34+$P$3*V34</f>
        <v>4.8686845009559641E-3</v>
      </c>
      <c r="T37" s="802">
        <f>$P$7*W34/1000000+$P$3*X34</f>
        <v>4.6538648760449788E-5</v>
      </c>
      <c r="U37" s="806" t="s">
        <v>1423</v>
      </c>
      <c r="V37" s="802">
        <f>$P$7*$P$10/1000000+$P$3*$P$13</f>
        <v>-1.9999999999999999E-6</v>
      </c>
      <c r="W37" s="810">
        <f>T37-V37</f>
        <v>4.8538648760449789E-5</v>
      </c>
      <c r="Y37" s="799" t="s">
        <v>232</v>
      </c>
      <c r="AF37" s="798"/>
      <c r="AG37" s="799" t="s">
        <v>1424</v>
      </c>
      <c r="AH37" s="810">
        <f>(AH33^2-AH30/AH14)^0.5-AH33</f>
        <v>4.9989698994425327</v>
      </c>
      <c r="AI37" s="810">
        <f>(AI33^2-AI30/AI14)^0.5-AI33</f>
        <v>6.3775201396450072</v>
      </c>
      <c r="AJ37" s="810">
        <f>(AJ33^2-AJ30/AJ14)^0.5-AJ33</f>
        <v>6.3775201396450072</v>
      </c>
      <c r="AK37" s="810">
        <f>(AK33^2-AK30/AK14)^0.5-AK33</f>
        <v>4.2962934079508841</v>
      </c>
      <c r="AL37" s="810">
        <f>MIN(AH38:AK38)</f>
        <v>4.2962934079508841</v>
      </c>
    </row>
    <row r="38" spans="1:38">
      <c r="A38" s="799" t="s">
        <v>1568</v>
      </c>
      <c r="B38" s="799" t="s">
        <v>276</v>
      </c>
      <c r="C38" s="799" t="s">
        <v>277</v>
      </c>
      <c r="D38" s="799" t="s">
        <v>278</v>
      </c>
      <c r="E38" s="799" t="s">
        <v>279</v>
      </c>
      <c r="F38" s="799" t="s">
        <v>280</v>
      </c>
      <c r="G38" s="799" t="s">
        <v>281</v>
      </c>
      <c r="H38" s="799" t="s">
        <v>282</v>
      </c>
      <c r="I38" s="798" t="s">
        <v>1892</v>
      </c>
      <c r="J38" s="799" t="s">
        <v>1195</v>
      </c>
      <c r="K38" s="801">
        <f>(K36-K37*(1-$K$11))/$K$11</f>
        <v>1.8250000000000002</v>
      </c>
      <c r="L38" s="801">
        <f>K38</f>
        <v>1.8250000000000002</v>
      </c>
      <c r="M38" s="801">
        <f>L38/K38</f>
        <v>1</v>
      </c>
      <c r="N38" s="799" t="s">
        <v>1426</v>
      </c>
      <c r="O38" s="804">
        <v>0</v>
      </c>
      <c r="P38" s="804">
        <v>0</v>
      </c>
      <c r="Q38" s="801" t="e">
        <f t="shared" si="13"/>
        <v>#DIV/0!</v>
      </c>
      <c r="R38" s="799">
        <v>2</v>
      </c>
      <c r="S38" s="802">
        <f>$P$7*U35+$P$3*V35</f>
        <v>4.8686845009559641E-3</v>
      </c>
      <c r="T38" s="802">
        <f>$P$7*W35/1000000+$P$3*X35</f>
        <v>4.6538648760449869E-5</v>
      </c>
      <c r="U38" s="806" t="s">
        <v>1427</v>
      </c>
      <c r="V38" s="802">
        <f>$P$7*$P$11/1000000+$P$3*$P$14</f>
        <v>7.5000000000000023E-4</v>
      </c>
      <c r="W38" s="810">
        <f>T38-V38</f>
        <v>-7.0346135123955031E-4</v>
      </c>
      <c r="Y38" s="799" t="s">
        <v>233</v>
      </c>
      <c r="AF38" s="798"/>
      <c r="AG38" s="799"/>
      <c r="AH38" s="810">
        <f>IF(AH3=0,1000000000,AH37)</f>
        <v>4.9989698994425327</v>
      </c>
      <c r="AI38" s="810">
        <f>IF(AI3=0,1000000000,AI37)</f>
        <v>6.3775201396450072</v>
      </c>
      <c r="AJ38" s="810">
        <f>IF(AJ3=0,1000000000,AJ37)</f>
        <v>6.3775201396450072</v>
      </c>
      <c r="AK38" s="810">
        <f>IF(AK3=0,1000000000,AK37)</f>
        <v>4.2962934079508841</v>
      </c>
    </row>
    <row r="39" spans="1:38">
      <c r="A39" s="800" t="s">
        <v>1591</v>
      </c>
      <c r="B39" s="800" t="s">
        <v>1592</v>
      </c>
      <c r="C39" s="800" t="s">
        <v>1537</v>
      </c>
      <c r="D39" s="800" t="s">
        <v>1539</v>
      </c>
      <c r="E39" s="799" t="s">
        <v>295</v>
      </c>
      <c r="F39" s="799" t="s">
        <v>283</v>
      </c>
      <c r="G39" s="799" t="s">
        <v>284</v>
      </c>
      <c r="H39" s="799" t="s">
        <v>285</v>
      </c>
      <c r="L39" s="798" t="s">
        <v>234</v>
      </c>
      <c r="R39" s="799">
        <v>6</v>
      </c>
      <c r="S39" s="802">
        <f>$P$7*U36+$P$3*V36</f>
        <v>-8.0466047235824577E-20</v>
      </c>
      <c r="T39" s="802">
        <f>$P$7*W36/1000000+$P$3*X36</f>
        <v>-7.4328485792444562E-21</v>
      </c>
      <c r="U39" s="806" t="s">
        <v>1429</v>
      </c>
      <c r="V39" s="802">
        <f>0</f>
        <v>0</v>
      </c>
      <c r="W39" s="810">
        <f>T39-V39</f>
        <v>-7.4328485792444562E-21</v>
      </c>
      <c r="AF39" s="798"/>
      <c r="AH39" s="810">
        <f>IF(AH3=0,0,AH37)</f>
        <v>4.9989698994425327</v>
      </c>
      <c r="AI39" s="810">
        <f>IF(AI3=0,0,AI37)</f>
        <v>6.3775201396450072</v>
      </c>
      <c r="AJ39" s="810">
        <f>IF(AJ3=0,0,AJ37)</f>
        <v>6.3775201396450072</v>
      </c>
      <c r="AK39" s="810">
        <f>IF(AK3=0,0,AK37)</f>
        <v>4.2962934079508841</v>
      </c>
    </row>
    <row r="40" spans="1:38">
      <c r="A40" s="800" t="s">
        <v>286</v>
      </c>
      <c r="B40" s="800" t="s">
        <v>287</v>
      </c>
      <c r="C40" s="799" t="s">
        <v>288</v>
      </c>
      <c r="D40" s="799" t="s">
        <v>289</v>
      </c>
      <c r="E40" s="799" t="s">
        <v>290</v>
      </c>
      <c r="J40" s="800" t="s">
        <v>291</v>
      </c>
      <c r="K40" s="799"/>
      <c r="L40" s="799"/>
      <c r="N40" s="798" t="s">
        <v>1551</v>
      </c>
      <c r="P40" s="801"/>
      <c r="R40" s="798" t="s">
        <v>1430</v>
      </c>
      <c r="Z40" s="798" t="s">
        <v>529</v>
      </c>
      <c r="AF40" s="804"/>
      <c r="AG40" s="798" t="s">
        <v>530</v>
      </c>
    </row>
    <row r="41" spans="1:38">
      <c r="J41" s="800" t="str">
        <f>$A$30</f>
        <v>IM7/977[SI]</v>
      </c>
      <c r="K41" s="800"/>
      <c r="L41" s="799"/>
      <c r="N41" s="799" t="s">
        <v>1567</v>
      </c>
      <c r="O41" s="804">
        <f>O2</f>
        <v>22</v>
      </c>
      <c r="P41" s="804">
        <f>$B$19</f>
        <v>22</v>
      </c>
      <c r="Q41" s="805">
        <f t="shared" ref="Q41:Q46" si="14">P41/O41</f>
        <v>1</v>
      </c>
      <c r="R41" s="800"/>
      <c r="X41" s="806"/>
      <c r="Z41" s="799" t="s">
        <v>531</v>
      </c>
      <c r="AA41" s="807">
        <f t="shared" ref="AA41:AD42" si="15">S43</f>
        <v>0</v>
      </c>
      <c r="AB41" s="807">
        <f t="shared" si="15"/>
        <v>45</v>
      </c>
      <c r="AC41" s="807">
        <f t="shared" si="15"/>
        <v>-45</v>
      </c>
      <c r="AD41" s="807">
        <f t="shared" si="15"/>
        <v>90</v>
      </c>
      <c r="AE41" s="799" t="s">
        <v>532</v>
      </c>
      <c r="AF41" s="806" t="s">
        <v>533</v>
      </c>
      <c r="AG41" s="799" t="s">
        <v>531</v>
      </c>
      <c r="AH41" s="807">
        <f t="shared" ref="AH41:AK43" si="16">AA41</f>
        <v>0</v>
      </c>
      <c r="AI41" s="807">
        <f t="shared" si="16"/>
        <v>45</v>
      </c>
      <c r="AJ41" s="807">
        <f t="shared" si="16"/>
        <v>-45</v>
      </c>
      <c r="AK41" s="807">
        <f t="shared" si="16"/>
        <v>90</v>
      </c>
    </row>
    <row r="42" spans="1:38">
      <c r="J42" s="799"/>
      <c r="K42" s="799"/>
      <c r="L42" s="799"/>
      <c r="N42" s="799" t="s">
        <v>1573</v>
      </c>
      <c r="O42" s="810">
        <f>O3</f>
        <v>5.0000000000000001E-3</v>
      </c>
      <c r="P42" s="810">
        <f>$C$19</f>
        <v>5.0000000000000001E-3</v>
      </c>
      <c r="Q42" s="805">
        <f t="shared" si="14"/>
        <v>1</v>
      </c>
      <c r="R42" s="799" t="s">
        <v>535</v>
      </c>
      <c r="S42" s="806" t="s">
        <v>1562</v>
      </c>
      <c r="T42" s="806" t="s">
        <v>1563</v>
      </c>
      <c r="U42" s="806" t="s">
        <v>1564</v>
      </c>
      <c r="V42" s="806" t="s">
        <v>1565</v>
      </c>
      <c r="W42" s="806"/>
      <c r="X42" s="806"/>
      <c r="Z42" s="799" t="s">
        <v>536</v>
      </c>
      <c r="AA42" s="814">
        <f t="shared" si="15"/>
        <v>1</v>
      </c>
      <c r="AB42" s="814">
        <f t="shared" si="15"/>
        <v>1</v>
      </c>
      <c r="AC42" s="814">
        <f t="shared" si="15"/>
        <v>1</v>
      </c>
      <c r="AD42" s="814">
        <f t="shared" si="15"/>
        <v>1</v>
      </c>
      <c r="AE42" s="799">
        <f>W44</f>
        <v>1</v>
      </c>
      <c r="AF42" s="807">
        <f>X44</f>
        <v>0</v>
      </c>
      <c r="AG42" s="799" t="s">
        <v>536</v>
      </c>
      <c r="AH42" s="807">
        <f t="shared" si="16"/>
        <v>1</v>
      </c>
      <c r="AI42" s="807">
        <f t="shared" si="16"/>
        <v>1</v>
      </c>
      <c r="AJ42" s="807">
        <f t="shared" si="16"/>
        <v>1</v>
      </c>
      <c r="AK42" s="807">
        <f t="shared" si="16"/>
        <v>1</v>
      </c>
    </row>
    <row r="43" spans="1:38">
      <c r="J43" s="799" t="s">
        <v>1553</v>
      </c>
      <c r="K43" s="799" t="s">
        <v>1554</v>
      </c>
      <c r="L43" s="799" t="s">
        <v>1555</v>
      </c>
      <c r="M43" s="814" t="s">
        <v>1556</v>
      </c>
      <c r="N43" s="799" t="s">
        <v>1557</v>
      </c>
      <c r="O43" s="804">
        <f>$G$30</f>
        <v>122</v>
      </c>
      <c r="P43" s="804">
        <f>O43</f>
        <v>122</v>
      </c>
      <c r="Q43" s="805">
        <f t="shared" si="14"/>
        <v>1</v>
      </c>
      <c r="R43" s="799" t="s">
        <v>537</v>
      </c>
      <c r="S43" s="815">
        <f>S4</f>
        <v>0</v>
      </c>
      <c r="T43" s="815">
        <f>T4</f>
        <v>45</v>
      </c>
      <c r="U43" s="815">
        <f>U4</f>
        <v>-45</v>
      </c>
      <c r="V43" s="815">
        <f>V4</f>
        <v>90</v>
      </c>
      <c r="W43" s="806" t="s">
        <v>1432</v>
      </c>
      <c r="X43" s="806"/>
      <c r="Z43" s="799" t="s">
        <v>539</v>
      </c>
      <c r="AA43" s="814">
        <f>S45*AA42/AA42</f>
        <v>0</v>
      </c>
      <c r="AB43" s="814">
        <f>T45*AB42/AB42</f>
        <v>1.5707963267948966</v>
      </c>
      <c r="AC43" s="814">
        <f>U45*AC42/AC42</f>
        <v>-1.5707963267948966</v>
      </c>
      <c r="AD43" s="814">
        <f>V45*AD42/AD42</f>
        <v>3.1415926535897931</v>
      </c>
      <c r="AE43" s="799" t="s">
        <v>540</v>
      </c>
      <c r="AF43" s="802">
        <f>$W$12</f>
        <v>1E-3</v>
      </c>
      <c r="AG43" s="799" t="s">
        <v>539</v>
      </c>
      <c r="AH43" s="807">
        <f t="shared" si="16"/>
        <v>0</v>
      </c>
      <c r="AI43" s="807">
        <f t="shared" si="16"/>
        <v>1.5707963267948966</v>
      </c>
      <c r="AJ43" s="807">
        <f t="shared" si="16"/>
        <v>-1.5707963267948966</v>
      </c>
      <c r="AK43" s="807">
        <f t="shared" si="16"/>
        <v>3.1415926535897931</v>
      </c>
    </row>
    <row r="44" spans="1:38">
      <c r="J44" s="799" t="s">
        <v>298</v>
      </c>
      <c r="K44" s="801">
        <f>$B$30</f>
        <v>191</v>
      </c>
      <c r="L44" s="801">
        <f>L51*L50</f>
        <v>191</v>
      </c>
      <c r="M44" s="805">
        <f>L44/K44</f>
        <v>1</v>
      </c>
      <c r="N44" s="799" t="s">
        <v>299</v>
      </c>
      <c r="O44" s="804">
        <f>$H$30</f>
        <v>160</v>
      </c>
      <c r="P44" s="804">
        <f>O44-$H$33*P42</f>
        <v>150</v>
      </c>
      <c r="Q44" s="805">
        <f t="shared" si="14"/>
        <v>0.9375</v>
      </c>
      <c r="R44" s="799" t="s">
        <v>541</v>
      </c>
      <c r="S44" s="815">
        <f>B4</f>
        <v>1</v>
      </c>
      <c r="T44" s="815">
        <f>C4</f>
        <v>1</v>
      </c>
      <c r="U44" s="815">
        <f>D4</f>
        <v>1</v>
      </c>
      <c r="V44" s="815">
        <f>E4</f>
        <v>1</v>
      </c>
      <c r="W44" s="816">
        <f>F4</f>
        <v>1</v>
      </c>
      <c r="X44" s="807"/>
      <c r="Z44" s="799"/>
      <c r="AA44" s="802"/>
      <c r="AB44" s="802"/>
      <c r="AC44" s="802"/>
      <c r="AD44" s="802"/>
      <c r="AE44" s="806"/>
    </row>
    <row r="45" spans="1:38">
      <c r="J45" s="799" t="s">
        <v>1579</v>
      </c>
      <c r="K45" s="801">
        <f>$C$30</f>
        <v>9.94</v>
      </c>
      <c r="L45" s="801">
        <f>(1+L54)/(1/L55+L54/L52)</f>
        <v>9.94</v>
      </c>
      <c r="M45" s="805">
        <f>L45/K45</f>
        <v>1</v>
      </c>
      <c r="N45" s="799" t="s">
        <v>1580</v>
      </c>
      <c r="O45" s="801">
        <f>(O44-O41)/(O44-O41)</f>
        <v>1</v>
      </c>
      <c r="P45" s="801">
        <f>(P44-P41)/(P44-O41)</f>
        <v>1</v>
      </c>
      <c r="Q45" s="805">
        <f t="shared" si="14"/>
        <v>1</v>
      </c>
      <c r="R45" s="799" t="s">
        <v>1295</v>
      </c>
      <c r="S45" s="805">
        <f>S43*PI()/90</f>
        <v>0</v>
      </c>
      <c r="T45" s="805">
        <f>T43*PI()/90</f>
        <v>1.5707963267948966</v>
      </c>
      <c r="U45" s="805">
        <f>U43*PI()/90</f>
        <v>-1.5707963267948966</v>
      </c>
      <c r="V45" s="805">
        <f>V43*PI()/90</f>
        <v>3.1415926535897931</v>
      </c>
      <c r="W45" s="806" t="s">
        <v>1433</v>
      </c>
      <c r="X45" s="818"/>
      <c r="Y45" s="799"/>
      <c r="Z45" s="800" t="s">
        <v>1434</v>
      </c>
      <c r="AA45" s="806"/>
      <c r="AB45" s="806"/>
      <c r="AC45" s="802"/>
      <c r="AD45" s="802"/>
      <c r="AE45" s="802"/>
      <c r="AG45" s="800" t="s">
        <v>1298</v>
      </c>
      <c r="AL45" s="799" t="s">
        <v>1299</v>
      </c>
    </row>
    <row r="46" spans="1:38">
      <c r="B46" s="798" t="s">
        <v>1897</v>
      </c>
      <c r="C46" s="798">
        <v>15.1</v>
      </c>
      <c r="D46" s="798">
        <v>2094</v>
      </c>
      <c r="E46" s="798">
        <v>15.1</v>
      </c>
      <c r="F46" s="798">
        <f>(E46+E48+E49+E51)/4</f>
        <v>15.25</v>
      </c>
      <c r="J46" s="799" t="s">
        <v>259</v>
      </c>
      <c r="K46" s="801">
        <f>$D$30</f>
        <v>0.35</v>
      </c>
      <c r="L46" s="801">
        <f>K46*I19</f>
        <v>0.35</v>
      </c>
      <c r="M46" s="805">
        <f>L46/K46</f>
        <v>1</v>
      </c>
      <c r="N46" s="799" t="s">
        <v>260</v>
      </c>
      <c r="O46" s="804">
        <f>O41-O43</f>
        <v>-100</v>
      </c>
      <c r="P46" s="804">
        <f>P41-P43</f>
        <v>-100</v>
      </c>
      <c r="Q46" s="805">
        <f t="shared" si="14"/>
        <v>1</v>
      </c>
      <c r="R46" s="799" t="s">
        <v>1300</v>
      </c>
      <c r="S46" s="805">
        <f>2*S45</f>
        <v>0</v>
      </c>
      <c r="T46" s="805">
        <f>2*T45</f>
        <v>3.1415926535897931</v>
      </c>
      <c r="U46" s="805">
        <f>2*U45</f>
        <v>-3.1415926535897931</v>
      </c>
      <c r="V46" s="805">
        <f>2*V45</f>
        <v>6.2831853071795862</v>
      </c>
      <c r="W46" s="807">
        <f>G4/W44/2</f>
        <v>4</v>
      </c>
      <c r="X46" s="807"/>
      <c r="Y46" s="802"/>
      <c r="Z46" s="799"/>
      <c r="AA46" s="806" t="s">
        <v>1301</v>
      </c>
      <c r="AB46" s="806"/>
      <c r="AC46" s="822" t="s">
        <v>213</v>
      </c>
      <c r="AD46" s="822"/>
      <c r="AE46" s="806" t="s">
        <v>1303</v>
      </c>
      <c r="AF46" s="806" t="s">
        <v>1304</v>
      </c>
      <c r="AG46" s="799" t="s">
        <v>1305</v>
      </c>
      <c r="AH46" s="823">
        <f t="shared" ref="AH46:AK48" si="17">AA52/1000</f>
        <v>-9.9999997322770384E-4</v>
      </c>
      <c r="AI46" s="823">
        <f t="shared" si="17"/>
        <v>-4.9988428809223933E-4</v>
      </c>
      <c r="AJ46" s="823">
        <f t="shared" si="17"/>
        <v>-4.9988428809223933E-4</v>
      </c>
      <c r="AK46" s="823">
        <f t="shared" si="17"/>
        <v>2.313970432254453E-7</v>
      </c>
      <c r="AL46" s="823">
        <f>($T$87+$T$88)/2</f>
        <v>4.6538648760449897E-5</v>
      </c>
    </row>
    <row r="47" spans="1:38">
      <c r="B47" s="798" t="s">
        <v>1898</v>
      </c>
      <c r="C47" s="798">
        <v>-13</v>
      </c>
      <c r="D47" s="798">
        <v>-1653</v>
      </c>
      <c r="E47" s="798">
        <v>-13</v>
      </c>
      <c r="F47" s="798">
        <f>(E47+E50+E52)/3</f>
        <v>-13.166666666666666</v>
      </c>
      <c r="J47" s="799" t="s">
        <v>261</v>
      </c>
      <c r="K47" s="801">
        <f>$E$30</f>
        <v>7.79</v>
      </c>
      <c r="L47" s="801">
        <f>(1+L57)/(1/L58+L57*2.7/L52)</f>
        <v>7.79</v>
      </c>
      <c r="M47" s="805">
        <f>L47/K47</f>
        <v>1</v>
      </c>
      <c r="N47" s="799"/>
      <c r="O47" s="801"/>
      <c r="P47" s="801"/>
      <c r="Q47" s="801"/>
      <c r="R47" s="798" t="s">
        <v>1368</v>
      </c>
      <c r="S47" s="799" t="str">
        <f>IF(B4=0,I27,IF(S51&gt;0,G27,H27))</f>
        <v>no</v>
      </c>
      <c r="T47" s="799" t="str">
        <f>IF(C4=0,I27,IF(T51&gt;0,G27,H27))</f>
        <v>no</v>
      </c>
      <c r="U47" s="799" t="str">
        <f>IF(D4=0,I27,IF(U51&gt;0,G27,H27))</f>
        <v>no</v>
      </c>
      <c r="V47" s="799" t="str">
        <f>IF(E4=0,I27,IF(V51&gt;0,G27,H27))</f>
        <v>no</v>
      </c>
      <c r="W47" s="806"/>
      <c r="X47" s="806"/>
      <c r="Y47" s="802"/>
      <c r="Z47" s="799">
        <v>1</v>
      </c>
      <c r="AA47" s="823">
        <f>AC47*W54+AC48*W56+AC49*W58</f>
        <v>-8.0600736624404451E-2</v>
      </c>
      <c r="AB47" s="823"/>
      <c r="AC47" s="823">
        <f>AC8</f>
        <v>-0.99999997322770384</v>
      </c>
      <c r="AD47" s="823"/>
      <c r="AE47" s="818" t="s">
        <v>1306</v>
      </c>
      <c r="AF47" s="823">
        <f>(AC47+AC48)/2</f>
        <v>-0.49988428809223923</v>
      </c>
      <c r="AG47" s="799" t="s">
        <v>1307</v>
      </c>
      <c r="AH47" s="823">
        <f t="shared" si="17"/>
        <v>2.3139704322538979E-7</v>
      </c>
      <c r="AI47" s="823">
        <f t="shared" si="17"/>
        <v>-4.9988428809223922E-4</v>
      </c>
      <c r="AJ47" s="823">
        <f t="shared" si="17"/>
        <v>-4.9988428809223922E-4</v>
      </c>
      <c r="AK47" s="823">
        <f t="shared" si="17"/>
        <v>-9.9999997322770384E-4</v>
      </c>
      <c r="AL47" s="823">
        <f>($T$87-$T$88)/2</f>
        <v>5.4210108624275222E-20</v>
      </c>
    </row>
    <row r="48" spans="1:38">
      <c r="B48" s="798" t="s">
        <v>1899</v>
      </c>
      <c r="C48" s="798">
        <v>15.6</v>
      </c>
      <c r="D48" s="798">
        <v>800</v>
      </c>
      <c r="E48" s="798">
        <v>15.6</v>
      </c>
      <c r="J48" s="799" t="s">
        <v>262</v>
      </c>
      <c r="K48" s="804">
        <f>$B$32</f>
        <v>125</v>
      </c>
      <c r="L48" s="804">
        <f>K48/M50</f>
        <v>125</v>
      </c>
      <c r="M48" s="805">
        <f>L48/K48</f>
        <v>1</v>
      </c>
      <c r="N48" s="800" t="s">
        <v>1531</v>
      </c>
      <c r="O48" s="801"/>
      <c r="P48" s="801"/>
      <c r="Q48" s="801"/>
      <c r="R48" s="799" t="s">
        <v>1308</v>
      </c>
      <c r="S48" s="805">
        <v>1</v>
      </c>
      <c r="T48" s="805">
        <f>S49</f>
        <v>0.75</v>
      </c>
      <c r="U48" s="805">
        <f>T49</f>
        <v>0.5</v>
      </c>
      <c r="V48" s="805">
        <f>U49</f>
        <v>0.25</v>
      </c>
      <c r="W48" s="817"/>
      <c r="X48" s="806"/>
      <c r="Y48" s="802"/>
      <c r="Z48" s="799">
        <v>2</v>
      </c>
      <c r="AA48" s="823">
        <f>AC47*W56+AC48*W55+AC49*W59</f>
        <v>-2.3990993068203265E-2</v>
      </c>
      <c r="AB48" s="823"/>
      <c r="AC48" s="823">
        <f>AC9</f>
        <v>2.3139704322540602E-4</v>
      </c>
      <c r="AD48" s="823"/>
      <c r="AE48" s="818" t="s">
        <v>1309</v>
      </c>
      <c r="AF48" s="823">
        <f>(AC47-AC48)/2</f>
        <v>-0.50011568513546467</v>
      </c>
      <c r="AG48" s="799" t="s">
        <v>1310</v>
      </c>
      <c r="AH48" s="823">
        <f t="shared" si="17"/>
        <v>0</v>
      </c>
      <c r="AI48" s="823">
        <f t="shared" si="17"/>
        <v>1.0002313702709294E-3</v>
      </c>
      <c r="AJ48" s="823">
        <f t="shared" si="17"/>
        <v>-1.0002313702709294E-3</v>
      </c>
      <c r="AK48" s="823">
        <f t="shared" si="17"/>
        <v>1.2254319178385609E-19</v>
      </c>
      <c r="AL48" s="823">
        <f>$T$89/2</f>
        <v>-3.7164242896222236E-21</v>
      </c>
    </row>
    <row r="49" spans="2:38">
      <c r="B49" s="798" t="s">
        <v>1900</v>
      </c>
      <c r="C49" s="798">
        <v>16.600000000000001</v>
      </c>
      <c r="D49" s="798">
        <v>1298</v>
      </c>
      <c r="E49" s="798">
        <v>16.600000000000001</v>
      </c>
      <c r="J49" s="800" t="s">
        <v>264</v>
      </c>
      <c r="K49" s="801"/>
      <c r="L49" s="801"/>
      <c r="N49" s="799" t="s">
        <v>265</v>
      </c>
      <c r="O49" s="801">
        <f>$A$33</f>
        <v>0.02</v>
      </c>
      <c r="P49" s="801">
        <f>O49</f>
        <v>0.02</v>
      </c>
      <c r="Q49" s="801">
        <f>P49/O49</f>
        <v>1</v>
      </c>
      <c r="R49" s="799" t="s">
        <v>1311</v>
      </c>
      <c r="S49" s="805">
        <f>S48-S44/$W$46</f>
        <v>0.75</v>
      </c>
      <c r="T49" s="805">
        <f>T48-T44/$W$46</f>
        <v>0.5</v>
      </c>
      <c r="U49" s="805">
        <f>U48-U44/$W$46</f>
        <v>0.25</v>
      </c>
      <c r="V49" s="805">
        <f>V48-V44/$W$46</f>
        <v>0</v>
      </c>
      <c r="Y49" s="802"/>
      <c r="Z49" s="799">
        <v>6</v>
      </c>
      <c r="AA49" s="823">
        <f>AC47*W58+AC48*W59+AC49*W57</f>
        <v>-1.3840319424463096E-19</v>
      </c>
      <c r="AB49" s="823"/>
      <c r="AC49" s="823">
        <f>AC10</f>
        <v>0</v>
      </c>
      <c r="AD49" s="823"/>
      <c r="AE49" s="818" t="s">
        <v>1312</v>
      </c>
      <c r="AF49" s="823">
        <f>AC49/2</f>
        <v>0</v>
      </c>
      <c r="AG49" s="799"/>
      <c r="AH49" s="823"/>
      <c r="AI49" s="823"/>
      <c r="AJ49" s="823"/>
      <c r="AK49" s="823"/>
      <c r="AL49" s="823"/>
    </row>
    <row r="50" spans="2:38">
      <c r="B50" s="798" t="s">
        <v>1901</v>
      </c>
      <c r="C50" s="798">
        <v>-11.9</v>
      </c>
      <c r="D50" s="798">
        <v>-883</v>
      </c>
      <c r="E50" s="798">
        <v>-11.9</v>
      </c>
      <c r="J50" s="799" t="s">
        <v>1532</v>
      </c>
      <c r="K50" s="801">
        <f>$C$32</f>
        <v>0.64</v>
      </c>
      <c r="L50" s="801">
        <f>$D$19</f>
        <v>0.64</v>
      </c>
      <c r="M50" s="805">
        <f t="shared" ref="M50:M58" si="18">L50/K50</f>
        <v>1</v>
      </c>
      <c r="N50" s="799" t="s">
        <v>1533</v>
      </c>
      <c r="O50" s="801">
        <f>$B$33</f>
        <v>22.5</v>
      </c>
      <c r="P50" s="801">
        <f>O50*(1-L50)/(1-K50)</f>
        <v>22.5</v>
      </c>
      <c r="Q50" s="801">
        <f>P50/O50</f>
        <v>1</v>
      </c>
      <c r="R50" s="799" t="s">
        <v>1321</v>
      </c>
      <c r="S50" s="805">
        <f>S48-S49</f>
        <v>0.25</v>
      </c>
      <c r="T50" s="805">
        <f>T48-T49</f>
        <v>0.25</v>
      </c>
      <c r="U50" s="805">
        <f>U48-U49</f>
        <v>0.25</v>
      </c>
      <c r="V50" s="805">
        <f>V48-V49</f>
        <v>0.25</v>
      </c>
      <c r="W50" s="806" t="s">
        <v>540</v>
      </c>
      <c r="X50" s="806"/>
      <c r="Y50" s="802"/>
      <c r="AA50" s="823"/>
      <c r="AB50" s="823"/>
      <c r="AC50" s="823"/>
      <c r="AD50" s="823"/>
      <c r="AE50" s="818"/>
      <c r="AF50" s="823"/>
      <c r="AG50" s="799"/>
      <c r="AH50" s="823"/>
      <c r="AI50" s="823"/>
      <c r="AJ50" s="823"/>
      <c r="AK50" s="823"/>
      <c r="AL50" s="823"/>
    </row>
    <row r="51" spans="2:38">
      <c r="B51" s="798" t="s">
        <v>1902</v>
      </c>
      <c r="C51" s="798">
        <v>13.7</v>
      </c>
      <c r="D51" s="798">
        <v>407</v>
      </c>
      <c r="E51" s="798">
        <v>13.7</v>
      </c>
      <c r="J51" s="799" t="s">
        <v>1534</v>
      </c>
      <c r="K51" s="804">
        <f>K44/K50</f>
        <v>298.4375</v>
      </c>
      <c r="L51" s="804">
        <f>$F$19*P45^$F$33</f>
        <v>298.4375</v>
      </c>
      <c r="M51" s="805">
        <f t="shared" si="18"/>
        <v>1</v>
      </c>
      <c r="N51" s="798" t="s">
        <v>1535</v>
      </c>
      <c r="O51" s="801"/>
      <c r="P51" s="801"/>
      <c r="Q51" s="801"/>
      <c r="R51" s="800" t="s">
        <v>1456</v>
      </c>
      <c r="S51" s="805">
        <f>AA17</f>
        <v>-4.7206430801416052E-4</v>
      </c>
      <c r="T51" s="805">
        <f>AB17</f>
        <v>-0.50058774944347872</v>
      </c>
      <c r="U51" s="805">
        <f>AC17</f>
        <v>-0.50058774944347872</v>
      </c>
      <c r="V51" s="805">
        <f>AD17</f>
        <v>-1.0007034345789434</v>
      </c>
      <c r="W51" s="802">
        <f>H4/1000</f>
        <v>1E-3</v>
      </c>
      <c r="Y51" s="802"/>
      <c r="Z51" s="800" t="s">
        <v>1323</v>
      </c>
      <c r="AA51" s="823"/>
      <c r="AB51" s="823"/>
      <c r="AC51" s="823"/>
      <c r="AD51" s="823"/>
      <c r="AE51" s="818"/>
      <c r="AF51" s="823"/>
      <c r="AG51" s="799"/>
      <c r="AH51" s="823"/>
      <c r="AI51" s="823"/>
      <c r="AJ51" s="823"/>
      <c r="AK51" s="823"/>
      <c r="AL51" s="823"/>
    </row>
    <row r="52" spans="2:38">
      <c r="B52" s="798" t="s">
        <v>1903</v>
      </c>
      <c r="C52" s="798">
        <v>-14.6</v>
      </c>
      <c r="D52" s="798">
        <v>-450</v>
      </c>
      <c r="E52" s="798">
        <v>-14.6</v>
      </c>
      <c r="J52" s="799" t="s">
        <v>1536</v>
      </c>
      <c r="K52" s="801">
        <f>$F$30</f>
        <v>3.4</v>
      </c>
      <c r="L52" s="801">
        <f>$E$19*$I$19*P45^$F$32</f>
        <v>3.4</v>
      </c>
      <c r="M52" s="805">
        <f t="shared" si="18"/>
        <v>1</v>
      </c>
      <c r="N52" s="799" t="s">
        <v>1537</v>
      </c>
      <c r="O52" s="801">
        <f>$C$33</f>
        <v>0</v>
      </c>
      <c r="P52" s="801">
        <f>O52</f>
        <v>0</v>
      </c>
      <c r="Q52" s="801">
        <v>1</v>
      </c>
      <c r="R52" s="800" t="s">
        <v>1457</v>
      </c>
      <c r="S52" s="801">
        <f>AA56</f>
        <v>-4.7206430801416052E-4</v>
      </c>
      <c r="T52" s="801">
        <f>AB56</f>
        <v>-0.50058774944347872</v>
      </c>
      <c r="U52" s="801">
        <f>AC56</f>
        <v>-0.50058774944347872</v>
      </c>
      <c r="V52" s="801">
        <f>AD56</f>
        <v>-1.0007034345789434</v>
      </c>
      <c r="Z52" s="799" t="s">
        <v>1324</v>
      </c>
      <c r="AA52" s="823">
        <f>$AF$47+$AF$48*COS(AA43)+$AF$49*SIN(AA43)</f>
        <v>-0.99999997322770384</v>
      </c>
      <c r="AB52" s="823">
        <f>$AF$47+$AF$48*COS(AB43)+$AF$49*SIN(AB43)</f>
        <v>-0.49988428809223928</v>
      </c>
      <c r="AC52" s="823">
        <f>$AF$47+$AF$48*COS(AC43)+$AF$49*SIN(AC43)</f>
        <v>-0.49988428809223928</v>
      </c>
      <c r="AD52" s="823">
        <f>$AF$47+$AF$48*COS(AD43)+$AF$49*SIN(AD43)</f>
        <v>2.313970432254453E-4</v>
      </c>
      <c r="AE52" s="818"/>
      <c r="AF52" s="823"/>
      <c r="AG52" s="800"/>
      <c r="AH52" s="818"/>
      <c r="AI52" s="818"/>
      <c r="AJ52" s="818"/>
      <c r="AK52" s="818"/>
      <c r="AL52" s="823"/>
    </row>
    <row r="53" spans="2:38">
      <c r="J53" s="799" t="s">
        <v>1538</v>
      </c>
      <c r="K53" s="801">
        <f>E32</f>
        <v>0.52</v>
      </c>
      <c r="L53" s="801">
        <f>K53*P45^$G$32</f>
        <v>0.52</v>
      </c>
      <c r="M53" s="805">
        <f t="shared" si="18"/>
        <v>1</v>
      </c>
      <c r="N53" s="799" t="s">
        <v>1539</v>
      </c>
      <c r="O53" s="801">
        <f>$D$33</f>
        <v>0.6</v>
      </c>
      <c r="P53" s="801">
        <f>O53*(1-L50)/(1-K50)</f>
        <v>0.6</v>
      </c>
      <c r="Q53" s="801">
        <f>P53/O53</f>
        <v>1</v>
      </c>
      <c r="R53" s="799" t="s">
        <v>1325</v>
      </c>
      <c r="S53" s="806" t="s">
        <v>1326</v>
      </c>
      <c r="T53" s="806" t="s">
        <v>1327</v>
      </c>
      <c r="U53" s="806" t="s">
        <v>1328</v>
      </c>
      <c r="V53" s="806" t="s">
        <v>1329</v>
      </c>
      <c r="W53" s="806" t="s">
        <v>1458</v>
      </c>
      <c r="X53" s="806" t="s">
        <v>1459</v>
      </c>
      <c r="Y53" s="799"/>
      <c r="Z53" s="799" t="s">
        <v>1332</v>
      </c>
      <c r="AA53" s="823">
        <f>2*$AF$47-AA52</f>
        <v>2.3139704322538979E-4</v>
      </c>
      <c r="AB53" s="823">
        <f>2*$AF$47-AB52</f>
        <v>-0.49988428809223917</v>
      </c>
      <c r="AC53" s="823">
        <f>2*$AF$47-AC52</f>
        <v>-0.49988428809223917</v>
      </c>
      <c r="AD53" s="823">
        <f>2*$AF$47-AD52</f>
        <v>-0.99999997322770384</v>
      </c>
      <c r="AE53" s="823"/>
      <c r="AF53" s="823"/>
      <c r="AG53" s="799" t="s">
        <v>1333</v>
      </c>
      <c r="AH53" s="810">
        <f>IF(AH8&gt;0,$P$72*AH46^2+2*$P$74*AH46*AH47+$P$73*AH47^2+$P$75*AH48^2,$P$33*AH46^2+2*$P$35*AH46*AH47+$P$34*AH47^2+$P$36*AH48^2)</f>
        <v>5.3368828952003585E-3</v>
      </c>
      <c r="AI53" s="810">
        <f>IF(AI8&gt;0,$P$72*AI46^2+2*$P$74*AI46*AI47+$P$73*AI47^2+$P$75*AI48^2,$P$33*AI46^2+2*$P$35*AI46*AI47+$P$34*AI47^2+$P$36*AI48^2)</f>
        <v>1.999074411851879E-2</v>
      </c>
      <c r="AJ53" s="810">
        <f>IF(AJ8&gt;0,$P$72*AJ46^2+2*$P$74*AJ46*AJ47+$P$73*AJ47^2+$P$75*AJ48^2,$P$33*AJ46^2+2*$P$35*AJ46*AJ47+$P$34*AJ47^2+$P$36*AJ48^2)</f>
        <v>1.999074411851879E-2</v>
      </c>
      <c r="AK53" s="810">
        <f>IF(AK8&gt;0,$P$72*AK46^2+2*$P$74*AK46*AK47+$P$73*AK47^2+$P$75*AK48^2,$P$33*AK46^2+2*$P$35*AK46*AK47+$P$34*AK47^2+$P$36*AK48^2)</f>
        <v>0.04</v>
      </c>
      <c r="AL53" s="823"/>
    </row>
    <row r="54" spans="2:38">
      <c r="J54" s="799" t="s">
        <v>1547</v>
      </c>
      <c r="K54" s="801">
        <f>K53*(1-K50)/K50</f>
        <v>0.29249999999999998</v>
      </c>
      <c r="L54" s="801">
        <f>L53*(1-L50)/L50</f>
        <v>0.29249999999999998</v>
      </c>
      <c r="M54" s="805">
        <f t="shared" si="18"/>
        <v>1</v>
      </c>
      <c r="O54" s="801"/>
      <c r="P54" s="801"/>
      <c r="Q54" s="801"/>
      <c r="R54" s="799">
        <v>11</v>
      </c>
      <c r="S54" s="801">
        <f>IF(S51&gt;0,$L$66+$L$67*COS(S45)+$L$68*COS(S46),S15)</f>
        <v>192.22546248373467</v>
      </c>
      <c r="T54" s="801">
        <f>IF(T51&gt;0,$L$66+$L$67*COS(T45)+$L$68*COS(T46),T15)</f>
        <v>60.097970156339628</v>
      </c>
      <c r="U54" s="801">
        <f>IF(U51&gt;0,$L$66+$L$67*COS(U45)+$L$68*COS(U46),U15)</f>
        <v>60.097970156339628</v>
      </c>
      <c r="V54" s="801">
        <f>IF(V51&gt;0,$L$66+$L$67*COS(V45)+$L$68*COS(V46),V15)</f>
        <v>10.003775377425772</v>
      </c>
      <c r="W54" s="802">
        <f t="shared" ref="W54:W59" si="19">($S$50*S54+$T$50*T54+$U$50*U54+$V$50*V54)*$W$51</f>
        <v>8.0606294543459925E-2</v>
      </c>
      <c r="X54" s="801">
        <f t="shared" ref="X54:X59" si="20">W54/$W$51</f>
        <v>80.606294543459924</v>
      </c>
      <c r="Y54" s="806"/>
      <c r="Z54" s="799" t="s">
        <v>1334</v>
      </c>
      <c r="AA54" s="823">
        <f>2*($AF$49*COS(AA43)-$AF$48*SIN(AA43))</f>
        <v>0</v>
      </c>
      <c r="AB54" s="823">
        <f>2*($AF$49*COS(AB43)-$AF$48*SIN(AB43))</f>
        <v>1.0002313702709293</v>
      </c>
      <c r="AC54" s="823">
        <f>2*($AF$49*COS(AC43)-$AF$48*SIN(AC43))</f>
        <v>-1.0002313702709293</v>
      </c>
      <c r="AD54" s="823">
        <f>2*($AF$49*COS(AD43)-$AF$48*SIN(AD43))</f>
        <v>1.2254319178385608E-16</v>
      </c>
      <c r="AE54" s="823"/>
      <c r="AF54" s="823"/>
      <c r="AG54" s="799" t="s">
        <v>1335</v>
      </c>
      <c r="AH54" s="810">
        <f>IF(AH8&gt;0,$P$76*AH46+$P$77*AH47,$P$37*AH46+$P$38*AH47)</f>
        <v>4.0249460513288135E-2</v>
      </c>
      <c r="AI54" s="810">
        <f>IF(AI8&gt;0,$P$76*AI46+$P$77*AI47,$P$37*AI46+$P$38*AI47)</f>
        <v>0</v>
      </c>
      <c r="AJ54" s="810">
        <f>IF(AJ8&gt;0,$P$76*AJ46+$P$77*AJ47,$P$37*AJ46+$P$38*AJ47)</f>
        <v>0</v>
      </c>
      <c r="AK54" s="810">
        <f>IF(AK8&gt;0,$P$76*AK46+$P$77*AK47,$P$37*AK46+$P$38*AK47)</f>
        <v>0</v>
      </c>
      <c r="AL54" s="823"/>
    </row>
    <row r="55" spans="2:38">
      <c r="J55" s="799" t="s">
        <v>1548</v>
      </c>
      <c r="K55" s="801">
        <f>1/((1+K54)/K45-K54/K52)</f>
        <v>22.726875357250929</v>
      </c>
      <c r="L55" s="801">
        <f>K55*P45^$F$33</f>
        <v>22.726875357250929</v>
      </c>
      <c r="M55" s="805">
        <f t="shared" si="18"/>
        <v>1</v>
      </c>
      <c r="N55" s="798" t="s">
        <v>1549</v>
      </c>
      <c r="O55" s="801"/>
      <c r="P55" s="801"/>
      <c r="Q55" s="801"/>
      <c r="R55" s="799">
        <v>22</v>
      </c>
      <c r="S55" s="801">
        <f>IF(S51&gt;0,S54-2*$L$67*COS(S45),S16)</f>
        <v>10.003775377425768</v>
      </c>
      <c r="T55" s="801">
        <f>IF(T51&gt;0,T54-2*$L$67*COS(T45),T16)</f>
        <v>60.097970156339613</v>
      </c>
      <c r="U55" s="801">
        <f>IF(U51&gt;0,U54-2*$L$67*COS(U45),U16)</f>
        <v>60.097970156339613</v>
      </c>
      <c r="V55" s="801">
        <f>IF(V51&gt;0,V54-2*$L$67*COS(V45),V16)</f>
        <v>192.22546248373467</v>
      </c>
      <c r="W55" s="802">
        <f t="shared" si="19"/>
        <v>8.0606294543459911E-2</v>
      </c>
      <c r="X55" s="801">
        <f t="shared" si="20"/>
        <v>80.60629454345991</v>
      </c>
      <c r="Y55" s="806"/>
      <c r="Z55" s="799"/>
      <c r="AA55" s="823"/>
      <c r="AB55" s="823"/>
      <c r="AC55" s="823"/>
      <c r="AD55" s="823"/>
      <c r="AE55" s="823"/>
      <c r="AF55" s="823"/>
      <c r="AG55" s="799" t="s">
        <v>1344</v>
      </c>
      <c r="AH55" s="823">
        <f>AH54/2/AH53</f>
        <v>3.7708772427333801</v>
      </c>
      <c r="AI55" s="823">
        <f>AI54/2/AI53</f>
        <v>0</v>
      </c>
      <c r="AJ55" s="823">
        <f>AJ54/2/AJ53</f>
        <v>0</v>
      </c>
      <c r="AK55" s="823">
        <f>AK54/2/AK53</f>
        <v>0</v>
      </c>
      <c r="AL55" s="823"/>
    </row>
    <row r="56" spans="2:38">
      <c r="J56" s="799" t="s">
        <v>295</v>
      </c>
      <c r="K56" s="801">
        <f>E33</f>
        <v>0.32</v>
      </c>
      <c r="L56" s="801">
        <f>K56*P45^$G$32</f>
        <v>0.32</v>
      </c>
      <c r="M56" s="805">
        <f t="shared" si="18"/>
        <v>1</v>
      </c>
      <c r="N56" s="799" t="s">
        <v>296</v>
      </c>
      <c r="O56" s="804">
        <f>$A$31</f>
        <v>3250</v>
      </c>
      <c r="P56" s="804">
        <f>P62*L50</f>
        <v>3250</v>
      </c>
      <c r="Q56" s="801">
        <f t="shared" ref="Q56:Q63" si="21">P56/O56</f>
        <v>1</v>
      </c>
      <c r="R56" s="799" t="s">
        <v>1345</v>
      </c>
      <c r="S56" s="801">
        <f>IF(S51&gt;0,$L$69-$L$68*COS(S46),S17)</f>
        <v>3.5013213820990217</v>
      </c>
      <c r="T56" s="801">
        <f>IF(T51&gt;0,$L$69-$L$68*COS(T46),T17)</f>
        <v>44.517970156339622</v>
      </c>
      <c r="U56" s="801">
        <f>IF(U51&gt;0,$L$69-$L$68*COS(U46),U17)</f>
        <v>44.517970156339622</v>
      </c>
      <c r="V56" s="801">
        <f>IF(V51&gt;0,$L$69-$L$68*COS(V46),V17)</f>
        <v>3.5013213820990217</v>
      </c>
      <c r="W56" s="802">
        <f t="shared" si="19"/>
        <v>2.4009645769219323E-2</v>
      </c>
      <c r="X56" s="801">
        <f t="shared" si="20"/>
        <v>24.009645769219322</v>
      </c>
      <c r="Y56" s="806"/>
      <c r="Z56" s="799" t="s">
        <v>1346</v>
      </c>
      <c r="AA56" s="810">
        <f>IF(ABS(AA60/AA62)&lt;0.000000001,0,AA60)</f>
        <v>-4.7206430801416052E-4</v>
      </c>
      <c r="AB56" s="810">
        <f>IF(ABS(AB60/AB62)&lt;0.000000001,0,AB60)</f>
        <v>-0.50058774944347872</v>
      </c>
      <c r="AC56" s="810">
        <f>IF(ABS(AC60/AC62)&lt;0.000000001,0,AC60)</f>
        <v>-0.50058774944347872</v>
      </c>
      <c r="AD56" s="810">
        <f>IF(ABS(AD60/AD62)&lt;0.000000001,0,AD60)</f>
        <v>-1.0007034345789434</v>
      </c>
      <c r="AE56" s="823"/>
      <c r="AF56" s="823"/>
      <c r="AG56" s="799"/>
      <c r="AH56" s="823"/>
      <c r="AI56" s="823"/>
      <c r="AJ56" s="823"/>
      <c r="AK56" s="823"/>
      <c r="AL56" s="823"/>
    </row>
    <row r="57" spans="2:38">
      <c r="J57" s="799" t="s">
        <v>301</v>
      </c>
      <c r="K57" s="801">
        <f>K56*(1-K50)/K50</f>
        <v>0.18</v>
      </c>
      <c r="L57" s="801">
        <f>L56*(1-L50)/L50</f>
        <v>0.18</v>
      </c>
      <c r="M57" s="805">
        <f t="shared" si="18"/>
        <v>1</v>
      </c>
      <c r="N57" s="799" t="s">
        <v>302</v>
      </c>
      <c r="O57" s="804">
        <f>$B$31</f>
        <v>1600</v>
      </c>
      <c r="P57" s="804">
        <f>O57*Q56*M47^E34</f>
        <v>1600</v>
      </c>
      <c r="Q57" s="801">
        <f t="shared" si="21"/>
        <v>1</v>
      </c>
      <c r="R57" s="799">
        <v>66</v>
      </c>
      <c r="S57" s="801">
        <f>IF(S51&gt;0,S56-$L$69+$L$70,S18)</f>
        <v>7.7900000000000027</v>
      </c>
      <c r="T57" s="801">
        <f>IF(T51&gt;0,T56-$L$69+$L$70,T18)</f>
        <v>48.8066487742406</v>
      </c>
      <c r="U57" s="801">
        <f>IF(U51&gt;0,U56-$L$69+$L$70,U18)</f>
        <v>48.8066487742406</v>
      </c>
      <c r="V57" s="801">
        <f>IF(V51&gt;0,V56-$L$69+$L$70,V18)</f>
        <v>7.7900000000000027</v>
      </c>
      <c r="W57" s="802">
        <f t="shared" si="19"/>
        <v>2.8298324387120304E-2</v>
      </c>
      <c r="X57" s="801">
        <f t="shared" si="20"/>
        <v>28.298324387120303</v>
      </c>
      <c r="Y57" s="806"/>
      <c r="Z57" s="799"/>
      <c r="AA57" s="810"/>
      <c r="AB57" s="810"/>
      <c r="AC57" s="810"/>
      <c r="AD57" s="810"/>
      <c r="AE57" s="823"/>
      <c r="AF57" s="823"/>
      <c r="AG57" s="799"/>
      <c r="AH57" s="823"/>
      <c r="AI57" s="823"/>
      <c r="AJ57" s="823"/>
      <c r="AK57" s="823"/>
      <c r="AL57" s="823"/>
    </row>
    <row r="58" spans="2:38">
      <c r="J58" s="799" t="s">
        <v>304</v>
      </c>
      <c r="K58" s="801">
        <f>1/((1+K57)/K47-K57*2.7/K52)</f>
        <v>117.16358488896765</v>
      </c>
      <c r="L58" s="801">
        <f>K58*P45^$F$33</f>
        <v>117.16358488896765</v>
      </c>
      <c r="M58" s="805">
        <f t="shared" si="18"/>
        <v>1</v>
      </c>
      <c r="N58" s="799" t="s">
        <v>305</v>
      </c>
      <c r="O58" s="804">
        <f>$C$31</f>
        <v>62</v>
      </c>
      <c r="P58" s="804">
        <f>O58*Q63</f>
        <v>62</v>
      </c>
      <c r="Q58" s="801">
        <f t="shared" si="21"/>
        <v>1</v>
      </c>
      <c r="R58" s="799" t="s">
        <v>1347</v>
      </c>
      <c r="S58" s="801">
        <f>IF(S51&gt;0,$L$67*SIN(S45)/2+$L$68*SIN(S46),S19)</f>
        <v>0</v>
      </c>
      <c r="T58" s="801">
        <f>IF(T51&gt;0,$L$67*SIN(T45)/2+$L$68*SIN(T46),T19)</f>
        <v>45.555421776577226</v>
      </c>
      <c r="U58" s="801">
        <f>IF(U51&gt;0,$L$67*SIN(U45)/2+$L$68*SIN(U46),U19)</f>
        <v>-45.555421776577226</v>
      </c>
      <c r="V58" s="801">
        <f>IF(V51&gt;0,$L$67*SIN(V45)/2+$L$68*SIN(V46),V19)</f>
        <v>5.5606707309936756E-16</v>
      </c>
      <c r="W58" s="802">
        <f t="shared" si="19"/>
        <v>1.3901676827484189E-19</v>
      </c>
      <c r="X58" s="801">
        <f t="shared" si="20"/>
        <v>1.3901676827484189E-16</v>
      </c>
      <c r="Y58" s="806"/>
      <c r="Z58" s="800" t="s">
        <v>1323</v>
      </c>
      <c r="AA58" s="823"/>
      <c r="AB58" s="823"/>
      <c r="AC58" s="823"/>
      <c r="AD58" s="823"/>
      <c r="AF58" s="798"/>
      <c r="AG58" s="799"/>
      <c r="AH58" s="823"/>
      <c r="AI58" s="823"/>
      <c r="AJ58" s="823"/>
      <c r="AK58" s="823"/>
      <c r="AL58" s="818" t="s">
        <v>574</v>
      </c>
    </row>
    <row r="59" spans="2:38">
      <c r="L59" s="801"/>
      <c r="N59" s="799" t="s">
        <v>1542</v>
      </c>
      <c r="O59" s="804">
        <f>$D$31</f>
        <v>98</v>
      </c>
      <c r="P59" s="804">
        <f>O59*Q63</f>
        <v>98</v>
      </c>
      <c r="Q59" s="801">
        <f t="shared" si="21"/>
        <v>1</v>
      </c>
      <c r="R59" s="799" t="s">
        <v>1349</v>
      </c>
      <c r="S59" s="801">
        <f>IF(S51&gt;0,$L$67*SIN(S45)-S58,S20)</f>
        <v>0</v>
      </c>
      <c r="T59" s="801">
        <f>IF(T51&gt;0,$L$67*SIN(T45)-T58,T20)</f>
        <v>45.555421776577226</v>
      </c>
      <c r="U59" s="801">
        <f>IF(U51&gt;0,$L$67*SIN(U45)-U58,U20)</f>
        <v>-45.555421776577226</v>
      </c>
      <c r="V59" s="801">
        <f>IF(V51&gt;0,$L$67*SIN(V45)-V58,V20)</f>
        <v>1.060636384735745E-14</v>
      </c>
      <c r="W59" s="802">
        <f t="shared" si="19"/>
        <v>2.6515909618393625E-18</v>
      </c>
      <c r="X59" s="801">
        <f t="shared" si="20"/>
        <v>2.6515909618393625E-15</v>
      </c>
      <c r="Y59" s="806"/>
      <c r="Z59" s="799" t="s">
        <v>1350</v>
      </c>
      <c r="AA59" s="810">
        <f t="shared" ref="AA59:AD61" si="22">AA52+AH62</f>
        <v>-0.99995143457894342</v>
      </c>
      <c r="AB59" s="810">
        <f t="shared" si="22"/>
        <v>-0.49983574944347881</v>
      </c>
      <c r="AC59" s="810">
        <f t="shared" si="22"/>
        <v>-0.49983574944347881</v>
      </c>
      <c r="AD59" s="810">
        <f t="shared" si="22"/>
        <v>2.7993569198589516E-4</v>
      </c>
      <c r="AF59" s="798"/>
      <c r="AG59" s="799" t="s">
        <v>1351</v>
      </c>
      <c r="AH59" s="810">
        <f>(AH55^2+1/AH53)^0.5-AH55</f>
        <v>10.427531431929937</v>
      </c>
      <c r="AI59" s="810">
        <f>(AI55^2+1/AI53)^0.5-AI55</f>
        <v>7.0727046041510242</v>
      </c>
      <c r="AJ59" s="810">
        <f>(AJ55^2+1/AJ53)^0.5-AJ55</f>
        <v>7.0727046041510242</v>
      </c>
      <c r="AK59" s="810">
        <f>(AK55^2+1/AK53)^0.5-AK55</f>
        <v>5</v>
      </c>
      <c r="AL59" s="810">
        <f>MIN(AH60:AK60)</f>
        <v>5</v>
      </c>
    </row>
    <row r="60" spans="2:38">
      <c r="C60" s="798" t="s">
        <v>86</v>
      </c>
      <c r="D60" s="798">
        <v>2094</v>
      </c>
      <c r="E60" s="798">
        <v>15.1</v>
      </c>
      <c r="F60" s="798">
        <v>1653</v>
      </c>
      <c r="G60" s="812">
        <v>13</v>
      </c>
      <c r="J60" s="798" t="s">
        <v>1352</v>
      </c>
      <c r="N60" s="799" t="s">
        <v>1543</v>
      </c>
      <c r="O60" s="837">
        <f>$E$31</f>
        <v>75</v>
      </c>
      <c r="P60" s="837">
        <f>O60*Q63</f>
        <v>75</v>
      </c>
      <c r="Q60" s="801">
        <f t="shared" si="21"/>
        <v>1</v>
      </c>
      <c r="R60" s="800"/>
      <c r="V60" s="806" t="s">
        <v>1353</v>
      </c>
      <c r="W60" s="802">
        <f>W54*W55*W57+2*W56*W58*W59-W55*W58^2-W57*W56^2-W54*W59^2</f>
        <v>1.675518779750137E-4</v>
      </c>
      <c r="Z60" s="799" t="s">
        <v>1346</v>
      </c>
      <c r="AA60" s="810">
        <f t="shared" si="22"/>
        <v>-4.7206430801416052E-4</v>
      </c>
      <c r="AB60" s="810">
        <f t="shared" si="22"/>
        <v>-0.50058774944347872</v>
      </c>
      <c r="AC60" s="810">
        <f t="shared" si="22"/>
        <v>-0.50058774944347872</v>
      </c>
      <c r="AD60" s="810">
        <f t="shared" si="22"/>
        <v>-1.0007034345789434</v>
      </c>
      <c r="AF60" s="798"/>
      <c r="AG60" s="799"/>
      <c r="AH60" s="810">
        <f>IF(AH42=0,1000000000,AH59)</f>
        <v>10.427531431929937</v>
      </c>
      <c r="AI60" s="810">
        <f>IF(AI42=0,1000000000,AI59)</f>
        <v>7.0727046041510242</v>
      </c>
      <c r="AJ60" s="810">
        <f>IF(AJ42=0,1000000000,AJ59)</f>
        <v>7.0727046041510242</v>
      </c>
      <c r="AK60" s="810">
        <f>IF(AK42=0,1000000000,AK59)</f>
        <v>5</v>
      </c>
    </row>
    <row r="61" spans="2:38">
      <c r="C61" s="798" t="s">
        <v>1896</v>
      </c>
      <c r="D61" s="812">
        <v>799.50258007999992</v>
      </c>
      <c r="E61" s="812">
        <v>15.581564095673205</v>
      </c>
      <c r="J61" s="799" t="s">
        <v>1354</v>
      </c>
      <c r="K61" s="801">
        <f>K44/(1-K46^2*K45/K44)</f>
        <v>192.22546248373467</v>
      </c>
      <c r="L61" s="801">
        <f>L44/(1-L46^2*L45/L44)</f>
        <v>192.22546248373467</v>
      </c>
      <c r="M61" s="805">
        <f>L61/K61</f>
        <v>1</v>
      </c>
      <c r="N61" s="799" t="s">
        <v>1568</v>
      </c>
      <c r="O61" s="805">
        <f>A32</f>
        <v>-0.5</v>
      </c>
      <c r="P61" s="805">
        <f>O61*I19</f>
        <v>-0.5</v>
      </c>
      <c r="Q61" s="801">
        <f t="shared" si="21"/>
        <v>1</v>
      </c>
      <c r="R61" s="799" t="s">
        <v>1355</v>
      </c>
      <c r="S61" s="806" t="s">
        <v>1356</v>
      </c>
      <c r="T61" s="806"/>
      <c r="U61" s="806" t="s">
        <v>575</v>
      </c>
      <c r="V61" s="806"/>
      <c r="W61" s="806" t="s">
        <v>576</v>
      </c>
      <c r="X61" s="806"/>
      <c r="Y61" s="799"/>
      <c r="Z61" s="799" t="s">
        <v>1359</v>
      </c>
      <c r="AA61" s="810">
        <f t="shared" si="22"/>
        <v>-7.4328485792444472E-21</v>
      </c>
      <c r="AB61" s="810">
        <f t="shared" si="22"/>
        <v>1.0002313702709293</v>
      </c>
      <c r="AC61" s="810">
        <f t="shared" si="22"/>
        <v>-1.0002313702709293</v>
      </c>
      <c r="AD61" s="810">
        <f t="shared" si="22"/>
        <v>1.2255062463243532E-16</v>
      </c>
      <c r="AF61" s="798"/>
      <c r="AG61" s="798" t="s">
        <v>1360</v>
      </c>
      <c r="AH61" s="810">
        <f>IF(AH42=0,0,AH59)</f>
        <v>10.427531431929937</v>
      </c>
      <c r="AI61" s="810">
        <f>IF(AI42=0,0,AI59)</f>
        <v>7.0727046041510242</v>
      </c>
      <c r="AJ61" s="810">
        <f>IF(AJ42=0,0,AJ59)</f>
        <v>7.0727046041510242</v>
      </c>
      <c r="AK61" s="810">
        <f>IF(AK42=0,0,AK59)</f>
        <v>5</v>
      </c>
    </row>
    <row r="62" spans="2:38">
      <c r="C62" s="798" t="s">
        <v>1895</v>
      </c>
      <c r="D62" s="812">
        <v>1297.7317272</v>
      </c>
      <c r="E62" s="812">
        <v>16.564287600105608</v>
      </c>
      <c r="F62" s="812">
        <v>882.62580664000006</v>
      </c>
      <c r="G62" s="812">
        <v>11.926029439165271</v>
      </c>
      <c r="J62" s="799" t="s">
        <v>1361</v>
      </c>
      <c r="K62" s="801">
        <f>K61*K45/K44</f>
        <v>10.003775377425772</v>
      </c>
      <c r="L62" s="801">
        <f>L61*L45/L44</f>
        <v>10.003775377425772</v>
      </c>
      <c r="M62" s="805">
        <f>L62/K62</f>
        <v>1</v>
      </c>
      <c r="N62" s="799" t="s">
        <v>1530</v>
      </c>
      <c r="O62" s="804">
        <f>O56/K50</f>
        <v>5078.125</v>
      </c>
      <c r="P62" s="804">
        <f>$H$19*P45^$G$33</f>
        <v>5078.125</v>
      </c>
      <c r="Q62" s="801">
        <f t="shared" si="21"/>
        <v>1</v>
      </c>
      <c r="R62" s="799">
        <v>11</v>
      </c>
      <c r="S62" s="802">
        <f>(W55*W57-W59^2)/W60</f>
        <v>13.613831717092141</v>
      </c>
      <c r="U62" s="802">
        <f t="shared" ref="U62:U67" si="23">S62*$W$51</f>
        <v>1.3613831717092142E-2</v>
      </c>
      <c r="V62" s="802"/>
      <c r="W62" s="801">
        <f>1/U62</f>
        <v>73.454705536318755</v>
      </c>
      <c r="Y62" s="802"/>
      <c r="Z62" s="799" t="s">
        <v>1363</v>
      </c>
      <c r="AA62" s="810">
        <f>SQRT(AA59^2+AA60^2+AA61^2)</f>
        <v>0.99995154600670422</v>
      </c>
      <c r="AB62" s="810">
        <f>SQRT(AB59^2+AB60^2+AB61^2)</f>
        <v>1.2251067975440639</v>
      </c>
      <c r="AC62" s="810">
        <f>SQRT(AC59^2+AC60^2+AC61^2)</f>
        <v>1.2251067975440639</v>
      </c>
      <c r="AD62" s="810">
        <f>SQRT(AD59^2+AD60^2+AD61^2)</f>
        <v>1.000703473733396</v>
      </c>
      <c r="AF62" s="798"/>
      <c r="AG62" s="799" t="s">
        <v>1364</v>
      </c>
      <c r="AH62" s="843">
        <f>$AL$46+$AL$47*COS(AH43)+$AL$48*SIN(AH43)-$V$87</f>
        <v>4.8538648760449952E-5</v>
      </c>
      <c r="AI62" s="823">
        <f>$AL$46+$AL$47*COS(AI43)+$AL$48*SIN(AI43)-$V$87</f>
        <v>4.8538648760449891E-5</v>
      </c>
      <c r="AJ62" s="823">
        <f>$AL$46+$AL$47*COS(AJ43)+$AL$48*SIN(AJ43)-$V$87</f>
        <v>4.8538648760449905E-5</v>
      </c>
      <c r="AK62" s="823">
        <f>$AL$46+$AL$47*COS(AK43)+$AL$48*SIN(AK43)-$V$87</f>
        <v>4.8538648760449844E-5</v>
      </c>
      <c r="AL62" s="823"/>
    </row>
    <row r="63" spans="2:38">
      <c r="C63" s="798" t="s">
        <v>1894</v>
      </c>
      <c r="D63" s="815">
        <v>406.69431335999997</v>
      </c>
      <c r="E63" s="815">
        <v>13.669988412514483</v>
      </c>
      <c r="F63" s="815">
        <v>450.11751184000002</v>
      </c>
      <c r="G63" s="815">
        <v>14.569069404150861</v>
      </c>
      <c r="J63" s="799" t="s">
        <v>1365</v>
      </c>
      <c r="K63" s="801">
        <f>K62*K46</f>
        <v>3.5013213820990199</v>
      </c>
      <c r="L63" s="801">
        <f>L62*L46</f>
        <v>3.5013213820990199</v>
      </c>
      <c r="M63" s="805">
        <f>L63/K63</f>
        <v>1</v>
      </c>
      <c r="N63" s="799" t="s">
        <v>1560</v>
      </c>
      <c r="O63" s="804">
        <f>O58</f>
        <v>62</v>
      </c>
      <c r="P63" s="804">
        <f>$G$19*P45^$H$32</f>
        <v>62</v>
      </c>
      <c r="Q63" s="801">
        <f t="shared" si="21"/>
        <v>1</v>
      </c>
      <c r="R63" s="799">
        <v>22</v>
      </c>
      <c r="S63" s="802">
        <f>(W54*W57-W58^2)/W60</f>
        <v>13.613831717092143</v>
      </c>
      <c r="U63" s="802">
        <f t="shared" si="23"/>
        <v>1.3613831717092144E-2</v>
      </c>
      <c r="V63" s="802"/>
      <c r="W63" s="801">
        <f>1/U63</f>
        <v>73.454705536318741</v>
      </c>
      <c r="Y63" s="802"/>
      <c r="AF63" s="798"/>
      <c r="AG63" s="799" t="s">
        <v>1367</v>
      </c>
      <c r="AH63" s="823">
        <f>2*$AL$46-AH62-($V$88+$V$87)</f>
        <v>-7.0346135123955031E-4</v>
      </c>
      <c r="AI63" s="823">
        <f>2*$AL$46-AI62-($V$88+$V$87)</f>
        <v>-7.0346135123955031E-4</v>
      </c>
      <c r="AJ63" s="823">
        <f>2*$AL$46-AJ62-($V$88+$V$87)</f>
        <v>-7.0346135123955031E-4</v>
      </c>
      <c r="AK63" s="823">
        <f>2*$AL$46-AK62-($V$88+$V$87)</f>
        <v>-7.034613512395502E-4</v>
      </c>
      <c r="AL63" s="823"/>
    </row>
    <row r="64" spans="2:38">
      <c r="C64" s="798" t="s">
        <v>1893</v>
      </c>
      <c r="D64" s="846">
        <v>1297.7317272</v>
      </c>
      <c r="E64" s="846">
        <v>16.564287600105608</v>
      </c>
      <c r="F64" s="847">
        <v>882.62580664000006</v>
      </c>
      <c r="G64" s="847">
        <v>11.926029439165271</v>
      </c>
      <c r="J64" s="799" t="s">
        <v>1370</v>
      </c>
      <c r="K64" s="801">
        <f>K47</f>
        <v>7.79</v>
      </c>
      <c r="L64" s="801">
        <f>L47</f>
        <v>7.79</v>
      </c>
      <c r="M64" s="805">
        <f>L64/K64</f>
        <v>1</v>
      </c>
      <c r="R64" s="799" t="s">
        <v>1345</v>
      </c>
      <c r="S64" s="802">
        <f>(W58*W59-W56*W57)/W60</f>
        <v>-4.0550589620877897</v>
      </c>
      <c r="U64" s="802">
        <f t="shared" si="23"/>
        <v>-4.0550589620877899E-3</v>
      </c>
      <c r="V64" s="802"/>
      <c r="W64" s="801">
        <f>-U64/U62</f>
        <v>0.29786316199256896</v>
      </c>
      <c r="Y64" s="802"/>
      <c r="AF64" s="798"/>
      <c r="AG64" s="799" t="s">
        <v>1372</v>
      </c>
      <c r="AH64" s="843">
        <f>2*($AL$48*COS(AH43)-$AL$47*SIN(AH43))</f>
        <v>-7.4328485792444472E-21</v>
      </c>
      <c r="AI64" s="823">
        <f>2*($AL$48*COS(AI43)-$AL$47*SIN(AI43))</f>
        <v>-1.0842021724855044E-19</v>
      </c>
      <c r="AJ64" s="823">
        <f>2*($AL$48*COS(AJ43)-$AL$47*SIN(AJ43))</f>
        <v>1.0842021724855044E-19</v>
      </c>
      <c r="AK64" s="823">
        <f>2*($AL$48*COS(AK43)-$AL$47*SIN(AK43))</f>
        <v>7.4328485792444337E-21</v>
      </c>
      <c r="AL64" s="823"/>
    </row>
    <row r="65" spans="10:38">
      <c r="J65" s="798" t="s">
        <v>1374</v>
      </c>
      <c r="K65" s="801"/>
      <c r="L65" s="801"/>
      <c r="N65" s="798" t="s">
        <v>1375</v>
      </c>
      <c r="R65" s="799">
        <v>66</v>
      </c>
      <c r="S65" s="802">
        <f>(W54*W55-W56^2)/W60</f>
        <v>35.337781358359862</v>
      </c>
      <c r="U65" s="802">
        <f t="shared" si="23"/>
        <v>3.5337781358359861E-2</v>
      </c>
      <c r="V65" s="802"/>
      <c r="W65" s="801">
        <f>1/U65</f>
        <v>28.298324387120299</v>
      </c>
      <c r="Y65" s="802"/>
      <c r="AF65" s="798"/>
      <c r="AG65" s="823"/>
      <c r="AH65" s="823"/>
      <c r="AI65" s="823"/>
      <c r="AJ65" s="823"/>
      <c r="AK65" s="823"/>
      <c r="AL65" s="823"/>
    </row>
    <row r="66" spans="10:38">
      <c r="J66" s="799" t="s">
        <v>1380</v>
      </c>
      <c r="K66" s="801">
        <f>(3*K61+3*K62+2*K63+4*K64)/8</f>
        <v>80.606294543459924</v>
      </c>
      <c r="L66" s="801">
        <f>(3*L61+3*L62+2*L63+4*L64)/8</f>
        <v>80.606294543459924</v>
      </c>
      <c r="M66" s="805">
        <f>L66/K66</f>
        <v>1</v>
      </c>
      <c r="N66" s="799" t="s">
        <v>1381</v>
      </c>
      <c r="O66" s="801">
        <f>1/O56/O57*1000000</f>
        <v>0.19230769230769232</v>
      </c>
      <c r="P66" s="801">
        <f>1/P56/P57*1000000</f>
        <v>0.19230769230769232</v>
      </c>
      <c r="Q66" s="801">
        <f t="shared" ref="Q66:Q77" si="24">P66/O66</f>
        <v>1</v>
      </c>
      <c r="R66" s="799" t="s">
        <v>1347</v>
      </c>
      <c r="S66" s="802">
        <f>(W56*W59-W55*W58)/W60</f>
        <v>3.1308591573296293E-16</v>
      </c>
      <c r="U66" s="802">
        <f t="shared" si="23"/>
        <v>3.1308591573296294E-19</v>
      </c>
      <c r="V66" s="802"/>
      <c r="W66" s="801">
        <f>U66/U62</f>
        <v>2.29976337477335E-17</v>
      </c>
      <c r="Y66" s="802"/>
      <c r="AF66" s="798"/>
      <c r="AG66" s="818" t="s">
        <v>1383</v>
      </c>
      <c r="AH66" s="810">
        <f>IF(AH8&gt;0,$P$72*AH62^2+2*$P$74*AH62*AH63+$P$73*AH63^2+$P$75*AH64^2,$P$33*AH62^2+2*$P$35*AH62*AH63+$P$34*AH63^2+$P$36*AH64^2)</f>
        <v>8.0360845886488629E-3</v>
      </c>
      <c r="AI66" s="810">
        <f>IF(AI8&gt;0,$P$72*AI62^2+2*$P$74*AI62*AI63+$P$73*AI63^2+$P$75*AI64^2,$P$33*AI62^2+2*$P$35*AI62*AI63+$P$34*AI63^2+$P$36*AI64^2)</f>
        <v>1.9888554924450571E-2</v>
      </c>
      <c r="AJ66" s="810">
        <f>IF(AJ8&gt;0,$P$72*AJ62^2+2*$P$74*AJ62*AJ63+$P$73*AJ63^2+$P$75*AJ64^2,$P$33*AJ62^2+2*$P$35*AJ62*AJ63+$P$34*AJ63^2+$P$36*AJ64^2)</f>
        <v>1.9888554924450571E-2</v>
      </c>
      <c r="AK66" s="810">
        <f>IF(AK8&gt;0,$P$72*AK62^2+2*$P$74*AK62*AK63+$P$73*AK63^2+$P$75*AK64^2,$P$33*AK62^2+2*$P$35*AK62*AK63+$P$34*AK63^2+$P$36*AK64^2)</f>
        <v>1.9888554924450564E-2</v>
      </c>
      <c r="AL66" s="823"/>
    </row>
    <row r="67" spans="10:38">
      <c r="J67" s="799" t="s">
        <v>1384</v>
      </c>
      <c r="K67" s="801">
        <f>(K61-K62)/2</f>
        <v>91.110843553154453</v>
      </c>
      <c r="L67" s="801">
        <f>(L61-L62)/2</f>
        <v>91.110843553154453</v>
      </c>
      <c r="M67" s="805">
        <f>L67/K67</f>
        <v>1</v>
      </c>
      <c r="N67" s="799" t="s">
        <v>1385</v>
      </c>
      <c r="O67" s="801">
        <f>1/O58/O59*1000000</f>
        <v>164.58196181698486</v>
      </c>
      <c r="P67" s="801">
        <f>1/P58/P59*1000000</f>
        <v>164.58196181698486</v>
      </c>
      <c r="Q67" s="801">
        <f t="shared" si="24"/>
        <v>1</v>
      </c>
      <c r="R67" s="799" t="s">
        <v>1349</v>
      </c>
      <c r="S67" s="802">
        <f>(W56*W58-W54*W59)/W60</f>
        <v>-1.2557136408098921E-15</v>
      </c>
      <c r="U67" s="802">
        <f t="shared" si="23"/>
        <v>-1.2557136408098922E-18</v>
      </c>
      <c r="V67" s="802"/>
      <c r="W67" s="801">
        <f>U67/U63</f>
        <v>-9.2238075723629354E-17</v>
      </c>
      <c r="Y67" s="802"/>
      <c r="AF67" s="798"/>
      <c r="AG67" s="818" t="s">
        <v>1387</v>
      </c>
      <c r="AH67" s="810">
        <f>IF(AH8&gt;0,$P$76*AH62+$P$77*AH63,$P$37*AH62+$P$38*AH63)</f>
        <v>-1.9536544789559088E-3</v>
      </c>
      <c r="AI67" s="810">
        <f>IF(AI8&gt;0,$P$76*AI62+$P$77*AI63,$P$37*AI62+$P$38*AI63)</f>
        <v>0</v>
      </c>
      <c r="AJ67" s="810">
        <f>IF(AJ8&gt;0,$P$76*AJ62+$P$77*AJ63,$P$37*AJ62+$P$38*AJ63)</f>
        <v>0</v>
      </c>
      <c r="AK67" s="810">
        <f>IF(AK8&gt;0,$P$76*AK62+$P$77*AK63,$P$37*AK62+$P$38*AK63)</f>
        <v>0</v>
      </c>
      <c r="AL67" s="823"/>
    </row>
    <row r="68" spans="10:38">
      <c r="J68" s="799" t="s">
        <v>1388</v>
      </c>
      <c r="K68" s="801">
        <f>(K61+K62-2*K63-4*K64)/8</f>
        <v>20.5083243871203</v>
      </c>
      <c r="L68" s="801">
        <f>(L61+L62-2*L63-4*L64)/8</f>
        <v>20.5083243871203</v>
      </c>
      <c r="M68" s="805">
        <f>L68/K68</f>
        <v>1</v>
      </c>
      <c r="N68" s="799" t="s">
        <v>1389</v>
      </c>
      <c r="O68" s="801">
        <f>O61*(O66*O67)^0.5</f>
        <v>-2.8129334009400706</v>
      </c>
      <c r="P68" s="801">
        <f>P61*(P66*P67)^0.5</f>
        <v>-2.8129334009400706</v>
      </c>
      <c r="Q68" s="801">
        <f t="shared" si="24"/>
        <v>1</v>
      </c>
      <c r="R68" s="799"/>
      <c r="U68" s="802"/>
      <c r="V68" s="802"/>
      <c r="W68" s="801"/>
      <c r="Y68" s="802"/>
      <c r="AF68" s="798"/>
      <c r="AG68" s="818" t="s">
        <v>1390</v>
      </c>
      <c r="AH68" s="810">
        <f>AH66+AH67</f>
        <v>6.0824301096929542E-3</v>
      </c>
      <c r="AI68" s="810">
        <f>AI66+AI67</f>
        <v>1.9888554924450571E-2</v>
      </c>
      <c r="AJ68" s="810">
        <f>AJ66+AJ67</f>
        <v>1.9888554924450571E-2</v>
      </c>
      <c r="AK68" s="810">
        <f>AK66+AK67</f>
        <v>1.9888554924450564E-2</v>
      </c>
      <c r="AL68" s="823"/>
    </row>
    <row r="69" spans="10:38">
      <c r="J69" s="799" t="s">
        <v>1391</v>
      </c>
      <c r="K69" s="801">
        <f>(K61+K62+6*K63-4*K64)/8</f>
        <v>24.009645769219322</v>
      </c>
      <c r="L69" s="801">
        <f>(L61+L62+6*L63-4*L64)/8</f>
        <v>24.009645769219322</v>
      </c>
      <c r="M69" s="805">
        <f>L69/K69</f>
        <v>1</v>
      </c>
      <c r="N69" s="799" t="s">
        <v>1392</v>
      </c>
      <c r="O69" s="801">
        <f>1/O60^2*1000000</f>
        <v>177.7777777777778</v>
      </c>
      <c r="P69" s="801">
        <f>1/P60^2*1000000</f>
        <v>177.7777777777778</v>
      </c>
      <c r="Q69" s="801">
        <f t="shared" si="24"/>
        <v>1</v>
      </c>
      <c r="R69" s="800" t="s">
        <v>1393</v>
      </c>
      <c r="U69" s="802"/>
      <c r="V69" s="802"/>
      <c r="W69" s="806"/>
      <c r="Y69" s="799"/>
      <c r="AF69" s="798"/>
      <c r="AG69" s="818" t="s">
        <v>1395</v>
      </c>
      <c r="AH69" s="810">
        <f>-1+AH68</f>
        <v>-0.993917569890307</v>
      </c>
      <c r="AI69" s="810">
        <f>-1+AI68</f>
        <v>-0.98011144507554948</v>
      </c>
      <c r="AJ69" s="810">
        <f>-1+AJ68</f>
        <v>-0.98011144507554948</v>
      </c>
      <c r="AK69" s="810">
        <f>-1+AK68</f>
        <v>-0.98011144507554948</v>
      </c>
      <c r="AL69" s="823"/>
    </row>
    <row r="70" spans="10:38">
      <c r="J70" s="799" t="s">
        <v>1396</v>
      </c>
      <c r="K70" s="801">
        <f>(K66-K69)/2</f>
        <v>28.298324387120303</v>
      </c>
      <c r="L70" s="801">
        <f>(L66-L69)/2</f>
        <v>28.298324387120303</v>
      </c>
      <c r="M70" s="805">
        <f>L70/K70</f>
        <v>1</v>
      </c>
      <c r="N70" s="799" t="s">
        <v>1397</v>
      </c>
      <c r="O70" s="801">
        <f>(1/O56-1/O57)*1000</f>
        <v>-0.31730769230769229</v>
      </c>
      <c r="P70" s="801">
        <f>(1/P56-1/P57)*1000</f>
        <v>-0.31730769230769229</v>
      </c>
      <c r="Q70" s="801">
        <f t="shared" si="24"/>
        <v>1</v>
      </c>
      <c r="R70" s="800" t="s">
        <v>577</v>
      </c>
      <c r="S70" s="802">
        <f>($P49+$P50)/2000000+($P49-$P50)/2000000*COS(S45)</f>
        <v>1.9999999999999809E-8</v>
      </c>
      <c r="T70" s="802">
        <f>($P49+$P50)/2000000+($P49-$P50)/2000000*COS(T45)</f>
        <v>1.1260000000000001E-5</v>
      </c>
      <c r="U70" s="802">
        <f>($P49+$P50)/2000000+($P49-$P50)/2000000*COS(U45)</f>
        <v>1.1260000000000001E-5</v>
      </c>
      <c r="V70" s="802">
        <f>($P49+$P50)/2000000+($P49-$P50)/2000000*COS(V45)</f>
        <v>2.2500000000000001E-5</v>
      </c>
      <c r="W70" s="806"/>
      <c r="Y70" s="799"/>
      <c r="AF70" s="798"/>
      <c r="AG70" s="818" t="s">
        <v>1399</v>
      </c>
      <c r="AH70" s="810">
        <f>IF(AH8&gt;0,2*($P$72*AH46*AH62+$P$73*AH47*AH63+$P$74*(AH46*AH63+AH62*AH47)+$P$75*AH48*AH64),2*($P$33*AH46*AH62+$P$34*AH47*AH63+$P$35*(AH46*AH63+AH62*AH47)+$P$36*AH48*AH64))</f>
        <v>1.1034970577747437E-4</v>
      </c>
      <c r="AI70" s="810">
        <f>IF(AI8&gt;0,2*($P$72*AI46*AI62+$P$73*AI47*AI63+$P$74*(AI46*AI63+AI62*AI47)+$P$75*AI48*AI64),2*($P$33*AI46*AI62+$P$34*AI47*AI63+$P$35*(AI46*AI63+AI62*AI47)+$P$36*AI48*AI64))</f>
        <v>2.6190845510736842E-2</v>
      </c>
      <c r="AJ70" s="810">
        <f>IF(AJ8&gt;0,2*($P$72*AJ46*AJ62+$P$73*AJ47*AJ63+$P$74*(AJ46*AJ63+AJ62*AJ47)+$P$75*AJ48*AJ64),2*($P$33*AJ46*AJ62+$P$34*AJ47*AJ63+$P$35*(AJ46*AJ63+AJ62*AJ47)+$P$36*AJ48*AJ64))</f>
        <v>2.6190845510736842E-2</v>
      </c>
      <c r="AK70" s="810">
        <f>IF(AK8&gt;0,2*($P$72*AK46*AK62+$P$73*AK47*AK63+$P$74*(AK46*AK63+AK62*AK47)+$P$75*AK48*AK64),2*($P$33*AK46*AK62+$P$34*AK47*AK63+$P$35*(AK46*AK63+AK62*AK47)+$P$36*AK48*AK64))</f>
        <v>5.6277805128486388E-2</v>
      </c>
      <c r="AL70" s="823"/>
    </row>
    <row r="71" spans="10:38">
      <c r="J71" s="798" t="s">
        <v>1400</v>
      </c>
      <c r="N71" s="799" t="s">
        <v>1401</v>
      </c>
      <c r="O71" s="801">
        <f>(1/O58-1/O59)*1000</f>
        <v>5.924950625411455</v>
      </c>
      <c r="P71" s="801">
        <f>(1/P58-1/P59)*1000</f>
        <v>5.924950625411455</v>
      </c>
      <c r="Q71" s="801">
        <f t="shared" si="24"/>
        <v>1</v>
      </c>
      <c r="R71" s="800" t="s">
        <v>578</v>
      </c>
      <c r="S71" s="802">
        <f>($P49+$P50)/2000000+($P50-$P49)/2000000*COS(S45)</f>
        <v>2.2500000000000001E-5</v>
      </c>
      <c r="T71" s="802">
        <f>($P49+$P50)/2000000+($P50-$P49)/2000000*COS(T45)</f>
        <v>1.1260000000000001E-5</v>
      </c>
      <c r="U71" s="802">
        <f>($P49+$P50)/2000000+($P50-$P49)/2000000*COS(U45)</f>
        <v>1.1260000000000001E-5</v>
      </c>
      <c r="V71" s="802">
        <f>($P49+$P50)/2000000+($P50-$P49)/2000000*COS(V45)</f>
        <v>1.9999999999999809E-8</v>
      </c>
      <c r="W71" s="806"/>
      <c r="Y71" s="799"/>
      <c r="AF71" s="798"/>
      <c r="AG71" s="818" t="s">
        <v>1403</v>
      </c>
      <c r="AH71" s="843">
        <f>AH70+AH54</f>
        <v>4.0359810219065609E-2</v>
      </c>
      <c r="AI71" s="823">
        <f>AI70+AI54</f>
        <v>2.6190845510736842E-2</v>
      </c>
      <c r="AJ71" s="823">
        <f>AJ70+AJ54</f>
        <v>2.6190845510736842E-2</v>
      </c>
      <c r="AK71" s="823">
        <f>AK70+AK54</f>
        <v>5.6277805128486388E-2</v>
      </c>
      <c r="AL71" s="823"/>
    </row>
    <row r="72" spans="10:38">
      <c r="J72" s="799" t="s">
        <v>1404</v>
      </c>
      <c r="K72" s="801">
        <f>(1-(K69/K66)^2)*K66</f>
        <v>73.454705536318755</v>
      </c>
      <c r="L72" s="801">
        <f>(1-(L69/L66)^2)*L66</f>
        <v>73.454705536318755</v>
      </c>
      <c r="M72" s="801">
        <f>L72/K72</f>
        <v>1</v>
      </c>
      <c r="N72" s="799" t="s">
        <v>1405</v>
      </c>
      <c r="O72" s="804">
        <f>(O66*K61^2+2*O68*K61*K63+O67*K63^2)</f>
        <v>5337.0907751947643</v>
      </c>
      <c r="P72" s="804">
        <f>(P66*L61^2+2*P68*L61*L63+P67*L63^2)</f>
        <v>5337.0907751947643</v>
      </c>
      <c r="Q72" s="801">
        <f t="shared" si="24"/>
        <v>1</v>
      </c>
      <c r="R72" s="800" t="s">
        <v>579</v>
      </c>
      <c r="S72" s="802">
        <f>($P49-$P50)*SIN(S45)/1000000</f>
        <v>0</v>
      </c>
      <c r="T72" s="802">
        <f>($P49-$P50)*SIN(T45)/1000000</f>
        <v>-2.2480000000000002E-5</v>
      </c>
      <c r="U72" s="802">
        <f>($P49-$P50)*SIN(U45)/1000000</f>
        <v>2.2480000000000002E-5</v>
      </c>
      <c r="V72" s="802">
        <f>($P49-$P50)*SIN(V45)/1000000</f>
        <v>-2.754133726634578E-21</v>
      </c>
      <c r="W72" s="806"/>
      <c r="Y72" s="799"/>
      <c r="AF72" s="798"/>
      <c r="AG72" s="818" t="s">
        <v>1412</v>
      </c>
      <c r="AH72" s="843">
        <f>AH71/2/AH53</f>
        <v>3.7812156469989784</v>
      </c>
      <c r="AI72" s="823">
        <f>AI71/2/AI53</f>
        <v>0.65507430227358265</v>
      </c>
      <c r="AJ72" s="823">
        <f>AJ71/2/AJ53</f>
        <v>0.65507430227358265</v>
      </c>
      <c r="AK72" s="823">
        <f>AK71/2/AK53</f>
        <v>0.70347256410607983</v>
      </c>
      <c r="AL72" s="823"/>
    </row>
    <row r="73" spans="10:38">
      <c r="J73" s="799" t="s">
        <v>1414</v>
      </c>
      <c r="K73" s="801">
        <f>K69/K66</f>
        <v>0.29786316199256885</v>
      </c>
      <c r="L73" s="801">
        <f>L69/L66</f>
        <v>0.29786316199256885</v>
      </c>
      <c r="M73" s="801">
        <f>L73/K73</f>
        <v>1</v>
      </c>
      <c r="N73" s="799" t="s">
        <v>1415</v>
      </c>
      <c r="O73" s="804">
        <f>(O66*K63^2+2*O68*K63*K62+O67*K62^2)</f>
        <v>16275.929211854793</v>
      </c>
      <c r="P73" s="804">
        <f>(P66*L63^2+2*P68*L63*L62+P67*L62^2)</f>
        <v>16275.929211854793</v>
      </c>
      <c r="Q73" s="801">
        <f t="shared" si="24"/>
        <v>1</v>
      </c>
      <c r="R73" s="800" t="s">
        <v>580</v>
      </c>
      <c r="S73" s="802">
        <f>($P52+$P53)/2+($P52-$P53)/2*COS(S45)</f>
        <v>0</v>
      </c>
      <c r="T73" s="802">
        <f>($P52+$P53)/2+($P52-$P53)/2*COS(T45)</f>
        <v>0.3</v>
      </c>
      <c r="U73" s="802">
        <f>($P52+$P53)/2+($P52-$P53)/2*COS(U45)</f>
        <v>0.3</v>
      </c>
      <c r="V73" s="802">
        <f>($P52+$P53)/2+($P52-$P53)/2*COS(V45)</f>
        <v>0.6</v>
      </c>
      <c r="W73" s="806"/>
      <c r="Y73" s="799"/>
      <c r="AF73" s="798"/>
      <c r="AG73" s="818"/>
      <c r="AH73" s="843"/>
      <c r="AI73" s="823"/>
      <c r="AJ73" s="823"/>
      <c r="AK73" s="823"/>
      <c r="AL73" s="823"/>
    </row>
    <row r="74" spans="10:38">
      <c r="N74" s="799" t="s">
        <v>1416</v>
      </c>
      <c r="O74" s="804">
        <f>(O66*K61*K63+O68*(K61*K62+K63^2)+O67*K63*K62)</f>
        <v>450.45025795721722</v>
      </c>
      <c r="P74" s="804">
        <f>(P66*L61*L63+P68*(L61*L62+L63^2)+P67*L63*L62)</f>
        <v>450.45025795721722</v>
      </c>
      <c r="Q74" s="801">
        <f t="shared" si="24"/>
        <v>1</v>
      </c>
      <c r="R74" s="800" t="s">
        <v>581</v>
      </c>
      <c r="S74" s="802">
        <f>($P52+$P53)/2+($P53-$P52)/2*COS(S45)</f>
        <v>0.6</v>
      </c>
      <c r="T74" s="802">
        <f>($P52+$P53)/2+($P53-$P52)/2*COS(T45)</f>
        <v>0.3</v>
      </c>
      <c r="U74" s="802">
        <f>($P52+$P53)/2+($P53-$P52)/2*COS(U45)</f>
        <v>0.3</v>
      </c>
      <c r="V74" s="802">
        <f>($P52+$P53)/2+($P53-$P52)/2*COS(V45)</f>
        <v>0</v>
      </c>
      <c r="W74" s="806"/>
      <c r="Y74" s="799"/>
      <c r="AF74" s="798"/>
      <c r="AG74" s="818"/>
      <c r="AH74" s="843"/>
      <c r="AI74" s="823"/>
      <c r="AJ74" s="823"/>
      <c r="AK74" s="823"/>
      <c r="AL74" s="823"/>
    </row>
    <row r="75" spans="10:38">
      <c r="J75" s="799" t="s">
        <v>1193</v>
      </c>
      <c r="K75" s="801">
        <f>$D$32</f>
        <v>1.6</v>
      </c>
      <c r="L75" s="801">
        <f>L76*(1-$L$50)+L77*$L$50</f>
        <v>1.6</v>
      </c>
      <c r="M75" s="801">
        <f>L75/K75</f>
        <v>1</v>
      </c>
      <c r="N75" s="799" t="s">
        <v>1418</v>
      </c>
      <c r="O75" s="804">
        <f>O69*K64^2</f>
        <v>10788.284444444445</v>
      </c>
      <c r="P75" s="804">
        <f>P69*L64^2</f>
        <v>10788.284444444445</v>
      </c>
      <c r="Q75" s="801">
        <f t="shared" si="24"/>
        <v>1</v>
      </c>
      <c r="R75" s="800" t="s">
        <v>582</v>
      </c>
      <c r="S75" s="802">
        <f>($P52-$P53)*SIN(S45)</f>
        <v>0</v>
      </c>
      <c r="T75" s="802">
        <f>($P52-$P53)*SIN(T45)</f>
        <v>-0.6</v>
      </c>
      <c r="U75" s="802">
        <f>($P52-$P53)*SIN(U45)</f>
        <v>0.6</v>
      </c>
      <c r="V75" s="802">
        <f>($P52-$P53)*SIN(V45)</f>
        <v>-7.3508907294517201E-17</v>
      </c>
      <c r="W75" s="806"/>
      <c r="Y75" s="799"/>
      <c r="AF75" s="798"/>
      <c r="AG75" s="818"/>
      <c r="AH75" s="843"/>
      <c r="AI75" s="823"/>
      <c r="AJ75" s="823"/>
      <c r="AK75" s="823"/>
      <c r="AL75" s="818" t="s">
        <v>583</v>
      </c>
    </row>
    <row r="76" spans="10:38">
      <c r="J76" s="799" t="s">
        <v>274</v>
      </c>
      <c r="K76" s="801">
        <f>$F$31</f>
        <v>1.2</v>
      </c>
      <c r="L76" s="801">
        <f>K76</f>
        <v>1.2</v>
      </c>
      <c r="M76" s="801">
        <f>L76/K76</f>
        <v>1</v>
      </c>
      <c r="N76" s="799" t="s">
        <v>1422</v>
      </c>
      <c r="O76" s="804">
        <f>(O70*K61+O71*K63)</f>
        <v>-40.249461590858644</v>
      </c>
      <c r="P76" s="804">
        <f>(P70*L61+P71*L63)</f>
        <v>-40.249461590858644</v>
      </c>
      <c r="Q76" s="801">
        <f t="shared" si="24"/>
        <v>1</v>
      </c>
      <c r="R76" s="799" t="s">
        <v>584</v>
      </c>
      <c r="S76" s="810">
        <f>(S54*S70+S56*S71+S58*S72)*S50</f>
        <v>2.0656060086725661E-5</v>
      </c>
      <c r="T76" s="810">
        <f>(T54*T70+T56*T71+T58*T72)*T50</f>
        <v>3.8472401595828051E-5</v>
      </c>
      <c r="U76" s="810">
        <f>(U54*U70+U56*U71+U58*U72)*U50</f>
        <v>3.8472401595828051E-5</v>
      </c>
      <c r="V76" s="810">
        <f>(V54*V70+V56*V71+V58*V72)*V50</f>
        <v>5.6288743104930461E-5</v>
      </c>
      <c r="W76" s="831"/>
      <c r="Y76" s="802"/>
      <c r="AF76" s="798"/>
      <c r="AG76" s="799" t="s">
        <v>1424</v>
      </c>
      <c r="AH76" s="810">
        <f>(AH72^2-AH69/AH53)^0.5-AH72</f>
        <v>10.379758484529104</v>
      </c>
      <c r="AI76" s="810">
        <f>(AI72^2-AI69/AI53)^0.5-AI72</f>
        <v>6.3775201396450072</v>
      </c>
      <c r="AJ76" s="810">
        <f>(AJ72^2-AJ69/AJ53)^0.5-AJ72</f>
        <v>6.3775201396450072</v>
      </c>
      <c r="AK76" s="810">
        <f>(AK72^2-AK69/AK53)^0.5-AK72</f>
        <v>4.2962934079508841</v>
      </c>
      <c r="AL76" s="810">
        <f>MIN(AH77:AK77)</f>
        <v>4.2962934079508841</v>
      </c>
    </row>
    <row r="77" spans="10:38">
      <c r="J77" s="799" t="s">
        <v>1195</v>
      </c>
      <c r="K77" s="801">
        <f>(K75-K76*(1-$K$50))/$K$50</f>
        <v>1.8250000000000002</v>
      </c>
      <c r="L77" s="801">
        <f>K77</f>
        <v>1.8250000000000002</v>
      </c>
      <c r="M77" s="801">
        <f>L77/K77</f>
        <v>1</v>
      </c>
      <c r="N77" s="799" t="s">
        <v>1426</v>
      </c>
      <c r="O77" s="804">
        <v>0</v>
      </c>
      <c r="P77" s="804">
        <v>0</v>
      </c>
      <c r="Q77" s="801" t="e">
        <f t="shared" si="24"/>
        <v>#DIV/0!</v>
      </c>
      <c r="R77" s="799" t="s">
        <v>585</v>
      </c>
      <c r="S77" s="810">
        <f>(S56*S70+S55*S71+S59*S72)*S50</f>
        <v>5.6288743104930441E-5</v>
      </c>
      <c r="T77" s="810">
        <f>(T56*T70+T55*T71+T59*T72)*T50</f>
        <v>3.8472401595827997E-5</v>
      </c>
      <c r="U77" s="810">
        <f>(U56*U70+U55*U71+U59*U72)*U50</f>
        <v>3.8472401595827997E-5</v>
      </c>
      <c r="V77" s="810">
        <f>(V56*V70+V55*V71+V59*V72)*V50</f>
        <v>2.0656060086725661E-5</v>
      </c>
      <c r="W77" s="831"/>
      <c r="Y77" s="802"/>
      <c r="AF77" s="798"/>
      <c r="AG77" s="799"/>
      <c r="AH77" s="810">
        <f>IF(AH42=0,1000000000,AH76)</f>
        <v>10.379758484529104</v>
      </c>
      <c r="AI77" s="810">
        <f>IF(AI42=0,1000000000,AI76)</f>
        <v>6.3775201396450072</v>
      </c>
      <c r="AJ77" s="810">
        <f>IF(AJ42=0,1000000000,AJ76)</f>
        <v>6.3775201396450072</v>
      </c>
      <c r="AK77" s="810">
        <f>IF(AK42=0,1000000000,AK76)</f>
        <v>4.2962934079508841</v>
      </c>
    </row>
    <row r="78" spans="10:38">
      <c r="R78" s="799" t="s">
        <v>586</v>
      </c>
      <c r="S78" s="810">
        <f>(S58*S70+S59*S71+S57*S72)*S50</f>
        <v>0</v>
      </c>
      <c r="T78" s="810">
        <f>(T58*T70+T59*T71+T57*T72)*T50</f>
        <v>-1.781634150910239E-5</v>
      </c>
      <c r="U78" s="810">
        <f>(U58*U70+U59*U71+U57*U72)*U50</f>
        <v>1.781634150910239E-5</v>
      </c>
      <c r="V78" s="810">
        <f>(V58*V70+V59*V71+V57*V72)*V50</f>
        <v>-2.1827663272001129E-21</v>
      </c>
      <c r="W78" s="831"/>
      <c r="Y78" s="802"/>
      <c r="AH78" s="810">
        <f>IF(AH42=0,0,AH76)</f>
        <v>10.379758484529104</v>
      </c>
      <c r="AI78" s="810">
        <f>IF(AI42=0,0,AI76)</f>
        <v>6.3775201396450072</v>
      </c>
      <c r="AJ78" s="810">
        <f>IF(AJ42=0,0,AJ76)</f>
        <v>6.3775201396450072</v>
      </c>
      <c r="AK78" s="810">
        <f>IF(AK42=0,0,AK76)</f>
        <v>4.2962934079508841</v>
      </c>
    </row>
    <row r="79" spans="10:38">
      <c r="R79" s="799" t="s">
        <v>587</v>
      </c>
      <c r="S79" s="810">
        <f>(S54*S73+S56*S74+S58*S75)*S50</f>
        <v>0.52519820731485323</v>
      </c>
      <c r="T79" s="810">
        <f>(T54*T73+T56*T74+T58*T75)*T50</f>
        <v>1.0128822569643603</v>
      </c>
      <c r="U79" s="810">
        <f>(U54*U73+U56*U74+U58*U75)*U50</f>
        <v>1.0128822569643603</v>
      </c>
      <c r="V79" s="810">
        <f>(V54*V73+V56*V74+V58*V75)*V50</f>
        <v>1.5005663066138657</v>
      </c>
      <c r="W79" s="831"/>
      <c r="X79" s="798"/>
    </row>
    <row r="80" spans="10:38">
      <c r="R80" s="799" t="s">
        <v>588</v>
      </c>
      <c r="S80" s="810">
        <f>(S56*S73+S55*S74+S59*S75)*S50</f>
        <v>1.5005663066138653</v>
      </c>
      <c r="T80" s="810">
        <f>(T56*T73+T55*T74+T59*T75)*T50</f>
        <v>1.0128822569643585</v>
      </c>
      <c r="U80" s="810">
        <f>(U56*U73+U55*U74+U59*U75)*U50</f>
        <v>1.0128822569643585</v>
      </c>
      <c r="V80" s="810">
        <f>(V56*V73+V55*V74+V59*V75)*V50</f>
        <v>0.52519820731485323</v>
      </c>
      <c r="W80" s="831"/>
      <c r="X80" s="798"/>
      <c r="Y80" s="802"/>
    </row>
    <row r="81" spans="18:25">
      <c r="R81" s="798" t="s">
        <v>589</v>
      </c>
      <c r="S81" s="798">
        <f>(S58*S73+S59*S74+S57*S75)*S50</f>
        <v>0</v>
      </c>
      <c r="T81" s="798">
        <f>(T58*T73+T59*T74+T57*T75)*T50</f>
        <v>-0.48768404964950651</v>
      </c>
      <c r="U81" s="798">
        <f>(U58*U73+U59*U74+U57*U75)*U50</f>
        <v>0.48768404964950651</v>
      </c>
      <c r="V81" s="798">
        <f>(V58*V73+V59*V74+V57*V75)*V50</f>
        <v>-5.9748535991167158E-17</v>
      </c>
      <c r="W81" s="831"/>
      <c r="X81" s="798"/>
      <c r="Y81" s="802"/>
    </row>
    <row r="82" spans="18:25">
      <c r="R82" s="799"/>
      <c r="S82" s="806" t="s">
        <v>1408</v>
      </c>
      <c r="T82" s="806" t="s">
        <v>1409</v>
      </c>
      <c r="U82" s="806" t="s">
        <v>1410</v>
      </c>
      <c r="V82" s="806" t="s">
        <v>1411</v>
      </c>
      <c r="W82" s="831"/>
      <c r="X82" s="831"/>
      <c r="Y82" s="802"/>
    </row>
    <row r="83" spans="18:25">
      <c r="R83" s="799">
        <v>1</v>
      </c>
      <c r="S83" s="810">
        <f>SUM(S76:V76)</f>
        <v>1.5388960638331223E-4</v>
      </c>
      <c r="T83" s="810">
        <f>SUM(S79:V79)</f>
        <v>4.0515290278574394</v>
      </c>
      <c r="U83" s="810">
        <f>(U62*S83+U64*S84+U66*S85)*1000000</f>
        <v>1.4709957767751496</v>
      </c>
      <c r="V83" s="810">
        <f>U62*T83+U64*T84+U66*T85</f>
        <v>3.8727645287592982E-2</v>
      </c>
      <c r="W83" s="831"/>
      <c r="X83" s="831"/>
      <c r="Y83" s="802"/>
    </row>
    <row r="84" spans="18:25">
      <c r="R84" s="799">
        <v>2</v>
      </c>
      <c r="S84" s="810">
        <f>SUM(S77:V77)</f>
        <v>1.538896063833121E-4</v>
      </c>
      <c r="T84" s="810">
        <f>SUM(S80:V80)</f>
        <v>4.051529027857435</v>
      </c>
      <c r="U84" s="810">
        <f>(S83*U64+U63*S84+U67*S85)*1000000</f>
        <v>1.4709957767751474</v>
      </c>
      <c r="V84" s="810">
        <f>U64*T83+U63*T84+U67*T85</f>
        <v>3.8727645287592913E-2</v>
      </c>
      <c r="W84" s="831"/>
      <c r="X84" s="831"/>
    </row>
    <row r="85" spans="18:25">
      <c r="R85" s="799">
        <v>6</v>
      </c>
      <c r="S85" s="810">
        <f>SUM(S78:V78)</f>
        <v>-2.1827663272001129E-21</v>
      </c>
      <c r="T85" s="810">
        <f>SUM(S81:V81)</f>
        <v>-5.9748535991167158E-17</v>
      </c>
      <c r="U85" s="810">
        <f>(U66*S83+U67*S84+U65*S85)*1000000</f>
        <v>-2.2219472880507329E-16</v>
      </c>
      <c r="V85" s="810">
        <f>U66*T83+U67*T84+U65*T85</f>
        <v>-5.9304642919503552E-18</v>
      </c>
      <c r="W85" s="831"/>
      <c r="X85" s="831"/>
    </row>
    <row r="86" spans="18:25">
      <c r="R86" s="799"/>
      <c r="S86" s="806" t="s">
        <v>1419</v>
      </c>
      <c r="T86" s="806" t="s">
        <v>1420</v>
      </c>
      <c r="U86" s="810"/>
      <c r="V86" s="810"/>
      <c r="W86" s="831"/>
      <c r="X86" s="831"/>
    </row>
    <row r="87" spans="18:25">
      <c r="R87" s="799">
        <v>1</v>
      </c>
      <c r="S87" s="802">
        <f>$P$46*S83+$P$42*T83</f>
        <v>4.8686845009559745E-3</v>
      </c>
      <c r="T87" s="802">
        <f>$P$46*U83/1000000+$P$42*V83</f>
        <v>4.6538648760449951E-5</v>
      </c>
      <c r="U87" s="806" t="s">
        <v>1423</v>
      </c>
      <c r="V87" s="802">
        <f>$P$46*$P$49/1000000+$P$42*$P$52</f>
        <v>-1.9999999999999999E-6</v>
      </c>
      <c r="W87" s="831"/>
      <c r="X87" s="831"/>
    </row>
    <row r="88" spans="18:25">
      <c r="R88" s="799">
        <v>2</v>
      </c>
      <c r="S88" s="802">
        <f>$P$46*S84+$P$42*T84</f>
        <v>4.8686845009559675E-3</v>
      </c>
      <c r="T88" s="802">
        <f>$P$46*U84/1000000+$P$42*V84</f>
        <v>4.6538648760449842E-5</v>
      </c>
      <c r="U88" s="806" t="s">
        <v>1427</v>
      </c>
      <c r="V88" s="802">
        <f>$P$46*$P$50/1000000+$P$42*$P$53</f>
        <v>7.5000000000000023E-4</v>
      </c>
      <c r="W88" s="798"/>
      <c r="X88" s="798"/>
    </row>
    <row r="89" spans="18:25">
      <c r="R89" s="799">
        <v>6</v>
      </c>
      <c r="S89" s="802">
        <f>$P$46*S85+$P$42*T85</f>
        <v>-8.0466047235824529E-20</v>
      </c>
      <c r="T89" s="802">
        <f>$P$46*U85/1000000+$P$42*V85</f>
        <v>-7.4328485792444472E-21</v>
      </c>
    </row>
  </sheetData>
  <sheetProtection password="CB83"/>
  <phoneticPr fontId="5" type="noConversion"/>
  <printOptions headings="1" gridLines="1" gridLinesSet="0"/>
  <pageMargins left="0.75" right="0.75" top="1" bottom="1" header="0.5" footer="0.5"/>
  <pageSetup orientation="portrait" horizontalDpi="4294967293" verticalDpi="4294967293"/>
  <headerFooter alignWithMargins="0">
    <oddHeader>&amp;F</oddHeader>
    <oddFooter>Page &amp;P</oddFooter>
  </headerFooter>
  <rowBreaks count="1" manualBreakCount="1">
    <brk id="39" max="65535" man="1"/>
  </rowBreaks>
  <colBreaks count="5" manualBreakCount="5">
    <brk id="9" max="1048575" man="1"/>
    <brk id="17" max="1048575" man="1"/>
    <brk id="25" max="1048575" man="1"/>
    <brk id="32" max="1048575" man="1"/>
    <brk id="38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Line="0" autoPict="0" macro="[0]!SelectMaterial">
                <anchor moveWithCells="1" sizeWithCells="1">
                  <from>
                    <xdr:col>4</xdr:col>
                    <xdr:colOff>640080</xdr:colOff>
                    <xdr:row>0</xdr:row>
                    <xdr:rowOff>106680</xdr:rowOff>
                  </from>
                  <to>
                    <xdr:col>6</xdr:col>
                    <xdr:colOff>373380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Line="0" autoPict="0" macro="[0]!ChartQ">
                <anchor moveWithCells="1" sizeWithCells="1">
                  <from>
                    <xdr:col>6</xdr:col>
                    <xdr:colOff>617220</xdr:colOff>
                    <xdr:row>0</xdr:row>
                    <xdr:rowOff>121920</xdr:rowOff>
                  </from>
                  <to>
                    <xdr:col>8</xdr:col>
                    <xdr:colOff>426720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LaunchFinder">
                <anchor moveWithCells="1" sizeWithCells="1">
                  <from>
                    <xdr:col>9</xdr:col>
                    <xdr:colOff>312420</xdr:colOff>
                    <xdr:row>0</xdr:row>
                    <xdr:rowOff>144780</xdr:rowOff>
                  </from>
                  <to>
                    <xdr:col>10</xdr:col>
                    <xdr:colOff>426720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Main">
                <anchor moveWithCells="1" sizeWithCells="1">
                  <from>
                    <xdr:col>11</xdr:col>
                    <xdr:colOff>190500</xdr:colOff>
                    <xdr:row>0</xdr:row>
                    <xdr:rowOff>121920</xdr:rowOff>
                  </from>
                  <to>
                    <xdr:col>12</xdr:col>
                    <xdr:colOff>381000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GetVals">
                <anchor moveWithCells="1" sizeWithCells="1">
                  <from>
                    <xdr:col>15</xdr:col>
                    <xdr:colOff>342900</xdr:colOff>
                    <xdr:row>0</xdr:row>
                    <xdr:rowOff>114300</xdr:rowOff>
                  </from>
                  <to>
                    <xdr:col>16</xdr:col>
                    <xdr:colOff>518160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AW187"/>
  <sheetViews>
    <sheetView workbookViewId="0">
      <selection activeCell="C18" sqref="C18"/>
    </sheetView>
  </sheetViews>
  <sheetFormatPr defaultColWidth="14" defaultRowHeight="15.6"/>
  <cols>
    <col min="1" max="1" width="9.6328125" style="650" customWidth="1"/>
    <col min="2" max="8" width="6.08984375" style="650" customWidth="1"/>
    <col min="9" max="9" width="7.453125" style="650" customWidth="1"/>
    <col min="10" max="10" width="8.6328125" style="650" customWidth="1"/>
    <col min="11" max="12" width="6.08984375" style="650" customWidth="1"/>
    <col min="13" max="13" width="7.08984375" style="650" customWidth="1"/>
    <col min="14" max="17" width="4.90625" style="650" customWidth="1"/>
    <col min="18" max="18" width="3.90625" style="650" customWidth="1"/>
    <col min="19" max="20" width="6.90625" style="655" customWidth="1"/>
    <col min="21" max="22" width="6.90625" style="650" customWidth="1"/>
    <col min="23" max="24" width="6.90625" style="655" customWidth="1"/>
    <col min="25" max="30" width="4.36328125" style="650" customWidth="1"/>
    <col min="31" max="31" width="4.36328125" style="655" customWidth="1"/>
    <col min="32" max="50" width="4.36328125" style="650" customWidth="1"/>
    <col min="51" max="16384" width="14" style="650"/>
  </cols>
  <sheetData>
    <row r="1" spans="1:37" ht="60" customHeight="1">
      <c r="A1" s="649"/>
      <c r="J1" s="653" t="s">
        <v>1660</v>
      </c>
      <c r="K1" s="652"/>
      <c r="L1" s="652"/>
      <c r="N1" s="650" t="s">
        <v>1551</v>
      </c>
      <c r="P1" s="654"/>
      <c r="R1" s="650" t="s">
        <v>237</v>
      </c>
      <c r="Y1" s="650" t="s">
        <v>529</v>
      </c>
      <c r="AF1" s="650" t="s">
        <v>530</v>
      </c>
    </row>
    <row r="2" spans="1:37">
      <c r="A2" s="650" t="s">
        <v>197</v>
      </c>
      <c r="B2" s="652" t="s">
        <v>1562</v>
      </c>
      <c r="C2" s="652" t="s">
        <v>1563</v>
      </c>
      <c r="D2" s="652" t="s">
        <v>1564</v>
      </c>
      <c r="E2" s="652" t="s">
        <v>1565</v>
      </c>
      <c r="F2" s="650" t="s">
        <v>96</v>
      </c>
      <c r="G2" s="653" t="str">
        <f>J2</f>
        <v>Master ply[SI]</v>
      </c>
      <c r="H2" s="650" t="s">
        <v>97</v>
      </c>
      <c r="I2" s="653" t="str">
        <f>$J$41</f>
        <v>Master ply[SI]</v>
      </c>
      <c r="J2" s="653" t="str">
        <f>A26</f>
        <v>Master ply[SI]</v>
      </c>
      <c r="K2" s="653"/>
      <c r="L2" s="652"/>
      <c r="N2" s="652" t="s">
        <v>596</v>
      </c>
      <c r="O2" s="659">
        <f>$G$27</f>
        <v>22</v>
      </c>
      <c r="P2" s="659">
        <f>B20</f>
        <v>22</v>
      </c>
      <c r="Q2" s="660">
        <f t="shared" ref="Q2:Q7" si="0">P2/O2</f>
        <v>1</v>
      </c>
      <c r="R2" s="653"/>
      <c r="X2" s="656"/>
      <c r="Y2" s="652" t="s">
        <v>531</v>
      </c>
      <c r="Z2" s="661">
        <f t="shared" ref="Z2:AC3" si="1">S4</f>
        <v>0</v>
      </c>
      <c r="AA2" s="661">
        <f t="shared" si="1"/>
        <v>90</v>
      </c>
      <c r="AB2" s="661">
        <f t="shared" si="1"/>
        <v>45</v>
      </c>
      <c r="AC2" s="661">
        <f t="shared" si="1"/>
        <v>-45</v>
      </c>
      <c r="AD2" s="652" t="s">
        <v>532</v>
      </c>
      <c r="AE2" s="656" t="s">
        <v>533</v>
      </c>
      <c r="AF2" s="652" t="s">
        <v>531</v>
      </c>
      <c r="AG2" s="661">
        <f t="shared" ref="AG2:AJ4" si="2">Z2</f>
        <v>0</v>
      </c>
      <c r="AH2" s="661">
        <f t="shared" si="2"/>
        <v>90</v>
      </c>
      <c r="AI2" s="661">
        <f t="shared" si="2"/>
        <v>45</v>
      </c>
      <c r="AJ2" s="661">
        <f t="shared" si="2"/>
        <v>-45</v>
      </c>
    </row>
    <row r="3" spans="1:37">
      <c r="A3" s="653" t="s">
        <v>198</v>
      </c>
      <c r="B3" s="848">
        <v>0</v>
      </c>
      <c r="C3" s="848">
        <v>90</v>
      </c>
      <c r="D3" s="848">
        <v>45</v>
      </c>
      <c r="E3" s="848">
        <f>-D3</f>
        <v>-45</v>
      </c>
      <c r="F3" s="653" t="s">
        <v>199</v>
      </c>
      <c r="G3" s="653" t="s">
        <v>200</v>
      </c>
      <c r="H3" s="653" t="s">
        <v>816</v>
      </c>
      <c r="I3" s="653" t="s">
        <v>817</v>
      </c>
      <c r="J3" s="652"/>
      <c r="K3" s="652"/>
      <c r="L3" s="652"/>
      <c r="N3" s="652" t="s">
        <v>600</v>
      </c>
      <c r="O3" s="651">
        <f>$H$27</f>
        <v>5.0000000000000001E-3</v>
      </c>
      <c r="P3" s="651">
        <f>C20</f>
        <v>5.0000000000000001E-3</v>
      </c>
      <c r="Q3" s="660">
        <f t="shared" si="0"/>
        <v>1</v>
      </c>
      <c r="R3" s="652" t="s">
        <v>243</v>
      </c>
      <c r="S3" s="656" t="s">
        <v>1562</v>
      </c>
      <c r="T3" s="656" t="s">
        <v>1563</v>
      </c>
      <c r="U3" s="656" t="s">
        <v>1564</v>
      </c>
      <c r="V3" s="656" t="s">
        <v>1565</v>
      </c>
      <c r="W3" s="656"/>
      <c r="X3" s="656"/>
      <c r="Y3" s="652" t="s">
        <v>536</v>
      </c>
      <c r="Z3" s="661">
        <f t="shared" si="1"/>
        <v>5</v>
      </c>
      <c r="AA3" s="661">
        <f t="shared" si="1"/>
        <v>1.7</v>
      </c>
      <c r="AB3" s="661">
        <f t="shared" si="1"/>
        <v>1.65</v>
      </c>
      <c r="AC3" s="661">
        <f t="shared" si="1"/>
        <v>1.65</v>
      </c>
      <c r="AD3" s="652">
        <f>W5</f>
        <v>1</v>
      </c>
      <c r="AE3" s="661">
        <f>X5</f>
        <v>0</v>
      </c>
      <c r="AF3" s="652" t="s">
        <v>536</v>
      </c>
      <c r="AG3" s="661">
        <f t="shared" si="2"/>
        <v>5</v>
      </c>
      <c r="AH3" s="661">
        <f t="shared" si="2"/>
        <v>1.7</v>
      </c>
      <c r="AI3" s="661">
        <f t="shared" si="2"/>
        <v>1.65</v>
      </c>
      <c r="AJ3" s="661">
        <f t="shared" si="2"/>
        <v>1.65</v>
      </c>
    </row>
    <row r="4" spans="1:37">
      <c r="A4" s="653" t="s">
        <v>818</v>
      </c>
      <c r="B4" s="1226">
        <v>5</v>
      </c>
      <c r="C4" s="1226">
        <v>1.7</v>
      </c>
      <c r="D4" s="1226">
        <f>(10-B4-C4)/2</f>
        <v>1.65</v>
      </c>
      <c r="E4" s="1226">
        <f>D4</f>
        <v>1.65</v>
      </c>
      <c r="F4" s="849">
        <v>1</v>
      </c>
      <c r="G4" s="654">
        <f>(B4+C4+D4+E4)*F4*2</f>
        <v>20</v>
      </c>
      <c r="H4" s="654">
        <f>G4*L9/1000</f>
        <v>2.5</v>
      </c>
      <c r="I4" s="853">
        <v>0</v>
      </c>
      <c r="J4" s="652" t="s">
        <v>1553</v>
      </c>
      <c r="K4" s="652" t="s">
        <v>1554</v>
      </c>
      <c r="L4" s="652" t="s">
        <v>1555</v>
      </c>
      <c r="M4" s="665" t="s">
        <v>1556</v>
      </c>
      <c r="N4" s="652" t="s">
        <v>1557</v>
      </c>
      <c r="O4" s="659">
        <f>$G$26</f>
        <v>122</v>
      </c>
      <c r="P4" s="659">
        <f>O4</f>
        <v>122</v>
      </c>
      <c r="Q4" s="660">
        <f t="shared" si="0"/>
        <v>1</v>
      </c>
      <c r="R4" s="652" t="s">
        <v>537</v>
      </c>
      <c r="S4" s="666">
        <f>B3+$I$4</f>
        <v>0</v>
      </c>
      <c r="T4" s="666">
        <f>C3+$I$4</f>
        <v>90</v>
      </c>
      <c r="U4" s="666">
        <f>D3+$I$4</f>
        <v>45</v>
      </c>
      <c r="V4" s="666">
        <f>E3+$I$4</f>
        <v>-45</v>
      </c>
      <c r="W4" s="656" t="s">
        <v>538</v>
      </c>
      <c r="X4" s="656"/>
      <c r="Y4" s="652" t="s">
        <v>539</v>
      </c>
      <c r="Z4" s="665">
        <f>S6*Z3/Z3</f>
        <v>0</v>
      </c>
      <c r="AA4" s="665">
        <f>T6*AA3/AA3</f>
        <v>3.1415926535897931</v>
      </c>
      <c r="AB4" s="665">
        <f>U6*AB3/AB3</f>
        <v>1.5707963267948966</v>
      </c>
      <c r="AC4" s="665">
        <f>V6*AC3/AC3</f>
        <v>-1.5707963267948966</v>
      </c>
      <c r="AD4" s="652" t="s">
        <v>603</v>
      </c>
      <c r="AE4" s="655">
        <f>$W$12</f>
        <v>2.5000000000000001E-3</v>
      </c>
      <c r="AF4" s="652" t="s">
        <v>539</v>
      </c>
      <c r="AG4" s="665">
        <f t="shared" si="2"/>
        <v>0</v>
      </c>
      <c r="AH4" s="665">
        <f t="shared" si="2"/>
        <v>3.1415926535897931</v>
      </c>
      <c r="AI4" s="665">
        <f t="shared" si="2"/>
        <v>1.5707963267948966</v>
      </c>
      <c r="AJ4" s="665">
        <f t="shared" si="2"/>
        <v>-1.5707963267948966</v>
      </c>
    </row>
    <row r="5" spans="1:37">
      <c r="A5" s="653" t="s">
        <v>819</v>
      </c>
      <c r="B5" s="848">
        <f>C17</f>
        <v>52</v>
      </c>
      <c r="C5" s="848">
        <f>-B5</f>
        <v>-52</v>
      </c>
      <c r="D5" s="848">
        <v>0</v>
      </c>
      <c r="E5" s="848">
        <f>-D5</f>
        <v>0</v>
      </c>
      <c r="F5" s="653" t="s">
        <v>820</v>
      </c>
      <c r="G5" s="653" t="s">
        <v>821</v>
      </c>
      <c r="H5" s="653" t="s">
        <v>822</v>
      </c>
      <c r="I5" s="650" t="s">
        <v>823</v>
      </c>
      <c r="J5" s="652" t="s">
        <v>298</v>
      </c>
      <c r="K5" s="664">
        <f>$B$26</f>
        <v>0.88</v>
      </c>
      <c r="L5" s="664">
        <f>L12*L11</f>
        <v>0.88</v>
      </c>
      <c r="M5" s="660">
        <f>L5/K5</f>
        <v>1</v>
      </c>
      <c r="N5" s="652" t="s">
        <v>299</v>
      </c>
      <c r="O5" s="659">
        <f>$H$26</f>
        <v>160</v>
      </c>
      <c r="P5" s="659">
        <f>O5-$H$29*(P3-O3)</f>
        <v>160</v>
      </c>
      <c r="Q5" s="660">
        <f t="shared" si="0"/>
        <v>1</v>
      </c>
      <c r="R5" s="652" t="s">
        <v>541</v>
      </c>
      <c r="S5" s="666">
        <f>$B$4</f>
        <v>5</v>
      </c>
      <c r="T5" s="666">
        <f>$C$4</f>
        <v>1.7</v>
      </c>
      <c r="U5" s="666">
        <f>$D$4</f>
        <v>1.65</v>
      </c>
      <c r="V5" s="666">
        <f>$E$4</f>
        <v>1.65</v>
      </c>
      <c r="W5" s="668">
        <f>F4</f>
        <v>1</v>
      </c>
      <c r="X5" s="661"/>
      <c r="Y5" s="652"/>
      <c r="Z5" s="655"/>
      <c r="AA5" s="655"/>
      <c r="AB5" s="655"/>
      <c r="AC5" s="655"/>
      <c r="AD5" s="656"/>
    </row>
    <row r="6" spans="1:37">
      <c r="A6" s="653" t="s">
        <v>824</v>
      </c>
      <c r="B6" s="849">
        <v>1</v>
      </c>
      <c r="C6" s="849">
        <f>B6</f>
        <v>1</v>
      </c>
      <c r="D6" s="849">
        <v>1</v>
      </c>
      <c r="E6" s="849">
        <f>D6</f>
        <v>1</v>
      </c>
      <c r="F6" s="849">
        <v>2.5</v>
      </c>
      <c r="G6" s="654">
        <f>(B6+C6+D6+E6)*F6*2</f>
        <v>20</v>
      </c>
      <c r="H6" s="654">
        <f>G6*L48/1000</f>
        <v>2.5</v>
      </c>
      <c r="I6" s="853">
        <f>I4</f>
        <v>0</v>
      </c>
      <c r="J6" s="652" t="s">
        <v>1579</v>
      </c>
      <c r="K6" s="654">
        <f>$C$26</f>
        <v>5.1999999999999998E-2</v>
      </c>
      <c r="L6" s="654">
        <f>(1+L15)/(1/L16+L15/L13)</f>
        <v>5.1999999999999998E-2</v>
      </c>
      <c r="M6" s="660">
        <f>L6/K6</f>
        <v>1</v>
      </c>
      <c r="N6" s="652" t="s">
        <v>1580</v>
      </c>
      <c r="O6" s="654">
        <f>(O5-O2)/(O5-O2)</f>
        <v>1</v>
      </c>
      <c r="P6" s="654">
        <f>(P5-P2)/(P5-O2)</f>
        <v>1</v>
      </c>
      <c r="Q6" s="660">
        <f t="shared" si="0"/>
        <v>1</v>
      </c>
      <c r="R6" s="652" t="s">
        <v>1295</v>
      </c>
      <c r="S6" s="660">
        <f>S4*PI()/90</f>
        <v>0</v>
      </c>
      <c r="T6" s="660">
        <f>T4*PI()/90</f>
        <v>3.1415926535897931</v>
      </c>
      <c r="U6" s="660">
        <f>U4*PI()/90</f>
        <v>1.5707963267948966</v>
      </c>
      <c r="V6" s="660">
        <f>V4*PI()/90</f>
        <v>-1.5707963267948966</v>
      </c>
      <c r="W6" s="656" t="s">
        <v>1296</v>
      </c>
      <c r="X6" s="669"/>
      <c r="Y6" s="653" t="s">
        <v>1297</v>
      </c>
      <c r="Z6" s="656"/>
      <c r="AA6" s="656"/>
      <c r="AB6" s="655"/>
      <c r="AC6" s="655"/>
      <c r="AD6" s="655"/>
      <c r="AF6" s="653" t="s">
        <v>1298</v>
      </c>
      <c r="AK6" s="652" t="s">
        <v>1299</v>
      </c>
    </row>
    <row r="7" spans="1:37">
      <c r="A7" s="653" t="s">
        <v>825</v>
      </c>
      <c r="B7" s="660">
        <f>AG38</f>
        <v>3.7148402111916492</v>
      </c>
      <c r="C7" s="660">
        <f>AH38</f>
        <v>1.5827421092963683</v>
      </c>
      <c r="D7" s="660">
        <f>AI38</f>
        <v>2.2469505535309251</v>
      </c>
      <c r="E7" s="660">
        <f>AJ38</f>
        <v>2.2469505535309251</v>
      </c>
      <c r="F7" s="663" t="s">
        <v>826</v>
      </c>
      <c r="G7" s="660">
        <f>MIN(B7:E7)</f>
        <v>1.5827421092963683</v>
      </c>
      <c r="J7" s="652" t="s">
        <v>259</v>
      </c>
      <c r="K7" s="654">
        <f>$D$26</f>
        <v>0.32</v>
      </c>
      <c r="L7" s="654">
        <f>K7*I20</f>
        <v>0.32</v>
      </c>
      <c r="M7" s="660">
        <f>L7/K7</f>
        <v>1</v>
      </c>
      <c r="N7" s="652" t="s">
        <v>260</v>
      </c>
      <c r="O7" s="659">
        <f>O2-O4</f>
        <v>-100</v>
      </c>
      <c r="P7" s="659">
        <f>P2-P4</f>
        <v>-100</v>
      </c>
      <c r="Q7" s="660">
        <f t="shared" si="0"/>
        <v>1</v>
      </c>
      <c r="R7" s="652" t="s">
        <v>1300</v>
      </c>
      <c r="S7" s="660">
        <f>2*S6</f>
        <v>0</v>
      </c>
      <c r="T7" s="660">
        <f>2*T6</f>
        <v>6.2831853071795862</v>
      </c>
      <c r="U7" s="660">
        <f>2*U6</f>
        <v>3.1415926535897931</v>
      </c>
      <c r="V7" s="660">
        <f>2*V6</f>
        <v>-3.1415926535897931</v>
      </c>
      <c r="W7" s="668">
        <f>G4/W5/2</f>
        <v>10</v>
      </c>
      <c r="X7" s="661"/>
      <c r="Y7" s="652"/>
      <c r="Z7" s="656" t="s">
        <v>1301</v>
      </c>
      <c r="AA7" s="656"/>
      <c r="AB7" s="672" t="s">
        <v>619</v>
      </c>
      <c r="AC7" s="672"/>
      <c r="AD7" s="656" t="s">
        <v>1303</v>
      </c>
      <c r="AE7" s="656" t="s">
        <v>1304</v>
      </c>
      <c r="AF7" s="652" t="s">
        <v>1305</v>
      </c>
      <c r="AG7" s="654">
        <f t="shared" ref="AG7:AJ9" si="3">Z13</f>
        <v>0.77326576817243364</v>
      </c>
      <c r="AH7" s="654">
        <f t="shared" si="3"/>
        <v>-0.23487926488302685</v>
      </c>
      <c r="AI7" s="654">
        <f t="shared" si="3"/>
        <v>0.26919325164470354</v>
      </c>
      <c r="AJ7" s="654">
        <f t="shared" si="3"/>
        <v>0.26919325164470342</v>
      </c>
      <c r="AK7" s="654">
        <f>($T$37+$T$38)/2</f>
        <v>6.3180758065024221E-5</v>
      </c>
    </row>
    <row r="8" spans="1:37">
      <c r="A8" s="653" t="s">
        <v>827</v>
      </c>
      <c r="B8" s="660">
        <f>AG77</f>
        <v>1.8507616046167201</v>
      </c>
      <c r="C8" s="660">
        <f>AH77</f>
        <v>1.8507616046167201</v>
      </c>
      <c r="D8" s="660">
        <f>AI77</f>
        <v>3.4232736238107995</v>
      </c>
      <c r="E8" s="660">
        <f>AJ77</f>
        <v>3.4232736238107995</v>
      </c>
      <c r="F8" s="663" t="s">
        <v>828</v>
      </c>
      <c r="G8" s="660">
        <f>MIN(B8:E8)</f>
        <v>1.8507616046167201</v>
      </c>
      <c r="J8" s="652" t="s">
        <v>261</v>
      </c>
      <c r="K8" s="654">
        <f>$E$26</f>
        <v>3.1E-2</v>
      </c>
      <c r="L8" s="654">
        <f>(1+L18)/(1/L19+L18*2.7/L13)</f>
        <v>3.1E-2</v>
      </c>
      <c r="M8" s="660">
        <f>L8/K8</f>
        <v>1</v>
      </c>
      <c r="N8" s="652"/>
      <c r="O8" s="654"/>
      <c r="P8" s="654"/>
      <c r="Q8" s="654"/>
      <c r="S8" s="673"/>
      <c r="T8" s="673"/>
      <c r="U8" s="673"/>
      <c r="V8" s="674"/>
      <c r="W8" s="656"/>
      <c r="X8" s="656"/>
      <c r="Y8" s="652">
        <v>1</v>
      </c>
      <c r="Z8" s="654">
        <f>B10</f>
        <v>1</v>
      </c>
      <c r="AA8" s="676"/>
      <c r="AB8" s="654">
        <f>Z8*S23+Z9*S25+Z10*S27</f>
        <v>773.2657681724337</v>
      </c>
      <c r="AC8" s="676"/>
      <c r="AD8" s="669" t="s">
        <v>1306</v>
      </c>
      <c r="AE8" s="654">
        <f>(AB8+AB9)/2</f>
        <v>269.19325164470342</v>
      </c>
      <c r="AF8" s="652" t="s">
        <v>1307</v>
      </c>
      <c r="AG8" s="654">
        <f t="shared" si="3"/>
        <v>-0.23487926488302679</v>
      </c>
      <c r="AH8" s="654">
        <f t="shared" si="3"/>
        <v>0.77326576817243375</v>
      </c>
      <c r="AI8" s="654">
        <f t="shared" si="3"/>
        <v>0.26919325164470331</v>
      </c>
      <c r="AJ8" s="654">
        <f t="shared" si="3"/>
        <v>0.26919325164470342</v>
      </c>
      <c r="AK8" s="654">
        <f>($T$37-$T$38)/2</f>
        <v>-4.1357056598618733E-5</v>
      </c>
    </row>
    <row r="9" spans="1:37">
      <c r="A9" s="653" t="s">
        <v>829</v>
      </c>
      <c r="B9" s="669"/>
      <c r="C9" s="677" t="s">
        <v>830</v>
      </c>
      <c r="D9" s="670" t="s">
        <v>831</v>
      </c>
      <c r="E9" s="670" t="s">
        <v>832</v>
      </c>
      <c r="F9" s="670" t="s">
        <v>833</v>
      </c>
      <c r="G9" s="677" t="s">
        <v>2082</v>
      </c>
      <c r="H9" s="653" t="s">
        <v>834</v>
      </c>
      <c r="I9" s="653" t="s">
        <v>835</v>
      </c>
      <c r="J9" s="652" t="s">
        <v>262</v>
      </c>
      <c r="K9" s="659">
        <f>$B$28</f>
        <v>125</v>
      </c>
      <c r="L9" s="659">
        <f>K9/M11</f>
        <v>125</v>
      </c>
      <c r="M9" s="660">
        <f>L9/K9</f>
        <v>1</v>
      </c>
      <c r="N9" s="653" t="s">
        <v>1531</v>
      </c>
      <c r="O9" s="654"/>
      <c r="P9" s="654"/>
      <c r="Q9" s="654"/>
      <c r="R9" s="652" t="s">
        <v>1308</v>
      </c>
      <c r="S9" s="660">
        <v>1</v>
      </c>
      <c r="T9" s="660">
        <f>S10</f>
        <v>0.5</v>
      </c>
      <c r="U9" s="660">
        <f>T10</f>
        <v>0.33</v>
      </c>
      <c r="V9" s="660">
        <f>U10</f>
        <v>0.16500000000000004</v>
      </c>
      <c r="W9" s="673"/>
      <c r="X9" s="656"/>
      <c r="Y9" s="652">
        <v>2</v>
      </c>
      <c r="Z9" s="654">
        <f>B11</f>
        <v>0</v>
      </c>
      <c r="AA9" s="676"/>
      <c r="AB9" s="654">
        <f>Z8*S25+Z9*S24+Z10*S28</f>
        <v>-234.87926488302682</v>
      </c>
      <c r="AC9" s="676"/>
      <c r="AD9" s="669" t="s">
        <v>1309</v>
      </c>
      <c r="AE9" s="654">
        <f>(AB8-AB9)/2</f>
        <v>504.07251652773027</v>
      </c>
      <c r="AF9" s="652" t="s">
        <v>1310</v>
      </c>
      <c r="AG9" s="654">
        <f t="shared" si="3"/>
        <v>9.5436923930467996E-17</v>
      </c>
      <c r="AH9" s="654">
        <f t="shared" si="3"/>
        <v>-2.189496568876377E-16</v>
      </c>
      <c r="AI9" s="654">
        <f t="shared" si="3"/>
        <v>-1.0081450330554604</v>
      </c>
      <c r="AJ9" s="654">
        <f t="shared" si="3"/>
        <v>1.0081450330554604</v>
      </c>
      <c r="AK9" s="654">
        <f>$T$39/2</f>
        <v>7.4588076225767691E-21</v>
      </c>
    </row>
    <row r="10" spans="1:37">
      <c r="A10" s="653" t="s">
        <v>214</v>
      </c>
      <c r="B10" s="1002">
        <v>1</v>
      </c>
      <c r="C10" s="666">
        <f>B10/$H$4*1000</f>
        <v>400</v>
      </c>
      <c r="D10" s="666">
        <f>C10*$G$7</f>
        <v>633.09684371854735</v>
      </c>
      <c r="E10" s="660">
        <f>AB8</f>
        <v>773.2657681724337</v>
      </c>
      <c r="F10" s="660">
        <f>E10*$G$7</f>
        <v>1223.8802929639141</v>
      </c>
      <c r="G10" s="1227">
        <f>X15</f>
        <v>0.54192282494804933</v>
      </c>
      <c r="H10" s="651">
        <f t="shared" ref="H10:I12" si="4">W34</f>
        <v>0.7321766076659505</v>
      </c>
      <c r="I10" s="651">
        <f t="shared" si="4"/>
        <v>1.9008272446600104E-2</v>
      </c>
      <c r="J10" s="653" t="s">
        <v>264</v>
      </c>
      <c r="K10" s="654"/>
      <c r="L10" s="654"/>
      <c r="N10" s="652" t="s">
        <v>265</v>
      </c>
      <c r="O10" s="654">
        <f>$A$29</f>
        <v>0.02</v>
      </c>
      <c r="P10" s="654">
        <f>O10</f>
        <v>0.02</v>
      </c>
      <c r="Q10" s="654">
        <f>P10/O10</f>
        <v>1</v>
      </c>
      <c r="R10" s="652" t="s">
        <v>1311</v>
      </c>
      <c r="S10" s="660">
        <f>S9-S5/$W$7</f>
        <v>0.5</v>
      </c>
      <c r="T10" s="660">
        <f>T9-T5/$W$7</f>
        <v>0.33</v>
      </c>
      <c r="U10" s="660">
        <f>U9-U5/$W$7</f>
        <v>0.16500000000000004</v>
      </c>
      <c r="V10" s="660">
        <f>V9-V5/$W$7</f>
        <v>0</v>
      </c>
      <c r="Y10" s="652">
        <v>6</v>
      </c>
      <c r="Z10" s="654">
        <f>B12</f>
        <v>0</v>
      </c>
      <c r="AA10" s="676"/>
      <c r="AB10" s="654">
        <f>Z8*S27+Z9*S28+Z10*S26</f>
        <v>9.5436923930468001E-14</v>
      </c>
      <c r="AC10" s="676"/>
      <c r="AD10" s="669" t="s">
        <v>1312</v>
      </c>
      <c r="AE10" s="654">
        <f>AB10/2</f>
        <v>4.7718461965234001E-14</v>
      </c>
      <c r="AF10" s="652"/>
      <c r="AG10" s="654"/>
      <c r="AH10" s="654"/>
      <c r="AI10" s="654"/>
      <c r="AJ10" s="654"/>
      <c r="AK10" s="654"/>
    </row>
    <row r="11" spans="1:37">
      <c r="A11" s="653" t="s">
        <v>215</v>
      </c>
      <c r="B11" s="1002">
        <v>0</v>
      </c>
      <c r="C11" s="666">
        <f>B11/$H$4*1000</f>
        <v>0</v>
      </c>
      <c r="D11" s="666">
        <f>C11*$G$7</f>
        <v>0</v>
      </c>
      <c r="E11" s="660">
        <f>AB9</f>
        <v>-234.87926488302682</v>
      </c>
      <c r="F11" s="660">
        <f>E11*$G$7</f>
        <v>-371.75330313094224</v>
      </c>
      <c r="G11" s="1227">
        <f>X16</f>
        <v>0.26701940937161595</v>
      </c>
      <c r="H11" s="651">
        <f t="shared" si="4"/>
        <v>3.2048006298386884</v>
      </c>
      <c r="I11" s="651">
        <f t="shared" si="4"/>
        <v>8.5003575529502357E-2</v>
      </c>
      <c r="J11" s="652" t="s">
        <v>1532</v>
      </c>
      <c r="K11" s="654">
        <f>$C$28</f>
        <v>0.55000000000000004</v>
      </c>
      <c r="L11" s="654">
        <f>$D$20</f>
        <v>0.55000000000000004</v>
      </c>
      <c r="M11" s="660">
        <f t="shared" ref="M11:M19" si="5">L11/K11</f>
        <v>1</v>
      </c>
      <c r="N11" s="652" t="s">
        <v>1533</v>
      </c>
      <c r="O11" s="654">
        <f>$B$29</f>
        <v>22.5</v>
      </c>
      <c r="P11" s="654">
        <f>O11*(1-L11)/(1-K11)</f>
        <v>22.5</v>
      </c>
      <c r="Q11" s="654">
        <f>P11/O11</f>
        <v>1</v>
      </c>
      <c r="R11" s="652" t="s">
        <v>1321</v>
      </c>
      <c r="S11" s="660">
        <f>S9-S10</f>
        <v>0.5</v>
      </c>
      <c r="T11" s="660">
        <f>T9-T10</f>
        <v>0.16999999999999998</v>
      </c>
      <c r="U11" s="660">
        <f>U9-U10</f>
        <v>0.16499999999999998</v>
      </c>
      <c r="V11" s="660">
        <f>V9-V10</f>
        <v>0.16500000000000004</v>
      </c>
      <c r="W11" s="656" t="s">
        <v>1322</v>
      </c>
      <c r="X11" s="656"/>
      <c r="Z11" s="676"/>
      <c r="AA11" s="676"/>
      <c r="AB11" s="676"/>
      <c r="AC11" s="676"/>
      <c r="AD11" s="669"/>
      <c r="AE11" s="676"/>
      <c r="AF11" s="652"/>
      <c r="AG11" s="654"/>
      <c r="AH11" s="654"/>
      <c r="AI11" s="654"/>
      <c r="AJ11" s="654"/>
      <c r="AK11" s="654"/>
    </row>
    <row r="12" spans="1:37">
      <c r="A12" s="653" t="s">
        <v>216</v>
      </c>
      <c r="B12" s="1002">
        <v>0</v>
      </c>
      <c r="C12" s="666">
        <f>B12/$H$4*1000</f>
        <v>0</v>
      </c>
      <c r="D12" s="666">
        <f>C12*$G$7</f>
        <v>0</v>
      </c>
      <c r="E12" s="660">
        <f>AB10</f>
        <v>9.5436923930468001E-14</v>
      </c>
      <c r="F12" s="660">
        <f>E12*$G$7</f>
        <v>1.5105203828646596E-13</v>
      </c>
      <c r="G12" s="1227">
        <f>X18</f>
        <v>9.5365772236368468E-2</v>
      </c>
      <c r="H12" s="651">
        <f t="shared" si="4"/>
        <v>4.5368539037762922E-16</v>
      </c>
      <c r="I12" s="651">
        <f t="shared" si="4"/>
        <v>1.205723085658329E-17</v>
      </c>
      <c r="J12" s="652" t="s">
        <v>1534</v>
      </c>
      <c r="K12" s="659">
        <f>K5/K11</f>
        <v>1.5999999999999999</v>
      </c>
      <c r="L12" s="659">
        <f>$F$20*P6^$F$29</f>
        <v>1.5999999999999999</v>
      </c>
      <c r="M12" s="660">
        <f t="shared" si="5"/>
        <v>1</v>
      </c>
      <c r="N12" s="650" t="s">
        <v>1535</v>
      </c>
      <c r="O12" s="654"/>
      <c r="P12" s="654"/>
      <c r="Q12" s="654"/>
      <c r="R12" s="652"/>
      <c r="S12" s="673"/>
      <c r="T12" s="673"/>
      <c r="U12" s="673"/>
      <c r="V12" s="671"/>
      <c r="W12" s="655">
        <f>H4/1000</f>
        <v>2.5000000000000001E-3</v>
      </c>
      <c r="Y12" s="653" t="s">
        <v>1323</v>
      </c>
      <c r="Z12" s="676"/>
      <c r="AA12" s="676"/>
      <c r="AB12" s="676"/>
      <c r="AC12" s="676"/>
      <c r="AD12" s="669"/>
      <c r="AE12" s="676"/>
      <c r="AF12" s="652"/>
      <c r="AG12" s="654"/>
      <c r="AH12" s="654"/>
      <c r="AI12" s="654"/>
      <c r="AJ12" s="654"/>
      <c r="AK12" s="654"/>
    </row>
    <row r="13" spans="1:37">
      <c r="A13" s="650" t="s">
        <v>836</v>
      </c>
      <c r="B13" s="654"/>
      <c r="C13" s="677" t="s">
        <v>837</v>
      </c>
      <c r="D13" s="670" t="s">
        <v>838</v>
      </c>
      <c r="E13" s="670" t="s">
        <v>839</v>
      </c>
      <c r="F13" s="670" t="s">
        <v>840</v>
      </c>
      <c r="G13" s="658" t="s">
        <v>2083</v>
      </c>
      <c r="H13" s="658" t="s">
        <v>841</v>
      </c>
      <c r="I13" s="658" t="s">
        <v>30</v>
      </c>
      <c r="J13" s="652" t="s">
        <v>1536</v>
      </c>
      <c r="K13" s="654">
        <f>$F$26</f>
        <v>3.4</v>
      </c>
      <c r="L13" s="654">
        <f>$E$20*P6^$F$28*I20</f>
        <v>3.4</v>
      </c>
      <c r="M13" s="660">
        <f t="shared" si="5"/>
        <v>1</v>
      </c>
      <c r="N13" s="652" t="s">
        <v>1537</v>
      </c>
      <c r="O13" s="654">
        <f>$C$29</f>
        <v>0</v>
      </c>
      <c r="P13" s="654">
        <f>O13</f>
        <v>0</v>
      </c>
      <c r="Q13" s="654">
        <v>1</v>
      </c>
      <c r="R13" s="652"/>
      <c r="S13" s="673"/>
      <c r="T13" s="673"/>
      <c r="U13" s="673"/>
      <c r="V13" s="671"/>
      <c r="Y13" s="652" t="s">
        <v>1324</v>
      </c>
      <c r="Z13" s="654">
        <f>($AE$8+$AE$9*COS(Z4)+$AE$10*SIN(Z4))/1000</f>
        <v>0.77326576817243364</v>
      </c>
      <c r="AA13" s="654">
        <f>($AE$8+$AE$9*COS(AA4)+$AE$10*SIN(AA4))/1000</f>
        <v>-0.23487926488302685</v>
      </c>
      <c r="AB13" s="654">
        <f>($AE$8+$AE$9*COS(AB4)+$AE$10*SIN(AB4))/1000</f>
        <v>0.26919325164470354</v>
      </c>
      <c r="AC13" s="654">
        <f>($AE$8+$AE$9*COS(AC4)+$AE$10*SIN(AC4))/1000</f>
        <v>0.26919325164470342</v>
      </c>
      <c r="AD13" s="669"/>
      <c r="AE13" s="676"/>
      <c r="AF13" s="653"/>
      <c r="AG13" s="665"/>
      <c r="AH13" s="665"/>
      <c r="AI13" s="665"/>
      <c r="AJ13" s="665"/>
      <c r="AK13" s="654"/>
    </row>
    <row r="14" spans="1:37">
      <c r="A14" s="653" t="s">
        <v>214</v>
      </c>
      <c r="B14" s="738">
        <v>1</v>
      </c>
      <c r="C14" s="664">
        <f>B14/$H$6*1000</f>
        <v>400</v>
      </c>
      <c r="D14" s="664">
        <f>C14*$G$8</f>
        <v>740.30464184668801</v>
      </c>
      <c r="E14" s="654">
        <f>AB47</f>
        <v>831.39033107728505</v>
      </c>
      <c r="F14" s="654">
        <f>E14*$G$8</f>
        <v>1538.7053032074223</v>
      </c>
      <c r="G14" s="712">
        <f>X54</f>
        <v>0.53489816536467338</v>
      </c>
      <c r="H14" s="651">
        <f t="shared" ref="H14:I16" si="6">W73</f>
        <v>0.36305533237732662</v>
      </c>
      <c r="I14" s="651">
        <f t="shared" si="6"/>
        <v>9.1562811132738474E-3</v>
      </c>
      <c r="J14" s="652" t="s">
        <v>1538</v>
      </c>
      <c r="K14" s="654">
        <f>$E$28</f>
        <v>0.52</v>
      </c>
      <c r="L14" s="654">
        <f>K14*P6^$G$28</f>
        <v>0.52</v>
      </c>
      <c r="M14" s="660">
        <f t="shared" si="5"/>
        <v>1</v>
      </c>
      <c r="N14" s="652" t="s">
        <v>1539</v>
      </c>
      <c r="O14" s="654">
        <f>$D$29</f>
        <v>0.6</v>
      </c>
      <c r="P14" s="654">
        <f>O14*(1-L11)/(1-K11)</f>
        <v>0.6</v>
      </c>
      <c r="Q14" s="654">
        <f>P14/O14</f>
        <v>1</v>
      </c>
      <c r="R14" s="652" t="s">
        <v>1325</v>
      </c>
      <c r="S14" s="656" t="s">
        <v>1326</v>
      </c>
      <c r="T14" s="656" t="s">
        <v>1327</v>
      </c>
      <c r="U14" s="656" t="s">
        <v>1328</v>
      </c>
      <c r="V14" s="656" t="s">
        <v>1329</v>
      </c>
      <c r="W14" s="656" t="s">
        <v>1330</v>
      </c>
      <c r="X14" s="656" t="s">
        <v>1331</v>
      </c>
      <c r="Y14" s="652" t="s">
        <v>1332</v>
      </c>
      <c r="Z14" s="654">
        <f>2*$AE$8/1000-Z13</f>
        <v>-0.23487926488302679</v>
      </c>
      <c r="AA14" s="654">
        <f>2*$AE$8/1000-AA13</f>
        <v>0.77326576817243375</v>
      </c>
      <c r="AB14" s="654">
        <f>2*$AE$8/1000-AB13</f>
        <v>0.26919325164470331</v>
      </c>
      <c r="AC14" s="654">
        <f>2*$AE$8/1000-AC13</f>
        <v>0.26919325164470342</v>
      </c>
      <c r="AD14" s="676"/>
      <c r="AE14" s="676"/>
      <c r="AF14" s="652" t="s">
        <v>1333</v>
      </c>
      <c r="AG14" s="654">
        <f>$P$33*AG7^2+2*$P$35*AG7*AG8+$P$34*AG8^2+$P$36*AG9^2</f>
        <v>0.10794983955295132</v>
      </c>
      <c r="AH14" s="654">
        <f>$P$33*AH7^2+2*$P$35*AH7*AH8+$P$34*AH8^2+$P$36*AH9^2</f>
        <v>0.12963450176218894</v>
      </c>
      <c r="AI14" s="654">
        <f>$P$33*AI7^2+2*$P$35*AI7*AI8+$P$34*AI8^2+$P$36*AI9^2</f>
        <v>0.13246313381447131</v>
      </c>
      <c r="AJ14" s="654">
        <f>$P$33*AJ7^2+2*$P$35*AJ7*AJ8+$P$34*AJ8^2+$P$36*AJ9^2</f>
        <v>0.13246313381447131</v>
      </c>
      <c r="AK14" s="654"/>
    </row>
    <row r="15" spans="1:37">
      <c r="A15" s="653" t="s">
        <v>215</v>
      </c>
      <c r="B15" s="738">
        <f>-B11</f>
        <v>0</v>
      </c>
      <c r="C15" s="664">
        <f>B15/$H$6*1000</f>
        <v>0</v>
      </c>
      <c r="D15" s="664">
        <f>C15*$G$8</f>
        <v>0</v>
      </c>
      <c r="E15" s="654">
        <f>AB48</f>
        <v>-411.84777918639429</v>
      </c>
      <c r="F15" s="654">
        <f>E15*$G$8</f>
        <v>-762.23205666484375</v>
      </c>
      <c r="G15" s="712">
        <f>X55</f>
        <v>0.21914322570806827</v>
      </c>
      <c r="H15" s="651">
        <f t="shared" si="6"/>
        <v>4.0837074682265913</v>
      </c>
      <c r="I15" s="651">
        <f t="shared" si="6"/>
        <v>0.10846194310213322</v>
      </c>
      <c r="J15" s="652" t="s">
        <v>1547</v>
      </c>
      <c r="K15" s="654">
        <f>K14*(1-K11)/K11</f>
        <v>0.42545454545454542</v>
      </c>
      <c r="L15" s="654">
        <f>L14*(1-L11)/L11</f>
        <v>0.42545454545454542</v>
      </c>
      <c r="M15" s="660">
        <f t="shared" si="5"/>
        <v>1</v>
      </c>
      <c r="O15" s="654"/>
      <c r="P15" s="654"/>
      <c r="Q15" s="654"/>
      <c r="R15" s="652">
        <v>11</v>
      </c>
      <c r="S15" s="654">
        <f>$L$27+$L$28*COS(S6)+$L$29*COS(S7)</f>
        <v>0.88535721602716078</v>
      </c>
      <c r="T15" s="654">
        <f>$L$27+$L$28*COS(T6)+$L$29*COS(T7)</f>
        <v>5.2316562765241381E-2</v>
      </c>
      <c r="U15" s="654">
        <f>$L$27+$L$28*COS(U6)+$L$29*COS(U7)</f>
        <v>0.2737890947405392</v>
      </c>
      <c r="V15" s="654">
        <f>$L$27+$L$28*COS(V6)+$L$29*COS(V7)</f>
        <v>0.2737890947405392</v>
      </c>
      <c r="W15" s="655">
        <f t="shared" ref="W15:W20" si="7">($S$11*S15+$T$11*T15+$U$11*U15+$V$11*V15)*$W$12</f>
        <v>1.3548070623701234E-3</v>
      </c>
      <c r="X15" s="654">
        <f t="shared" ref="X15:X20" si="8">W15/$W$12</f>
        <v>0.54192282494804933</v>
      </c>
      <c r="Y15" s="652" t="s">
        <v>1334</v>
      </c>
      <c r="Z15" s="654">
        <f>(2*($AE$10*COS(Z4)-$AE$9*SIN(Z4)))/1000</f>
        <v>9.5436923930467996E-17</v>
      </c>
      <c r="AA15" s="654">
        <f>(2*($AE$10*COS(AA4)-$AE$9*SIN(AA4)))/1000</f>
        <v>-2.189496568876377E-16</v>
      </c>
      <c r="AB15" s="654">
        <f>(2*($AE$10*COS(AB4)-$AE$9*SIN(AB4)))/1000</f>
        <v>-1.0081450330554604</v>
      </c>
      <c r="AC15" s="654">
        <f>(2*($AE$10*COS(AC4)-$AE$9*SIN(AC4)))/1000</f>
        <v>1.0081450330554604</v>
      </c>
      <c r="AD15" s="676"/>
      <c r="AE15" s="676"/>
      <c r="AF15" s="652" t="s">
        <v>1335</v>
      </c>
      <c r="AG15" s="654">
        <f>$P$37*AG7+$P$38*AG8</f>
        <v>-0.13182200718610865</v>
      </c>
      <c r="AH15" s="654">
        <f>$P$37*AH7+$P$38*AH8</f>
        <v>0.42712170152099749</v>
      </c>
      <c r="AI15" s="654">
        <f>$P$37*AI7+$P$38*AI8</f>
        <v>0.14764984716744431</v>
      </c>
      <c r="AJ15" s="654">
        <f>$P$37*AJ7+$P$38*AJ8</f>
        <v>0.14764984716744439</v>
      </c>
      <c r="AK15" s="654"/>
    </row>
    <row r="16" spans="1:37">
      <c r="A16" s="653" t="s">
        <v>216</v>
      </c>
      <c r="B16" s="738">
        <v>0</v>
      </c>
      <c r="C16" s="664">
        <f>B16/$H$6*1000</f>
        <v>0</v>
      </c>
      <c r="D16" s="664">
        <f>C16*$G$8</f>
        <v>0</v>
      </c>
      <c r="E16" s="654">
        <f>AB49</f>
        <v>0</v>
      </c>
      <c r="F16" s="654">
        <f>E16*$G$8</f>
        <v>0</v>
      </c>
      <c r="G16" s="712">
        <f>X57</f>
        <v>0.12281619385983024</v>
      </c>
      <c r="H16" s="651">
        <f t="shared" si="6"/>
        <v>0</v>
      </c>
      <c r="I16" s="651">
        <f t="shared" si="6"/>
        <v>0</v>
      </c>
      <c r="J16" s="652" t="s">
        <v>1548</v>
      </c>
      <c r="K16" s="654">
        <f>1/((1+K15)/K6-K15/K13)</f>
        <v>3.6646878457785997E-2</v>
      </c>
      <c r="L16" s="654">
        <f>K16*P6^$F$29</f>
        <v>3.6646878457785997E-2</v>
      </c>
      <c r="M16" s="660">
        <f t="shared" si="5"/>
        <v>1</v>
      </c>
      <c r="N16" s="650" t="s">
        <v>1148</v>
      </c>
      <c r="O16" s="654"/>
      <c r="P16" s="654"/>
      <c r="Q16" s="654"/>
      <c r="R16" s="652">
        <v>22</v>
      </c>
      <c r="S16" s="654">
        <f>S15-2*$L$28*COS(S6)</f>
        <v>5.2316562765241326E-2</v>
      </c>
      <c r="T16" s="654">
        <f>T15-2*$L$28*COS(T6)</f>
        <v>0.88535721602716078</v>
      </c>
      <c r="U16" s="654">
        <f>U15-2*$L$28*COS(U6)</f>
        <v>0.27378909474053914</v>
      </c>
      <c r="V16" s="654">
        <f>V15-2*$L$28*COS(V6)</f>
        <v>0.27378909474053914</v>
      </c>
      <c r="W16" s="655">
        <f t="shared" si="7"/>
        <v>6.6754852342903992E-4</v>
      </c>
      <c r="X16" s="654">
        <f t="shared" si="8"/>
        <v>0.26701940937161595</v>
      </c>
      <c r="Y16" s="652"/>
      <c r="Z16" s="676"/>
      <c r="AA16" s="676"/>
      <c r="AB16" s="676"/>
      <c r="AC16" s="676"/>
      <c r="AD16" s="676"/>
      <c r="AE16" s="676"/>
      <c r="AF16" s="652" t="s">
        <v>1344</v>
      </c>
      <c r="AG16" s="654">
        <f>AG15/2/AG14</f>
        <v>-0.61057064897927715</v>
      </c>
      <c r="AH16" s="654">
        <f>AH15/2/AH14</f>
        <v>1.6474075023042127</v>
      </c>
      <c r="AI16" s="654">
        <f>AI15/2/AI14</f>
        <v>0.55732430192329441</v>
      </c>
      <c r="AJ16" s="654">
        <f>AJ15/2/AJ14</f>
        <v>0.55732430192329474</v>
      </c>
      <c r="AK16" s="654"/>
    </row>
    <row r="17" spans="1:37">
      <c r="A17" s="685" t="s">
        <v>1544</v>
      </c>
      <c r="B17" s="1003" t="s">
        <v>1545</v>
      </c>
      <c r="C17" s="1004">
        <v>52</v>
      </c>
      <c r="D17" s="1005" t="s">
        <v>1546</v>
      </c>
      <c r="E17" s="1224">
        <f>G10/G14</f>
        <v>1.0131327045748733</v>
      </c>
      <c r="F17" s="1224">
        <f>G11/G15</f>
        <v>1.218469831813674</v>
      </c>
      <c r="G17" s="1225">
        <f>G12/G16</f>
        <v>0.77649183905836672</v>
      </c>
      <c r="H17" s="650">
        <f>X15+X16+2*X18</f>
        <v>0.99967377879240216</v>
      </c>
      <c r="J17" s="652" t="s">
        <v>295</v>
      </c>
      <c r="K17" s="654">
        <f>$E$29</f>
        <v>0.32</v>
      </c>
      <c r="L17" s="654">
        <f>K17*P6^$G$28</f>
        <v>0.32</v>
      </c>
      <c r="M17" s="660">
        <f t="shared" si="5"/>
        <v>1</v>
      </c>
      <c r="N17" s="652" t="s">
        <v>296</v>
      </c>
      <c r="O17" s="659">
        <f>$A$27</f>
        <v>2530</v>
      </c>
      <c r="P17" s="659">
        <f>P23*L11</f>
        <v>2530</v>
      </c>
      <c r="Q17" s="654">
        <f t="shared" ref="Q17:Q24" si="9">P17/O17</f>
        <v>1</v>
      </c>
      <c r="R17" s="652" t="s">
        <v>1345</v>
      </c>
      <c r="S17" s="654">
        <f>$L$30-$L$29*COS(S7)</f>
        <v>1.6741300084877217E-2</v>
      </c>
      <c r="T17" s="654">
        <f>$L$30-$L$29*COS(T7)</f>
        <v>1.6741300084877217E-2</v>
      </c>
      <c r="U17" s="654">
        <f>$L$30-$L$29*COS(U7)</f>
        <v>0.21178909474053914</v>
      </c>
      <c r="V17" s="654">
        <f>$L$30-$L$29*COS(V7)</f>
        <v>0.21178909474053914</v>
      </c>
      <c r="W17" s="655">
        <f t="shared" si="7"/>
        <v>2.0276768080311415E-4</v>
      </c>
      <c r="X17" s="654">
        <f t="shared" si="8"/>
        <v>8.1107072321245657E-2</v>
      </c>
      <c r="Y17" s="652"/>
      <c r="Z17" s="676"/>
      <c r="AA17" s="676"/>
      <c r="AB17" s="676"/>
      <c r="AC17" s="676"/>
      <c r="AD17" s="676"/>
      <c r="AE17" s="676"/>
      <c r="AF17" s="652"/>
      <c r="AG17" s="676"/>
      <c r="AH17" s="676"/>
      <c r="AI17" s="676"/>
      <c r="AJ17" s="676"/>
      <c r="AK17" s="676"/>
    </row>
    <row r="18" spans="1:37">
      <c r="B18" s="653" t="s">
        <v>561</v>
      </c>
      <c r="C18" s="653">
        <v>23</v>
      </c>
      <c r="D18" s="670" t="s">
        <v>563</v>
      </c>
      <c r="E18" s="653" t="s">
        <v>1339</v>
      </c>
      <c r="F18" s="653" t="s">
        <v>564</v>
      </c>
      <c r="G18" s="653" t="s">
        <v>565</v>
      </c>
      <c r="H18" s="653" t="s">
        <v>221</v>
      </c>
      <c r="I18" s="653" t="s">
        <v>175</v>
      </c>
      <c r="J18" s="652" t="s">
        <v>301</v>
      </c>
      <c r="K18" s="654">
        <f>K17*(1-K11)/K11</f>
        <v>0.26181818181818178</v>
      </c>
      <c r="L18" s="654">
        <f>L17*(1-L11)/L11</f>
        <v>0.26181818181818178</v>
      </c>
      <c r="M18" s="660">
        <f t="shared" si="5"/>
        <v>1</v>
      </c>
      <c r="N18" s="652" t="s">
        <v>302</v>
      </c>
      <c r="O18" s="659">
        <f>$B$27</f>
        <v>1669</v>
      </c>
      <c r="P18" s="659">
        <f>O18*Q17*M8^E30</f>
        <v>1669</v>
      </c>
      <c r="Q18" s="654">
        <f t="shared" si="9"/>
        <v>1</v>
      </c>
      <c r="R18" s="652">
        <v>66</v>
      </c>
      <c r="S18" s="654">
        <f>S17-$L$30+$L$31</f>
        <v>3.1000000000000028E-2</v>
      </c>
      <c r="T18" s="654">
        <f>T17-$L$30+$L$31</f>
        <v>3.1000000000000028E-2</v>
      </c>
      <c r="U18" s="654">
        <f>U17-$L$30+$L$31</f>
        <v>0.22604779465566194</v>
      </c>
      <c r="V18" s="654">
        <f>V17-$L$30+$L$31</f>
        <v>0.22604779465566194</v>
      </c>
      <c r="W18" s="655">
        <f t="shared" si="7"/>
        <v>2.3841443059092118E-4</v>
      </c>
      <c r="X18" s="654">
        <f t="shared" si="8"/>
        <v>9.5365772236368468E-2</v>
      </c>
      <c r="Y18" s="652"/>
      <c r="Z18" s="676"/>
      <c r="AA18" s="676"/>
      <c r="AB18" s="676"/>
      <c r="AC18" s="676"/>
      <c r="AD18" s="676"/>
      <c r="AE18" s="676"/>
      <c r="AF18" s="652"/>
      <c r="AG18" s="676"/>
      <c r="AH18" s="651"/>
      <c r="AI18" s="676"/>
      <c r="AJ18" s="676"/>
      <c r="AK18" s="676"/>
    </row>
    <row r="19" spans="1:37">
      <c r="A19" s="653" t="s">
        <v>31</v>
      </c>
      <c r="B19" s="666">
        <f>O2</f>
        <v>22</v>
      </c>
      <c r="C19" s="671">
        <f>O3</f>
        <v>5.0000000000000001E-3</v>
      </c>
      <c r="D19" s="660">
        <f>K11</f>
        <v>0.55000000000000004</v>
      </c>
      <c r="E19" s="660">
        <f>K13</f>
        <v>3.4</v>
      </c>
      <c r="F19" s="682">
        <f>K12</f>
        <v>1.5999999999999999</v>
      </c>
      <c r="G19" s="666">
        <f>O24</f>
        <v>66</v>
      </c>
      <c r="H19" s="682">
        <f>O23</f>
        <v>4600</v>
      </c>
      <c r="I19" s="654">
        <f>A30</f>
        <v>0.15</v>
      </c>
      <c r="J19" s="652" t="s">
        <v>304</v>
      </c>
      <c r="K19" s="654">
        <f>1/((1+K18)/K8-K18*2.7/K13)</f>
        <v>2.4693859190562818E-2</v>
      </c>
      <c r="L19" s="654">
        <f>K19*P6^$F$29</f>
        <v>2.4693859190562818E-2</v>
      </c>
      <c r="M19" s="660">
        <f t="shared" si="5"/>
        <v>1</v>
      </c>
      <c r="N19" s="652" t="s">
        <v>305</v>
      </c>
      <c r="O19" s="659">
        <f>$C$27</f>
        <v>66</v>
      </c>
      <c r="P19" s="659">
        <f>O19*Q24</f>
        <v>66</v>
      </c>
      <c r="Q19" s="654">
        <f t="shared" si="9"/>
        <v>1</v>
      </c>
      <c r="R19" s="652" t="s">
        <v>1347</v>
      </c>
      <c r="S19" s="654">
        <f>$L$28*SIN(S6)/2+$L$29*SIN(S7)</f>
        <v>0</v>
      </c>
      <c r="T19" s="654">
        <f>$L$28*SIN(T6)/2+$L$29*SIN(T7)</f>
        <v>1.6187113049259042E-18</v>
      </c>
      <c r="U19" s="654">
        <f>$L$28*SIN(U6)/2+$L$29*SIN(U7)</f>
        <v>0.20826016331547986</v>
      </c>
      <c r="V19" s="654">
        <f>$L$28*SIN(V6)/2+$L$29*SIN(V7)</f>
        <v>-0.20826016331547986</v>
      </c>
      <c r="W19" s="655">
        <f t="shared" si="7"/>
        <v>-3.4694469519536143E-20</v>
      </c>
      <c r="X19" s="654">
        <f t="shared" si="8"/>
        <v>-1.3877787807814457E-17</v>
      </c>
      <c r="Z19" s="676"/>
      <c r="AA19" s="676"/>
      <c r="AB19" s="676"/>
      <c r="AC19" s="676"/>
      <c r="AD19" s="676"/>
      <c r="AE19" s="676"/>
      <c r="AF19" s="652"/>
      <c r="AG19" s="676"/>
      <c r="AH19" s="676"/>
      <c r="AI19" s="676"/>
      <c r="AJ19" s="676"/>
      <c r="AK19" s="669" t="s">
        <v>1348</v>
      </c>
    </row>
    <row r="20" spans="1:37">
      <c r="A20" s="653" t="s">
        <v>568</v>
      </c>
      <c r="B20" s="692">
        <f t="shared" ref="B20:H20" si="10">B19</f>
        <v>22</v>
      </c>
      <c r="C20" s="794">
        <f t="shared" si="10"/>
        <v>5.0000000000000001E-3</v>
      </c>
      <c r="D20" s="693">
        <f t="shared" si="10"/>
        <v>0.55000000000000004</v>
      </c>
      <c r="E20" s="693">
        <f t="shared" si="10"/>
        <v>3.4</v>
      </c>
      <c r="F20" s="694">
        <f t="shared" si="10"/>
        <v>1.5999999999999999</v>
      </c>
      <c r="G20" s="692">
        <f t="shared" si="10"/>
        <v>66</v>
      </c>
      <c r="H20" s="694">
        <f t="shared" si="10"/>
        <v>4600</v>
      </c>
      <c r="I20" s="1007">
        <v>1</v>
      </c>
      <c r="L20" s="654"/>
      <c r="N20" s="652" t="s">
        <v>1542</v>
      </c>
      <c r="O20" s="659">
        <f>$D$27</f>
        <v>220</v>
      </c>
      <c r="P20" s="659">
        <f>O20*Q24</f>
        <v>220</v>
      </c>
      <c r="Q20" s="654">
        <f t="shared" si="9"/>
        <v>1</v>
      </c>
      <c r="R20" s="652" t="s">
        <v>1349</v>
      </c>
      <c r="S20" s="654">
        <f>$L$28*SIN(S6)-S19</f>
        <v>0</v>
      </c>
      <c r="T20" s="654">
        <f>$L$28*SIN(T6)-T19</f>
        <v>4.9411212156069503E-17</v>
      </c>
      <c r="U20" s="654">
        <f>$L$28*SIN(U6)-U19</f>
        <v>0.20826016331547986</v>
      </c>
      <c r="V20" s="654">
        <f>$L$28*SIN(V6)-V19</f>
        <v>-0.20826016331547986</v>
      </c>
      <c r="W20" s="655">
        <f t="shared" si="7"/>
        <v>-1.7347234759768071E-20</v>
      </c>
      <c r="X20" s="654">
        <f t="shared" si="8"/>
        <v>-6.9388939039072284E-18</v>
      </c>
      <c r="Y20" s="650" t="s">
        <v>1158</v>
      </c>
      <c r="Z20" s="669" t="s">
        <v>569</v>
      </c>
      <c r="AA20" s="676"/>
      <c r="AB20" s="669" t="s">
        <v>570</v>
      </c>
      <c r="AC20" s="676"/>
      <c r="AE20" s="676"/>
      <c r="AF20" s="652" t="s">
        <v>1351</v>
      </c>
      <c r="AG20" s="651">
        <f>(AG16^2+1/AG14)^0.5-AG16</f>
        <v>3.7148190644206092</v>
      </c>
      <c r="AH20" s="651">
        <f>(AH16^2+1/AH14)^0.5-AH16</f>
        <v>1.5818257290106228</v>
      </c>
      <c r="AI20" s="651">
        <f>(AI16^2+1/AI14)^0.5-AI16</f>
        <v>2.2462235686844698</v>
      </c>
      <c r="AJ20" s="651">
        <f>(AJ16^2+1/AJ14)^0.5-AJ16</f>
        <v>2.2462235686844698</v>
      </c>
      <c r="AK20" s="651">
        <f>MIN(AG21:AJ21)</f>
        <v>1.5818257290106228</v>
      </c>
    </row>
    <row r="21" spans="1:37">
      <c r="A21" s="653" t="s">
        <v>32</v>
      </c>
      <c r="B21" s="666">
        <f>O41</f>
        <v>22</v>
      </c>
      <c r="C21" s="671">
        <f>O42</f>
        <v>5.0000000000000001E-3</v>
      </c>
      <c r="D21" s="660">
        <f>K50</f>
        <v>0.55000000000000004</v>
      </c>
      <c r="E21" s="660">
        <f>K52</f>
        <v>3.4</v>
      </c>
      <c r="F21" s="682">
        <f>K51</f>
        <v>1.5999999999999999</v>
      </c>
      <c r="G21" s="666">
        <f>O63</f>
        <v>66</v>
      </c>
      <c r="H21" s="659">
        <f>O62</f>
        <v>4600</v>
      </c>
      <c r="I21" s="654">
        <f>A35</f>
        <v>0.15</v>
      </c>
      <c r="J21" s="650" t="s">
        <v>1507</v>
      </c>
      <c r="N21" s="652" t="s">
        <v>1543</v>
      </c>
      <c r="O21" s="682">
        <f>$E$27</f>
        <v>93</v>
      </c>
      <c r="P21" s="682">
        <f>O21*Q24</f>
        <v>93</v>
      </c>
      <c r="Q21" s="654">
        <f t="shared" si="9"/>
        <v>1</v>
      </c>
      <c r="R21" s="653"/>
      <c r="V21" s="656" t="s">
        <v>1353</v>
      </c>
      <c r="W21" s="655">
        <f>W15*W16*W18+2*W17*W19*W20-W16*W19^2-W18*W17^2-W15*W20^2</f>
        <v>2.0581953534719843E-10</v>
      </c>
      <c r="Y21" s="652">
        <v>1</v>
      </c>
      <c r="Z21" s="659">
        <f>Z8/$AE$4</f>
        <v>400</v>
      </c>
      <c r="AA21" s="659"/>
      <c r="AB21" s="659">
        <f>AB8+AC8*$AE$4/2</f>
        <v>773.2657681724337</v>
      </c>
      <c r="AC21" s="676"/>
      <c r="AE21" s="676"/>
      <c r="AF21" s="652"/>
      <c r="AG21" s="651">
        <f>IF(AG3=0,1000000000,AG20)</f>
        <v>3.7148190644206092</v>
      </c>
      <c r="AH21" s="651">
        <f>IF(AH3=0,1000000000,AH20)</f>
        <v>1.5818257290106228</v>
      </c>
      <c r="AI21" s="651">
        <f>IF(AI3=0,1000000000,AI20)</f>
        <v>2.2462235686844698</v>
      </c>
      <c r="AJ21" s="651">
        <f>IF(AJ3=0,1000000000,AJ20)</f>
        <v>2.2462235686844698</v>
      </c>
    </row>
    <row r="22" spans="1:37">
      <c r="A22" s="653" t="s">
        <v>572</v>
      </c>
      <c r="B22" s="692">
        <f t="shared" ref="B22:H22" si="11">B21</f>
        <v>22</v>
      </c>
      <c r="C22" s="794">
        <f t="shared" si="11"/>
        <v>5.0000000000000001E-3</v>
      </c>
      <c r="D22" s="693">
        <f t="shared" si="11"/>
        <v>0.55000000000000004</v>
      </c>
      <c r="E22" s="693">
        <f t="shared" si="11"/>
        <v>3.4</v>
      </c>
      <c r="F22" s="694">
        <f t="shared" si="11"/>
        <v>1.5999999999999999</v>
      </c>
      <c r="G22" s="692">
        <f t="shared" si="11"/>
        <v>66</v>
      </c>
      <c r="H22" s="694">
        <f t="shared" si="11"/>
        <v>4600</v>
      </c>
      <c r="I22" s="1007">
        <v>1</v>
      </c>
      <c r="J22" s="652" t="s">
        <v>1354</v>
      </c>
      <c r="K22" s="664">
        <f>K5/(1-K7^2*K6/K5)</f>
        <v>0.88535721602716078</v>
      </c>
      <c r="L22" s="664">
        <f>L5/(1-L7^2*L6/L5)</f>
        <v>0.88535721602716078</v>
      </c>
      <c r="M22" s="660">
        <f>L22/K22</f>
        <v>1</v>
      </c>
      <c r="N22" s="652" t="s">
        <v>1168</v>
      </c>
      <c r="O22" s="660">
        <f>$A$28</f>
        <v>-0.5</v>
      </c>
      <c r="P22" s="660">
        <f>O22*I20</f>
        <v>-0.5</v>
      </c>
      <c r="Q22" s="654">
        <f t="shared" si="9"/>
        <v>1</v>
      </c>
      <c r="R22" s="652" t="s">
        <v>1355</v>
      </c>
      <c r="S22" s="656" t="s">
        <v>1169</v>
      </c>
      <c r="T22" s="656"/>
      <c r="U22" s="656" t="s">
        <v>1357</v>
      </c>
      <c r="V22" s="656"/>
      <c r="W22" s="656" t="s">
        <v>1358</v>
      </c>
      <c r="X22" s="656"/>
      <c r="Y22" s="652">
        <v>2</v>
      </c>
      <c r="Z22" s="659">
        <f>Z9/$AE$4</f>
        <v>0</v>
      </c>
      <c r="AA22" s="659"/>
      <c r="AB22" s="659">
        <f>AB9+AC9*$AE$4/2</f>
        <v>-234.87926488302682</v>
      </c>
      <c r="AC22" s="676"/>
      <c r="AE22" s="676"/>
      <c r="AF22" s="650" t="s">
        <v>1360</v>
      </c>
      <c r="AG22" s="651">
        <f>IF(AG3=0,0,AG20)</f>
        <v>3.7148190644206092</v>
      </c>
      <c r="AH22" s="651">
        <f>IF(AH3=0,0,AH20)</f>
        <v>1.5818257290106228</v>
      </c>
      <c r="AI22" s="651">
        <f>IF(AI3=0,0,AI20)</f>
        <v>2.2462235686844698</v>
      </c>
      <c r="AJ22" s="651">
        <f>IF(AJ3=0,0,AJ20)</f>
        <v>2.2462235686844698</v>
      </c>
    </row>
    <row r="23" spans="1:37">
      <c r="B23" s="650" t="s">
        <v>1715</v>
      </c>
      <c r="C23" s="650" t="s">
        <v>1716</v>
      </c>
      <c r="D23" s="650" t="s">
        <v>1717</v>
      </c>
      <c r="E23" s="650" t="s">
        <v>1718</v>
      </c>
      <c r="F23" s="650" t="s">
        <v>1719</v>
      </c>
      <c r="G23" s="650" t="s">
        <v>1720</v>
      </c>
      <c r="H23" s="650" t="s">
        <v>1721</v>
      </c>
      <c r="J23" s="652" t="s">
        <v>1361</v>
      </c>
      <c r="K23" s="654">
        <f>K22*K6/K5</f>
        <v>5.2316562765241312E-2</v>
      </c>
      <c r="L23" s="654">
        <f>L22*L6/L5</f>
        <v>5.2316562765241312E-2</v>
      </c>
      <c r="M23" s="660">
        <f>L23/K23</f>
        <v>1</v>
      </c>
      <c r="N23" s="652" t="s">
        <v>1175</v>
      </c>
      <c r="O23" s="659">
        <f>O17/K11</f>
        <v>4600</v>
      </c>
      <c r="P23" s="659">
        <f>$H$20*P6^$G$29</f>
        <v>4600</v>
      </c>
      <c r="Q23" s="654">
        <f t="shared" si="9"/>
        <v>1</v>
      </c>
      <c r="R23" s="652">
        <v>11</v>
      </c>
      <c r="S23" s="655">
        <f>(W16*W18-W20^2)/W21</f>
        <v>773.2657681724337</v>
      </c>
      <c r="U23" s="655">
        <f t="shared" ref="U23:U28" si="12">S23*$W$12</f>
        <v>1.9331644204310843</v>
      </c>
      <c r="V23" s="655"/>
      <c r="W23" s="654">
        <f>1/U23</f>
        <v>0.51728657398784827</v>
      </c>
      <c r="Y23" s="652">
        <v>6</v>
      </c>
      <c r="Z23" s="659">
        <f>Z10/$AE$4</f>
        <v>0</v>
      </c>
      <c r="AA23" s="659"/>
      <c r="AB23" s="659">
        <f>AB10+AC10*$AE$4/2</f>
        <v>9.5436923930468001E-14</v>
      </c>
      <c r="AC23" s="676"/>
      <c r="AE23" s="676"/>
      <c r="AF23" s="652" t="s">
        <v>1364</v>
      </c>
      <c r="AG23" s="703">
        <f>$AK$7+$AK$8*COS(AG4)+$AK$9*SIN(AG4)-$V$37</f>
        <v>2.3823701466405489E-5</v>
      </c>
      <c r="AH23" s="676">
        <f>$AK$7+$AK$8*COS(AH4)+$AK$9*SIN(AH4)-$V$37</f>
        <v>1.0653781466364294E-4</v>
      </c>
      <c r="AI23" s="676">
        <f>$AK$7+$AK$8*COS(AI4)+$AK$9*SIN(AI4)-$V$37</f>
        <v>6.5180758065024229E-5</v>
      </c>
      <c r="AJ23" s="676">
        <f>$AK$7+$AK$8*COS(AJ4)+$AK$9*SIN(AJ4)-$V$37</f>
        <v>6.5180758065024202E-5</v>
      </c>
      <c r="AK23" s="676"/>
    </row>
    <row r="24" spans="1:37">
      <c r="B24" s="654">
        <f>L27/L66</f>
        <v>1</v>
      </c>
      <c r="C24" s="654">
        <f>L30/L69</f>
        <v>1</v>
      </c>
      <c r="D24" s="654">
        <f>L31/L70</f>
        <v>1</v>
      </c>
      <c r="E24" s="654">
        <f>(X15+X16+2*X18)/(X54+X55+2*X57)</f>
        <v>1</v>
      </c>
      <c r="F24" s="654">
        <f>X15/X54</f>
        <v>1.0131327045748733</v>
      </c>
      <c r="G24" s="654">
        <f>X16/X55</f>
        <v>1.218469831813674</v>
      </c>
      <c r="H24" s="650">
        <f>X18/X57</f>
        <v>0.77649183905836672</v>
      </c>
      <c r="J24" s="652" t="s">
        <v>1365</v>
      </c>
      <c r="K24" s="654">
        <f>K23*K7</f>
        <v>1.674130008487722E-2</v>
      </c>
      <c r="L24" s="654">
        <f>L23*L7</f>
        <v>1.674130008487722E-2</v>
      </c>
      <c r="M24" s="660">
        <f>L24/K24</f>
        <v>1</v>
      </c>
      <c r="N24" s="652" t="s">
        <v>1176</v>
      </c>
      <c r="O24" s="659">
        <f>O19</f>
        <v>66</v>
      </c>
      <c r="P24" s="659">
        <f>$G$20*P6^$H$28</f>
        <v>66</v>
      </c>
      <c r="Q24" s="654">
        <f t="shared" si="9"/>
        <v>1</v>
      </c>
      <c r="R24" s="652">
        <v>22</v>
      </c>
      <c r="S24" s="655">
        <f>(W15*W18-W19^2)/W21</f>
        <v>1569.36295571094</v>
      </c>
      <c r="U24" s="655">
        <f t="shared" si="12"/>
        <v>3.92340738927735</v>
      </c>
      <c r="V24" s="655"/>
      <c r="W24" s="654">
        <f>1/U24</f>
        <v>0.25488049054834183</v>
      </c>
      <c r="Y24" s="652" t="s">
        <v>1177</v>
      </c>
      <c r="Z24" s="659">
        <f>(Z21^2-Z21*Z22+Z22^2+3*Z23^2)^0.5</f>
        <v>400</v>
      </c>
      <c r="AA24" s="659"/>
      <c r="AB24" s="659">
        <f>(AB21^2+AB22^2+AB23^2/2)^0.5</f>
        <v>808.15111043621971</v>
      </c>
      <c r="AC24" s="676"/>
      <c r="AE24" s="676"/>
      <c r="AF24" s="652" t="s">
        <v>1367</v>
      </c>
      <c r="AG24" s="676">
        <f>2*$AK$7-AG23-$V$38-$V$37</f>
        <v>-6.4546218533635723E-4</v>
      </c>
      <c r="AH24" s="676">
        <f>2*$AK$7-AH23-$V$38-$V$37</f>
        <v>-7.2817629853359463E-4</v>
      </c>
      <c r="AI24" s="676">
        <f>2*$AK$7-AI23-$V$38-$V$37</f>
        <v>-6.8681924193497593E-4</v>
      </c>
      <c r="AJ24" s="676">
        <f>2*$AK$7-AJ23-$V$38-$V$37</f>
        <v>-6.8681924193497593E-4</v>
      </c>
      <c r="AK24" s="676"/>
    </row>
    <row r="25" spans="1:37">
      <c r="A25" s="650" t="s">
        <v>573</v>
      </c>
      <c r="J25" s="652" t="s">
        <v>1370</v>
      </c>
      <c r="K25" s="654">
        <f>K8</f>
        <v>3.1E-2</v>
      </c>
      <c r="L25" s="654">
        <f>L8</f>
        <v>3.1E-2</v>
      </c>
      <c r="M25" s="660">
        <f>L25/K25</f>
        <v>1</v>
      </c>
      <c r="R25" s="652" t="s">
        <v>1345</v>
      </c>
      <c r="S25" s="655">
        <f>(W19*W20-W17*W18)/W21</f>
        <v>-234.87926488302682</v>
      </c>
      <c r="U25" s="655">
        <f t="shared" si="12"/>
        <v>-0.58719816220756704</v>
      </c>
      <c r="V25" s="655"/>
      <c r="W25" s="654">
        <f>-U25/U23</f>
        <v>0.30374972558031321</v>
      </c>
      <c r="Y25" s="652"/>
      <c r="Z25" s="652" t="s">
        <v>1178</v>
      </c>
      <c r="AA25" s="669">
        <f>Z24</f>
        <v>400</v>
      </c>
      <c r="AB25" s="669" t="s">
        <v>1179</v>
      </c>
      <c r="AC25" s="676">
        <f>AB24</f>
        <v>808.15111043621971</v>
      </c>
      <c r="AE25" s="676"/>
      <c r="AF25" s="652" t="s">
        <v>1372</v>
      </c>
      <c r="AG25" s="703">
        <f>2*($AK$9*COS(AG4)-$AK$8*SIN(AG4))</f>
        <v>1.4917615245153538E-20</v>
      </c>
      <c r="AH25" s="676">
        <f>2*($AK$9*COS(AH4)-$AK$8*SIN(AH4))</f>
        <v>-4.7839084468803204E-21</v>
      </c>
      <c r="AI25" s="676">
        <f>2*($AK$9*COS(AI4)-$AK$8*SIN(AI4))</f>
        <v>8.2714113197237467E-5</v>
      </c>
      <c r="AJ25" s="676">
        <f>2*($AK$9*COS(AJ4)-$AK$8*SIN(AJ4))</f>
        <v>-8.2714113197237467E-5</v>
      </c>
      <c r="AK25" s="676"/>
    </row>
    <row r="26" spans="1:37">
      <c r="A26" s="639" t="s">
        <v>1768</v>
      </c>
      <c r="B26" s="640">
        <v>0.88</v>
      </c>
      <c r="C26" s="640">
        <v>5.1999999999999998E-2</v>
      </c>
      <c r="D26" s="640">
        <v>0.32</v>
      </c>
      <c r="E26" s="640">
        <v>3.1E-2</v>
      </c>
      <c r="F26" s="606">
        <v>3.4</v>
      </c>
      <c r="G26" s="606">
        <v>122</v>
      </c>
      <c r="H26" s="606">
        <v>160</v>
      </c>
      <c r="I26" s="35"/>
      <c r="J26" s="650" t="s">
        <v>1180</v>
      </c>
      <c r="K26" s="654"/>
      <c r="L26" s="654"/>
      <c r="N26" s="650" t="s">
        <v>1375</v>
      </c>
      <c r="R26" s="652">
        <v>66</v>
      </c>
      <c r="S26" s="655">
        <f>(W15*W16-W17^2)/W21</f>
        <v>4194.3769826409161</v>
      </c>
      <c r="U26" s="655">
        <f t="shared" si="12"/>
        <v>10.48594245660229</v>
      </c>
      <c r="V26" s="655"/>
      <c r="W26" s="654">
        <f>1/U26</f>
        <v>9.5365772236368468E-2</v>
      </c>
      <c r="AE26" s="676"/>
      <c r="AF26" s="676"/>
      <c r="AG26" s="676"/>
      <c r="AH26" s="676"/>
      <c r="AI26" s="676"/>
      <c r="AJ26" s="676"/>
      <c r="AK26" s="676"/>
    </row>
    <row r="27" spans="1:37">
      <c r="A27" s="638">
        <v>2530</v>
      </c>
      <c r="B27" s="638">
        <v>1669</v>
      </c>
      <c r="C27" s="638">
        <v>66</v>
      </c>
      <c r="D27" s="637">
        <v>220</v>
      </c>
      <c r="E27" s="637">
        <v>93</v>
      </c>
      <c r="F27" s="606">
        <v>1.2</v>
      </c>
      <c r="G27" s="606">
        <v>22</v>
      </c>
      <c r="H27" s="634">
        <v>5.0000000000000001E-3</v>
      </c>
      <c r="I27" s="35">
        <v>15.7841726618705</v>
      </c>
      <c r="J27" s="652" t="s">
        <v>1380</v>
      </c>
      <c r="K27" s="654">
        <f>(3*K22+3*K23+2*K24+4*K25)/8</f>
        <v>0.37131299206837015</v>
      </c>
      <c r="L27" s="654">
        <f>(3*L22+3*L23+2*L24+4*L25)/8</f>
        <v>0.37131299206837015</v>
      </c>
      <c r="M27" s="660">
        <f>L27/K27</f>
        <v>1</v>
      </c>
      <c r="N27" s="652" t="s">
        <v>1381</v>
      </c>
      <c r="O27" s="654">
        <f>1/O17/O18*1000000</f>
        <v>0.23682259855964496</v>
      </c>
      <c r="P27" s="654">
        <f>1/P17/P18*1000000</f>
        <v>0.23682259855964496</v>
      </c>
      <c r="Q27" s="654">
        <f t="shared" ref="Q27:Q38" si="13">P27/O27</f>
        <v>1</v>
      </c>
      <c r="R27" s="652" t="s">
        <v>1347</v>
      </c>
      <c r="S27" s="655">
        <f>(W17*W20-W16*W19)/W21</f>
        <v>9.5436923930468001E-14</v>
      </c>
      <c r="U27" s="655">
        <f t="shared" si="12"/>
        <v>2.3859230982616999E-16</v>
      </c>
      <c r="V27" s="655"/>
      <c r="W27" s="654">
        <f>U27/U23</f>
        <v>1.2342059852982671E-16</v>
      </c>
      <c r="Z27" s="652" t="s">
        <v>1181</v>
      </c>
      <c r="AA27" s="652" t="s">
        <v>1182</v>
      </c>
      <c r="AB27" s="652" t="s">
        <v>1183</v>
      </c>
      <c r="AE27" s="676"/>
      <c r="AF27" s="669" t="s">
        <v>1383</v>
      </c>
      <c r="AG27" s="703">
        <f>$P$33*AG23^2+2*$P$35*AG23*AG24+$P$34*AG24^2+$P$36*AG25^2</f>
        <v>7.8100392855332213E-8</v>
      </c>
      <c r="AH27" s="676">
        <f>$P$33*AH23^2+2*$P$35*AH23*AH24+$P$34*AH24^2+$P$36*AH25^2</f>
        <v>1.0445288431220069E-7</v>
      </c>
      <c r="AI27" s="676">
        <f>$P$33*AI23^2+2*$P$35*AI23*AI24+$P$34*AI24^2+$P$36*AI25^2</f>
        <v>9.136866495961988E-8</v>
      </c>
      <c r="AJ27" s="676">
        <f>$P$33*AJ23^2+2*$P$35*AJ23*AJ24+$P$34*AJ24^2+$P$36*AJ25^2</f>
        <v>9.136866495961988E-8</v>
      </c>
      <c r="AK27" s="676"/>
    </row>
    <row r="28" spans="1:37">
      <c r="A28" s="606">
        <v>-0.5</v>
      </c>
      <c r="B28" s="606">
        <v>125</v>
      </c>
      <c r="C28" s="606">
        <v>0.55000000000000004</v>
      </c>
      <c r="D28" s="636">
        <v>1.6</v>
      </c>
      <c r="E28" s="636">
        <v>0.52</v>
      </c>
      <c r="F28" s="606">
        <v>0.5</v>
      </c>
      <c r="G28" s="606">
        <v>0.2</v>
      </c>
      <c r="H28" s="606">
        <v>0.9</v>
      </c>
      <c r="I28" s="35">
        <v>11.8920863309353</v>
      </c>
      <c r="J28" s="652" t="s">
        <v>1384</v>
      </c>
      <c r="K28" s="654">
        <f>(K22-K23)/2</f>
        <v>0.41652032663095973</v>
      </c>
      <c r="L28" s="654">
        <f>(L22-L23)/2</f>
        <v>0.41652032663095973</v>
      </c>
      <c r="M28" s="660">
        <f>L28/K28</f>
        <v>1</v>
      </c>
      <c r="N28" s="652" t="s">
        <v>1385</v>
      </c>
      <c r="O28" s="654">
        <f>1/O19/O20*1000000</f>
        <v>68.870523415977971</v>
      </c>
      <c r="P28" s="654">
        <f>1/P19/P20*1000000</f>
        <v>68.870523415977971</v>
      </c>
      <c r="Q28" s="654">
        <f t="shared" si="13"/>
        <v>1</v>
      </c>
      <c r="R28" s="652" t="s">
        <v>1349</v>
      </c>
      <c r="S28" s="655">
        <f>(W17*W19-W15*W20)/W21</f>
        <v>8.0008144106325447E-14</v>
      </c>
      <c r="U28" s="655">
        <f t="shared" si="12"/>
        <v>2.0002036026581361E-16</v>
      </c>
      <c r="V28" s="655"/>
      <c r="W28" s="654">
        <f>U28/U24</f>
        <v>5.0981287544206632E-17</v>
      </c>
      <c r="Y28" s="652" t="s">
        <v>41</v>
      </c>
      <c r="Z28" s="659">
        <f>$L$33</f>
        <v>0.33614983963722372</v>
      </c>
      <c r="AA28" s="659">
        <v>69</v>
      </c>
      <c r="AB28" s="659">
        <v>210</v>
      </c>
      <c r="AE28" s="676"/>
      <c r="AF28" s="669" t="s">
        <v>1387</v>
      </c>
      <c r="AG28" s="703">
        <f>$P$37*AG23+$P$38*AG24</f>
        <v>-3.5601666896171937E-4</v>
      </c>
      <c r="AH28" s="676">
        <f>$P$37*AH23+$P$38*AH24</f>
        <v>-4.0187567900193437E-4</v>
      </c>
      <c r="AI28" s="676">
        <f>$P$37*AI23+$P$38*AI24</f>
        <v>-3.789461739818269E-4</v>
      </c>
      <c r="AJ28" s="676">
        <f>$P$37*AJ23+$P$38*AJ24</f>
        <v>-3.789461739818269E-4</v>
      </c>
      <c r="AK28" s="676"/>
    </row>
    <row r="29" spans="1:37">
      <c r="A29" s="606">
        <v>0.02</v>
      </c>
      <c r="B29" s="606">
        <v>22.5</v>
      </c>
      <c r="C29" s="606">
        <v>0</v>
      </c>
      <c r="D29" s="636">
        <v>0.6</v>
      </c>
      <c r="E29" s="636">
        <v>0.32</v>
      </c>
      <c r="F29" s="606">
        <v>0</v>
      </c>
      <c r="G29" s="606">
        <v>0</v>
      </c>
      <c r="H29" s="606">
        <v>2000</v>
      </c>
      <c r="I29" s="35">
        <f>C27/C26</f>
        <v>1269.2307692307693</v>
      </c>
      <c r="J29" s="652" t="s">
        <v>1388</v>
      </c>
      <c r="K29" s="654">
        <f>(K22+K23-2*K24-4*K25)/8</f>
        <v>9.7523897327830955E-2</v>
      </c>
      <c r="L29" s="654">
        <f>(L22+L23-2*L24-4*L25)/8</f>
        <v>9.7523897327830955E-2</v>
      </c>
      <c r="M29" s="660">
        <f>L29/K29</f>
        <v>1</v>
      </c>
      <c r="N29" s="652" t="s">
        <v>1389</v>
      </c>
      <c r="O29" s="654">
        <f>O22*(O27*O28)^0.5</f>
        <v>-2.0192880131085054</v>
      </c>
      <c r="P29" s="654">
        <f>P22*(P27*P28)^0.5</f>
        <v>-2.0192880131085054</v>
      </c>
      <c r="Q29" s="654">
        <f t="shared" si="13"/>
        <v>1</v>
      </c>
      <c r="U29" s="655"/>
      <c r="V29" s="655"/>
      <c r="W29" s="656"/>
      <c r="Y29" s="652" t="s">
        <v>296</v>
      </c>
      <c r="Z29" s="659">
        <f>325</f>
        <v>325</v>
      </c>
      <c r="AA29" s="659">
        <v>200</v>
      </c>
      <c r="AB29" s="659">
        <v>400</v>
      </c>
      <c r="AE29" s="676"/>
      <c r="AF29" s="669" t="s">
        <v>1390</v>
      </c>
      <c r="AG29" s="703">
        <f>AG27+AG28</f>
        <v>-3.5593856856886406E-4</v>
      </c>
      <c r="AH29" s="676">
        <f>AH27+AH28</f>
        <v>-4.0177122611762217E-4</v>
      </c>
      <c r="AI29" s="676">
        <f>AI27+AI28</f>
        <v>-3.7885480531686726E-4</v>
      </c>
      <c r="AJ29" s="676">
        <f>AJ27+AJ28</f>
        <v>-3.7885480531686726E-4</v>
      </c>
      <c r="AK29" s="676"/>
    </row>
    <row r="30" spans="1:37">
      <c r="A30" s="606">
        <v>0.15</v>
      </c>
      <c r="B30" s="606">
        <v>0.01</v>
      </c>
      <c r="C30" s="606">
        <v>1</v>
      </c>
      <c r="D30" s="636">
        <v>1</v>
      </c>
      <c r="E30" s="636">
        <v>0</v>
      </c>
      <c r="F30" s="606">
        <v>0.5</v>
      </c>
      <c r="G30" s="606"/>
      <c r="H30" s="606"/>
      <c r="I30" s="35"/>
      <c r="J30" s="652" t="s">
        <v>1391</v>
      </c>
      <c r="K30" s="654">
        <f>(K22+K23+6*K24-4*K25)/8</f>
        <v>0.11426519741270817</v>
      </c>
      <c r="L30" s="654">
        <f>(L22+L23+6*L24-4*L25)/8</f>
        <v>0.11426519741270817</v>
      </c>
      <c r="M30" s="660">
        <f>L30/K30</f>
        <v>1</v>
      </c>
      <c r="N30" s="652" t="s">
        <v>1392</v>
      </c>
      <c r="O30" s="654">
        <f>1/O21^2*1000000</f>
        <v>115.62030292519366</v>
      </c>
      <c r="P30" s="654">
        <f>1/P21^2*1000000</f>
        <v>115.62030292519366</v>
      </c>
      <c r="Q30" s="654">
        <f t="shared" si="13"/>
        <v>1</v>
      </c>
      <c r="R30" s="653" t="s">
        <v>1185</v>
      </c>
      <c r="U30" s="655"/>
      <c r="V30" s="655"/>
      <c r="W30" s="656" t="s">
        <v>1394</v>
      </c>
      <c r="Y30" s="652" t="s">
        <v>1187</v>
      </c>
      <c r="Z30" s="664">
        <f>$L$36</f>
        <v>1.5135000000000001</v>
      </c>
      <c r="AA30" s="664">
        <v>2.7</v>
      </c>
      <c r="AB30" s="664">
        <v>7.8</v>
      </c>
      <c r="AE30" s="676"/>
      <c r="AF30" s="669" t="s">
        <v>1395</v>
      </c>
      <c r="AG30" s="676">
        <f>-1+AG29</f>
        <v>-1.000355938568569</v>
      </c>
      <c r="AH30" s="676">
        <f>-1+AH29</f>
        <v>-1.0004017712261177</v>
      </c>
      <c r="AI30" s="676">
        <f>-1+AI29</f>
        <v>-1.000378854805317</v>
      </c>
      <c r="AJ30" s="676">
        <f>-1+AJ29</f>
        <v>-1.000378854805317</v>
      </c>
      <c r="AK30" s="676"/>
    </row>
    <row r="31" spans="1:37">
      <c r="A31" s="639" t="s">
        <v>1768</v>
      </c>
      <c r="B31" s="640">
        <v>0.88</v>
      </c>
      <c r="C31" s="640">
        <v>5.1999999999999998E-2</v>
      </c>
      <c r="D31" s="640">
        <v>0.32</v>
      </c>
      <c r="E31" s="640">
        <v>3.1E-2</v>
      </c>
      <c r="F31" s="606">
        <v>3.4</v>
      </c>
      <c r="G31" s="606">
        <v>122</v>
      </c>
      <c r="H31" s="606">
        <v>160</v>
      </c>
      <c r="I31" s="35"/>
      <c r="J31" s="652" t="s">
        <v>1396</v>
      </c>
      <c r="K31" s="654">
        <f>(K27-K30)/2</f>
        <v>0.12852389732783098</v>
      </c>
      <c r="L31" s="654">
        <f>(L27-L30)/2</f>
        <v>0.12852389732783098</v>
      </c>
      <c r="M31" s="660">
        <f>L31/K31</f>
        <v>1</v>
      </c>
      <c r="N31" s="652" t="s">
        <v>1397</v>
      </c>
      <c r="O31" s="654">
        <f>(1/O17-1/O18)*1000</f>
        <v>-0.20390425735985432</v>
      </c>
      <c r="P31" s="654">
        <f>(1/P17-1/P18)*1000</f>
        <v>-0.20390425735985432</v>
      </c>
      <c r="Q31" s="654">
        <f t="shared" si="13"/>
        <v>1</v>
      </c>
      <c r="R31" s="652" t="s">
        <v>1398</v>
      </c>
      <c r="S31" s="655">
        <f>S11*COS(S6)</f>
        <v>0.5</v>
      </c>
      <c r="T31" s="655">
        <f>T11*COS(T6)</f>
        <v>-0.16999999999999998</v>
      </c>
      <c r="U31" s="655">
        <f>U11*COS(U6)</f>
        <v>1.0107474752996114E-17</v>
      </c>
      <c r="V31" s="655">
        <f>V11*COS(V6)</f>
        <v>1.0107474752996118E-17</v>
      </c>
      <c r="W31" s="655">
        <f>(S31+T31+U31+V31)</f>
        <v>0.33</v>
      </c>
      <c r="Y31" s="652" t="s">
        <v>1188</v>
      </c>
      <c r="Z31" s="659">
        <f>Z29/$AA$25*1000000</f>
        <v>812500</v>
      </c>
      <c r="AA31" s="659">
        <f>AA29/$AA$25*1000000</f>
        <v>500000</v>
      </c>
      <c r="AB31" s="659">
        <f>AB29/$AA$25*1000000</f>
        <v>1000000</v>
      </c>
      <c r="AE31" s="676"/>
      <c r="AF31" s="669" t="s">
        <v>1399</v>
      </c>
      <c r="AG31" s="676">
        <f>2*($P$33*AG7*AG23+$P$34*AG8*AG24+$P$35*(AG7*AG24+AG23*AG8)+$P$36*AG9*AG25)</f>
        <v>9.200014079401169E-5</v>
      </c>
      <c r="AH31" s="676">
        <f>2*($P$33*AH7*AH23+$P$34*AH8*AH24+$P$35*(AH7*AH24+AH23*AH8)+$P$36*AH9*AH25)</f>
        <v>-2.3097126075277222E-4</v>
      </c>
      <c r="AI31" s="676">
        <f>2*($P$33*AI7*AI23+$P$34*AI8*AI24+$P$35*(AI7*AI24+AI23*AI8)+$P$36*AI9*AI25)</f>
        <v>-7.1728851484071851E-5</v>
      </c>
      <c r="AJ31" s="676">
        <f>2*($P$33*AJ7*AJ23+$P$34*AJ8*AJ24+$P$35*(AJ7*AJ24+AJ23*AJ8)+$P$36*AJ9*AJ25)</f>
        <v>-7.1728851484071878E-5</v>
      </c>
      <c r="AK31" s="676"/>
    </row>
    <row r="32" spans="1:37">
      <c r="A32" s="638">
        <v>2530</v>
      </c>
      <c r="B32" s="638">
        <v>1669</v>
      </c>
      <c r="C32" s="638">
        <v>66</v>
      </c>
      <c r="D32" s="637">
        <v>220</v>
      </c>
      <c r="E32" s="637">
        <v>93</v>
      </c>
      <c r="F32" s="606">
        <v>1.2</v>
      </c>
      <c r="G32" s="606">
        <v>22</v>
      </c>
      <c r="H32" s="634">
        <v>5.0000000000000001E-3</v>
      </c>
      <c r="I32" s="35">
        <v>15.7841726618705</v>
      </c>
      <c r="J32" s="650" t="s">
        <v>1400</v>
      </c>
      <c r="N32" s="652" t="s">
        <v>1401</v>
      </c>
      <c r="O32" s="654">
        <f>(1/O19-1/O20)*1000</f>
        <v>10.606060606060607</v>
      </c>
      <c r="P32" s="654">
        <f>(1/P19-1/P20)*1000</f>
        <v>10.606060606060607</v>
      </c>
      <c r="Q32" s="654">
        <f t="shared" si="13"/>
        <v>1</v>
      </c>
      <c r="R32" s="652" t="s">
        <v>1402</v>
      </c>
      <c r="S32" s="655">
        <f>S11*SIN(S6)</f>
        <v>0</v>
      </c>
      <c r="T32" s="655">
        <f>T11*SIN(T6)</f>
        <v>2.082752373344654E-17</v>
      </c>
      <c r="U32" s="655">
        <f>U11*SIN(U6)</f>
        <v>0.16499999999999998</v>
      </c>
      <c r="V32" s="655">
        <f>V11*SIN(V6)</f>
        <v>-0.16500000000000004</v>
      </c>
      <c r="W32" s="655">
        <f>(S32+T32+U32+V32)</f>
        <v>-2.7755575615628914E-17</v>
      </c>
      <c r="Y32" s="652" t="s">
        <v>1189</v>
      </c>
      <c r="Z32" s="659">
        <f>1</f>
        <v>1</v>
      </c>
      <c r="AA32" s="659">
        <f>AA30/Z30</f>
        <v>1.78394449950446</v>
      </c>
      <c r="AB32" s="659">
        <f>AB30/Z30</f>
        <v>5.1536174430128838</v>
      </c>
      <c r="AF32" s="669" t="s">
        <v>1403</v>
      </c>
      <c r="AG32" s="703">
        <f>AG31+AG15</f>
        <v>-0.13173000704531462</v>
      </c>
      <c r="AH32" s="676">
        <f>AH31+AH15</f>
        <v>0.42689073026024471</v>
      </c>
      <c r="AI32" s="676">
        <f>AI31+AI15</f>
        <v>0.14757811831596024</v>
      </c>
      <c r="AJ32" s="676">
        <f>AJ31+AJ15</f>
        <v>0.14757811831596032</v>
      </c>
      <c r="AK32" s="676"/>
    </row>
    <row r="33" spans="1:38">
      <c r="A33" s="606">
        <v>-0.5</v>
      </c>
      <c r="B33" s="606">
        <v>125</v>
      </c>
      <c r="C33" s="606">
        <v>0.55000000000000004</v>
      </c>
      <c r="D33" s="636">
        <v>1.6</v>
      </c>
      <c r="E33" s="636">
        <v>0.52</v>
      </c>
      <c r="F33" s="606">
        <v>0.5</v>
      </c>
      <c r="G33" s="606">
        <v>0.2</v>
      </c>
      <c r="H33" s="606">
        <v>0.9</v>
      </c>
      <c r="I33" s="35">
        <v>11.8920863309353</v>
      </c>
      <c r="J33" s="652" t="s">
        <v>1404</v>
      </c>
      <c r="K33" s="654">
        <f>(1-(K30/K27)^2)*K27</f>
        <v>0.33614983963722372</v>
      </c>
      <c r="L33" s="654">
        <f>(1-(L30/L27)^2)*L27</f>
        <v>0.33614983963722372</v>
      </c>
      <c r="M33" s="654">
        <f>L33/K33</f>
        <v>1</v>
      </c>
      <c r="N33" s="652" t="s">
        <v>1405</v>
      </c>
      <c r="O33" s="659">
        <f>(O27*K22^2+2*O29*K22*K24+O28*K24^2)</f>
        <v>0.14507766728840435</v>
      </c>
      <c r="P33" s="659">
        <f>(P27*L22^2+2*P29*L22*L24+P28*L24^2)</f>
        <v>0.14507766728840435</v>
      </c>
      <c r="Q33" s="654">
        <f t="shared" si="13"/>
        <v>1</v>
      </c>
      <c r="R33" s="652"/>
      <c r="S33" s="656" t="s">
        <v>1406</v>
      </c>
      <c r="T33" s="656" t="s">
        <v>1407</v>
      </c>
      <c r="U33" s="656" t="s">
        <v>1408</v>
      </c>
      <c r="V33" s="656" t="s">
        <v>1409</v>
      </c>
      <c r="W33" s="656" t="s">
        <v>1410</v>
      </c>
      <c r="X33" s="656" t="s">
        <v>1411</v>
      </c>
      <c r="Y33" s="652" t="s">
        <v>1190</v>
      </c>
      <c r="Z33" s="655">
        <f>$AA$25*1.04/Z28/1000000000</f>
        <v>1.2375433540261432E-6</v>
      </c>
      <c r="AA33" s="655">
        <f>$AA$25*1.04/AA28/1000000000</f>
        <v>6.0289855072463769E-9</v>
      </c>
      <c r="AB33" s="655">
        <f>$AA$25*1.04/AB28/1000000000</f>
        <v>1.9809523809523811E-9</v>
      </c>
      <c r="AF33" s="669" t="s">
        <v>1412</v>
      </c>
      <c r="AG33" s="703">
        <f>AG32/2/AG14</f>
        <v>-0.61014452448861078</v>
      </c>
      <c r="AH33" s="676">
        <f>AH32/2/AH14</f>
        <v>1.6465166466384253</v>
      </c>
      <c r="AI33" s="676">
        <f>AI32/2/AI14</f>
        <v>0.55705355167974158</v>
      </c>
      <c r="AJ33" s="676">
        <f>AJ32/2/AJ14</f>
        <v>0.55705355167974191</v>
      </c>
      <c r="AK33" s="676"/>
    </row>
    <row r="34" spans="1:38">
      <c r="A34" s="606">
        <v>0.02</v>
      </c>
      <c r="B34" s="606">
        <v>22.5</v>
      </c>
      <c r="C34" s="606">
        <v>0</v>
      </c>
      <c r="D34" s="636">
        <v>0.6</v>
      </c>
      <c r="E34" s="636">
        <v>0.32</v>
      </c>
      <c r="F34" s="606">
        <v>0</v>
      </c>
      <c r="G34" s="606">
        <v>0</v>
      </c>
      <c r="H34" s="606">
        <v>2000</v>
      </c>
      <c r="I34" s="35">
        <f>C32/C31</f>
        <v>1269.2307692307693</v>
      </c>
      <c r="J34" s="652" t="s">
        <v>1414</v>
      </c>
      <c r="K34" s="654">
        <f>K30/K27</f>
        <v>0.30773282878200081</v>
      </c>
      <c r="L34" s="654">
        <f>L30/L27</f>
        <v>0.30773282878200081</v>
      </c>
      <c r="M34" s="654">
        <f>L34/K34</f>
        <v>1</v>
      </c>
      <c r="N34" s="652" t="s">
        <v>1415</v>
      </c>
      <c r="O34" s="659">
        <f>(O27*K24^2+2*O29*K24*K23+O28*K23^2)</f>
        <v>0.18502938739838554</v>
      </c>
      <c r="P34" s="659">
        <f>(P27*L24^2+2*P29*L24*L23+P28*L23^2)</f>
        <v>0.18502938739838554</v>
      </c>
      <c r="Q34" s="654">
        <f t="shared" si="13"/>
        <v>1</v>
      </c>
      <c r="R34" s="652">
        <v>1</v>
      </c>
      <c r="S34" s="655">
        <f>(($L$22+$L$24)/2*$P$10+($L$24+$L$23)/2*$P$11)/1000000</f>
        <v>7.8592194222495378E-7</v>
      </c>
      <c r="T34" s="655">
        <f>(($L$22+$L$24)/2*$P$13+($L$24+$L$23)/2*$P$14)</f>
        <v>2.0717358855035558E-2</v>
      </c>
      <c r="U34" s="655">
        <f>S34+S35*W31</f>
        <v>6.5671521204671166E-7</v>
      </c>
      <c r="V34" s="655">
        <f>T34+T35*W31</f>
        <v>1.7195407849679514E-2</v>
      </c>
      <c r="W34" s="655">
        <f>(U34*U23+U35*U25+U36*U27)*1000000</f>
        <v>0.7321766076659505</v>
      </c>
      <c r="X34" s="655">
        <f>(V34*U23+V35*U25+V36*U27)</f>
        <v>1.9008272446600104E-2</v>
      </c>
      <c r="Y34" s="652"/>
      <c r="AF34" s="669"/>
      <c r="AG34" s="703"/>
      <c r="AH34" s="676"/>
      <c r="AI34" s="676"/>
      <c r="AJ34" s="676"/>
      <c r="AK34" s="676"/>
    </row>
    <row r="35" spans="1:38">
      <c r="A35" s="606">
        <v>0.15</v>
      </c>
      <c r="B35" s="606">
        <v>0.01</v>
      </c>
      <c r="C35" s="606">
        <v>1</v>
      </c>
      <c r="D35" s="636">
        <v>1</v>
      </c>
      <c r="E35" s="636">
        <v>0</v>
      </c>
      <c r="F35" s="606">
        <v>0.5</v>
      </c>
      <c r="G35" s="606"/>
      <c r="H35" s="606"/>
      <c r="I35" s="35"/>
      <c r="N35" s="652" t="s">
        <v>1416</v>
      </c>
      <c r="O35" s="659">
        <f>(O27*K22*K24+O29*(K22*K23+K24^2)+O28*K24*K23)</f>
        <v>-3.0266787135296978E-2</v>
      </c>
      <c r="P35" s="659">
        <f>(P27*L22*L24+P29*(L22*L23+L24^2)+P28*L24*L23)</f>
        <v>-3.0266787135296978E-2</v>
      </c>
      <c r="Q35" s="654">
        <f t="shared" si="13"/>
        <v>1</v>
      </c>
      <c r="R35" s="652">
        <v>2</v>
      </c>
      <c r="S35" s="655">
        <f>(($L$22-$L$24)/2*$P$10+($L$24-$L$23)/2*$P$11)/1000000</f>
        <v>-3.9153554599467324E-7</v>
      </c>
      <c r="T35" s="655">
        <f>(($L$22-$L$24)/2*$P$13+($L$24-$L$23)/2*$P$14)</f>
        <v>-1.0672578804109227E-2</v>
      </c>
      <c r="U35" s="655">
        <f>S34-S35*W31</f>
        <v>9.151286724031959E-7</v>
      </c>
      <c r="V35" s="655">
        <f>T34-T35*W31</f>
        <v>2.4239309860391602E-2</v>
      </c>
      <c r="W35" s="655">
        <f>(U34*U25+U35*U24+U36*U28)*1000000</f>
        <v>3.2048006298386884</v>
      </c>
      <c r="X35" s="655">
        <f>(V34*U25+V35*U24+V36*U28)</f>
        <v>8.5003575529502357E-2</v>
      </c>
      <c r="AD35" s="656"/>
      <c r="AF35" s="669"/>
      <c r="AG35" s="703"/>
      <c r="AH35" s="676"/>
      <c r="AI35" s="676"/>
      <c r="AJ35" s="676"/>
      <c r="AK35" s="676"/>
    </row>
    <row r="36" spans="1:38">
      <c r="J36" s="652" t="s">
        <v>1193</v>
      </c>
      <c r="K36" s="654">
        <f>$D$28</f>
        <v>1.6</v>
      </c>
      <c r="L36" s="654">
        <f>L37*(1-$L$11)+L38*$L$11</f>
        <v>1.5135000000000001</v>
      </c>
      <c r="M36" s="654">
        <f>L36/K36</f>
        <v>0.94593749999999999</v>
      </c>
      <c r="N36" s="652" t="s">
        <v>1418</v>
      </c>
      <c r="O36" s="659">
        <f>O30*K25^2</f>
        <v>0.11111111111111109</v>
      </c>
      <c r="P36" s="659">
        <f>P30*L25^2</f>
        <v>0.11111111111111109</v>
      </c>
      <c r="Q36" s="654">
        <f t="shared" si="13"/>
        <v>1</v>
      </c>
      <c r="R36" s="652">
        <v>6</v>
      </c>
      <c r="S36" s="656" t="s">
        <v>1419</v>
      </c>
      <c r="T36" s="656" t="s">
        <v>1420</v>
      </c>
      <c r="U36" s="655">
        <f>S35*W32</f>
        <v>1.0867294453061705E-23</v>
      </c>
      <c r="V36" s="655">
        <f>T35*W32</f>
        <v>2.9622356801121206E-19</v>
      </c>
      <c r="W36" s="655">
        <f>(U34*U27+U35*U28+U36*U26)*1000000</f>
        <v>4.5368539037762922E-16</v>
      </c>
      <c r="X36" s="655">
        <f>(V34*U27+V35*U28+V36*U26)</f>
        <v>1.205723085658329E-17</v>
      </c>
      <c r="AD36" s="655"/>
      <c r="AF36" s="669"/>
      <c r="AG36" s="703"/>
      <c r="AH36" s="676"/>
      <c r="AI36" s="676"/>
      <c r="AJ36" s="676"/>
      <c r="AK36" s="669" t="s">
        <v>1421</v>
      </c>
    </row>
    <row r="37" spans="1:38">
      <c r="A37" s="652" t="s">
        <v>1413</v>
      </c>
      <c r="B37" s="652" t="s">
        <v>1577</v>
      </c>
      <c r="C37" s="652" t="s">
        <v>1578</v>
      </c>
      <c r="D37" s="652" t="s">
        <v>266</v>
      </c>
      <c r="E37" s="652" t="s">
        <v>267</v>
      </c>
      <c r="F37" s="652" t="s">
        <v>268</v>
      </c>
      <c r="G37" s="652" t="s">
        <v>1584</v>
      </c>
      <c r="H37" s="652" t="s">
        <v>1585</v>
      </c>
      <c r="J37" s="652" t="s">
        <v>274</v>
      </c>
      <c r="K37" s="654">
        <f>$F$27</f>
        <v>1.2</v>
      </c>
      <c r="L37" s="654">
        <v>1.2</v>
      </c>
      <c r="M37" s="654">
        <f>L37/K37</f>
        <v>1</v>
      </c>
      <c r="N37" s="652" t="s">
        <v>1422</v>
      </c>
      <c r="O37" s="659">
        <f>(O31*K22+O32*K24)</f>
        <v>-2.9688623077509524E-3</v>
      </c>
      <c r="P37" s="659">
        <f>(P31*L22+P32*L24)</f>
        <v>-2.9688623077509524E-3</v>
      </c>
      <c r="Q37" s="654">
        <f t="shared" si="13"/>
        <v>1</v>
      </c>
      <c r="R37" s="652">
        <v>1</v>
      </c>
      <c r="S37" s="655">
        <f>$P$7*U34+$P$3*V34</f>
        <v>2.0305518043726409E-5</v>
      </c>
      <c r="T37" s="655">
        <f>$P$7*W34/1000000+$P$3*X34</f>
        <v>2.1823701466405481E-5</v>
      </c>
      <c r="U37" s="656" t="s">
        <v>1423</v>
      </c>
      <c r="V37" s="655">
        <f>$P$7*$P$10/1000000+$P$3*$P$13</f>
        <v>-1.9999999999999999E-6</v>
      </c>
      <c r="AF37" s="652" t="s">
        <v>1424</v>
      </c>
      <c r="AG37" s="651">
        <f>(AG33^2-AG30/AG14)^0.5-AG33</f>
        <v>3.7148402111916492</v>
      </c>
      <c r="AH37" s="651">
        <f>(AH33^2-AH30/AH14)^0.5-AH33</f>
        <v>1.5827421092963683</v>
      </c>
      <c r="AI37" s="651">
        <f>(AI33^2-AI30/AI14)^0.5-AI33</f>
        <v>2.2469505535309251</v>
      </c>
      <c r="AJ37" s="651">
        <f>(AJ33^2-AJ30/AJ14)^0.5-AJ33</f>
        <v>2.2469505535309251</v>
      </c>
      <c r="AK37" s="651">
        <f>MIN(AG38:AJ38)</f>
        <v>1.5827421092963683</v>
      </c>
    </row>
    <row r="38" spans="1:38">
      <c r="A38" s="652" t="s">
        <v>269</v>
      </c>
      <c r="B38" s="652" t="s">
        <v>270</v>
      </c>
      <c r="C38" s="652" t="s">
        <v>271</v>
      </c>
      <c r="D38" s="652" t="s">
        <v>272</v>
      </c>
      <c r="E38" s="652" t="s">
        <v>273</v>
      </c>
      <c r="F38" s="652" t="s">
        <v>274</v>
      </c>
      <c r="G38" s="652" t="s">
        <v>1588</v>
      </c>
      <c r="H38" s="652" t="s">
        <v>275</v>
      </c>
      <c r="J38" s="652" t="s">
        <v>1195</v>
      </c>
      <c r="K38" s="654">
        <f>(K36-K37*(1-$K$11))/$K$11</f>
        <v>1.9272727272727272</v>
      </c>
      <c r="L38" s="654">
        <v>1.77</v>
      </c>
      <c r="M38" s="654">
        <f>L38/K38</f>
        <v>0.91839622641509433</v>
      </c>
      <c r="N38" s="652" t="s">
        <v>1426</v>
      </c>
      <c r="O38" s="659">
        <f>(O31*K24+O32*K23)</f>
        <v>0.5514590130278777</v>
      </c>
      <c r="P38" s="659">
        <f>(P31*L24+P32*L23)</f>
        <v>0.5514590130278777</v>
      </c>
      <c r="Q38" s="654">
        <f t="shared" si="13"/>
        <v>1</v>
      </c>
      <c r="R38" s="652">
        <v>2</v>
      </c>
      <c r="S38" s="655">
        <f>$P$7*U35+$P$3*V35</f>
        <v>2.9683682061638417E-5</v>
      </c>
      <c r="T38" s="655">
        <f>$P$7*W35/1000000+$P$3*X35</f>
        <v>1.0453781466364295E-4</v>
      </c>
      <c r="U38" s="656" t="s">
        <v>1427</v>
      </c>
      <c r="V38" s="655">
        <f>$P$7*$P$11/1000000+$P$3*$P$14</f>
        <v>7.5000000000000023E-4</v>
      </c>
      <c r="AF38" s="652"/>
      <c r="AG38" s="651">
        <f>IF(AG3=0,1000000000,AG37)</f>
        <v>3.7148402111916492</v>
      </c>
      <c r="AH38" s="651">
        <f>IF(AH3=0,1000000000,AH37)</f>
        <v>1.5827421092963683</v>
      </c>
      <c r="AI38" s="651">
        <f>IF(AI3=0,1000000000,AI37)</f>
        <v>2.2469505535309251</v>
      </c>
      <c r="AJ38" s="651">
        <f>IF(AJ3=0,1000000000,AJ37)</f>
        <v>2.2469505535309251</v>
      </c>
    </row>
    <row r="39" spans="1:38">
      <c r="A39" s="652" t="s">
        <v>1568</v>
      </c>
      <c r="B39" s="652" t="s">
        <v>276</v>
      </c>
      <c r="C39" s="652" t="s">
        <v>277</v>
      </c>
      <c r="D39" s="652" t="s">
        <v>278</v>
      </c>
      <c r="E39" s="652" t="s">
        <v>279</v>
      </c>
      <c r="F39" s="652" t="s">
        <v>280</v>
      </c>
      <c r="G39" s="652" t="s">
        <v>281</v>
      </c>
      <c r="H39" s="652" t="s">
        <v>282</v>
      </c>
      <c r="L39" s="650" t="s">
        <v>234</v>
      </c>
      <c r="N39" s="650" t="s">
        <v>1853</v>
      </c>
      <c r="O39" s="650">
        <f>P27+P27+P28+P30/2</f>
        <v>127.1543200756941</v>
      </c>
      <c r="P39" s="650">
        <f>P33+P34+2*P36</f>
        <v>0.55232927690901212</v>
      </c>
      <c r="R39" s="652">
        <v>6</v>
      </c>
      <c r="S39" s="655">
        <f>$P$7*U36+$P$3*V36</f>
        <v>3.943883947498898E-22</v>
      </c>
      <c r="T39" s="655">
        <f>$P$7*W36/1000000+$P$3*X36</f>
        <v>1.4917615245153538E-20</v>
      </c>
      <c r="U39" s="656" t="s">
        <v>1429</v>
      </c>
      <c r="V39" s="655">
        <f>0</f>
        <v>0</v>
      </c>
      <c r="AG39" s="651">
        <f>IF(AG3=0,0,AG37)</f>
        <v>3.7148402111916492</v>
      </c>
      <c r="AH39" s="651">
        <f>IF(AH3=0,0,AH37)</f>
        <v>1.5827421092963683</v>
      </c>
      <c r="AI39" s="651">
        <f>IF(AI3=0,0,AI37)</f>
        <v>2.2469505535309251</v>
      </c>
      <c r="AJ39" s="651">
        <f>IF(AJ3=0,0,AJ37)</f>
        <v>2.2469505535309251</v>
      </c>
    </row>
    <row r="40" spans="1:38">
      <c r="A40" s="653" t="s">
        <v>1591</v>
      </c>
      <c r="B40" s="653" t="s">
        <v>1592</v>
      </c>
      <c r="C40" s="653" t="s">
        <v>1537</v>
      </c>
      <c r="D40" s="653" t="s">
        <v>1539</v>
      </c>
      <c r="E40" s="652" t="s">
        <v>295</v>
      </c>
      <c r="F40" s="652" t="s">
        <v>283</v>
      </c>
      <c r="G40" s="652" t="s">
        <v>284</v>
      </c>
      <c r="H40" s="652" t="s">
        <v>285</v>
      </c>
      <c r="J40" s="653" t="s">
        <v>43</v>
      </c>
      <c r="K40" s="652"/>
      <c r="L40" s="652"/>
      <c r="N40" s="650" t="s">
        <v>33</v>
      </c>
      <c r="P40" s="654"/>
      <c r="R40" s="650" t="s">
        <v>44</v>
      </c>
      <c r="Y40" s="650" t="s">
        <v>529</v>
      </c>
      <c r="AF40" s="650" t="s">
        <v>530</v>
      </c>
    </row>
    <row r="41" spans="1:38">
      <c r="A41" s="653" t="s">
        <v>286</v>
      </c>
      <c r="B41" s="653" t="s">
        <v>287</v>
      </c>
      <c r="C41" s="652" t="s">
        <v>288</v>
      </c>
      <c r="D41" s="652" t="s">
        <v>289</v>
      </c>
      <c r="E41" s="652" t="s">
        <v>290</v>
      </c>
      <c r="J41" s="653" t="str">
        <f>A31</f>
        <v>Master ply[SI]</v>
      </c>
      <c r="K41" s="653"/>
      <c r="L41" s="652"/>
      <c r="N41" s="652" t="s">
        <v>596</v>
      </c>
      <c r="O41" s="659">
        <f>$G$32</f>
        <v>22</v>
      </c>
      <c r="P41" s="659">
        <f>B22</f>
        <v>22</v>
      </c>
      <c r="Q41" s="660">
        <f t="shared" ref="Q41:Q46" si="14">P41/O41</f>
        <v>1</v>
      </c>
      <c r="R41" s="653"/>
      <c r="X41" s="656"/>
      <c r="Y41" s="652" t="s">
        <v>531</v>
      </c>
      <c r="Z41" s="661">
        <f t="shared" ref="Z41:AC42" si="15">S43</f>
        <v>52</v>
      </c>
      <c r="AA41" s="661">
        <f t="shared" si="15"/>
        <v>-52</v>
      </c>
      <c r="AB41" s="661">
        <f t="shared" si="15"/>
        <v>0</v>
      </c>
      <c r="AC41" s="661">
        <f t="shared" si="15"/>
        <v>0</v>
      </c>
      <c r="AD41" s="652" t="s">
        <v>532</v>
      </c>
      <c r="AE41" s="656" t="s">
        <v>533</v>
      </c>
      <c r="AF41" s="652" t="s">
        <v>531</v>
      </c>
      <c r="AG41" s="661">
        <f t="shared" ref="AG41:AJ43" si="16">Z41</f>
        <v>52</v>
      </c>
      <c r="AH41" s="661">
        <f t="shared" si="16"/>
        <v>-52</v>
      </c>
      <c r="AI41" s="661">
        <f t="shared" si="16"/>
        <v>0</v>
      </c>
      <c r="AJ41" s="661">
        <f t="shared" si="16"/>
        <v>0</v>
      </c>
    </row>
    <row r="42" spans="1:38">
      <c r="B42" s="664">
        <f>D10</f>
        <v>633.09684371854735</v>
      </c>
      <c r="C42" s="664">
        <f>-D14</f>
        <v>-740.30464184668801</v>
      </c>
      <c r="D42" s="664">
        <f>D12</f>
        <v>0</v>
      </c>
      <c r="E42" s="664">
        <f>D14</f>
        <v>740.30464184668801</v>
      </c>
      <c r="J42" s="652"/>
      <c r="K42" s="652"/>
      <c r="L42" s="652"/>
      <c r="N42" s="652" t="s">
        <v>600</v>
      </c>
      <c r="O42" s="651">
        <f>$H$32</f>
        <v>5.0000000000000001E-3</v>
      </c>
      <c r="P42" s="651">
        <f>C22</f>
        <v>5.0000000000000001E-3</v>
      </c>
      <c r="Q42" s="660">
        <f t="shared" si="14"/>
        <v>1</v>
      </c>
      <c r="R42" s="652" t="s">
        <v>45</v>
      </c>
      <c r="S42" s="656" t="s">
        <v>1562</v>
      </c>
      <c r="T42" s="656" t="s">
        <v>1563</v>
      </c>
      <c r="U42" s="656" t="s">
        <v>1564</v>
      </c>
      <c r="V42" s="656" t="s">
        <v>1565</v>
      </c>
      <c r="W42" s="656"/>
      <c r="X42" s="656"/>
      <c r="Y42" s="652" t="s">
        <v>536</v>
      </c>
      <c r="Z42" s="661">
        <f t="shared" si="15"/>
        <v>1</v>
      </c>
      <c r="AA42" s="661">
        <f t="shared" si="15"/>
        <v>1</v>
      </c>
      <c r="AB42" s="661">
        <f t="shared" si="15"/>
        <v>1</v>
      </c>
      <c r="AC42" s="661">
        <f t="shared" si="15"/>
        <v>1</v>
      </c>
      <c r="AD42" s="652">
        <f>W44</f>
        <v>2.5</v>
      </c>
      <c r="AE42" s="661">
        <f>X44</f>
        <v>0</v>
      </c>
      <c r="AF42" s="652" t="s">
        <v>536</v>
      </c>
      <c r="AG42" s="661">
        <f t="shared" si="16"/>
        <v>1</v>
      </c>
      <c r="AH42" s="661">
        <f t="shared" si="16"/>
        <v>1</v>
      </c>
      <c r="AI42" s="661">
        <f t="shared" si="16"/>
        <v>1</v>
      </c>
      <c r="AJ42" s="661">
        <f t="shared" si="16"/>
        <v>1</v>
      </c>
    </row>
    <row r="43" spans="1:38">
      <c r="A43" s="650" t="s">
        <v>1782</v>
      </c>
      <c r="B43" s="650" t="s">
        <v>296</v>
      </c>
      <c r="C43" s="650" t="s">
        <v>302</v>
      </c>
      <c r="D43" s="650" t="s">
        <v>1543</v>
      </c>
      <c r="E43" s="650" t="s">
        <v>1787</v>
      </c>
      <c r="F43" s="650" t="s">
        <v>1783</v>
      </c>
      <c r="G43" s="650" t="s">
        <v>1784</v>
      </c>
      <c r="H43" s="650" t="s">
        <v>1785</v>
      </c>
      <c r="I43" s="650" t="s">
        <v>1786</v>
      </c>
      <c r="J43" s="652" t="s">
        <v>1553</v>
      </c>
      <c r="K43" s="652" t="s">
        <v>1554</v>
      </c>
      <c r="L43" s="652" t="s">
        <v>1555</v>
      </c>
      <c r="M43" s="665" t="s">
        <v>1556</v>
      </c>
      <c r="N43" s="652" t="s">
        <v>1557</v>
      </c>
      <c r="O43" s="659">
        <f>$G$31</f>
        <v>122</v>
      </c>
      <c r="P43" s="659">
        <f>O43</f>
        <v>122</v>
      </c>
      <c r="Q43" s="660">
        <f t="shared" si="14"/>
        <v>1</v>
      </c>
      <c r="R43" s="652" t="s">
        <v>537</v>
      </c>
      <c r="S43" s="666">
        <f>B5+$I$6</f>
        <v>52</v>
      </c>
      <c r="T43" s="666">
        <f>C5+$I$6</f>
        <v>-52</v>
      </c>
      <c r="U43" s="666">
        <f>D5+$I$6</f>
        <v>0</v>
      </c>
      <c r="V43" s="666">
        <f>E5+$I$6</f>
        <v>0</v>
      </c>
      <c r="W43" s="656" t="s">
        <v>46</v>
      </c>
      <c r="X43" s="656"/>
      <c r="Y43" s="652" t="s">
        <v>539</v>
      </c>
      <c r="Z43" s="665">
        <f>S45*Z42/Z42</f>
        <v>1.8151424220741028</v>
      </c>
      <c r="AA43" s="665">
        <f>T45*AA42/AA42</f>
        <v>-1.8151424220741028</v>
      </c>
      <c r="AB43" s="665">
        <f>U45*AB42/AB42</f>
        <v>0</v>
      </c>
      <c r="AC43" s="665">
        <f>V45*AC42/AC42</f>
        <v>0</v>
      </c>
      <c r="AD43" s="652" t="s">
        <v>603</v>
      </c>
      <c r="AE43" s="655">
        <f>$W$12</f>
        <v>2.5000000000000001E-3</v>
      </c>
      <c r="AF43" s="652" t="s">
        <v>539</v>
      </c>
      <c r="AG43" s="665">
        <f t="shared" si="16"/>
        <v>1.8151424220741028</v>
      </c>
      <c r="AH43" s="665">
        <f t="shared" si="16"/>
        <v>-1.8151424220741028</v>
      </c>
      <c r="AI43" s="665">
        <f t="shared" si="16"/>
        <v>0</v>
      </c>
      <c r="AJ43" s="665">
        <f t="shared" si="16"/>
        <v>0</v>
      </c>
    </row>
    <row r="44" spans="1:38">
      <c r="A44" s="650" t="s">
        <v>1713</v>
      </c>
      <c r="B44" s="650">
        <v>407.42375018258883</v>
      </c>
      <c r="C44" s="650">
        <v>681.49177162256638</v>
      </c>
      <c r="D44" s="650">
        <v>272.25869309596419</v>
      </c>
      <c r="E44" s="651">
        <f>G44/H44</f>
        <v>0.96718090636402942</v>
      </c>
      <c r="F44" s="654">
        <f t="shared" ref="F44:F53" si="17">1000000/B44/C44</f>
        <v>3.6015797972253409</v>
      </c>
      <c r="G44" s="654">
        <f t="shared" ref="G44:G53" si="18">1000000/D44/D44</f>
        <v>13.490762260638615</v>
      </c>
      <c r="H44" s="654">
        <f t="shared" ref="H44:H53" si="19">2*F44+G44/2</f>
        <v>13.948540724769989</v>
      </c>
      <c r="I44" s="651">
        <f>F44/H44</f>
        <v>0.25820477340899262</v>
      </c>
      <c r="J44" s="652" t="s">
        <v>298</v>
      </c>
      <c r="K44" s="664">
        <f>$B$31</f>
        <v>0.88</v>
      </c>
      <c r="L44" s="664">
        <f>L51*L50</f>
        <v>0.88</v>
      </c>
      <c r="M44" s="660">
        <f>L44/K44</f>
        <v>1</v>
      </c>
      <c r="N44" s="652" t="s">
        <v>299</v>
      </c>
      <c r="O44" s="659">
        <f>$H$31</f>
        <v>160</v>
      </c>
      <c r="P44" s="659">
        <f>O44-$H$34*(P42-O42)</f>
        <v>160</v>
      </c>
      <c r="Q44" s="660">
        <f t="shared" si="14"/>
        <v>1</v>
      </c>
      <c r="R44" s="652" t="s">
        <v>541</v>
      </c>
      <c r="S44" s="666">
        <f>B6</f>
        <v>1</v>
      </c>
      <c r="T44" s="666">
        <f>C6</f>
        <v>1</v>
      </c>
      <c r="U44" s="666">
        <f>D6</f>
        <v>1</v>
      </c>
      <c r="V44" s="666">
        <f>E6</f>
        <v>1</v>
      </c>
      <c r="W44" s="668">
        <f>F6</f>
        <v>2.5</v>
      </c>
      <c r="X44" s="661"/>
      <c r="Y44" s="652"/>
      <c r="Z44" s="655"/>
      <c r="AA44" s="655"/>
      <c r="AB44" s="655"/>
      <c r="AC44" s="655"/>
      <c r="AD44" s="656"/>
    </row>
    <row r="45" spans="1:38">
      <c r="A45" s="650" t="s">
        <v>1769</v>
      </c>
      <c r="B45" s="650">
        <v>423.32165854048424</v>
      </c>
      <c r="C45" s="650">
        <v>788.62020057130462</v>
      </c>
      <c r="D45" s="650">
        <v>299.64924667335356</v>
      </c>
      <c r="E45" s="651">
        <f t="shared" ref="E45:E53" si="20">G45/H45</f>
        <v>0.96346504974452063</v>
      </c>
      <c r="F45" s="654">
        <f t="shared" si="17"/>
        <v>2.995446819608695</v>
      </c>
      <c r="G45" s="654">
        <f t="shared" si="18"/>
        <v>11.1371384760351</v>
      </c>
      <c r="H45" s="654">
        <f t="shared" si="19"/>
        <v>11.559462877234939</v>
      </c>
      <c r="I45" s="651">
        <f>F45/H45</f>
        <v>0.25913373756386987</v>
      </c>
      <c r="J45" s="652" t="s">
        <v>1579</v>
      </c>
      <c r="K45" s="654">
        <f>$C$31</f>
        <v>5.1999999999999998E-2</v>
      </c>
      <c r="L45" s="654">
        <f>(1+L54)/(1/L55+L54/L52)</f>
        <v>5.1999999999999998E-2</v>
      </c>
      <c r="M45" s="660">
        <f>L45/K45</f>
        <v>1</v>
      </c>
      <c r="N45" s="652" t="s">
        <v>1580</v>
      </c>
      <c r="O45" s="654">
        <f>(O44-O41)/(O44-O41)</f>
        <v>1</v>
      </c>
      <c r="P45" s="654">
        <f>(P44-P41)/(P44-O41)</f>
        <v>1</v>
      </c>
      <c r="Q45" s="660">
        <f t="shared" si="14"/>
        <v>1</v>
      </c>
      <c r="R45" s="652" t="s">
        <v>1295</v>
      </c>
      <c r="S45" s="660">
        <f>S43*PI()/90</f>
        <v>1.8151424220741028</v>
      </c>
      <c r="T45" s="660">
        <f>T43*PI()/90</f>
        <v>-1.8151424220741028</v>
      </c>
      <c r="U45" s="660">
        <f>U43*PI()/90</f>
        <v>0</v>
      </c>
      <c r="V45" s="660">
        <f>V43*PI()/90</f>
        <v>0</v>
      </c>
      <c r="W45" s="656" t="s">
        <v>1433</v>
      </c>
      <c r="X45" s="669"/>
      <c r="Y45" s="653" t="s">
        <v>1434</v>
      </c>
      <c r="Z45" s="656"/>
      <c r="AA45" s="656"/>
      <c r="AB45" s="655"/>
      <c r="AC45" s="655"/>
      <c r="AD45" s="655"/>
      <c r="AF45" s="653" t="s">
        <v>1298</v>
      </c>
      <c r="AK45" s="652" t="s">
        <v>1299</v>
      </c>
    </row>
    <row r="46" spans="1:38">
      <c r="A46" s="650" t="s">
        <v>1755</v>
      </c>
      <c r="B46" s="650">
        <v>536.99368404811435</v>
      </c>
      <c r="C46" s="650">
        <v>473.32024742818157</v>
      </c>
      <c r="D46" s="650">
        <v>273.13520286927599</v>
      </c>
      <c r="E46" s="651">
        <f t="shared" si="20"/>
        <v>0.91993690409846074</v>
      </c>
      <c r="F46" s="654">
        <f t="shared" si="17"/>
        <v>3.9343748880929827</v>
      </c>
      <c r="G46" s="654">
        <f t="shared" si="18"/>
        <v>13.404315610261108</v>
      </c>
      <c r="H46" s="654">
        <f t="shared" si="19"/>
        <v>14.570907581316519</v>
      </c>
      <c r="I46" s="651">
        <f>F46/H46</f>
        <v>0.27001577397538484</v>
      </c>
      <c r="J46" s="652" t="s">
        <v>259</v>
      </c>
      <c r="K46" s="654">
        <f>$D$31</f>
        <v>0.32</v>
      </c>
      <c r="L46" s="654">
        <f>K46*I22</f>
        <v>0.32</v>
      </c>
      <c r="M46" s="660">
        <f>L46/K46</f>
        <v>1</v>
      </c>
      <c r="N46" s="652" t="s">
        <v>260</v>
      </c>
      <c r="O46" s="659">
        <f>O41-O43</f>
        <v>-100</v>
      </c>
      <c r="P46" s="659">
        <f>P41-P43</f>
        <v>-100</v>
      </c>
      <c r="Q46" s="660">
        <f t="shared" si="14"/>
        <v>1</v>
      </c>
      <c r="R46" s="652" t="s">
        <v>1300</v>
      </c>
      <c r="S46" s="660">
        <f>2*S45</f>
        <v>3.6302848441482056</v>
      </c>
      <c r="T46" s="660">
        <f>2*T45</f>
        <v>-3.6302848441482056</v>
      </c>
      <c r="U46" s="660">
        <f>2*U45</f>
        <v>0</v>
      </c>
      <c r="V46" s="660">
        <f>2*V45</f>
        <v>0</v>
      </c>
      <c r="W46" s="661">
        <f>G6/W44/2</f>
        <v>4</v>
      </c>
      <c r="X46" s="661"/>
      <c r="Y46" s="652"/>
      <c r="Z46" s="656" t="s">
        <v>1301</v>
      </c>
      <c r="AA46" s="656"/>
      <c r="AB46" s="672" t="s">
        <v>619</v>
      </c>
      <c r="AC46" s="672"/>
      <c r="AD46" s="656" t="s">
        <v>1303</v>
      </c>
      <c r="AE46" s="656" t="s">
        <v>1304</v>
      </c>
      <c r="AF46" s="652" t="s">
        <v>1305</v>
      </c>
      <c r="AG46" s="654">
        <f t="shared" ref="AG46:AJ48" si="21">Z52</f>
        <v>5.9388015787076344E-2</v>
      </c>
      <c r="AH46" s="654">
        <f t="shared" si="21"/>
        <v>5.9388015787076344E-2</v>
      </c>
      <c r="AI46" s="654">
        <f t="shared" si="21"/>
        <v>0.83139033107728511</v>
      </c>
      <c r="AJ46" s="654">
        <f t="shared" si="21"/>
        <v>0.83139033107728511</v>
      </c>
      <c r="AK46" s="654">
        <f>($T$76+$T$77)/2</f>
        <v>7.1707420508321831E-5</v>
      </c>
      <c r="AL46" s="654"/>
    </row>
    <row r="47" spans="1:38">
      <c r="A47" s="650" t="s">
        <v>1753</v>
      </c>
      <c r="B47" s="650">
        <v>582.39626969807807</v>
      </c>
      <c r="C47" s="650">
        <v>833.55579698023246</v>
      </c>
      <c r="D47" s="650">
        <v>388.72607061042584</v>
      </c>
      <c r="E47" s="651">
        <f t="shared" si="20"/>
        <v>0.89084048073389888</v>
      </c>
      <c r="F47" s="654">
        <f t="shared" si="17"/>
        <v>2.0599028535440649</v>
      </c>
      <c r="G47" s="654">
        <f t="shared" si="18"/>
        <v>6.6177851479127945</v>
      </c>
      <c r="H47" s="654">
        <f t="shared" si="19"/>
        <v>7.428698281044527</v>
      </c>
      <c r="I47" s="651">
        <f t="shared" ref="I47:I53" si="22">F47/H47</f>
        <v>0.27728987981652531</v>
      </c>
      <c r="J47" s="652" t="s">
        <v>261</v>
      </c>
      <c r="K47" s="654">
        <f>$E$31</f>
        <v>3.1E-2</v>
      </c>
      <c r="L47" s="654">
        <f>(1+L57)/(1/L58+L57*2.7/L52)</f>
        <v>3.1E-2</v>
      </c>
      <c r="M47" s="660">
        <f>L47/K47</f>
        <v>1</v>
      </c>
      <c r="N47" s="652"/>
      <c r="O47" s="654"/>
      <c r="P47" s="654"/>
      <c r="Q47" s="654"/>
      <c r="S47" s="673"/>
      <c r="T47" s="673"/>
      <c r="U47" s="673"/>
      <c r="V47" s="674"/>
      <c r="W47" s="656"/>
      <c r="X47" s="656"/>
      <c r="Y47" s="652">
        <v>1</v>
      </c>
      <c r="Z47" s="654">
        <f>B14</f>
        <v>1</v>
      </c>
      <c r="AA47" s="654"/>
      <c r="AB47" s="654">
        <f>Z47*S62+Z48*S64+Z49*S66</f>
        <v>831.39033107728505</v>
      </c>
      <c r="AC47" s="654"/>
      <c r="AD47" s="665" t="s">
        <v>1306</v>
      </c>
      <c r="AE47" s="654">
        <f>(AB47+AB48)/2</f>
        <v>209.77127594544538</v>
      </c>
      <c r="AF47" s="652" t="s">
        <v>1307</v>
      </c>
      <c r="AG47" s="654">
        <f t="shared" si="21"/>
        <v>0.36015453610381437</v>
      </c>
      <c r="AH47" s="654">
        <f t="shared" si="21"/>
        <v>0.36015453610381437</v>
      </c>
      <c r="AI47" s="654">
        <f t="shared" si="21"/>
        <v>-0.41184777918639437</v>
      </c>
      <c r="AJ47" s="654">
        <f t="shared" si="21"/>
        <v>-0.41184777918639437</v>
      </c>
      <c r="AK47" s="654">
        <f>($T$76-$T$77)/2</f>
        <v>-6.223154817968526E-5</v>
      </c>
      <c r="AL47" s="654"/>
    </row>
    <row r="48" spans="1:38">
      <c r="A48" s="650" t="s">
        <v>1780</v>
      </c>
      <c r="B48" s="650">
        <v>593.12155360965369</v>
      </c>
      <c r="C48" s="650">
        <v>610.63621020744426</v>
      </c>
      <c r="D48" s="664">
        <v>319.55130101110836</v>
      </c>
      <c r="E48" s="651">
        <f t="shared" si="20"/>
        <v>0.93995767092741855</v>
      </c>
      <c r="F48" s="654">
        <f t="shared" si="17"/>
        <v>2.7610466199461321</v>
      </c>
      <c r="G48" s="654">
        <f t="shared" si="18"/>
        <v>9.7930691219742361</v>
      </c>
      <c r="H48" s="654">
        <f t="shared" si="19"/>
        <v>10.418627800879381</v>
      </c>
      <c r="I48" s="651">
        <f t="shared" si="22"/>
        <v>0.26501058226814539</v>
      </c>
      <c r="J48" s="652" t="s">
        <v>262</v>
      </c>
      <c r="K48" s="659">
        <f>$B$33</f>
        <v>125</v>
      </c>
      <c r="L48" s="659">
        <f>K48/M50</f>
        <v>125</v>
      </c>
      <c r="M48" s="660">
        <f>L48/K48</f>
        <v>1</v>
      </c>
      <c r="N48" s="653" t="s">
        <v>1531</v>
      </c>
      <c r="O48" s="654"/>
      <c r="P48" s="654"/>
      <c r="Q48" s="654"/>
      <c r="R48" s="652" t="s">
        <v>1308</v>
      </c>
      <c r="S48" s="673">
        <v>1</v>
      </c>
      <c r="T48" s="673">
        <f>S49</f>
        <v>0.75</v>
      </c>
      <c r="U48" s="673">
        <f>T49</f>
        <v>0.5</v>
      </c>
      <c r="V48" s="671">
        <f>U49</f>
        <v>0.25</v>
      </c>
      <c r="W48" s="673"/>
      <c r="X48" s="656"/>
      <c r="Y48" s="652">
        <v>2</v>
      </c>
      <c r="Z48" s="654">
        <f>B15</f>
        <v>0</v>
      </c>
      <c r="AA48" s="654"/>
      <c r="AB48" s="654">
        <f>Z47*S64+Z48*S63+Z49*S67</f>
        <v>-411.84777918639429</v>
      </c>
      <c r="AC48" s="654"/>
      <c r="AD48" s="665" t="s">
        <v>1309</v>
      </c>
      <c r="AE48" s="654">
        <f>(AB47-AB48)/2</f>
        <v>621.61905513183967</v>
      </c>
      <c r="AF48" s="652" t="s">
        <v>1310</v>
      </c>
      <c r="AG48" s="654">
        <f t="shared" si="21"/>
        <v>-1.2063086251322941</v>
      </c>
      <c r="AH48" s="654">
        <f t="shared" si="21"/>
        <v>1.2063086251322941</v>
      </c>
      <c r="AI48" s="654">
        <f t="shared" si="21"/>
        <v>0</v>
      </c>
      <c r="AJ48" s="654">
        <f t="shared" si="21"/>
        <v>0</v>
      </c>
      <c r="AK48" s="654">
        <f>$T$78/2</f>
        <v>0</v>
      </c>
      <c r="AL48" s="654"/>
    </row>
    <row r="49" spans="1:38">
      <c r="A49" s="650" t="s">
        <v>1774</v>
      </c>
      <c r="B49" s="650">
        <v>405.7058975497585</v>
      </c>
      <c r="C49" s="650">
        <v>429.62937956384849</v>
      </c>
      <c r="D49" s="650">
        <v>212.7392950134564</v>
      </c>
      <c r="E49" s="651">
        <f t="shared" si="20"/>
        <v>0.98106335242603782</v>
      </c>
      <c r="F49" s="654">
        <f t="shared" si="17"/>
        <v>5.7371302111343754</v>
      </c>
      <c r="G49" s="654">
        <f t="shared" si="18"/>
        <v>22.095537388477862</v>
      </c>
      <c r="H49" s="654">
        <f t="shared" si="19"/>
        <v>22.522029116507682</v>
      </c>
      <c r="I49" s="651">
        <f t="shared" si="22"/>
        <v>0.25473416189349052</v>
      </c>
      <c r="J49" s="653" t="s">
        <v>264</v>
      </c>
      <c r="K49" s="654"/>
      <c r="L49" s="654"/>
      <c r="N49" s="652" t="s">
        <v>265</v>
      </c>
      <c r="O49" s="654">
        <f>$A$34</f>
        <v>0.02</v>
      </c>
      <c r="P49" s="654">
        <f>O49</f>
        <v>0.02</v>
      </c>
      <c r="Q49" s="654">
        <f>P49/O49</f>
        <v>1</v>
      </c>
      <c r="R49" s="652" t="s">
        <v>1311</v>
      </c>
      <c r="S49" s="673">
        <f>S48-S44/$W$46</f>
        <v>0.75</v>
      </c>
      <c r="T49" s="673">
        <f>T48-T44/$W$46</f>
        <v>0.5</v>
      </c>
      <c r="U49" s="673">
        <f>U48-U44/$W$46</f>
        <v>0.25</v>
      </c>
      <c r="V49" s="673">
        <f>V48-V44/$W$46</f>
        <v>0</v>
      </c>
      <c r="Y49" s="652">
        <v>6</v>
      </c>
      <c r="Z49" s="654">
        <f>B16</f>
        <v>0</v>
      </c>
      <c r="AA49" s="654"/>
      <c r="AB49" s="654">
        <f>Z47*S66+Z48*S67+Z49*S65</f>
        <v>0</v>
      </c>
      <c r="AC49" s="654"/>
      <c r="AD49" s="665" t="s">
        <v>1312</v>
      </c>
      <c r="AE49" s="654">
        <f>AB49/2</f>
        <v>0</v>
      </c>
      <c r="AF49" s="652"/>
      <c r="AG49" s="654"/>
      <c r="AH49" s="654"/>
      <c r="AI49" s="654"/>
      <c r="AJ49" s="654"/>
      <c r="AK49" s="654"/>
      <c r="AL49" s="654"/>
    </row>
    <row r="50" spans="1:38">
      <c r="A50" s="650" t="s">
        <v>1788</v>
      </c>
      <c r="B50" s="650">
        <v>288.11627573802645</v>
      </c>
      <c r="C50" s="650">
        <v>546.18150694036513</v>
      </c>
      <c r="D50" s="650">
        <v>206.4</v>
      </c>
      <c r="E50" s="651">
        <f t="shared" si="20"/>
        <v>0.9602155384432105</v>
      </c>
      <c r="F50" s="654">
        <f t="shared" si="17"/>
        <v>6.3547023938579716</v>
      </c>
      <c r="G50" s="654">
        <f t="shared" si="18"/>
        <v>23.473649420106963</v>
      </c>
      <c r="H50" s="654">
        <f t="shared" si="19"/>
        <v>24.446229497769423</v>
      </c>
      <c r="I50" s="651">
        <f t="shared" si="22"/>
        <v>0.25994611538919743</v>
      </c>
      <c r="J50" s="652" t="s">
        <v>1532</v>
      </c>
      <c r="K50" s="654">
        <f>$C$33</f>
        <v>0.55000000000000004</v>
      </c>
      <c r="L50" s="654">
        <f>$D$22</f>
        <v>0.55000000000000004</v>
      </c>
      <c r="M50" s="660">
        <f t="shared" ref="M50:M58" si="23">L50/K50</f>
        <v>1</v>
      </c>
      <c r="N50" s="652" t="s">
        <v>1533</v>
      </c>
      <c r="O50" s="654">
        <f>$B$34</f>
        <v>22.5</v>
      </c>
      <c r="P50" s="654">
        <f>O50*(1-L50)/(1-K50)</f>
        <v>22.5</v>
      </c>
      <c r="Q50" s="654">
        <f>P50/O50</f>
        <v>1</v>
      </c>
      <c r="R50" s="652" t="s">
        <v>1321</v>
      </c>
      <c r="S50" s="673">
        <f>S48-S49</f>
        <v>0.25</v>
      </c>
      <c r="T50" s="673">
        <f>T48-T49</f>
        <v>0.25</v>
      </c>
      <c r="U50" s="673">
        <f>U48-U49</f>
        <v>0.25</v>
      </c>
      <c r="V50" s="671">
        <f>V48-V49</f>
        <v>0.25</v>
      </c>
      <c r="W50" s="656" t="s">
        <v>603</v>
      </c>
      <c r="X50" s="656"/>
      <c r="Z50" s="654"/>
      <c r="AA50" s="654"/>
      <c r="AB50" s="654"/>
      <c r="AC50" s="654"/>
      <c r="AD50" s="665"/>
      <c r="AE50" s="654"/>
      <c r="AF50" s="652"/>
      <c r="AG50" s="654"/>
      <c r="AH50" s="654"/>
      <c r="AI50" s="654"/>
      <c r="AJ50" s="654"/>
      <c r="AK50" s="654"/>
      <c r="AL50" s="654"/>
    </row>
    <row r="51" spans="1:38">
      <c r="A51" s="650" t="s">
        <v>1772</v>
      </c>
      <c r="B51" s="650">
        <v>384.90434455467846</v>
      </c>
      <c r="C51" s="650">
        <v>622.96755409419268</v>
      </c>
      <c r="D51" s="650">
        <v>252.1</v>
      </c>
      <c r="E51" s="651">
        <f t="shared" si="20"/>
        <v>0.97077994816761315</v>
      </c>
      <c r="F51" s="654">
        <f t="shared" si="17"/>
        <v>4.170438861851153</v>
      </c>
      <c r="G51" s="654">
        <f t="shared" si="18"/>
        <v>15.734549341265225</v>
      </c>
      <c r="H51" s="654">
        <f t="shared" si="19"/>
        <v>16.208152394334917</v>
      </c>
      <c r="I51" s="651">
        <f t="shared" si="22"/>
        <v>0.25730501295809677</v>
      </c>
      <c r="J51" s="652" t="s">
        <v>1534</v>
      </c>
      <c r="K51" s="659">
        <f>K44/K50</f>
        <v>1.5999999999999999</v>
      </c>
      <c r="L51" s="659">
        <f>$F$22*P45^$F$34</f>
        <v>1.5999999999999999</v>
      </c>
      <c r="M51" s="660">
        <f t="shared" si="23"/>
        <v>1</v>
      </c>
      <c r="N51" s="650" t="s">
        <v>1535</v>
      </c>
      <c r="O51" s="654"/>
      <c r="P51" s="654"/>
      <c r="Q51" s="654"/>
      <c r="R51" s="652"/>
      <c r="S51" s="673"/>
      <c r="T51" s="673"/>
      <c r="U51" s="673"/>
      <c r="V51" s="671"/>
      <c r="W51" s="655">
        <f>H6/1000</f>
        <v>2.5000000000000001E-3</v>
      </c>
      <c r="Y51" s="653" t="s">
        <v>1323</v>
      </c>
      <c r="Z51" s="654"/>
      <c r="AA51" s="654"/>
      <c r="AB51" s="654"/>
      <c r="AC51" s="654"/>
      <c r="AD51" s="665"/>
      <c r="AE51" s="654"/>
      <c r="AF51" s="652"/>
      <c r="AG51" s="654"/>
      <c r="AH51" s="654"/>
      <c r="AI51" s="654"/>
      <c r="AJ51" s="654"/>
      <c r="AK51" s="654"/>
      <c r="AL51" s="654"/>
    </row>
    <row r="52" spans="1:38">
      <c r="A52" s="650" t="s">
        <v>443</v>
      </c>
      <c r="B52" s="650">
        <v>259.41753077874148</v>
      </c>
      <c r="C52" s="650">
        <v>465.12563655659937</v>
      </c>
      <c r="D52" s="650">
        <v>180.1</v>
      </c>
      <c r="E52" s="651">
        <f t="shared" si="20"/>
        <v>0.96372968821833216</v>
      </c>
      <c r="F52" s="654">
        <f t="shared" si="17"/>
        <v>8.2876309069530087</v>
      </c>
      <c r="G52" s="654">
        <f t="shared" si="18"/>
        <v>30.829932534858635</v>
      </c>
      <c r="H52" s="654">
        <f t="shared" si="19"/>
        <v>31.990228081335335</v>
      </c>
      <c r="I52" s="651">
        <f t="shared" si="22"/>
        <v>0.25906757794541696</v>
      </c>
      <c r="J52" s="652" t="s">
        <v>1536</v>
      </c>
      <c r="K52" s="654">
        <f>$F$31</f>
        <v>3.4</v>
      </c>
      <c r="L52" s="654">
        <f>$E$22*P45^$F$33*I22</f>
        <v>3.4</v>
      </c>
      <c r="M52" s="660">
        <f t="shared" si="23"/>
        <v>1</v>
      </c>
      <c r="N52" s="652" t="s">
        <v>1537</v>
      </c>
      <c r="O52" s="654">
        <f>$C$34</f>
        <v>0</v>
      </c>
      <c r="P52" s="654">
        <f>O52</f>
        <v>0</v>
      </c>
      <c r="Q52" s="654">
        <v>1</v>
      </c>
      <c r="R52" s="652"/>
      <c r="S52" s="673"/>
      <c r="T52" s="673"/>
      <c r="U52" s="673"/>
      <c r="V52" s="671"/>
      <c r="Y52" s="652" t="s">
        <v>1324</v>
      </c>
      <c r="Z52" s="654">
        <f>($AE$47+$AE$48*COS(Z43)+$AE$49*SIN(Z43))/1000</f>
        <v>5.9388015787076344E-2</v>
      </c>
      <c r="AA52" s="654">
        <f>($AE$47+$AE$48*COS(AA43)+$AE$49*SIN(AA43))/1000</f>
        <v>5.9388015787076344E-2</v>
      </c>
      <c r="AB52" s="654">
        <f>($AE$47+$AE$48*COS(AB43)+$AE$49*SIN(AB43))/1000</f>
        <v>0.83139033107728511</v>
      </c>
      <c r="AC52" s="654">
        <f>($AE$47+$AE$48*COS(AC43)+$AE$49*SIN(AC43))/1000</f>
        <v>0.83139033107728511</v>
      </c>
      <c r="AD52" s="665"/>
      <c r="AE52" s="654"/>
      <c r="AF52" s="653"/>
      <c r="AG52" s="665"/>
      <c r="AH52" s="665"/>
      <c r="AI52" s="665"/>
      <c r="AJ52" s="665"/>
      <c r="AK52" s="654"/>
      <c r="AL52" s="654"/>
    </row>
    <row r="53" spans="1:38">
      <c r="A53" s="650" t="s">
        <v>1771</v>
      </c>
      <c r="B53" s="650">
        <v>325.23286297077129</v>
      </c>
      <c r="C53" s="650">
        <v>629.01872552425311</v>
      </c>
      <c r="D53" s="650">
        <v>253.3</v>
      </c>
      <c r="E53" s="651">
        <f t="shared" si="20"/>
        <v>0.88711271737373165</v>
      </c>
      <c r="F53" s="654">
        <f t="shared" si="17"/>
        <v>4.8881216262698173</v>
      </c>
      <c r="G53" s="654">
        <f t="shared" si="18"/>
        <v>15.585818712926207</v>
      </c>
      <c r="H53" s="654">
        <f t="shared" si="19"/>
        <v>17.569152609002739</v>
      </c>
      <c r="I53" s="651">
        <f t="shared" si="22"/>
        <v>0.27822182065656709</v>
      </c>
      <c r="J53" s="652" t="s">
        <v>1538</v>
      </c>
      <c r="K53" s="654">
        <f>$E$33</f>
        <v>0.52</v>
      </c>
      <c r="L53" s="654">
        <f>K53*P45^$G$33</f>
        <v>0.52</v>
      </c>
      <c r="M53" s="660">
        <f t="shared" si="23"/>
        <v>1</v>
      </c>
      <c r="N53" s="652" t="s">
        <v>1539</v>
      </c>
      <c r="O53" s="654">
        <f>$D$34</f>
        <v>0.6</v>
      </c>
      <c r="P53" s="654">
        <f>O53*(1-L50)/(1-K50)</f>
        <v>0.6</v>
      </c>
      <c r="Q53" s="654">
        <f>P53/O53</f>
        <v>1</v>
      </c>
      <c r="R53" s="652" t="s">
        <v>1325</v>
      </c>
      <c r="S53" s="656" t="s">
        <v>1326</v>
      </c>
      <c r="T53" s="656" t="s">
        <v>1327</v>
      </c>
      <c r="U53" s="656" t="s">
        <v>1328</v>
      </c>
      <c r="V53" s="656" t="s">
        <v>1329</v>
      </c>
      <c r="W53" s="656" t="s">
        <v>1330</v>
      </c>
      <c r="X53" s="656" t="s">
        <v>1331</v>
      </c>
      <c r="Y53" s="652" t="s">
        <v>1332</v>
      </c>
      <c r="Z53" s="654">
        <f>2*$AE$47/1000-Z52</f>
        <v>0.36015453610381437</v>
      </c>
      <c r="AA53" s="654">
        <f>2*$AE$47/1000-AA52</f>
        <v>0.36015453610381437</v>
      </c>
      <c r="AB53" s="654">
        <f>2*$AE$47/1000-AB52</f>
        <v>-0.41184777918639437</v>
      </c>
      <c r="AC53" s="654">
        <f>2*$AE$47/1000-AC52</f>
        <v>-0.41184777918639437</v>
      </c>
      <c r="AD53" s="654"/>
      <c r="AE53" s="654"/>
      <c r="AF53" s="652" t="s">
        <v>1333</v>
      </c>
      <c r="AG53" s="654">
        <f>$P$72*AG46^2+2*$P$74*AG46*AG47+$P$73*AG47^2+$P$75*AG48^2</f>
        <v>0.18490405798785345</v>
      </c>
      <c r="AH53" s="654">
        <f>$P$72*AH46^2+2*$P$74*AH46*AH47+$P$73*AH47^2+$P$75*AH48^2</f>
        <v>0.18490405798785345</v>
      </c>
      <c r="AI53" s="654">
        <f>$P$72*AI46^2+2*$P$74*AI46*AI47+$P$73*AI47^2+$P$75*AI48^2</f>
        <v>0.15239061663128553</v>
      </c>
      <c r="AJ53" s="654">
        <f>$P$72*AJ46^2+2*$P$74*AJ46*AJ47+$P$73*AJ47^2+$P$75*AJ48^2</f>
        <v>0.15239061663128553</v>
      </c>
      <c r="AK53" s="654"/>
      <c r="AL53" s="654"/>
    </row>
    <row r="54" spans="1:38">
      <c r="E54" s="651">
        <f>MEDIAN(E44:E53)</f>
        <v>0.96184029409386551</v>
      </c>
      <c r="F54" s="654">
        <f>2*I54+E54/2</f>
        <v>1</v>
      </c>
      <c r="H54" s="650" t="s">
        <v>1728</v>
      </c>
      <c r="I54" s="651">
        <f>MEDIAN(I44:I53)</f>
        <v>0.25953992647653368</v>
      </c>
      <c r="J54" s="652" t="s">
        <v>1547</v>
      </c>
      <c r="K54" s="654">
        <f>K53*(1-K50)/K50</f>
        <v>0.42545454545454542</v>
      </c>
      <c r="L54" s="654">
        <f>L53*(1-L50)/L50</f>
        <v>0.42545454545454542</v>
      </c>
      <c r="M54" s="660">
        <f t="shared" si="23"/>
        <v>1</v>
      </c>
      <c r="O54" s="654"/>
      <c r="P54" s="654"/>
      <c r="Q54" s="654"/>
      <c r="R54" s="652">
        <v>11</v>
      </c>
      <c r="S54" s="655">
        <f>$L$66+$L$67*COS(S45)+$L$68*COS(S46)</f>
        <v>0.18443911470218613</v>
      </c>
      <c r="T54" s="655">
        <f>$L$66+$L$67*COS(T45)+$L$68*COS(T46)</f>
        <v>0.18443911470218613</v>
      </c>
      <c r="U54" s="655">
        <f>$L$66+$L$67*COS(U45)+$L$68*COS(U46)</f>
        <v>0.88535721602716078</v>
      </c>
      <c r="V54" s="655">
        <f>$L$66+$L$67*COS(V45)+$L$68*COS(V46)</f>
        <v>0.88535721602716078</v>
      </c>
      <c r="W54" s="655">
        <f t="shared" ref="W54:W59" si="24">($S$50*S54+$T$50*T54+$U$50*U54+$V$50*V54)*$W$51</f>
        <v>1.3372454134116835E-3</v>
      </c>
      <c r="X54" s="654">
        <f t="shared" ref="X54:X59" si="25">W54/$W$51</f>
        <v>0.53489816536467338</v>
      </c>
      <c r="Y54" s="652" t="s">
        <v>1334</v>
      </c>
      <c r="Z54" s="654">
        <f>(2*($AE$49*COS(Z43)-$AE$48*SIN(Z43)))/1000</f>
        <v>-1.2063086251322941</v>
      </c>
      <c r="AA54" s="654">
        <f>(2*($AE$49*COS(AA43)-$AE$48*SIN(AA43)))/1000</f>
        <v>1.2063086251322941</v>
      </c>
      <c r="AB54" s="654">
        <f>(2*($AE$49*COS(AB43)-$AE$48*SIN(AB43)))/1000</f>
        <v>0</v>
      </c>
      <c r="AC54" s="654">
        <f>(2*($AE$49*COS(AC43)-$AE$48*SIN(AC43)))/1000</f>
        <v>0</v>
      </c>
      <c r="AD54" s="654"/>
      <c r="AE54" s="654"/>
      <c r="AF54" s="652" t="s">
        <v>1335</v>
      </c>
      <c r="AG54" s="654">
        <f>$P$76*AG46+$P$77*AG47</f>
        <v>0.19843415017572025</v>
      </c>
      <c r="AH54" s="654">
        <f>$P$76*AH46+$P$77*AH47</f>
        <v>0.19843415017572025</v>
      </c>
      <c r="AI54" s="654">
        <f>$P$76*AI46+$P$77*AI47</f>
        <v>-0.22958545324481627</v>
      </c>
      <c r="AJ54" s="654">
        <f>$P$76*AJ46+$P$77*AJ47</f>
        <v>-0.22958545324481627</v>
      </c>
      <c r="AK54" s="654"/>
      <c r="AL54" s="654"/>
    </row>
    <row r="55" spans="1:38">
      <c r="E55" s="650">
        <f>STDEV(E44:E53)</f>
        <v>3.3854166381305298E-2</v>
      </c>
      <c r="H55" s="650" t="s">
        <v>1775</v>
      </c>
      <c r="I55" s="650">
        <f>STDEV(I44:I53)</f>
        <v>8.4635415953263297E-3</v>
      </c>
      <c r="J55" s="652" t="s">
        <v>1548</v>
      </c>
      <c r="K55" s="654">
        <f>1/((1+K54)/K45-K54/K52)</f>
        <v>3.6646878457785997E-2</v>
      </c>
      <c r="L55" s="654">
        <f>K55*P45^$F$34</f>
        <v>3.6646878457785997E-2</v>
      </c>
      <c r="M55" s="660">
        <f t="shared" si="23"/>
        <v>1</v>
      </c>
      <c r="N55" s="650" t="s">
        <v>1148</v>
      </c>
      <c r="O55" s="654"/>
      <c r="P55" s="654"/>
      <c r="Q55" s="654"/>
      <c r="R55" s="652">
        <v>22</v>
      </c>
      <c r="S55" s="655">
        <f>S54-2*$L$67*COS(S45)</f>
        <v>0.38596988865089527</v>
      </c>
      <c r="T55" s="655">
        <f>T54-2*$L$67*COS(T45)</f>
        <v>0.38596988865089527</v>
      </c>
      <c r="U55" s="655">
        <f>U54-2*$L$67*COS(U45)</f>
        <v>5.2316562765241326E-2</v>
      </c>
      <c r="V55" s="655">
        <f>V54-2*$L$67*COS(V45)</f>
        <v>5.2316562765241326E-2</v>
      </c>
      <c r="W55" s="655">
        <f t="shared" si="24"/>
        <v>5.478580642701707E-4</v>
      </c>
      <c r="X55" s="654">
        <f t="shared" si="25"/>
        <v>0.21914322570806827</v>
      </c>
      <c r="Y55" s="652"/>
      <c r="Z55" s="654"/>
      <c r="AA55" s="654"/>
      <c r="AB55" s="654"/>
      <c r="AC55" s="654"/>
      <c r="AD55" s="654"/>
      <c r="AE55" s="654"/>
      <c r="AF55" s="652" t="s">
        <v>1344</v>
      </c>
      <c r="AG55" s="654">
        <f>AG54/2/AG53</f>
        <v>0.53658679083385941</v>
      </c>
      <c r="AH55" s="654">
        <f>AH54/2/AH53</f>
        <v>0.53658679083385941</v>
      </c>
      <c r="AI55" s="654">
        <f>AI54/2/AI53</f>
        <v>-0.75327949423653284</v>
      </c>
      <c r="AJ55" s="654">
        <f>AJ54/2/AJ53</f>
        <v>-0.75327949423653284</v>
      </c>
      <c r="AK55" s="654"/>
      <c r="AL55" s="654"/>
    </row>
    <row r="56" spans="1:38">
      <c r="E56" s="718">
        <f>E55/E54</f>
        <v>3.5197284402811148E-2</v>
      </c>
      <c r="H56" s="650" t="s">
        <v>1729</v>
      </c>
      <c r="I56" s="718">
        <f>I55/I54</f>
        <v>3.2609786518112319E-2</v>
      </c>
      <c r="J56" s="652" t="s">
        <v>295</v>
      </c>
      <c r="K56" s="654">
        <f>$E$34</f>
        <v>0.32</v>
      </c>
      <c r="L56" s="654">
        <f>K56*P45^$G$33</f>
        <v>0.32</v>
      </c>
      <c r="M56" s="660">
        <f t="shared" si="23"/>
        <v>1</v>
      </c>
      <c r="N56" s="652" t="s">
        <v>296</v>
      </c>
      <c r="O56" s="659">
        <f>$A$32</f>
        <v>2530</v>
      </c>
      <c r="P56" s="659">
        <f>P62*L50</f>
        <v>2530</v>
      </c>
      <c r="Q56" s="654">
        <f t="shared" ref="Q56:Q63" si="26">P56/O56</f>
        <v>1</v>
      </c>
      <c r="R56" s="652" t="s">
        <v>1345</v>
      </c>
      <c r="S56" s="655">
        <f>$L$69-$L$68*COS(S46)</f>
        <v>0.20037368780453763</v>
      </c>
      <c r="T56" s="655">
        <f>$L$69-$L$68*COS(T46)</f>
        <v>0.20037368780453763</v>
      </c>
      <c r="U56" s="655">
        <f>$L$69-$L$68*COS(U46)</f>
        <v>1.6741300084877217E-2</v>
      </c>
      <c r="V56" s="655">
        <f>$L$69-$L$68*COS(V46)</f>
        <v>1.6741300084877217E-2</v>
      </c>
      <c r="W56" s="655">
        <f t="shared" si="24"/>
        <v>2.7139373486176859E-4</v>
      </c>
      <c r="X56" s="654">
        <f t="shared" si="25"/>
        <v>0.10855749394470743</v>
      </c>
      <c r="Y56" s="652"/>
      <c r="Z56" s="654"/>
      <c r="AA56" s="654"/>
      <c r="AB56" s="654"/>
      <c r="AC56" s="654"/>
      <c r="AD56" s="654"/>
      <c r="AE56" s="654"/>
      <c r="AF56" s="652"/>
      <c r="AG56" s="676"/>
      <c r="AH56" s="676"/>
      <c r="AI56" s="676"/>
      <c r="AJ56" s="676"/>
      <c r="AK56" s="676"/>
    </row>
    <row r="57" spans="1:38">
      <c r="J57" s="652" t="s">
        <v>301</v>
      </c>
      <c r="K57" s="654">
        <f>K56*(1-K50)/K50</f>
        <v>0.26181818181818178</v>
      </c>
      <c r="L57" s="654">
        <f>L56*(1-L50)/L50</f>
        <v>0.26181818181818178</v>
      </c>
      <c r="M57" s="660">
        <f t="shared" si="23"/>
        <v>1</v>
      </c>
      <c r="N57" s="652" t="s">
        <v>302</v>
      </c>
      <c r="O57" s="659">
        <f>$B$32</f>
        <v>1669</v>
      </c>
      <c r="P57" s="659">
        <f>O57*Q56*M47^E35</f>
        <v>1669</v>
      </c>
      <c r="Q57" s="654">
        <f t="shared" si="26"/>
        <v>1</v>
      </c>
      <c r="R57" s="652">
        <v>66</v>
      </c>
      <c r="S57" s="655">
        <f>S56-$L$69+$L$70</f>
        <v>0.21463238771966042</v>
      </c>
      <c r="T57" s="655">
        <f>T56-$L$69+$L$70</f>
        <v>0.21463238771966042</v>
      </c>
      <c r="U57" s="655">
        <f>U56-$L$69+$L$70</f>
        <v>3.1000000000000028E-2</v>
      </c>
      <c r="V57" s="655">
        <f>V56-$L$69+$L$70</f>
        <v>3.1000000000000028E-2</v>
      </c>
      <c r="W57" s="655">
        <f t="shared" si="24"/>
        <v>3.0704048464957559E-4</v>
      </c>
      <c r="X57" s="654">
        <f t="shared" si="25"/>
        <v>0.12281619385983024</v>
      </c>
      <c r="Y57" s="652"/>
      <c r="Z57" s="654"/>
      <c r="AA57" s="654"/>
      <c r="AB57" s="654"/>
      <c r="AC57" s="654"/>
      <c r="AD57" s="654"/>
      <c r="AE57" s="654"/>
      <c r="AF57" s="652"/>
      <c r="AG57" s="676"/>
      <c r="AH57" s="676"/>
      <c r="AI57" s="676"/>
      <c r="AJ57" s="676"/>
      <c r="AK57" s="676"/>
    </row>
    <row r="58" spans="1:38" s="685" customFormat="1">
      <c r="A58" s="735" t="s">
        <v>1782</v>
      </c>
      <c r="B58" s="735" t="s">
        <v>1809</v>
      </c>
      <c r="C58" s="735" t="s">
        <v>1810</v>
      </c>
      <c r="D58" s="735" t="s">
        <v>1543</v>
      </c>
      <c r="E58" s="735" t="s">
        <v>1811</v>
      </c>
      <c r="F58" s="735" t="s">
        <v>1784</v>
      </c>
      <c r="G58" s="735" t="s">
        <v>1785</v>
      </c>
      <c r="H58" s="735" t="s">
        <v>1786</v>
      </c>
      <c r="I58" s="735" t="s">
        <v>1798</v>
      </c>
      <c r="J58" s="735" t="s">
        <v>304</v>
      </c>
      <c r="K58" s="1008">
        <f>1/((1+K57)/K47-K57*2.7/K52)</f>
        <v>2.4693859190562818E-2</v>
      </c>
      <c r="L58" s="1008">
        <f>K58*P45^$F$34</f>
        <v>2.4693859190562818E-2</v>
      </c>
      <c r="M58" s="675">
        <f t="shared" si="23"/>
        <v>1</v>
      </c>
      <c r="N58" s="735" t="s">
        <v>305</v>
      </c>
      <c r="O58" s="1009">
        <f>$C$32</f>
        <v>66</v>
      </c>
      <c r="P58" s="1009">
        <f>O58*Q63</f>
        <v>66</v>
      </c>
      <c r="Q58" s="1008">
        <f t="shared" si="26"/>
        <v>1</v>
      </c>
      <c r="R58" s="735" t="s">
        <v>1347</v>
      </c>
      <c r="S58" s="1010">
        <f>$L$67*SIN(S45)/2+$L$68*SIN(S46)</f>
        <v>0.15628924993108362</v>
      </c>
      <c r="T58" s="1010">
        <f>$L$67*SIN(T45)/2+$L$68*SIN(T46)</f>
        <v>-0.15628924993108362</v>
      </c>
      <c r="U58" s="1010">
        <f>$L$67*SIN(U45)/2+$L$68*SIN(U46)</f>
        <v>0</v>
      </c>
      <c r="V58" s="1010">
        <f>$L$67*SIN(V45)/2+$L$68*SIN(V46)</f>
        <v>0</v>
      </c>
      <c r="W58" s="1010">
        <f t="shared" si="24"/>
        <v>0</v>
      </c>
      <c r="X58" s="1008">
        <f t="shared" si="25"/>
        <v>0</v>
      </c>
      <c r="Z58" s="1008"/>
      <c r="AA58" s="1008"/>
      <c r="AB58" s="1008"/>
      <c r="AC58" s="1008"/>
      <c r="AD58" s="1008"/>
      <c r="AE58" s="1008"/>
      <c r="AF58" s="735"/>
      <c r="AG58" s="1011"/>
      <c r="AH58" s="1011"/>
      <c r="AI58" s="1011"/>
      <c r="AJ58" s="1011"/>
      <c r="AK58" s="1012" t="s">
        <v>574</v>
      </c>
    </row>
    <row r="59" spans="1:38">
      <c r="A59" s="650" t="s">
        <v>1713</v>
      </c>
      <c r="B59" s="659">
        <v>407.42375018258883</v>
      </c>
      <c r="C59" s="659">
        <v>681.49177162256638</v>
      </c>
      <c r="D59" s="659">
        <v>272.25869309596419</v>
      </c>
      <c r="E59" s="654">
        <v>3.6015797972253409</v>
      </c>
      <c r="F59" s="654">
        <v>13.490762260638615</v>
      </c>
      <c r="G59" s="654">
        <v>13.948540724769989</v>
      </c>
      <c r="H59" s="654">
        <v>0.25820477340899262</v>
      </c>
      <c r="I59" s="654">
        <v>0.51668788221300233</v>
      </c>
      <c r="L59" s="654"/>
      <c r="N59" s="652" t="s">
        <v>1542</v>
      </c>
      <c r="O59" s="659">
        <f>$D$32</f>
        <v>220</v>
      </c>
      <c r="P59" s="659">
        <f>O59*Q63</f>
        <v>220</v>
      </c>
      <c r="Q59" s="654">
        <f t="shared" si="26"/>
        <v>1</v>
      </c>
      <c r="R59" s="652" t="s">
        <v>1349</v>
      </c>
      <c r="S59" s="655">
        <f>$L$67*SIN(S45)-S58</f>
        <v>0.24785864290601872</v>
      </c>
      <c r="T59" s="655">
        <f>$L$67*SIN(T45)-T58</f>
        <v>-0.24785864290601872</v>
      </c>
      <c r="U59" s="655">
        <f>$L$67*SIN(U45)-U58</f>
        <v>0</v>
      </c>
      <c r="V59" s="655">
        <f>$L$67*SIN(V45)-V58</f>
        <v>0</v>
      </c>
      <c r="W59" s="655">
        <f t="shared" si="24"/>
        <v>0</v>
      </c>
      <c r="X59" s="654">
        <f t="shared" si="25"/>
        <v>0</v>
      </c>
      <c r="Y59" s="650" t="s">
        <v>1158</v>
      </c>
      <c r="Z59" s="665" t="s">
        <v>569</v>
      </c>
      <c r="AA59" s="654"/>
      <c r="AB59" s="665" t="s">
        <v>570</v>
      </c>
      <c r="AC59" s="654"/>
      <c r="AD59" s="654"/>
      <c r="AE59" s="654"/>
      <c r="AF59" s="652" t="s">
        <v>1351</v>
      </c>
      <c r="AG59" s="651">
        <f>(AG55^2+1/AG53)^0.5-AG55</f>
        <v>1.8500710222734771</v>
      </c>
      <c r="AH59" s="651">
        <f>(AH55^2+1/AH53)^0.5-AH55</f>
        <v>1.8500710222734771</v>
      </c>
      <c r="AI59" s="651">
        <f>(AI55^2+1/AI53)^0.5-AI55</f>
        <v>3.4233944390096971</v>
      </c>
      <c r="AJ59" s="651">
        <f>(AJ55^2+1/AJ53)^0.5-AJ55</f>
        <v>3.4233944390096971</v>
      </c>
      <c r="AK59" s="651">
        <f>MIN(AG60:AJ60)</f>
        <v>1.8500710222734771</v>
      </c>
    </row>
    <row r="60" spans="1:38">
      <c r="A60" s="650" t="s">
        <v>1769</v>
      </c>
      <c r="B60" s="659">
        <v>423.32165854048424</v>
      </c>
      <c r="C60" s="659">
        <v>788.62020057130462</v>
      </c>
      <c r="D60" s="659">
        <v>299.64924667335356</v>
      </c>
      <c r="E60" s="654">
        <v>2.995446819608695</v>
      </c>
      <c r="F60" s="654">
        <v>11.1371384760351</v>
      </c>
      <c r="G60" s="654">
        <v>11.559462877234939</v>
      </c>
      <c r="H60" s="654">
        <v>0.25913373756386987</v>
      </c>
      <c r="I60" s="654">
        <v>0.51861371417100088</v>
      </c>
      <c r="J60" s="650" t="s">
        <v>1507</v>
      </c>
      <c r="N60" s="652" t="s">
        <v>1543</v>
      </c>
      <c r="O60" s="682">
        <f>$E$32</f>
        <v>93</v>
      </c>
      <c r="P60" s="682">
        <f>O60*Q63</f>
        <v>93</v>
      </c>
      <c r="Q60" s="654">
        <f t="shared" si="26"/>
        <v>1</v>
      </c>
      <c r="R60" s="653"/>
      <c r="V60" s="656" t="s">
        <v>1353</v>
      </c>
      <c r="W60" s="655">
        <f>W54*W55*W57+2*W56*W58*W59-W55*W58^2-W57*W56^2-W54*W59^2</f>
        <v>2.0232927817999186E-10</v>
      </c>
      <c r="Y60" s="652">
        <v>1</v>
      </c>
      <c r="Z60" s="654">
        <f>Z47/$AE$4</f>
        <v>400</v>
      </c>
      <c r="AA60" s="654"/>
      <c r="AB60" s="654">
        <f>AB47+AC47*$AE$4/2</f>
        <v>831.39033107728505</v>
      </c>
      <c r="AC60" s="654"/>
      <c r="AD60" s="654"/>
      <c r="AE60" s="654"/>
      <c r="AF60" s="652"/>
      <c r="AG60" s="651">
        <f>IF(AG42=0,1000000000,AG59)</f>
        <v>1.8500710222734771</v>
      </c>
      <c r="AH60" s="651">
        <f>IF(AH42=0,1000000000,AH59)</f>
        <v>1.8500710222734771</v>
      </c>
      <c r="AI60" s="651">
        <f>IF(AI42=0,1000000000,AI59)</f>
        <v>3.4233944390096971</v>
      </c>
      <c r="AJ60" s="651">
        <f>IF(AJ42=0,1000000000,AJ59)</f>
        <v>3.4233944390096971</v>
      </c>
    </row>
    <row r="61" spans="1:38">
      <c r="A61" s="650" t="s">
        <v>1755</v>
      </c>
      <c r="B61" s="659">
        <v>536.99368404811435</v>
      </c>
      <c r="C61" s="659">
        <v>473.32024742818157</v>
      </c>
      <c r="D61" s="659">
        <v>273.13520286927599</v>
      </c>
      <c r="E61" s="654">
        <v>3.9343748880929827</v>
      </c>
      <c r="F61" s="654">
        <v>13.404315610261108</v>
      </c>
      <c r="G61" s="654">
        <v>14.570907581316519</v>
      </c>
      <c r="H61" s="654">
        <v>0.27001577397538484</v>
      </c>
      <c r="I61" s="654">
        <v>0.54177074166547456</v>
      </c>
      <c r="J61" s="652" t="s">
        <v>1354</v>
      </c>
      <c r="K61" s="654">
        <f>K44/(1-K46^2*K45/K44)</f>
        <v>0.88535721602716078</v>
      </c>
      <c r="L61" s="654">
        <f>L44/(1-L46^2*L45/L44)</f>
        <v>0.88535721602716078</v>
      </c>
      <c r="M61" s="660">
        <f>L61/K61</f>
        <v>1</v>
      </c>
      <c r="N61" s="652" t="s">
        <v>1168</v>
      </c>
      <c r="O61" s="660">
        <f>$A$33</f>
        <v>-0.5</v>
      </c>
      <c r="P61" s="660">
        <f>O61*I22</f>
        <v>-0.5</v>
      </c>
      <c r="Q61" s="654">
        <f t="shared" si="26"/>
        <v>1</v>
      </c>
      <c r="R61" s="652" t="s">
        <v>1355</v>
      </c>
      <c r="S61" s="656" t="s">
        <v>1169</v>
      </c>
      <c r="T61" s="656"/>
      <c r="U61" s="656" t="s">
        <v>1357</v>
      </c>
      <c r="V61" s="656"/>
      <c r="W61" s="656" t="s">
        <v>1358</v>
      </c>
      <c r="X61" s="656"/>
      <c r="Y61" s="652">
        <v>2</v>
      </c>
      <c r="Z61" s="654">
        <f>Z48/$AE$4</f>
        <v>0</v>
      </c>
      <c r="AA61" s="654"/>
      <c r="AB61" s="654">
        <f>AB48+AC48*$AE$4/2</f>
        <v>-411.84777918639429</v>
      </c>
      <c r="AC61" s="654"/>
      <c r="AD61" s="654"/>
      <c r="AE61" s="654"/>
      <c r="AF61" s="650" t="s">
        <v>1360</v>
      </c>
      <c r="AG61" s="651">
        <f>IF(AG42=0,0,AG59)</f>
        <v>1.8500710222734771</v>
      </c>
      <c r="AH61" s="651">
        <f>IF(AH42=0,0,AH59)</f>
        <v>1.8500710222734771</v>
      </c>
      <c r="AI61" s="651">
        <f>IF(AI42=0,0,AI59)</f>
        <v>3.4233944390096971</v>
      </c>
      <c r="AJ61" s="651">
        <f>IF(AJ42=0,0,AJ59)</f>
        <v>3.4233944390096971</v>
      </c>
    </row>
    <row r="62" spans="1:38">
      <c r="A62" s="650" t="s">
        <v>1753</v>
      </c>
      <c r="B62" s="659">
        <v>582.39626969807807</v>
      </c>
      <c r="C62" s="659">
        <v>833.55579698023246</v>
      </c>
      <c r="D62" s="659">
        <v>388.72607061042584</v>
      </c>
      <c r="E62" s="654">
        <v>2.0599028535440649</v>
      </c>
      <c r="F62" s="654">
        <v>6.6177851479127945</v>
      </c>
      <c r="G62" s="654">
        <v>7.428698281044527</v>
      </c>
      <c r="H62" s="654">
        <v>0.27728987981652531</v>
      </c>
      <c r="I62" s="654">
        <v>0.5579137153899304</v>
      </c>
      <c r="J62" s="652" t="s">
        <v>1361</v>
      </c>
      <c r="K62" s="654">
        <f>K61*K45/K44</f>
        <v>5.2316562765241312E-2</v>
      </c>
      <c r="L62" s="654">
        <f>L61*L45/L44</f>
        <v>5.2316562765241312E-2</v>
      </c>
      <c r="M62" s="660">
        <f>L62/K62</f>
        <v>1</v>
      </c>
      <c r="N62" s="652" t="s">
        <v>1175</v>
      </c>
      <c r="O62" s="659">
        <f>O56/K50</f>
        <v>4600</v>
      </c>
      <c r="P62" s="659">
        <f>$H$22*P45^$G$34</f>
        <v>4600</v>
      </c>
      <c r="Q62" s="654">
        <f t="shared" si="26"/>
        <v>1</v>
      </c>
      <c r="R62" s="652">
        <v>11</v>
      </c>
      <c r="S62" s="655">
        <f>(W55*W57-W59^2)/W60</f>
        <v>831.39033107728505</v>
      </c>
      <c r="U62" s="655">
        <f t="shared" ref="U62:U67" si="27">S62*$W$51</f>
        <v>2.0784758276932127</v>
      </c>
      <c r="V62" s="655"/>
      <c r="W62" s="654">
        <f>1/U62</f>
        <v>0.48112178485609119</v>
      </c>
      <c r="Y62" s="652">
        <v>6</v>
      </c>
      <c r="Z62" s="654">
        <f>Z49/$AE$4</f>
        <v>0</v>
      </c>
      <c r="AA62" s="654"/>
      <c r="AB62" s="654">
        <f>AB49+AC49*$AE$4/2</f>
        <v>0</v>
      </c>
      <c r="AC62" s="654"/>
      <c r="AD62" s="654"/>
      <c r="AE62" s="654"/>
      <c r="AF62" s="652" t="s">
        <v>1364</v>
      </c>
      <c r="AG62" s="654">
        <f>$AK$46+$AK$47*COS(AG43)+$AK$48*SIN(AG43)-$V$76</f>
        <v>8.8762594610053335E-5</v>
      </c>
      <c r="AH62" s="654">
        <f>$AK$46+$AK$47*COS(AH43)+$AK$48*SIN(AH43)-$V$76</f>
        <v>8.8762594610053335E-5</v>
      </c>
      <c r="AI62" s="654">
        <f>$AK$46+$AK$47*COS(AI43)+$AK$48*SIN(AI43)-$V$76</f>
        <v>1.1475872328636571E-5</v>
      </c>
      <c r="AJ62" s="654">
        <f>$AK$46+$AK$47*COS(AJ43)+$AK$48*SIN(AJ43)-$V$76</f>
        <v>1.1475872328636571E-5</v>
      </c>
      <c r="AK62" s="676"/>
    </row>
    <row r="63" spans="1:38">
      <c r="A63" s="650" t="s">
        <v>1780</v>
      </c>
      <c r="B63" s="659">
        <v>593.12155360965369</v>
      </c>
      <c r="C63" s="659">
        <v>610.63621020744426</v>
      </c>
      <c r="D63" s="659">
        <v>319.55130101110836</v>
      </c>
      <c r="E63" s="654">
        <v>2.7610466199461321</v>
      </c>
      <c r="F63" s="654">
        <v>9.7930691219742361</v>
      </c>
      <c r="G63" s="654">
        <v>10.418627800879381</v>
      </c>
      <c r="H63" s="654">
        <v>0.26501058226814539</v>
      </c>
      <c r="I63" s="654">
        <v>0.53097914019018033</v>
      </c>
      <c r="J63" s="652" t="s">
        <v>1365</v>
      </c>
      <c r="K63" s="654">
        <f>K62*K46</f>
        <v>1.674130008487722E-2</v>
      </c>
      <c r="L63" s="654">
        <f>L62*L46</f>
        <v>1.674130008487722E-2</v>
      </c>
      <c r="M63" s="660">
        <f>L63/K63</f>
        <v>1</v>
      </c>
      <c r="N63" s="652" t="s">
        <v>1176</v>
      </c>
      <c r="O63" s="659">
        <f>O58</f>
        <v>66</v>
      </c>
      <c r="P63" s="659">
        <f>$G$22*P45^$H$33</f>
        <v>66</v>
      </c>
      <c r="Q63" s="654">
        <f t="shared" si="26"/>
        <v>1</v>
      </c>
      <c r="R63" s="652">
        <v>22</v>
      </c>
      <c r="S63" s="655">
        <f>(W54*W57-W58^2)/W60</f>
        <v>2029.3082816421972</v>
      </c>
      <c r="U63" s="655">
        <f t="shared" si="27"/>
        <v>5.073270704105493</v>
      </c>
      <c r="V63" s="655"/>
      <c r="W63" s="654">
        <f>1/U63</f>
        <v>0.19711150031689814</v>
      </c>
      <c r="Y63" s="652" t="s">
        <v>1177</v>
      </c>
      <c r="Z63" s="654">
        <f>(Z60^2-Z60*Z61+Z61^2+3*Z62^2)^0.5</f>
        <v>400</v>
      </c>
      <c r="AA63" s="654"/>
      <c r="AB63" s="654">
        <f>(AB60^2+AB61^2+AB62^2/2)^0.5</f>
        <v>927.80842625488299</v>
      </c>
      <c r="AC63" s="654"/>
      <c r="AD63" s="654"/>
      <c r="AE63" s="654"/>
      <c r="AF63" s="652" t="s">
        <v>1367</v>
      </c>
      <c r="AG63" s="654">
        <f>2*$AK$46-AG62-$V$77-$V$76</f>
        <v>-6.9334775359340987E-4</v>
      </c>
      <c r="AH63" s="654">
        <f>2*$AK$46-AH62-$V$77-$V$76</f>
        <v>-6.9334775359340987E-4</v>
      </c>
      <c r="AI63" s="654">
        <f>2*$AK$46-AI62-$V$77-$V$76</f>
        <v>-6.1606103131199314E-4</v>
      </c>
      <c r="AJ63" s="654">
        <f>2*$AK$46-AJ62-$V$77-$V$76</f>
        <v>-6.1606103131199314E-4</v>
      </c>
      <c r="AK63" s="676"/>
    </row>
    <row r="64" spans="1:38">
      <c r="A64" s="650" t="s">
        <v>1774</v>
      </c>
      <c r="B64" s="659">
        <v>405.7058975497585</v>
      </c>
      <c r="C64" s="659">
        <v>429.62937956384849</v>
      </c>
      <c r="D64" s="659">
        <v>212.7392950134564</v>
      </c>
      <c r="E64" s="654">
        <v>5.7371302111343754</v>
      </c>
      <c r="F64" s="654">
        <v>22.095537388477862</v>
      </c>
      <c r="G64" s="654">
        <v>22.522029116507682</v>
      </c>
      <c r="H64" s="654">
        <v>0.25473416189349052</v>
      </c>
      <c r="I64" s="654">
        <v>0.50955969517161293</v>
      </c>
      <c r="J64" s="652" t="s">
        <v>1370</v>
      </c>
      <c r="K64" s="654">
        <f>K47</f>
        <v>3.1E-2</v>
      </c>
      <c r="L64" s="654">
        <f>L47</f>
        <v>3.1E-2</v>
      </c>
      <c r="M64" s="660">
        <f>L64/K64</f>
        <v>1</v>
      </c>
      <c r="R64" s="652" t="s">
        <v>1345</v>
      </c>
      <c r="S64" s="655">
        <f>(W58*W59-W56*W57)/W60</f>
        <v>-411.84777918639429</v>
      </c>
      <c r="U64" s="655">
        <f t="shared" si="27"/>
        <v>-1.0296194479659857</v>
      </c>
      <c r="V64" s="655"/>
      <c r="W64" s="654">
        <f>-U64/U62</f>
        <v>0.49537234652793838</v>
      </c>
      <c r="Y64" s="652"/>
      <c r="Z64" s="652" t="s">
        <v>1178</v>
      </c>
      <c r="AA64" s="669">
        <f>Z63</f>
        <v>400</v>
      </c>
      <c r="AB64" s="669" t="s">
        <v>1179</v>
      </c>
      <c r="AC64" s="676">
        <f>AB63</f>
        <v>927.80842625488299</v>
      </c>
      <c r="AE64" s="676"/>
      <c r="AF64" s="652" t="s">
        <v>1372</v>
      </c>
      <c r="AG64" s="654">
        <f>2*($AK$48*COS(AG43)-$AK$47*SIN(AG43))</f>
        <v>1.2076601047657476E-4</v>
      </c>
      <c r="AH64" s="654">
        <f>2*($AK$48*COS(AH43)-$AK$47*SIN(AH43))</f>
        <v>-1.2076601047657476E-4</v>
      </c>
      <c r="AI64" s="654">
        <f>2*($AK$48*COS(AI43)-$AK$47*SIN(AI43))</f>
        <v>0</v>
      </c>
      <c r="AJ64" s="654">
        <f>2*($AK$48*COS(AJ43)-$AK$47*SIN(AJ43))</f>
        <v>0</v>
      </c>
      <c r="AK64" s="676"/>
    </row>
    <row r="65" spans="1:37">
      <c r="A65" s="650" t="s">
        <v>1788</v>
      </c>
      <c r="B65" s="659">
        <v>288.11627573802645</v>
      </c>
      <c r="C65" s="659">
        <v>546.18150694036513</v>
      </c>
      <c r="D65" s="659">
        <v>206.4</v>
      </c>
      <c r="E65" s="654">
        <v>6.3547023938579716</v>
      </c>
      <c r="F65" s="654">
        <v>23.473649420106963</v>
      </c>
      <c r="G65" s="654">
        <v>24.446229497769423</v>
      </c>
      <c r="H65" s="654">
        <v>0.25994611538919743</v>
      </c>
      <c r="I65" s="654">
        <v>0.52030416343966313</v>
      </c>
      <c r="J65" s="650" t="s">
        <v>1510</v>
      </c>
      <c r="K65" s="654"/>
      <c r="L65" s="654"/>
      <c r="N65" s="650" t="s">
        <v>1375</v>
      </c>
      <c r="R65" s="652">
        <v>66</v>
      </c>
      <c r="S65" s="655">
        <f>(W54*W55-W56^2)/W60</f>
        <v>3256.8994969549281</v>
      </c>
      <c r="U65" s="655">
        <f t="shared" si="27"/>
        <v>8.14224874238732</v>
      </c>
      <c r="V65" s="655"/>
      <c r="W65" s="654">
        <f>1/U65</f>
        <v>0.12281619385983024</v>
      </c>
      <c r="AE65" s="676"/>
      <c r="AF65" s="676"/>
      <c r="AG65" s="654"/>
      <c r="AH65" s="654"/>
      <c r="AI65" s="654"/>
      <c r="AJ65" s="654"/>
      <c r="AK65" s="676"/>
    </row>
    <row r="66" spans="1:37">
      <c r="A66" s="650" t="s">
        <v>1772</v>
      </c>
      <c r="B66" s="659">
        <v>384.90434455467846</v>
      </c>
      <c r="C66" s="659">
        <v>622.96755409419268</v>
      </c>
      <c r="D66" s="659">
        <v>252.1</v>
      </c>
      <c r="E66" s="654">
        <v>4.170438861851153</v>
      </c>
      <c r="F66" s="654">
        <v>15.734549341265225</v>
      </c>
      <c r="G66" s="654">
        <v>16.208152394334917</v>
      </c>
      <c r="H66" s="654">
        <v>0.25730501295809677</v>
      </c>
      <c r="I66" s="654">
        <v>0.51482985665753844</v>
      </c>
      <c r="J66" s="652" t="s">
        <v>1380</v>
      </c>
      <c r="K66" s="654">
        <f>(3*K61+3*K62+2*K63+4*K64)/8</f>
        <v>0.37131299206837015</v>
      </c>
      <c r="L66" s="654">
        <f>(3*L61+3*L62+2*L63+4*L64)/8</f>
        <v>0.37131299206837015</v>
      </c>
      <c r="M66" s="660">
        <f>L66/K66</f>
        <v>1</v>
      </c>
      <c r="N66" s="652" t="s">
        <v>1381</v>
      </c>
      <c r="O66" s="654">
        <f>1/O56/O57*1000000</f>
        <v>0.23682259855964496</v>
      </c>
      <c r="P66" s="654">
        <f>1/P56/P57*1000000</f>
        <v>0.23682259855964496</v>
      </c>
      <c r="Q66" s="654">
        <f t="shared" ref="Q66:Q77" si="28">P66/O66</f>
        <v>1</v>
      </c>
      <c r="R66" s="652" t="s">
        <v>1347</v>
      </c>
      <c r="S66" s="655">
        <f>(W56*W59-W55*W58)/W60</f>
        <v>0</v>
      </c>
      <c r="U66" s="655">
        <f t="shared" si="27"/>
        <v>0</v>
      </c>
      <c r="V66" s="655"/>
      <c r="W66" s="654">
        <f>U66/U62</f>
        <v>0</v>
      </c>
      <c r="Z66" s="652" t="s">
        <v>1181</v>
      </c>
      <c r="AA66" s="652" t="s">
        <v>1182</v>
      </c>
      <c r="AB66" s="652" t="s">
        <v>1183</v>
      </c>
      <c r="AE66" s="676"/>
      <c r="AF66" s="669" t="s">
        <v>1383</v>
      </c>
      <c r="AG66" s="654">
        <f>$P$72*AG62^2+2*$P$74*AG62*AG63+$P$73*AG63^2+$P$75*AG64^2</f>
        <v>9.5438350795371279E-8</v>
      </c>
      <c r="AH66" s="654">
        <f>$P$72*AH62^2+2*$P$74*AH62*AH63+$P$73*AH63^2+$P$75*AH64^2</f>
        <v>9.5438350795371279E-8</v>
      </c>
      <c r="AI66" s="654">
        <f>$P$72*AI62^2+2*$P$74*AI62*AI63+$P$73*AI63^2+$P$75*AI64^2</f>
        <v>7.067149302523417E-8</v>
      </c>
      <c r="AJ66" s="654">
        <f>$P$72*AJ62^2+2*$P$74*AJ62*AJ63+$P$73*AJ63^2+$P$75*AJ64^2</f>
        <v>7.067149302523417E-8</v>
      </c>
      <c r="AK66" s="676"/>
    </row>
    <row r="67" spans="1:37">
      <c r="A67" s="650" t="s">
        <v>443</v>
      </c>
      <c r="B67" s="659">
        <v>259.41753077874148</v>
      </c>
      <c r="C67" s="659">
        <v>465.12563655659937</v>
      </c>
      <c r="D67" s="659">
        <v>180.1</v>
      </c>
      <c r="E67" s="654">
        <v>8.2876309069530087</v>
      </c>
      <c r="F67" s="654">
        <v>30.829932534858635</v>
      </c>
      <c r="G67" s="654">
        <v>31.990228081335335</v>
      </c>
      <c r="H67" s="654">
        <v>0.25906757794541696</v>
      </c>
      <c r="I67" s="654">
        <v>0.51847630512323017</v>
      </c>
      <c r="J67" s="652" t="s">
        <v>1384</v>
      </c>
      <c r="K67" s="654">
        <f>(K61-K62)/2</f>
        <v>0.41652032663095973</v>
      </c>
      <c r="L67" s="654">
        <f>(L61-L62)/2</f>
        <v>0.41652032663095973</v>
      </c>
      <c r="M67" s="660">
        <f>L67/K67</f>
        <v>1</v>
      </c>
      <c r="N67" s="652" t="s">
        <v>1385</v>
      </c>
      <c r="O67" s="654">
        <f>1/O58/O59*1000000</f>
        <v>68.870523415977971</v>
      </c>
      <c r="P67" s="654">
        <f>1/P58/P59*1000000</f>
        <v>68.870523415977971</v>
      </c>
      <c r="Q67" s="654">
        <f t="shared" si="28"/>
        <v>1</v>
      </c>
      <c r="R67" s="652" t="s">
        <v>1349</v>
      </c>
      <c r="S67" s="655">
        <f>(W56*W58-W54*W59)/W60</f>
        <v>0</v>
      </c>
      <c r="U67" s="655">
        <f t="shared" si="27"/>
        <v>0</v>
      </c>
      <c r="V67" s="655"/>
      <c r="W67" s="654">
        <f>U67/U63</f>
        <v>0</v>
      </c>
      <c r="Y67" s="652" t="s">
        <v>41</v>
      </c>
      <c r="Z67" s="659">
        <f>$L$33</f>
        <v>0.33614983963722372</v>
      </c>
      <c r="AA67" s="659">
        <v>69</v>
      </c>
      <c r="AB67" s="659">
        <v>210</v>
      </c>
      <c r="AE67" s="676"/>
      <c r="AF67" s="669" t="s">
        <v>1387</v>
      </c>
      <c r="AG67" s="654">
        <f>$P$76*AG62+$P$77*AG63</f>
        <v>-3.826163918031939E-4</v>
      </c>
      <c r="AH67" s="654">
        <f>$P$76*AH62+$P$77*AH63</f>
        <v>-3.826163918031939E-4</v>
      </c>
      <c r="AI67" s="654">
        <f>$P$76*AI62+$P$77*AI63</f>
        <v>-3.3976647857705323E-4</v>
      </c>
      <c r="AJ67" s="654">
        <f>$P$76*AJ62+$P$77*AJ63</f>
        <v>-3.3976647857705323E-4</v>
      </c>
      <c r="AK67" s="676"/>
    </row>
    <row r="68" spans="1:37">
      <c r="A68" s="650" t="s">
        <v>1771</v>
      </c>
      <c r="B68" s="659">
        <v>325.23286297077129</v>
      </c>
      <c r="C68" s="659">
        <v>629.01872552425311</v>
      </c>
      <c r="D68" s="659">
        <v>253.3</v>
      </c>
      <c r="E68" s="654">
        <v>4.8881216262698173</v>
      </c>
      <c r="F68" s="654">
        <v>15.585818712926207</v>
      </c>
      <c r="G68" s="654">
        <v>17.569152609002739</v>
      </c>
      <c r="H68" s="654">
        <v>0.27822182065656709</v>
      </c>
      <c r="I68" s="654">
        <v>0.56002342269740724</v>
      </c>
      <c r="J68" s="652" t="s">
        <v>1388</v>
      </c>
      <c r="K68" s="654">
        <f>(K61+K62-2*K63-4*K64)/8</f>
        <v>9.7523897327830955E-2</v>
      </c>
      <c r="L68" s="654">
        <f>(L61+L62-2*L63-4*L64)/8</f>
        <v>9.7523897327830955E-2</v>
      </c>
      <c r="M68" s="660">
        <f>L68/K68</f>
        <v>1</v>
      </c>
      <c r="N68" s="652" t="s">
        <v>1389</v>
      </c>
      <c r="O68" s="654">
        <f>O61*(O66*O67)^0.5</f>
        <v>-2.0192880131085054</v>
      </c>
      <c r="P68" s="654">
        <f>P61*(P66*P67)^0.5</f>
        <v>-2.0192880131085054</v>
      </c>
      <c r="Q68" s="654">
        <f t="shared" si="28"/>
        <v>1</v>
      </c>
      <c r="U68" s="655"/>
      <c r="V68" s="655"/>
      <c r="W68" s="656"/>
      <c r="Y68" s="652" t="s">
        <v>296</v>
      </c>
      <c r="Z68" s="659">
        <f>325</f>
        <v>325</v>
      </c>
      <c r="AA68" s="659">
        <v>200</v>
      </c>
      <c r="AB68" s="659">
        <v>400</v>
      </c>
      <c r="AE68" s="676"/>
      <c r="AF68" s="669" t="s">
        <v>1390</v>
      </c>
      <c r="AG68" s="654">
        <f>AG66+AG67</f>
        <v>-3.8252095345239854E-4</v>
      </c>
      <c r="AH68" s="654">
        <f>AH66+AH67</f>
        <v>-3.8252095345239854E-4</v>
      </c>
      <c r="AI68" s="654">
        <f>AI66+AI67</f>
        <v>-3.3969580708402802E-4</v>
      </c>
      <c r="AJ68" s="654">
        <f>AJ66+AJ67</f>
        <v>-3.3969580708402802E-4</v>
      </c>
      <c r="AK68" s="676"/>
    </row>
    <row r="69" spans="1:37">
      <c r="G69" s="650" t="s">
        <v>1728</v>
      </c>
      <c r="H69" s="712">
        <f>MEDIAN(H59:H68)</f>
        <v>0.25953992647653368</v>
      </c>
      <c r="I69" s="712">
        <f>MEDIAN(I59:I68)</f>
        <v>0.519458938805332</v>
      </c>
      <c r="J69" s="652" t="s">
        <v>1391</v>
      </c>
      <c r="K69" s="654">
        <f>(K61+K62+6*K63-4*K64)/8</f>
        <v>0.11426519741270817</v>
      </c>
      <c r="L69" s="654">
        <f>(L61+L62+6*L63-4*L64)/8</f>
        <v>0.11426519741270817</v>
      </c>
      <c r="M69" s="660">
        <f>L69/K69</f>
        <v>1</v>
      </c>
      <c r="N69" s="652" t="s">
        <v>1392</v>
      </c>
      <c r="O69" s="654">
        <f>1/O60^2*1000000</f>
        <v>115.62030292519366</v>
      </c>
      <c r="P69" s="654">
        <f>1/P60^2*1000000</f>
        <v>115.62030292519366</v>
      </c>
      <c r="Q69" s="654">
        <f t="shared" si="28"/>
        <v>1</v>
      </c>
      <c r="R69" s="653" t="s">
        <v>1185</v>
      </c>
      <c r="U69" s="655"/>
      <c r="V69" s="655"/>
      <c r="W69" s="656" t="s">
        <v>1394</v>
      </c>
      <c r="Y69" s="652" t="s">
        <v>1187</v>
      </c>
      <c r="Z69" s="664">
        <f>$L$36</f>
        <v>1.5135000000000001</v>
      </c>
      <c r="AA69" s="664">
        <v>2.7</v>
      </c>
      <c r="AB69" s="664">
        <v>7.8</v>
      </c>
      <c r="AE69" s="676"/>
      <c r="AF69" s="669" t="s">
        <v>1395</v>
      </c>
      <c r="AG69" s="654">
        <f>-1+AG68</f>
        <v>-1.0003825209534525</v>
      </c>
      <c r="AH69" s="654">
        <f>-1+AH68</f>
        <v>-1.0003825209534525</v>
      </c>
      <c r="AI69" s="654">
        <f>-1+AI68</f>
        <v>-1.000339695807084</v>
      </c>
      <c r="AJ69" s="654">
        <f>-1+AJ68</f>
        <v>-1.000339695807084</v>
      </c>
      <c r="AK69" s="676"/>
    </row>
    <row r="70" spans="1:37">
      <c r="D70" s="650">
        <f>1/D71</f>
        <v>4.356871330697426E-3</v>
      </c>
      <c r="G70" s="650" t="s">
        <v>1775</v>
      </c>
      <c r="H70" s="650">
        <f>STDEV(H59:H68)</f>
        <v>8.4635415953263297E-3</v>
      </c>
      <c r="I70" s="683">
        <f>STDEV(I59:I68)</f>
        <v>1.8226784509817941E-2</v>
      </c>
      <c r="J70" s="652" t="s">
        <v>1396</v>
      </c>
      <c r="K70" s="654">
        <f>(K66-K69)/2</f>
        <v>0.12852389732783098</v>
      </c>
      <c r="L70" s="654">
        <f>(L66-L69)/2</f>
        <v>0.12852389732783098</v>
      </c>
      <c r="M70" s="660">
        <f>L70/K70</f>
        <v>1</v>
      </c>
      <c r="N70" s="652" t="s">
        <v>1397</v>
      </c>
      <c r="O70" s="654">
        <f>(1/O56-1/O57)*1000</f>
        <v>-0.20390425735985432</v>
      </c>
      <c r="P70" s="654">
        <f>(1/P56-1/P57)*1000</f>
        <v>-0.20390425735985432</v>
      </c>
      <c r="Q70" s="654">
        <f t="shared" si="28"/>
        <v>1</v>
      </c>
      <c r="R70" s="652" t="s">
        <v>1398</v>
      </c>
      <c r="S70" s="651">
        <f>S50*COS(S45)</f>
        <v>-6.0480473899916946E-2</v>
      </c>
      <c r="T70" s="651">
        <f>T50*COS(T45)</f>
        <v>-6.0480473899916946E-2</v>
      </c>
      <c r="U70" s="651">
        <f>U50*COS(U45)</f>
        <v>0.25</v>
      </c>
      <c r="V70" s="651">
        <f>V50*COS(V45)</f>
        <v>0.25</v>
      </c>
      <c r="W70" s="651">
        <f>(S70+T70+U70+V70)</f>
        <v>0.37903905220016609</v>
      </c>
      <c r="Y70" s="652" t="s">
        <v>1188</v>
      </c>
      <c r="Z70" s="659">
        <f>Z68/$AA$25*1000000</f>
        <v>812500</v>
      </c>
      <c r="AA70" s="659">
        <f>AA68/$AA$25*1000000</f>
        <v>500000</v>
      </c>
      <c r="AB70" s="659">
        <f>AB68/$AA$25*1000000</f>
        <v>1000000</v>
      </c>
      <c r="AE70" s="676"/>
      <c r="AF70" s="669" t="s">
        <v>1399</v>
      </c>
      <c r="AG70" s="654">
        <f>2*($P$72*AG46*AG62+$P$73*AG47*AG63+$P$74*(AG46*AG63+AG62*AG47)+$P$75*AG48*AG64)</f>
        <v>-1.2269486951541999E-4</v>
      </c>
      <c r="AH70" s="654">
        <f>2*($P$72*AH46*AH62+$P$73*AH47*AH63+$P$74*(AH46*AH63+AH62*AH47)+$P$75*AH48*AH64)</f>
        <v>-1.2269486951541999E-4</v>
      </c>
      <c r="AI70" s="654">
        <f>2*($P$72*AI46*AI62+$P$73*AI47*AI63+$P$74*(AI46*AI63+AI62*AI47)+$P$75*AI48*AI64)</f>
        <v>1.2795153166045731E-4</v>
      </c>
      <c r="AJ70" s="654">
        <f>2*($P$72*AJ46*AJ62+$P$73*AJ47*AJ63+$P$74*(AJ46*AJ63+AJ62*AJ47)+$P$75*AJ48*AJ64)</f>
        <v>1.2795153166045731E-4</v>
      </c>
      <c r="AK70" s="676"/>
    </row>
    <row r="71" spans="1:37">
      <c r="C71" s="1013">
        <f>C74^2</f>
        <v>1.9009600000000002E-5</v>
      </c>
      <c r="D71" s="650">
        <f>D72^2</f>
        <v>229.52250000000001</v>
      </c>
      <c r="E71" s="650">
        <f>E72/0.2</f>
        <v>21.8</v>
      </c>
      <c r="G71" s="650" t="s">
        <v>1729</v>
      </c>
      <c r="H71" s="1014">
        <f>H70/H69</f>
        <v>3.2609786518112319E-2</v>
      </c>
      <c r="I71" s="1014">
        <f>I70/I69</f>
        <v>3.5088017835897621E-2</v>
      </c>
      <c r="J71" s="650" t="s">
        <v>1400</v>
      </c>
      <c r="N71" s="652" t="s">
        <v>1401</v>
      </c>
      <c r="O71" s="654">
        <f>(1/O58-1/O59)*1000</f>
        <v>10.606060606060607</v>
      </c>
      <c r="P71" s="654">
        <f>(1/P58-1/P59)*1000</f>
        <v>10.606060606060607</v>
      </c>
      <c r="Q71" s="654">
        <f t="shared" si="28"/>
        <v>1</v>
      </c>
      <c r="R71" s="652" t="s">
        <v>1402</v>
      </c>
      <c r="S71" s="651">
        <f>S50*SIN(S45)</f>
        <v>0.24257393156899912</v>
      </c>
      <c r="T71" s="651">
        <f>T50*SIN(T45)</f>
        <v>-0.24257393156899912</v>
      </c>
      <c r="U71" s="651">
        <f>U50*SIN(U45)</f>
        <v>0</v>
      </c>
      <c r="V71" s="651">
        <f>V50*SIN(V45)</f>
        <v>0</v>
      </c>
      <c r="W71" s="651">
        <f>(S71+T71+U71+V71)</f>
        <v>0</v>
      </c>
      <c r="Y71" s="652" t="s">
        <v>1189</v>
      </c>
      <c r="Z71" s="659">
        <f>1</f>
        <v>1</v>
      </c>
      <c r="AA71" s="659">
        <f>AA69/Z69</f>
        <v>1.78394449950446</v>
      </c>
      <c r="AB71" s="659">
        <f>AB69/Z69</f>
        <v>5.1536174430128838</v>
      </c>
      <c r="AF71" s="669" t="s">
        <v>1403</v>
      </c>
      <c r="AG71" s="654">
        <f>AG70+AG54</f>
        <v>0.19831145530620484</v>
      </c>
      <c r="AH71" s="654">
        <f>AH70+AH54</f>
        <v>0.19831145530620484</v>
      </c>
      <c r="AI71" s="654">
        <f>AI70+AI54</f>
        <v>-0.22945750171315582</v>
      </c>
      <c r="AJ71" s="654">
        <f>AJ70+AJ54</f>
        <v>-0.22945750171315582</v>
      </c>
      <c r="AK71" s="676"/>
    </row>
    <row r="72" spans="1:37">
      <c r="C72" s="654">
        <v>15.15</v>
      </c>
      <c r="D72" s="650">
        <v>15.15</v>
      </c>
      <c r="E72" s="650">
        <v>4.3600000000000003</v>
      </c>
      <c r="J72" s="652" t="s">
        <v>1404</v>
      </c>
      <c r="K72" s="654">
        <f>(1-(K69/K66)^2)*K66</f>
        <v>0.33614983963722372</v>
      </c>
      <c r="L72" s="654">
        <f>(1-(L69/L66)^2)*L66</f>
        <v>0.33614983963722372</v>
      </c>
      <c r="M72" s="654">
        <f>L72/K72</f>
        <v>1</v>
      </c>
      <c r="N72" s="652" t="s">
        <v>1405</v>
      </c>
      <c r="O72" s="659">
        <f>(O66*K61^2+2*O68*K61*K63+O67*K63^2)</f>
        <v>0.14507766728840435</v>
      </c>
      <c r="P72" s="659">
        <f>(P66*L61^2+2*P68*L61*L63+P67*L63^2)</f>
        <v>0.14507766728840435</v>
      </c>
      <c r="Q72" s="654">
        <f t="shared" si="28"/>
        <v>1</v>
      </c>
      <c r="R72" s="652"/>
      <c r="S72" s="656" t="s">
        <v>1406</v>
      </c>
      <c r="T72" s="656" t="s">
        <v>1407</v>
      </c>
      <c r="U72" s="656" t="s">
        <v>1408</v>
      </c>
      <c r="V72" s="656" t="s">
        <v>1409</v>
      </c>
      <c r="W72" s="656" t="s">
        <v>1410</v>
      </c>
      <c r="X72" s="656" t="s">
        <v>1411</v>
      </c>
      <c r="Y72" s="652" t="s">
        <v>1190</v>
      </c>
      <c r="Z72" s="655">
        <f>$AA$64*1.04/Z67/1000000000</f>
        <v>1.2375433540261432E-6</v>
      </c>
      <c r="AA72" s="655">
        <f>$AA$64*1.04/AA67/1000000000</f>
        <v>6.0289855072463769E-9</v>
      </c>
      <c r="AB72" s="655">
        <f>$AA$64*1.04/AB67/1000000000</f>
        <v>1.9809523809523811E-9</v>
      </c>
      <c r="AF72" s="669" t="s">
        <v>1412</v>
      </c>
      <c r="AG72" s="654">
        <f>AG71/2/AG53</f>
        <v>0.53625501101558337</v>
      </c>
      <c r="AH72" s="654">
        <f>AH71/2/AH53</f>
        <v>0.53625501101558337</v>
      </c>
      <c r="AI72" s="654">
        <f>AI71/2/AI53</f>
        <v>-0.75285967989858693</v>
      </c>
      <c r="AJ72" s="654">
        <f>AJ71/2/AJ53</f>
        <v>-0.75285967989858693</v>
      </c>
      <c r="AK72" s="676"/>
    </row>
    <row r="73" spans="1:37">
      <c r="A73" s="735" t="s">
        <v>1782</v>
      </c>
      <c r="B73" s="650" t="s">
        <v>1789</v>
      </c>
      <c r="C73" s="650" t="s">
        <v>1418</v>
      </c>
      <c r="D73" s="650" t="s">
        <v>1749</v>
      </c>
      <c r="E73" s="650" t="s">
        <v>1746</v>
      </c>
      <c r="F73" s="650" t="s">
        <v>1797</v>
      </c>
      <c r="J73" s="652" t="s">
        <v>1414</v>
      </c>
      <c r="K73" s="654">
        <f>K69/K66</f>
        <v>0.30773282878200081</v>
      </c>
      <c r="L73" s="654">
        <f>L69/L66</f>
        <v>0.30773282878200081</v>
      </c>
      <c r="M73" s="654">
        <f>L73/K73</f>
        <v>1</v>
      </c>
      <c r="N73" s="652" t="s">
        <v>1415</v>
      </c>
      <c r="O73" s="659">
        <f>(O66*K63^2+2*O68*K63*K62+O67*K62^2)</f>
        <v>0.18502938739838554</v>
      </c>
      <c r="P73" s="659">
        <f>(P66*L63^2+2*P68*L63*L62+P67*L62^2)</f>
        <v>0.18502938739838554</v>
      </c>
      <c r="Q73" s="654">
        <f t="shared" si="28"/>
        <v>1</v>
      </c>
      <c r="R73" s="652">
        <v>1</v>
      </c>
      <c r="S73" s="655">
        <f>(($L$61+$L$63)/2*$P$49+($L$63+$L$62)/2*$P$50)/1000000</f>
        <v>7.8592194222495378E-7</v>
      </c>
      <c r="T73" s="655">
        <f>(($L$61+$L$63)/2*$P$52+($L$63+$L$62)/2*$P$53)</f>
        <v>2.0717358855035558E-2</v>
      </c>
      <c r="U73" s="655">
        <f>S73+S74*W70</f>
        <v>6.3751467996845832E-7</v>
      </c>
      <c r="V73" s="655">
        <f>T73+T74*W70</f>
        <v>1.6672034700594415E-2</v>
      </c>
      <c r="W73" s="655">
        <f>(U73*U62+U74*U64+U75*U66)*1000000</f>
        <v>0.36305533237732662</v>
      </c>
      <c r="X73" s="655">
        <f>(V73*U62+V74*U64+V75*U66)</f>
        <v>9.1562811132738474E-3</v>
      </c>
      <c r="Y73" s="652"/>
      <c r="AF73" s="669"/>
      <c r="AG73" s="703"/>
      <c r="AH73" s="676"/>
      <c r="AI73" s="676"/>
      <c r="AJ73" s="676"/>
      <c r="AK73" s="676"/>
    </row>
    <row r="74" spans="1:37">
      <c r="A74" s="650" t="s">
        <v>1713</v>
      </c>
      <c r="B74" s="650">
        <f>1/F59</f>
        <v>7.4124795966322432E-2</v>
      </c>
      <c r="C74" s="1015">
        <v>4.3600000000000002E-3</v>
      </c>
      <c r="D74" s="650">
        <f>1000000*C74/0.218</f>
        <v>20000</v>
      </c>
      <c r="E74" s="659">
        <v>12215</v>
      </c>
      <c r="F74" s="654">
        <f>D74/E74</f>
        <v>1.6373311502251331</v>
      </c>
      <c r="G74" s="650">
        <f>B74/C74</f>
        <v>17.001099992275787</v>
      </c>
      <c r="N74" s="652" t="s">
        <v>1416</v>
      </c>
      <c r="O74" s="659">
        <f>(O66*K61*K63+O68*(K61*K62+K63^2)+O67*K63*K62)</f>
        <v>-3.0266787135296978E-2</v>
      </c>
      <c r="P74" s="659">
        <f>(P66*L61*L63+P68*(L61*L62+L63^2)+P67*L63*L62)</f>
        <v>-3.0266787135296978E-2</v>
      </c>
      <c r="Q74" s="654">
        <f t="shared" si="28"/>
        <v>1</v>
      </c>
      <c r="R74" s="652">
        <v>2</v>
      </c>
      <c r="S74" s="655">
        <f>(($L$61-$L$63)/2*$P$49+($L$63-$L$62)/2*$P$50)/1000000</f>
        <v>-3.9153554599467324E-7</v>
      </c>
      <c r="T74" s="655">
        <f>(($L$61-$L$63)/2*$P$52+($L$63-$L$62)/2*$P$53)</f>
        <v>-1.0672578804109227E-2</v>
      </c>
      <c r="U74" s="655">
        <f>S73-S74*W70</f>
        <v>9.3432920448144924E-7</v>
      </c>
      <c r="V74" s="655">
        <f>T73-T74*W70</f>
        <v>2.4762683009476701E-2</v>
      </c>
      <c r="W74" s="655">
        <f>(U73*U64+U74*U63+U75*U67)*1000000</f>
        <v>4.0837074682265913</v>
      </c>
      <c r="X74" s="655">
        <f>(V73*U64+V74*U63+V75*U67)</f>
        <v>0.10846194310213322</v>
      </c>
      <c r="AD74" s="656"/>
      <c r="AF74" s="669"/>
      <c r="AG74" s="703"/>
      <c r="AH74" s="676"/>
      <c r="AI74" s="676"/>
      <c r="AJ74" s="676"/>
      <c r="AK74" s="676"/>
    </row>
    <row r="75" spans="1:37">
      <c r="A75" s="650" t="s">
        <v>1769</v>
      </c>
      <c r="B75" s="650">
        <f t="shared" ref="B75:B83" si="29">1/F60</f>
        <v>8.9789671031908283E-2</v>
      </c>
      <c r="C75" s="1015">
        <v>4.9500000000000004E-3</v>
      </c>
      <c r="D75" s="650">
        <f t="shared" ref="D75:D83" si="30">1000000*C75/0.218</f>
        <v>22706.422018348625</v>
      </c>
      <c r="E75" s="650">
        <v>16332</v>
      </c>
      <c r="F75" s="654">
        <f t="shared" ref="F75:F83" si="31">D75/E75</f>
        <v>1.3903025972537733</v>
      </c>
      <c r="G75" s="650">
        <f t="shared" ref="G75:G83" si="32">B75/C75</f>
        <v>18.13932748119359</v>
      </c>
      <c r="J75" s="652" t="s">
        <v>1193</v>
      </c>
      <c r="K75" s="654">
        <f>$D$33</f>
        <v>1.6</v>
      </c>
      <c r="L75" s="654">
        <f>L76*(1-$L$50)+L77*$L$50</f>
        <v>1.5135000000000001</v>
      </c>
      <c r="M75" s="654">
        <f>L75/K75</f>
        <v>0.94593749999999999</v>
      </c>
      <c r="N75" s="652" t="s">
        <v>1418</v>
      </c>
      <c r="O75" s="659">
        <f>O69*K64^2</f>
        <v>0.11111111111111109</v>
      </c>
      <c r="P75" s="659">
        <f>P69*L64^2</f>
        <v>0.11111111111111109</v>
      </c>
      <c r="Q75" s="654">
        <f t="shared" si="28"/>
        <v>1</v>
      </c>
      <c r="R75" s="652">
        <v>6</v>
      </c>
      <c r="S75" s="656" t="s">
        <v>1419</v>
      </c>
      <c r="T75" s="656" t="s">
        <v>1420</v>
      </c>
      <c r="U75" s="655">
        <f>S74*W71</f>
        <v>0</v>
      </c>
      <c r="V75" s="655">
        <f>T74*W71</f>
        <v>0</v>
      </c>
      <c r="W75" s="655">
        <f>(U73*U66+U74*U67+U75*U65)*1000000</f>
        <v>0</v>
      </c>
      <c r="X75" s="655">
        <f>(V73*U66+V74*U67+V75*U65)</f>
        <v>0</v>
      </c>
      <c r="AD75" s="655"/>
      <c r="AF75" s="669"/>
      <c r="AG75" s="703"/>
      <c r="AH75" s="676"/>
      <c r="AI75" s="676"/>
      <c r="AJ75" s="676"/>
      <c r="AK75" s="669" t="s">
        <v>583</v>
      </c>
    </row>
    <row r="76" spans="1:37">
      <c r="A76" s="650" t="s">
        <v>1755</v>
      </c>
      <c r="B76" s="650">
        <f t="shared" si="29"/>
        <v>7.460283904644055E-2</v>
      </c>
      <c r="C76" s="650">
        <v>1.073E-2</v>
      </c>
      <c r="D76" s="650">
        <f t="shared" si="30"/>
        <v>49220.183486238529</v>
      </c>
      <c r="E76" s="650">
        <v>40769</v>
      </c>
      <c r="F76" s="654">
        <f t="shared" si="31"/>
        <v>1.2072943532153972</v>
      </c>
      <c r="G76" s="650">
        <f t="shared" si="32"/>
        <v>6.9527343006934341</v>
      </c>
      <c r="J76" s="652" t="s">
        <v>274</v>
      </c>
      <c r="K76" s="654">
        <f>$F$32</f>
        <v>1.2</v>
      </c>
      <c r="L76" s="654">
        <v>1.2</v>
      </c>
      <c r="M76" s="654">
        <f>L76/K76</f>
        <v>1</v>
      </c>
      <c r="N76" s="652" t="s">
        <v>1422</v>
      </c>
      <c r="O76" s="659">
        <f>(O70*K61+O71*K63)</f>
        <v>-2.9688623077509524E-3</v>
      </c>
      <c r="P76" s="659">
        <f>(P70*L61+P71*L63)</f>
        <v>-2.9688623077509524E-3</v>
      </c>
      <c r="Q76" s="654">
        <f t="shared" si="28"/>
        <v>1</v>
      </c>
      <c r="R76" s="652">
        <v>1</v>
      </c>
      <c r="S76" s="655">
        <f>$P$46*U73+$P$42*V73</f>
        <v>1.9608705506126236E-5</v>
      </c>
      <c r="T76" s="655">
        <f>$P$46*W73/1000000+$P$42*X73</f>
        <v>9.4758723286365781E-6</v>
      </c>
      <c r="U76" s="656" t="s">
        <v>1423</v>
      </c>
      <c r="V76" s="655">
        <f>$P$46*$P$49/1000000+$P$42*$P$52</f>
        <v>-1.9999999999999999E-6</v>
      </c>
      <c r="AF76" s="652" t="s">
        <v>1424</v>
      </c>
      <c r="AG76" s="651">
        <f>(AG72^2-AG69/AG53)^0.5-AG72</f>
        <v>1.8507616046167201</v>
      </c>
      <c r="AH76" s="651">
        <f>(AH72^2-AH69/AH53)^0.5-AH72</f>
        <v>1.8507616046167201</v>
      </c>
      <c r="AI76" s="651">
        <f>(AI72^2-AI69/AI53)^0.5-AI72</f>
        <v>3.4232736238107995</v>
      </c>
      <c r="AJ76" s="651">
        <f>(AJ72^2-AJ69/AJ53)^0.5-AJ72</f>
        <v>3.4232736238107995</v>
      </c>
      <c r="AK76" s="651">
        <f>MIN(AG77:AJ77)</f>
        <v>1.8507616046167201</v>
      </c>
    </row>
    <row r="77" spans="1:37">
      <c r="A77" s="650" t="s">
        <v>1753</v>
      </c>
      <c r="B77" s="650">
        <f t="shared" si="29"/>
        <v>0.15110795797222176</v>
      </c>
      <c r="C77" s="650">
        <v>3.5500000000000002E-3</v>
      </c>
      <c r="D77" s="650">
        <f t="shared" si="30"/>
        <v>16284.40366972477</v>
      </c>
      <c r="E77" s="650">
        <v>18140</v>
      </c>
      <c r="F77" s="654">
        <f t="shared" si="31"/>
        <v>0.8977069277687304</v>
      </c>
      <c r="G77" s="650">
        <f t="shared" si="32"/>
        <v>42.565621964006127</v>
      </c>
      <c r="J77" s="652" t="s">
        <v>1195</v>
      </c>
      <c r="K77" s="654">
        <f>(K75-K76*(1-$K$50))/$K$50</f>
        <v>1.9272727272727272</v>
      </c>
      <c r="L77" s="654">
        <v>1.77</v>
      </c>
      <c r="M77" s="654">
        <f>L77/K77</f>
        <v>0.91839622641509433</v>
      </c>
      <c r="N77" s="652" t="s">
        <v>1426</v>
      </c>
      <c r="O77" s="659">
        <f>(O70*K63+O71*K62)</f>
        <v>0.5514590130278777</v>
      </c>
      <c r="P77" s="659">
        <f>(P70*L63+P71*L62)</f>
        <v>0.5514590130278777</v>
      </c>
      <c r="Q77" s="654">
        <f t="shared" si="28"/>
        <v>1</v>
      </c>
      <c r="R77" s="652">
        <v>2</v>
      </c>
      <c r="S77" s="655">
        <f>$P$46*U74+$P$42*V74</f>
        <v>3.0380494599238604E-5</v>
      </c>
      <c r="T77" s="655">
        <f>$P$46*W74/1000000+$P$42*X74</f>
        <v>1.3393896868800709E-4</v>
      </c>
      <c r="U77" s="656" t="s">
        <v>1427</v>
      </c>
      <c r="V77" s="655">
        <f>$P$46*$P$50/1000000+$P$42*$P$53</f>
        <v>7.5000000000000023E-4</v>
      </c>
      <c r="AF77" s="652"/>
      <c r="AG77" s="651">
        <f>IF(AG42=0,1000000000,AG76)</f>
        <v>1.8507616046167201</v>
      </c>
      <c r="AH77" s="651">
        <f>IF(AH42=0,1000000000,AH76)</f>
        <v>1.8507616046167201</v>
      </c>
      <c r="AI77" s="651">
        <f>IF(AI42=0,1000000000,AI76)</f>
        <v>3.4232736238107995</v>
      </c>
      <c r="AJ77" s="651">
        <f>IF(AJ42=0,1000000000,AJ76)</f>
        <v>3.4232736238107995</v>
      </c>
    </row>
    <row r="78" spans="1:37">
      <c r="A78" s="650" t="s">
        <v>1780</v>
      </c>
      <c r="B78" s="650">
        <f t="shared" si="29"/>
        <v>0.10211303397789198</v>
      </c>
      <c r="C78" s="650">
        <v>5.8999999999999999E-3</v>
      </c>
      <c r="D78" s="650">
        <f t="shared" si="30"/>
        <v>27064.220183486239</v>
      </c>
      <c r="E78" s="650">
        <v>192</v>
      </c>
      <c r="F78" s="654">
        <f t="shared" si="31"/>
        <v>140.95948012232415</v>
      </c>
      <c r="G78" s="650">
        <f t="shared" si="32"/>
        <v>17.307293894557965</v>
      </c>
      <c r="R78" s="652">
        <v>6</v>
      </c>
      <c r="S78" s="655">
        <f>$P$46*U75+$P$42*V75</f>
        <v>0</v>
      </c>
      <c r="T78" s="655">
        <f>$P$46*W75/1000000+$P$42*X75</f>
        <v>0</v>
      </c>
      <c r="U78" s="656" t="s">
        <v>1429</v>
      </c>
      <c r="V78" s="655">
        <f>0</f>
        <v>0</v>
      </c>
      <c r="AG78" s="651">
        <f>IF(AG42=0,0,AG76)</f>
        <v>1.8507616046167201</v>
      </c>
      <c r="AH78" s="651">
        <f>IF(AH42=0,0,AH76)</f>
        <v>1.8507616046167201</v>
      </c>
      <c r="AI78" s="651">
        <f>IF(AI42=0,0,AI76)</f>
        <v>3.4232736238107995</v>
      </c>
      <c r="AJ78" s="651">
        <f>IF(AJ42=0,0,AJ76)</f>
        <v>3.4232736238107995</v>
      </c>
    </row>
    <row r="79" spans="1:37">
      <c r="A79" s="650" t="s">
        <v>1774</v>
      </c>
      <c r="B79" s="650">
        <f t="shared" si="29"/>
        <v>4.5258007642822437E-2</v>
      </c>
      <c r="C79" s="650">
        <v>1.391E-2</v>
      </c>
      <c r="D79" s="650">
        <f t="shared" si="30"/>
        <v>63807.339449541287</v>
      </c>
      <c r="E79" s="650">
        <v>195</v>
      </c>
      <c r="F79" s="654">
        <f t="shared" si="31"/>
        <v>327.21712538226302</v>
      </c>
      <c r="G79" s="650">
        <f t="shared" si="32"/>
        <v>3.2536310311159191</v>
      </c>
    </row>
    <row r="80" spans="1:37">
      <c r="A80" s="650" t="s">
        <v>1788</v>
      </c>
      <c r="B80" s="650">
        <f t="shared" si="29"/>
        <v>4.2600960000000007E-2</v>
      </c>
      <c r="C80" s="650">
        <v>1.0699999999999999E-2</v>
      </c>
      <c r="D80" s="650">
        <f t="shared" si="30"/>
        <v>49082.568807339449</v>
      </c>
      <c r="E80" s="650">
        <v>26460</v>
      </c>
      <c r="F80" s="654">
        <f t="shared" si="31"/>
        <v>1.8549723661126021</v>
      </c>
      <c r="G80" s="650">
        <f t="shared" si="32"/>
        <v>3.9813981308411224</v>
      </c>
    </row>
    <row r="81" spans="1:49">
      <c r="A81" s="650" t="s">
        <v>1772</v>
      </c>
      <c r="B81" s="650">
        <f t="shared" si="29"/>
        <v>6.3554409999999992E-2</v>
      </c>
      <c r="C81" s="650">
        <v>1.4370000000000001E-2</v>
      </c>
      <c r="D81" s="650">
        <f t="shared" si="30"/>
        <v>65917.431192660544</v>
      </c>
      <c r="E81" s="650">
        <v>35430</v>
      </c>
      <c r="F81" s="654">
        <f t="shared" si="31"/>
        <v>1.8604976345656377</v>
      </c>
      <c r="G81" s="650">
        <f t="shared" si="32"/>
        <v>4.4227146833681275</v>
      </c>
    </row>
    <row r="82" spans="1:49" ht="16.2" thickBot="1">
      <c r="A82" s="650" t="s">
        <v>443</v>
      </c>
      <c r="B82" s="650">
        <f t="shared" si="29"/>
        <v>3.2436010000000001E-2</v>
      </c>
      <c r="C82" s="650">
        <v>1.4800000000000001E-2</v>
      </c>
      <c r="D82" s="650">
        <f t="shared" si="30"/>
        <v>67889.908256880735</v>
      </c>
      <c r="E82" s="650">
        <v>41728</v>
      </c>
      <c r="F82" s="654">
        <f t="shared" si="31"/>
        <v>1.6269629087634379</v>
      </c>
      <c r="G82" s="650">
        <f t="shared" si="32"/>
        <v>2.1916222972972972</v>
      </c>
    </row>
    <row r="83" spans="1:49" ht="18">
      <c r="A83" s="650" t="s">
        <v>1771</v>
      </c>
      <c r="B83" s="650">
        <f t="shared" si="29"/>
        <v>6.4160889999999998E-2</v>
      </c>
      <c r="C83" s="650">
        <v>1.3050000000000001E-2</v>
      </c>
      <c r="D83" s="650">
        <f t="shared" si="30"/>
        <v>59862.385321100919</v>
      </c>
      <c r="E83" s="650">
        <v>44921</v>
      </c>
      <c r="F83" s="654">
        <f t="shared" si="31"/>
        <v>1.3326147085127429</v>
      </c>
      <c r="G83" s="650">
        <f t="shared" si="32"/>
        <v>4.9165432950191565</v>
      </c>
      <c r="N83" s="650" t="str">
        <f>I2</f>
        <v>Master ply[SI]</v>
      </c>
      <c r="Q83" s="652" t="s">
        <v>1988</v>
      </c>
      <c r="U83" s="1060" t="s">
        <v>1805</v>
      </c>
      <c r="V83" s="1061"/>
      <c r="W83" s="1035" t="s">
        <v>1959</v>
      </c>
      <c r="X83" s="1036" t="s">
        <v>1988</v>
      </c>
      <c r="Y83" s="1037"/>
      <c r="Z83" s="1035"/>
      <c r="AA83" s="1035" t="s">
        <v>2001</v>
      </c>
      <c r="AB83" s="1038"/>
      <c r="AC83" s="1036" t="s">
        <v>1988</v>
      </c>
      <c r="AD83" s="1037"/>
      <c r="AE83" s="1039"/>
      <c r="AF83" s="1035" t="s">
        <v>2000</v>
      </c>
      <c r="AG83" s="1035"/>
      <c r="AH83" s="1040" t="s">
        <v>1988</v>
      </c>
      <c r="AJ83" s="1060" t="s">
        <v>1780</v>
      </c>
      <c r="AK83" s="1061"/>
      <c r="AL83" s="1035" t="s">
        <v>1959</v>
      </c>
      <c r="AM83" s="1036" t="s">
        <v>1988</v>
      </c>
      <c r="AN83" s="1037"/>
      <c r="AO83" s="1035"/>
      <c r="AP83" s="1035" t="s">
        <v>2001</v>
      </c>
      <c r="AQ83" s="1038"/>
      <c r="AR83" s="1036" t="s">
        <v>1988</v>
      </c>
      <c r="AS83" s="1037"/>
      <c r="AT83" s="1039"/>
      <c r="AU83" s="1035" t="s">
        <v>2000</v>
      </c>
      <c r="AV83" s="1035"/>
      <c r="AW83" s="1040" t="s">
        <v>1988</v>
      </c>
    </row>
    <row r="84" spans="1:49" ht="18">
      <c r="N84" s="1030">
        <f>X54</f>
        <v>0.53489816536467338</v>
      </c>
      <c r="O84" s="1030">
        <f>X56</f>
        <v>0.10855749394470743</v>
      </c>
      <c r="P84" s="1030">
        <f>X58</f>
        <v>0</v>
      </c>
      <c r="Q84" s="659">
        <f>N84</f>
        <v>0.53489816536467338</v>
      </c>
      <c r="U84" s="1041">
        <v>80.695560509129081</v>
      </c>
      <c r="V84" s="1031">
        <v>24.029717508857267</v>
      </c>
      <c r="W84" s="1031">
        <v>0</v>
      </c>
      <c r="X84" s="659">
        <v>80.695560509129081</v>
      </c>
      <c r="Z84" s="1032">
        <v>121.2268673639191</v>
      </c>
      <c r="AA84" s="1032">
        <v>19.93582705934891</v>
      </c>
      <c r="AB84" s="1032">
        <v>0</v>
      </c>
      <c r="AC84" s="1042">
        <v>121.2268673639191</v>
      </c>
      <c r="AE84" s="1031">
        <v>96.867323487015739</v>
      </c>
      <c r="AF84" s="1032">
        <v>26.076662733611439</v>
      </c>
      <c r="AG84" s="1032">
        <v>19.323277257207629</v>
      </c>
      <c r="AH84" s="1043">
        <v>96.867323487015739</v>
      </c>
      <c r="AJ84" s="1041">
        <v>71.34509255643718</v>
      </c>
      <c r="AK84" s="1031">
        <v>22.208473323528878</v>
      </c>
      <c r="AL84" s="1031">
        <v>0</v>
      </c>
      <c r="AM84" s="659">
        <v>71.34509255643718</v>
      </c>
      <c r="AO84" s="1032">
        <v>107.74440875083899</v>
      </c>
      <c r="AP84" s="1032">
        <v>18.361438450904281</v>
      </c>
      <c r="AQ84" s="1032">
        <v>0</v>
      </c>
      <c r="AR84" s="1042">
        <v>107.74440875083899</v>
      </c>
      <c r="AT84" s="1031">
        <v>85.697715781013471</v>
      </c>
      <c r="AU84" s="1032">
        <v>24.13199075984118</v>
      </c>
      <c r="AV84" s="1032">
        <v>17.427181216835912</v>
      </c>
      <c r="AW84" s="1043">
        <v>85.697715781013471</v>
      </c>
    </row>
    <row r="85" spans="1:49" ht="18">
      <c r="C85" s="650">
        <f>B80/C74</f>
        <v>9.7708623853211023</v>
      </c>
      <c r="N85" s="1030"/>
      <c r="O85" s="1030">
        <f>X55</f>
        <v>0.21914322570806827</v>
      </c>
      <c r="P85" s="1030">
        <f>X59</f>
        <v>0</v>
      </c>
      <c r="Q85" s="659">
        <f>O85</f>
        <v>0.21914322570806827</v>
      </c>
      <c r="U85" s="1041"/>
      <c r="V85" s="1031">
        <v>80.695560509129066</v>
      </c>
      <c r="W85" s="1031">
        <v>1.7763568394002505E-15</v>
      </c>
      <c r="X85" s="659">
        <v>80.695560509129066</v>
      </c>
      <c r="Z85" s="1032"/>
      <c r="AA85" s="1032">
        <v>48.352034553355765</v>
      </c>
      <c r="AB85" s="1032">
        <v>1.7763568394002505E-15</v>
      </c>
      <c r="AC85" s="1042">
        <v>48.352034553355765</v>
      </c>
      <c r="AE85" s="1033"/>
      <c r="AF85" s="1032">
        <v>60.429907081734093</v>
      </c>
      <c r="AG85" s="1032">
        <v>12.232450998038161</v>
      </c>
      <c r="AH85" s="1043">
        <v>60.429907081734093</v>
      </c>
      <c r="AJ85" s="1041"/>
      <c r="AK85" s="1031">
        <v>71.345092556437166</v>
      </c>
      <c r="AL85" s="1031">
        <v>1.7763568394002505E-15</v>
      </c>
      <c r="AM85" s="659">
        <v>71.345092556437166</v>
      </c>
      <c r="AO85" s="1032"/>
      <c r="AP85" s="1032">
        <v>42.639846107284576</v>
      </c>
      <c r="AQ85" s="1032">
        <v>1.7763568394002505E-15</v>
      </c>
      <c r="AR85" s="1042">
        <v>42.639846107284576</v>
      </c>
      <c r="AT85" s="1033"/>
      <c r="AU85" s="1032">
        <v>53.14543445923627</v>
      </c>
      <c r="AV85" s="1032">
        <v>10.763921358960831</v>
      </c>
      <c r="AW85" s="1043">
        <v>53.14543445923627</v>
      </c>
    </row>
    <row r="86" spans="1:49" ht="18">
      <c r="A86" s="721" t="s">
        <v>1790</v>
      </c>
      <c r="B86" s="721" t="s">
        <v>1737</v>
      </c>
      <c r="C86" s="721" t="s">
        <v>1735</v>
      </c>
      <c r="D86" s="721" t="s">
        <v>1791</v>
      </c>
      <c r="E86" s="721" t="s">
        <v>1746</v>
      </c>
      <c r="N86" s="1030"/>
      <c r="O86" s="1030"/>
      <c r="P86" s="1030">
        <f>X57</f>
        <v>0.12281619385983024</v>
      </c>
      <c r="Q86" s="659">
        <f>2*P86</f>
        <v>0.24563238771966048</v>
      </c>
      <c r="U86" s="1041"/>
      <c r="V86" s="1031"/>
      <c r="W86" s="1031">
        <v>28.332921500135907</v>
      </c>
      <c r="X86" s="1042">
        <v>56.665843000271813</v>
      </c>
      <c r="Z86" s="1032"/>
      <c r="AA86" s="1032"/>
      <c r="AB86" s="1032">
        <v>24.239031050627549</v>
      </c>
      <c r="AC86" s="1042">
        <v>48.478062101255098</v>
      </c>
      <c r="AE86" s="1033"/>
      <c r="AF86" s="1032"/>
      <c r="AG86" s="1032">
        <v>30.379866724890082</v>
      </c>
      <c r="AH86" s="1043">
        <v>60.759733449780164</v>
      </c>
      <c r="AJ86" s="1041"/>
      <c r="AK86" s="1031"/>
      <c r="AL86" s="1031">
        <v>24.568309616454144</v>
      </c>
      <c r="AM86" s="1042">
        <v>49.136619232908288</v>
      </c>
      <c r="AO86" s="1032"/>
      <c r="AP86" s="1032"/>
      <c r="AQ86" s="1032">
        <v>20.721274743829543</v>
      </c>
      <c r="AR86" s="1042">
        <v>41.442549487659086</v>
      </c>
      <c r="AT86" s="1033"/>
      <c r="AU86" s="1032"/>
      <c r="AV86" s="1032">
        <v>26.491827052766446</v>
      </c>
      <c r="AW86" s="1043">
        <v>52.983654105532892</v>
      </c>
    </row>
    <row r="87" spans="1:49" ht="18">
      <c r="A87" s="594" t="s">
        <v>1792</v>
      </c>
      <c r="B87" s="610">
        <v>0.88</v>
      </c>
      <c r="C87" s="1016">
        <v>5.7000000000000002E-2</v>
      </c>
      <c r="D87" s="1016">
        <v>3.4000000000000002E-2</v>
      </c>
      <c r="E87" s="594">
        <v>139</v>
      </c>
      <c r="Q87" s="714">
        <f>Q84+Q85+Q86</f>
        <v>0.99967377879240216</v>
      </c>
      <c r="U87" s="1044"/>
      <c r="V87" s="594"/>
      <c r="W87" s="594"/>
      <c r="X87" s="597">
        <v>218.05696401852998</v>
      </c>
      <c r="Y87" s="596"/>
      <c r="Z87" s="596"/>
      <c r="AA87" s="596"/>
      <c r="AB87" s="596"/>
      <c r="AC87" s="596">
        <v>218.05696401852995</v>
      </c>
      <c r="AD87" s="596"/>
      <c r="AE87" s="1045"/>
      <c r="AF87" s="596"/>
      <c r="AG87" s="596"/>
      <c r="AH87" s="1046">
        <v>218.05696401852998</v>
      </c>
      <c r="AJ87" s="1044"/>
      <c r="AK87" s="594"/>
      <c r="AL87" s="594"/>
      <c r="AM87" s="597">
        <v>191.82680434578265</v>
      </c>
      <c r="AN87" s="596"/>
      <c r="AO87" s="596"/>
      <c r="AP87" s="596"/>
      <c r="AQ87" s="596"/>
      <c r="AR87" s="596">
        <v>191.82680434578265</v>
      </c>
      <c r="AS87" s="596"/>
      <c r="AT87" s="1045"/>
      <c r="AU87" s="596"/>
      <c r="AV87" s="596"/>
      <c r="AW87" s="1046">
        <v>191.82680434578265</v>
      </c>
    </row>
    <row r="88" spans="1:49" ht="18">
      <c r="A88" s="594" t="s">
        <v>1793</v>
      </c>
      <c r="B88" s="610">
        <v>0.87</v>
      </c>
      <c r="C88" s="1016">
        <v>5.7000000000000002E-2</v>
      </c>
      <c r="D88" s="1016">
        <v>3.5999999999999997E-2</v>
      </c>
      <c r="E88" s="594">
        <v>163</v>
      </c>
      <c r="N88" s="1062">
        <f>N84/$Q$87</f>
        <v>0.5350727174327069</v>
      </c>
      <c r="O88" s="1062">
        <f t="shared" ref="O88:P90" si="33">O84/$Q$87</f>
        <v>0.10859291925796434</v>
      </c>
      <c r="P88" s="1034">
        <f t="shared" si="33"/>
        <v>0</v>
      </c>
      <c r="Q88" s="654">
        <f>N88</f>
        <v>0.5350727174327069</v>
      </c>
      <c r="U88" s="1047">
        <v>0.37006642219540281</v>
      </c>
      <c r="V88" s="1034">
        <v>0.11019926658620853</v>
      </c>
      <c r="W88" s="1034">
        <v>0</v>
      </c>
      <c r="X88" s="654">
        <v>0.37006642219540281</v>
      </c>
      <c r="Z88" s="1034">
        <v>0.55594127850747077</v>
      </c>
      <c r="AA88" s="1034">
        <v>9.1424858403764672E-2</v>
      </c>
      <c r="AB88" s="1034">
        <v>0</v>
      </c>
      <c r="AC88" s="1048">
        <v>0.55594127850747077</v>
      </c>
      <c r="AE88" s="1034">
        <v>0.44422944216899296</v>
      </c>
      <c r="AF88" s="1034">
        <v>0.11958647067743043</v>
      </c>
      <c r="AG88" s="1034">
        <v>8.8615730959023989E-2</v>
      </c>
      <c r="AH88" s="1049">
        <v>0.44422944216899296</v>
      </c>
      <c r="AJ88" s="1047">
        <v>0.37192452222595612</v>
      </c>
      <c r="AK88" s="1034">
        <v>0.11577356667786837</v>
      </c>
      <c r="AL88" s="1034">
        <v>0</v>
      </c>
      <c r="AM88" s="654">
        <v>0.37192452222595612</v>
      </c>
      <c r="AO88" s="1034">
        <v>0.56167546093621701</v>
      </c>
      <c r="AP88" s="1034">
        <v>9.5718836132026516E-2</v>
      </c>
      <c r="AQ88" s="1034">
        <v>0</v>
      </c>
      <c r="AR88" s="1048">
        <v>0.56167546093621701</v>
      </c>
      <c r="AT88" s="1034">
        <v>0.44674526103524465</v>
      </c>
      <c r="AU88" s="1034">
        <v>0.12580093195078931</v>
      </c>
      <c r="AV88" s="1034">
        <v>9.0848519716890397E-2</v>
      </c>
      <c r="AW88" s="1049">
        <v>0.44674526103524465</v>
      </c>
    </row>
    <row r="89" spans="1:49" ht="18">
      <c r="A89" s="594" t="s">
        <v>1755</v>
      </c>
      <c r="B89" s="610">
        <v>0.88</v>
      </c>
      <c r="C89" s="1016">
        <v>4.5999999999999999E-2</v>
      </c>
      <c r="D89" s="1016">
        <v>3.5999999999999997E-2</v>
      </c>
      <c r="E89" s="595">
        <v>218</v>
      </c>
      <c r="N89" s="1062"/>
      <c r="O89" s="1062">
        <f t="shared" si="33"/>
        <v>0.21921473820468865</v>
      </c>
      <c r="P89" s="1034">
        <f t="shared" si="33"/>
        <v>0</v>
      </c>
      <c r="Q89" s="654">
        <f>O89</f>
        <v>0.21921473820468865</v>
      </c>
      <c r="U89" s="1047"/>
      <c r="V89" s="1034">
        <v>0.37006642219540276</v>
      </c>
      <c r="W89" s="1034">
        <v>8.1462972182319286E-18</v>
      </c>
      <c r="X89" s="654">
        <v>0.37006642219540276</v>
      </c>
      <c r="Z89" s="1034"/>
      <c r="AA89" s="1034">
        <v>0.22174038224822265</v>
      </c>
      <c r="AB89" s="1034">
        <v>8.1462972182319286E-18</v>
      </c>
      <c r="AC89" s="1048">
        <v>0.22174038224822265</v>
      </c>
      <c r="AE89" s="1034"/>
      <c r="AF89" s="1034">
        <v>0.27712899403936897</v>
      </c>
      <c r="AG89" s="1034">
        <v>5.609750210499434E-2</v>
      </c>
      <c r="AH89" s="1049">
        <v>0.27712899403936897</v>
      </c>
      <c r="AJ89" s="1047"/>
      <c r="AK89" s="1034">
        <v>0.37192452222595607</v>
      </c>
      <c r="AL89" s="1034">
        <v>9.2602118116831568E-18</v>
      </c>
      <c r="AM89" s="654">
        <v>0.37192452222595607</v>
      </c>
      <c r="AO89" s="1034"/>
      <c r="AP89" s="1034">
        <v>0.22228304460737905</v>
      </c>
      <c r="AQ89" s="1034">
        <v>9.2602118116831568E-18</v>
      </c>
      <c r="AR89" s="1048">
        <v>0.22228304460737905</v>
      </c>
      <c r="AT89" s="1034"/>
      <c r="AU89" s="1034">
        <v>0.27704905287082571</v>
      </c>
      <c r="AV89" s="1034">
        <v>5.61127074793887E-2</v>
      </c>
      <c r="AW89" s="1049">
        <v>0.27704905287082571</v>
      </c>
    </row>
    <row r="90" spans="1:49" ht="18">
      <c r="A90" s="594" t="s">
        <v>1753</v>
      </c>
      <c r="B90" s="1017">
        <v>0.9</v>
      </c>
      <c r="C90" s="1018">
        <v>0.05</v>
      </c>
      <c r="D90" s="1018">
        <v>2.7E-2</v>
      </c>
      <c r="E90" s="595">
        <v>183</v>
      </c>
      <c r="N90" s="1062"/>
      <c r="O90" s="1062"/>
      <c r="P90" s="1034">
        <f t="shared" si="33"/>
        <v>0.1228562721813022</v>
      </c>
      <c r="Q90" s="654">
        <f>2*P90</f>
        <v>0.2457125443626044</v>
      </c>
      <c r="U90" s="1047"/>
      <c r="V90" s="1034"/>
      <c r="W90" s="1034">
        <v>0.12993357780459716</v>
      </c>
      <c r="X90" s="654">
        <v>0.25986715560919432</v>
      </c>
      <c r="Z90" s="1034"/>
      <c r="AA90" s="1034"/>
      <c r="AB90" s="1034">
        <v>0.11115916962215329</v>
      </c>
      <c r="AC90" s="654">
        <v>0.22231833924430658</v>
      </c>
      <c r="AE90" s="1034"/>
      <c r="AF90" s="1034"/>
      <c r="AG90" s="1034">
        <v>0.13932078189581906</v>
      </c>
      <c r="AH90" s="1050">
        <v>0.27864156379163812</v>
      </c>
      <c r="AJ90" s="1047"/>
      <c r="AK90" s="1034"/>
      <c r="AL90" s="1034">
        <v>0.12807547777404385</v>
      </c>
      <c r="AM90" s="654">
        <v>0.2561509555480877</v>
      </c>
      <c r="AO90" s="1034"/>
      <c r="AP90" s="1034"/>
      <c r="AQ90" s="1034">
        <v>0.10802074722820197</v>
      </c>
      <c r="AR90" s="654">
        <v>0.21604149445640394</v>
      </c>
      <c r="AT90" s="1034"/>
      <c r="AU90" s="1034"/>
      <c r="AV90" s="1034">
        <v>0.1381028430469648</v>
      </c>
      <c r="AW90" s="1050">
        <v>0.27620568609392959</v>
      </c>
    </row>
    <row r="91" spans="1:49" ht="18.600000000000001" thickBot="1">
      <c r="A91" s="594" t="s">
        <v>1780</v>
      </c>
      <c r="B91" s="610">
        <v>0.9</v>
      </c>
      <c r="C91" s="1016">
        <v>4.8000000000000001E-2</v>
      </c>
      <c r="D91" s="1016">
        <v>2.8000000000000001E-2</v>
      </c>
      <c r="E91" s="594">
        <v>192</v>
      </c>
      <c r="Q91" s="698">
        <f>Q88+Q89+Q90</f>
        <v>0.99999999999999989</v>
      </c>
      <c r="U91" s="1051"/>
      <c r="V91" s="1052"/>
      <c r="W91" s="1053"/>
      <c r="X91" s="1054">
        <v>0.99999999999999978</v>
      </c>
      <c r="Y91" s="1055"/>
      <c r="Z91" s="1055"/>
      <c r="AA91" s="1055"/>
      <c r="AB91" s="1056"/>
      <c r="AC91" s="1054">
        <v>1</v>
      </c>
      <c r="AD91" s="1055"/>
      <c r="AE91" s="1055"/>
      <c r="AF91" s="1055"/>
      <c r="AG91" s="1056"/>
      <c r="AH91" s="1057">
        <v>1</v>
      </c>
      <c r="AJ91" s="1051"/>
      <c r="AK91" s="1052"/>
      <c r="AL91" s="1053"/>
      <c r="AM91" s="1054">
        <v>0.99999999999999978</v>
      </c>
      <c r="AN91" s="1055"/>
      <c r="AO91" s="1055"/>
      <c r="AP91" s="1055"/>
      <c r="AQ91" s="1056"/>
      <c r="AR91" s="1054">
        <v>1</v>
      </c>
      <c r="AS91" s="1055"/>
      <c r="AT91" s="1055"/>
      <c r="AU91" s="1055"/>
      <c r="AV91" s="1056"/>
      <c r="AW91" s="1057">
        <v>0.99999999999999989</v>
      </c>
    </row>
    <row r="92" spans="1:49" ht="18.600000000000001" thickBot="1">
      <c r="A92" s="594" t="s">
        <v>1796</v>
      </c>
      <c r="B92" s="610">
        <v>0.9</v>
      </c>
      <c r="C92" s="1016">
        <v>4.2000000000000003E-2</v>
      </c>
      <c r="D92" s="1016">
        <v>2.8000000000000001E-2</v>
      </c>
      <c r="E92" s="594">
        <v>195</v>
      </c>
    </row>
    <row r="93" spans="1:49" ht="18">
      <c r="A93" s="594" t="s">
        <v>1788</v>
      </c>
      <c r="B93" s="610">
        <v>0.86</v>
      </c>
      <c r="C93" s="1016">
        <v>5.6000000000000001E-2</v>
      </c>
      <c r="D93" s="1016">
        <v>4.3999999999999997E-2</v>
      </c>
      <c r="E93" s="594">
        <v>162</v>
      </c>
      <c r="U93" s="1060" t="s">
        <v>2002</v>
      </c>
      <c r="V93" s="1061"/>
      <c r="W93" s="1035" t="s">
        <v>1959</v>
      </c>
      <c r="X93" s="1036" t="s">
        <v>1988</v>
      </c>
      <c r="Y93" s="1037"/>
      <c r="Z93" s="1035"/>
      <c r="AA93" s="1035" t="s">
        <v>2001</v>
      </c>
      <c r="AB93" s="1038"/>
      <c r="AC93" s="1036" t="s">
        <v>1988</v>
      </c>
      <c r="AD93" s="1037"/>
      <c r="AE93" s="1039"/>
      <c r="AF93" s="1035" t="s">
        <v>2000</v>
      </c>
      <c r="AG93" s="1035"/>
      <c r="AH93" s="1040" t="s">
        <v>1988</v>
      </c>
      <c r="AJ93" s="1060" t="s">
        <v>2003</v>
      </c>
      <c r="AK93" s="1061"/>
      <c r="AL93" s="1035" t="s">
        <v>1959</v>
      </c>
      <c r="AM93" s="1036" t="s">
        <v>1988</v>
      </c>
      <c r="AN93" s="1037"/>
      <c r="AO93" s="1035"/>
      <c r="AP93" s="1035" t="s">
        <v>2001</v>
      </c>
      <c r="AQ93" s="1038"/>
      <c r="AR93" s="1036" t="s">
        <v>1988</v>
      </c>
      <c r="AS93" s="1037"/>
      <c r="AT93" s="1039"/>
      <c r="AU93" s="1035" t="s">
        <v>2000</v>
      </c>
      <c r="AV93" s="1035"/>
      <c r="AW93" s="1040" t="s">
        <v>1988</v>
      </c>
    </row>
    <row r="94" spans="1:49" ht="18">
      <c r="A94" s="594" t="s">
        <v>1772</v>
      </c>
      <c r="B94" s="610">
        <v>0.88</v>
      </c>
      <c r="C94" s="1016">
        <v>4.9000000000000002E-2</v>
      </c>
      <c r="D94" s="1016">
        <v>3.5999999999999997E-2</v>
      </c>
      <c r="E94" s="594">
        <v>232</v>
      </c>
      <c r="U94" s="1041">
        <v>62.788935980010578</v>
      </c>
      <c r="V94" s="1031">
        <v>20.092331392398641</v>
      </c>
      <c r="W94" s="1031">
        <v>0</v>
      </c>
      <c r="X94" s="659">
        <v>62.788935980010578</v>
      </c>
      <c r="Z94" s="1032">
        <v>94.977470690781828</v>
      </c>
      <c r="AA94" s="1032">
        <v>16.627432485366903</v>
      </c>
      <c r="AB94" s="1032">
        <v>0</v>
      </c>
      <c r="AC94" s="1042">
        <v>94.977470690781828</v>
      </c>
      <c r="AE94" s="1031">
        <v>75.418304428364465</v>
      </c>
      <c r="AF94" s="1032">
        <v>21.824780845914503</v>
      </c>
      <c r="AG94" s="1032">
        <v>15.438389622579768</v>
      </c>
      <c r="AH94" s="1043">
        <v>75.418304428364465</v>
      </c>
      <c r="AJ94" s="1041">
        <v>68.173557275025374</v>
      </c>
      <c r="AK94" s="1031">
        <v>21.8319860491303</v>
      </c>
      <c r="AL94" s="1031">
        <v>0</v>
      </c>
      <c r="AM94" s="659">
        <v>68</v>
      </c>
      <c r="AO94" s="1032">
        <v>102.67253496960416</v>
      </c>
      <c r="AP94" s="1032">
        <v>18.203861966746164</v>
      </c>
      <c r="AQ94" s="1032">
        <v>0</v>
      </c>
      <c r="AR94" s="1042">
        <v>102.67253496960416</v>
      </c>
      <c r="AT94" s="1031">
        <v>81.79492203993064</v>
      </c>
      <c r="AU94" s="1032">
        <v>23.646048090322367</v>
      </c>
      <c r="AV94" s="1032">
        <v>16.509519355762354</v>
      </c>
      <c r="AW94" s="1043">
        <v>81.79492203993064</v>
      </c>
    </row>
    <row r="95" spans="1:49" ht="18">
      <c r="A95" s="594" t="s">
        <v>1794</v>
      </c>
      <c r="B95" s="610">
        <v>0.89</v>
      </c>
      <c r="C95" s="1016">
        <v>5.8000000000000003E-2</v>
      </c>
      <c r="D95" s="1016">
        <v>2.7E-2</v>
      </c>
      <c r="E95" s="594">
        <v>168</v>
      </c>
      <c r="U95" s="1041"/>
      <c r="V95" s="1031">
        <v>62.788935980010564</v>
      </c>
      <c r="W95" s="1031">
        <v>1.7763568394002505E-15</v>
      </c>
      <c r="X95" s="659">
        <v>62.788935980010564</v>
      </c>
      <c r="Z95" s="1032"/>
      <c r="AA95" s="1032">
        <v>37.530199083302769</v>
      </c>
      <c r="AB95" s="1032">
        <v>8.8817841970012523E-16</v>
      </c>
      <c r="AC95" s="1042">
        <v>37.530199083302769</v>
      </c>
      <c r="AE95" s="1033"/>
      <c r="AF95" s="1032">
        <v>46.694668624624924</v>
      </c>
      <c r="AG95" s="1032">
        <v>9.4370086725109257</v>
      </c>
      <c r="AH95" s="1043">
        <v>46.694668624624924</v>
      </c>
      <c r="AJ95" s="1041"/>
      <c r="AK95" s="1031">
        <v>68.17355727502536</v>
      </c>
      <c r="AL95" s="1031">
        <v>1.7763568394002505E-15</v>
      </c>
      <c r="AM95" s="659">
        <v>68</v>
      </c>
      <c r="AO95" s="1032"/>
      <c r="AP95" s="1032">
        <v>40.930827745214842</v>
      </c>
      <c r="AQ95" s="1032">
        <v>8.8817841970012523E-16</v>
      </c>
      <c r="AR95" s="1042">
        <v>40.930827745214842</v>
      </c>
      <c r="AT95" s="1033"/>
      <c r="AU95" s="1032">
        <v>50.924068427735989</v>
      </c>
      <c r="AV95" s="1032">
        <v>10.225424108908822</v>
      </c>
      <c r="AW95" s="1043">
        <v>50.924068427735989</v>
      </c>
    </row>
    <row r="96" spans="1:49" ht="18">
      <c r="A96" s="594" t="s">
        <v>1795</v>
      </c>
      <c r="B96" s="610">
        <v>0.88</v>
      </c>
      <c r="C96" s="1016">
        <v>0.05</v>
      </c>
      <c r="D96" s="1016">
        <v>3.5000000000000003E-2</v>
      </c>
      <c r="E96" s="594">
        <v>206</v>
      </c>
      <c r="U96" s="1041"/>
      <c r="V96" s="1031"/>
      <c r="W96" s="1031">
        <v>21.348302293805961</v>
      </c>
      <c r="X96" s="1042">
        <v>42.696604587611922</v>
      </c>
      <c r="Z96" s="1032"/>
      <c r="AA96" s="1032"/>
      <c r="AB96" s="1032">
        <v>17.883403386774223</v>
      </c>
      <c r="AC96" s="1042">
        <v>35.766806773548446</v>
      </c>
      <c r="AE96" s="1033"/>
      <c r="AF96" s="1032"/>
      <c r="AG96" s="1032">
        <v>23.080751747321827</v>
      </c>
      <c r="AH96" s="1043">
        <v>46.161503494643654</v>
      </c>
      <c r="AJ96" s="1041"/>
      <c r="AK96" s="1031"/>
      <c r="AL96" s="1031">
        <v>23.170785612947533</v>
      </c>
      <c r="AM96" s="1042">
        <f>2*AL96</f>
        <v>46.341571225895066</v>
      </c>
      <c r="AO96" s="1032"/>
      <c r="AP96" s="1032"/>
      <c r="AQ96" s="1032">
        <v>19.5426615305634</v>
      </c>
      <c r="AR96" s="1042">
        <v>39.0853230611268</v>
      </c>
      <c r="AT96" s="1033"/>
      <c r="AU96" s="1032"/>
      <c r="AV96" s="1032">
        <v>24.984847654139607</v>
      </c>
      <c r="AW96" s="1043">
        <v>49.969695308279213</v>
      </c>
    </row>
    <row r="97" spans="1:49" ht="18">
      <c r="U97" s="1044"/>
      <c r="V97" s="594"/>
      <c r="W97" s="594"/>
      <c r="X97" s="597">
        <v>168.27447654763307</v>
      </c>
      <c r="Y97" s="596"/>
      <c r="Z97" s="596"/>
      <c r="AA97" s="596"/>
      <c r="AB97" s="596"/>
      <c r="AC97" s="596">
        <v>168.27447654763304</v>
      </c>
      <c r="AD97" s="596"/>
      <c r="AE97" s="1045"/>
      <c r="AF97" s="596"/>
      <c r="AG97" s="596"/>
      <c r="AH97" s="1046">
        <v>168.27447654763304</v>
      </c>
      <c r="AJ97" s="1044"/>
      <c r="AK97" s="594"/>
      <c r="AL97" s="594"/>
      <c r="AM97" s="714">
        <f>AM94+AM95+AM96</f>
        <v>182.34157122589505</v>
      </c>
      <c r="AN97" s="596"/>
      <c r="AO97" s="596"/>
      <c r="AP97" s="596"/>
      <c r="AQ97" s="596"/>
      <c r="AR97" s="596">
        <v>182.68868577594583</v>
      </c>
      <c r="AS97" s="596"/>
      <c r="AT97" s="1045"/>
      <c r="AU97" s="596"/>
      <c r="AV97" s="596"/>
      <c r="AW97" s="1046">
        <v>182.68868577594583</v>
      </c>
    </row>
    <row r="98" spans="1:49" ht="18">
      <c r="A98" s="650" t="s">
        <v>1808</v>
      </c>
      <c r="B98" s="650" t="s">
        <v>1799</v>
      </c>
      <c r="C98" s="650" t="s">
        <v>1800</v>
      </c>
      <c r="D98" s="650" t="s">
        <v>1732</v>
      </c>
      <c r="E98" s="650" t="s">
        <v>1718</v>
      </c>
      <c r="F98" s="650" t="s">
        <v>1801</v>
      </c>
      <c r="G98" s="650" t="s">
        <v>1418</v>
      </c>
      <c r="H98" s="650" t="s">
        <v>983</v>
      </c>
      <c r="I98" s="650" t="s">
        <v>1802</v>
      </c>
      <c r="U98" s="1047">
        <v>0.37313404426034308</v>
      </c>
      <c r="V98" s="1034">
        <v>0.11940213278102904</v>
      </c>
      <c r="W98" s="1034">
        <v>0</v>
      </c>
      <c r="X98" s="654">
        <v>0.37313404426034308</v>
      </c>
      <c r="Z98" s="1034">
        <v>0.56441994436331999</v>
      </c>
      <c r="AA98" s="1034">
        <v>9.8811375477137295E-2</v>
      </c>
      <c r="AB98" s="1034">
        <v>0</v>
      </c>
      <c r="AC98" s="1048">
        <v>0.56441994436331999</v>
      </c>
      <c r="AE98" s="1034">
        <v>0.44818623700793975</v>
      </c>
      <c r="AF98" s="1034">
        <v>0.12969751143297489</v>
      </c>
      <c r="AG98" s="1034">
        <v>9.1745283891640342E-2</v>
      </c>
      <c r="AH98" s="1049">
        <v>0.44818623700793975</v>
      </c>
      <c r="AJ98" s="1047">
        <v>0.37316792217026085</v>
      </c>
      <c r="AK98" s="1034">
        <v>0.1195037665107823</v>
      </c>
      <c r="AL98" s="1034">
        <v>0</v>
      </c>
      <c r="AM98" s="654">
        <v>0.37041098308872139</v>
      </c>
      <c r="AO98" s="1034">
        <v>0.56200817545715143</v>
      </c>
      <c r="AP98" s="1034">
        <v>9.9644167286155064E-2</v>
      </c>
      <c r="AQ98" s="1034">
        <v>0</v>
      </c>
      <c r="AR98" s="1048">
        <v>0.56200817545715143</v>
      </c>
      <c r="AT98" s="1034">
        <v>0.44772844958907893</v>
      </c>
      <c r="AU98" s="1034">
        <v>0.12943356612309587</v>
      </c>
      <c r="AV98" s="1034">
        <v>9.0369687020520034E-2</v>
      </c>
      <c r="AW98" s="1049">
        <v>0.44772844958907893</v>
      </c>
    </row>
    <row r="99" spans="1:49" ht="18">
      <c r="A99" s="650" t="s">
        <v>1713</v>
      </c>
      <c r="B99" s="651">
        <v>0.222965795641801</v>
      </c>
      <c r="C99" s="651">
        <v>0.58183191023887604</v>
      </c>
      <c r="D99" s="651">
        <v>1.00001488062243</v>
      </c>
      <c r="E99" s="659">
        <v>12215</v>
      </c>
      <c r="F99" s="651">
        <f>(1-C99)/2</f>
        <v>0.20908404488056198</v>
      </c>
      <c r="G99" s="659">
        <f>E99*F99</f>
        <v>2553.9616082160646</v>
      </c>
      <c r="H99" s="664">
        <f>1000/(G99)^0.5</f>
        <v>19.787586106407897</v>
      </c>
      <c r="I99" s="664">
        <f>1000/(E99*0.218)^0.5</f>
        <v>19.378716868844251</v>
      </c>
      <c r="U99" s="1047"/>
      <c r="V99" s="1034">
        <v>0.37313404426034297</v>
      </c>
      <c r="W99" s="1034">
        <v>1.0556305839391046E-17</v>
      </c>
      <c r="X99" s="654">
        <v>0.37313404426034297</v>
      </c>
      <c r="Z99" s="1034"/>
      <c r="AA99" s="1034">
        <v>0.2230296587651496</v>
      </c>
      <c r="AB99" s="1034">
        <v>5.2781529196955237E-18</v>
      </c>
      <c r="AC99" s="1048">
        <v>0.2230296587651496</v>
      </c>
      <c r="AE99" s="1034"/>
      <c r="AF99" s="1034">
        <v>0.27749109420885454</v>
      </c>
      <c r="AG99" s="1034">
        <v>5.6081046074979858E-2</v>
      </c>
      <c r="AH99" s="1049">
        <v>0.27749109420885454</v>
      </c>
      <c r="AJ99" s="1047"/>
      <c r="AK99" s="1034">
        <v>0.37316792217026079</v>
      </c>
      <c r="AL99" s="1034">
        <v>9.7234091528734369E-18</v>
      </c>
      <c r="AM99" s="654">
        <v>0.37041098308872139</v>
      </c>
      <c r="AO99" s="1034"/>
      <c r="AP99" s="1034">
        <v>0.22404686733262441</v>
      </c>
      <c r="AQ99" s="1034">
        <v>4.8617045764367169E-18</v>
      </c>
      <c r="AR99" s="1048">
        <v>0.22404686733262441</v>
      </c>
      <c r="AT99" s="1034"/>
      <c r="AU99" s="1034">
        <v>0.27874779552681545</v>
      </c>
      <c r="AV99" s="1034">
        <v>5.5971852145510252E-2</v>
      </c>
      <c r="AW99" s="1049">
        <v>0.27874779552681545</v>
      </c>
    </row>
    <row r="100" spans="1:49" ht="18">
      <c r="A100" s="650" t="s">
        <v>1769</v>
      </c>
      <c r="B100" s="651">
        <v>0.16003215527023842</v>
      </c>
      <c r="C100" s="651">
        <v>0.5236880500785569</v>
      </c>
      <c r="D100" s="651">
        <v>0.99998819585415255</v>
      </c>
      <c r="E100" s="650">
        <v>16332</v>
      </c>
      <c r="F100" s="651">
        <f t="shared" ref="F100:F110" si="34">(1-C100)/2</f>
        <v>0.23815597496072155</v>
      </c>
      <c r="G100" s="659">
        <f t="shared" ref="G100:G110" si="35">E100*F100</f>
        <v>3889.5633830585043</v>
      </c>
      <c r="H100" s="664">
        <f t="shared" ref="H100:H110" si="36">1000/(G100)^0.5</f>
        <v>16.034284071031834</v>
      </c>
      <c r="I100" s="664">
        <f t="shared" ref="I100:I110" si="37">1000/(E100*0.218)^0.5</f>
        <v>16.759153068291333</v>
      </c>
      <c r="U100" s="1047"/>
      <c r="V100" s="1034"/>
      <c r="W100" s="1034">
        <v>0.12686595573965698</v>
      </c>
      <c r="X100" s="654">
        <v>0.25373191147931395</v>
      </c>
      <c r="Z100" s="1034"/>
      <c r="AA100" s="1034"/>
      <c r="AB100" s="1034">
        <v>0.10627519843576522</v>
      </c>
      <c r="AC100" s="654">
        <v>0.21255039687153043</v>
      </c>
      <c r="AE100" s="1034"/>
      <c r="AF100" s="1034"/>
      <c r="AG100" s="1034">
        <v>0.13716133439160286</v>
      </c>
      <c r="AH100" s="1050">
        <v>0.27432266878320571</v>
      </c>
      <c r="AJ100" s="1047"/>
      <c r="AK100" s="1034"/>
      <c r="AL100" s="1034">
        <v>0.12683207782973926</v>
      </c>
      <c r="AM100" s="654">
        <f>2*AL100</f>
        <v>0.25366415565947853</v>
      </c>
      <c r="AO100" s="1034"/>
      <c r="AP100" s="1034"/>
      <c r="AQ100" s="1034">
        <v>0.10697247860511204</v>
      </c>
      <c r="AR100" s="654">
        <v>0.21394495721022408</v>
      </c>
      <c r="AT100" s="1034"/>
      <c r="AU100" s="1034"/>
      <c r="AV100" s="1034">
        <v>0.13676187744205284</v>
      </c>
      <c r="AW100" s="1050">
        <v>0.27352375488410569</v>
      </c>
    </row>
    <row r="101" spans="1:49" ht="18.600000000000001" thickBot="1">
      <c r="A101" s="650" t="s">
        <v>1805</v>
      </c>
      <c r="B101" s="651">
        <v>7.0131380625039902E-2</v>
      </c>
      <c r="C101" s="651">
        <v>0.47076725796388802</v>
      </c>
      <c r="D101" s="651">
        <v>1.00000684904753</v>
      </c>
      <c r="E101" s="650">
        <v>40769</v>
      </c>
      <c r="F101" s="651">
        <v>0.26461637101805602</v>
      </c>
      <c r="G101" s="659">
        <v>10788.1448300351</v>
      </c>
      <c r="H101" s="664">
        <v>9.6277901544806408</v>
      </c>
      <c r="I101" s="664">
        <v>10.607345716600401</v>
      </c>
      <c r="U101" s="1051"/>
      <c r="V101" s="1052"/>
      <c r="W101" s="1053"/>
      <c r="X101" s="1054">
        <v>1</v>
      </c>
      <c r="Y101" s="1055"/>
      <c r="Z101" s="1055"/>
      <c r="AA101" s="1055"/>
      <c r="AB101" s="1056"/>
      <c r="AC101" s="1054">
        <v>1</v>
      </c>
      <c r="AD101" s="1055"/>
      <c r="AE101" s="1055"/>
      <c r="AF101" s="1055"/>
      <c r="AG101" s="1056"/>
      <c r="AH101" s="1057">
        <v>1</v>
      </c>
      <c r="AJ101" s="1051"/>
      <c r="AK101" s="1052"/>
      <c r="AL101" s="1053"/>
      <c r="AM101" s="1054">
        <v>1</v>
      </c>
      <c r="AN101" s="1055"/>
      <c r="AO101" s="1055"/>
      <c r="AP101" s="1055"/>
      <c r="AQ101" s="1056"/>
      <c r="AR101" s="1054">
        <v>1</v>
      </c>
      <c r="AS101" s="1055"/>
      <c r="AT101" s="1055"/>
      <c r="AU101" s="1055"/>
      <c r="AV101" s="1056"/>
      <c r="AW101" s="1057">
        <v>1</v>
      </c>
    </row>
    <row r="102" spans="1:49" ht="16.2" thickBot="1">
      <c r="A102" s="650" t="s">
        <v>1806</v>
      </c>
      <c r="B102" s="651">
        <v>0.17966184590123299</v>
      </c>
      <c r="C102" s="651">
        <v>0.71299385979204599</v>
      </c>
      <c r="D102" s="651">
        <v>0.99999298318192298</v>
      </c>
      <c r="E102" s="650">
        <v>18140</v>
      </c>
      <c r="F102" s="651">
        <v>0.143503070103977</v>
      </c>
      <c r="G102" s="659">
        <v>2603.1456916861498</v>
      </c>
      <c r="H102" s="664">
        <v>19.5997604049955</v>
      </c>
      <c r="I102" s="664">
        <v>15.9020498968142</v>
      </c>
    </row>
    <row r="103" spans="1:49" ht="18">
      <c r="A103" s="594" t="s">
        <v>1780</v>
      </c>
      <c r="B103" s="651"/>
      <c r="C103" s="651"/>
      <c r="D103" s="651"/>
      <c r="F103" s="651"/>
      <c r="G103" s="659"/>
      <c r="H103" s="664"/>
      <c r="I103" s="664"/>
      <c r="U103" s="1060" t="s">
        <v>1769</v>
      </c>
      <c r="V103" s="1061"/>
      <c r="W103" s="1035" t="s">
        <v>1959</v>
      </c>
      <c r="X103" s="1036" t="s">
        <v>1988</v>
      </c>
      <c r="Y103" s="1037"/>
      <c r="Z103" s="1035"/>
      <c r="AA103" s="1035" t="s">
        <v>2001</v>
      </c>
      <c r="AB103" s="1038"/>
      <c r="AC103" s="1036" t="s">
        <v>1988</v>
      </c>
      <c r="AD103" s="1037"/>
      <c r="AE103" s="1039"/>
      <c r="AF103" s="1035" t="s">
        <v>2000</v>
      </c>
      <c r="AG103" s="1035"/>
      <c r="AH103" s="1040" t="s">
        <v>1988</v>
      </c>
      <c r="AJ103" s="1060" t="s">
        <v>1866</v>
      </c>
      <c r="AK103" s="1061"/>
      <c r="AL103" s="1035" t="s">
        <v>1959</v>
      </c>
      <c r="AM103" s="1036" t="s">
        <v>1988</v>
      </c>
      <c r="AN103" s="1037"/>
      <c r="AO103" s="1035"/>
      <c r="AP103" s="1035" t="s">
        <v>2001</v>
      </c>
      <c r="AQ103" s="1038"/>
      <c r="AR103" s="1036" t="s">
        <v>1988</v>
      </c>
      <c r="AS103" s="1037"/>
      <c r="AT103" s="1039"/>
      <c r="AU103" s="1035" t="s">
        <v>2000</v>
      </c>
      <c r="AV103" s="1035"/>
      <c r="AW103" s="1040" t="s">
        <v>1988</v>
      </c>
    </row>
    <row r="104" spans="1:49" ht="18">
      <c r="A104" s="594" t="s">
        <v>1796</v>
      </c>
      <c r="B104" s="651"/>
      <c r="C104" s="651"/>
      <c r="D104" s="651"/>
      <c r="F104" s="651"/>
      <c r="G104" s="659"/>
      <c r="H104" s="664"/>
      <c r="I104" s="664"/>
      <c r="U104" s="1063">
        <v>60.287783083359777</v>
      </c>
      <c r="V104" s="1030">
        <v>18.104182173978984</v>
      </c>
      <c r="W104" s="1030">
        <v>0</v>
      </c>
      <c r="X104" s="659">
        <v>60.287783083359777</v>
      </c>
      <c r="Z104" s="1032">
        <v>89.788081155595037</v>
      </c>
      <c r="AA104" s="1032">
        <v>15.053861144148918</v>
      </c>
      <c r="AB104" s="1032">
        <v>0</v>
      </c>
      <c r="AC104" s="1042">
        <v>89.788081155595037</v>
      </c>
      <c r="AE104" s="1031">
        <v>71.987611089647331</v>
      </c>
      <c r="AF104" s="1032">
        <v>19.629342688894017</v>
      </c>
      <c r="AG104" s="1032">
        <v>14.094831525649797</v>
      </c>
      <c r="AH104" s="1043">
        <v>71.987611089647331</v>
      </c>
      <c r="AJ104" s="1041">
        <v>59.602513779139215</v>
      </c>
      <c r="AK104" s="1031">
        <v>18.193776758440293</v>
      </c>
      <c r="AL104" s="1031">
        <v>0</v>
      </c>
      <c r="AM104" s="659">
        <v>59.602513779139215</v>
      </c>
      <c r="AO104" s="1032">
        <v>88.719893024155198</v>
      </c>
      <c r="AP104" s="1032">
        <v>15.163657148463082</v>
      </c>
      <c r="AQ104" s="1032">
        <v>0</v>
      </c>
      <c r="AR104" s="1042">
        <v>88.719893024155198</v>
      </c>
      <c r="AT104" s="1031">
        <v>71.131083791669994</v>
      </c>
      <c r="AU104" s="1032">
        <v>19.708836563428893</v>
      </c>
      <c r="AV104" s="1032">
        <v>13.92027533827763</v>
      </c>
      <c r="AW104" s="1043">
        <v>71.131083791669994</v>
      </c>
    </row>
    <row r="105" spans="1:49" ht="18">
      <c r="A105" s="650" t="s">
        <v>1788</v>
      </c>
      <c r="B105" s="651">
        <v>0.27887390016191965</v>
      </c>
      <c r="C105" s="651">
        <v>0.55943657050500628</v>
      </c>
      <c r="D105" s="651">
        <v>0.99998225988210487</v>
      </c>
      <c r="E105" s="650">
        <v>26460</v>
      </c>
      <c r="F105" s="651">
        <f t="shared" si="34"/>
        <v>0.22028171474749686</v>
      </c>
      <c r="G105" s="659">
        <f t="shared" si="35"/>
        <v>5828.6541722187667</v>
      </c>
      <c r="H105" s="664">
        <f t="shared" si="36"/>
        <v>13.098327826887097</v>
      </c>
      <c r="I105" s="664">
        <f t="shared" si="37"/>
        <v>13.166696752603119</v>
      </c>
      <c r="U105" s="1063"/>
      <c r="V105" s="1030">
        <v>60.28778308335977</v>
      </c>
      <c r="W105" s="1030">
        <v>1.7763568394002505E-15</v>
      </c>
      <c r="X105" s="659">
        <v>60.28778308335977</v>
      </c>
      <c r="Z105" s="1032"/>
      <c r="AA105" s="1032">
        <v>36.888127070784655</v>
      </c>
      <c r="AB105" s="1032">
        <v>8.8817841970012523E-16</v>
      </c>
      <c r="AC105" s="1042">
        <v>36.888127070784655</v>
      </c>
      <c r="AE105" s="1033"/>
      <c r="AF105" s="1032">
        <v>45.537634047242136</v>
      </c>
      <c r="AG105" s="1032">
        <v>8.8115205225882907</v>
      </c>
      <c r="AH105" s="1043">
        <v>45.537634047242136</v>
      </c>
      <c r="AJ105" s="1041"/>
      <c r="AK105" s="1031">
        <v>59.602513779139215</v>
      </c>
      <c r="AL105" s="1031">
        <v>1.7763568394002505E-15</v>
      </c>
      <c r="AM105" s="659">
        <v>59.602513779139215</v>
      </c>
      <c r="AO105" s="1032"/>
      <c r="AP105" s="1032">
        <v>36.545373754077637</v>
      </c>
      <c r="AQ105" s="1032">
        <v>8.8817841970012523E-16</v>
      </c>
      <c r="AR105" s="1042">
        <v>36.545373754077637</v>
      </c>
      <c r="AT105" s="1033"/>
      <c r="AU105" s="1032">
        <v>45.043824156631224</v>
      </c>
      <c r="AV105" s="1032">
        <v>8.6719542207863167</v>
      </c>
      <c r="AW105" s="1043">
        <v>45.043824156631224</v>
      </c>
    </row>
    <row r="106" spans="1:49" ht="18">
      <c r="A106" s="650" t="s">
        <v>1772</v>
      </c>
      <c r="B106" s="651">
        <v>0.16429499516339147</v>
      </c>
      <c r="C106" s="651">
        <v>0.58526939779670717</v>
      </c>
      <c r="D106" s="651">
        <v>0.99999921859886365</v>
      </c>
      <c r="E106" s="650">
        <v>35430</v>
      </c>
      <c r="F106" s="651">
        <f t="shared" si="34"/>
        <v>0.20736530110164642</v>
      </c>
      <c r="G106" s="659">
        <f t="shared" si="35"/>
        <v>7346.9526180313323</v>
      </c>
      <c r="H106" s="664">
        <f t="shared" si="36"/>
        <v>11.666655675976763</v>
      </c>
      <c r="I106" s="664">
        <f t="shared" si="37"/>
        <v>11.37853047543881</v>
      </c>
      <c r="U106" s="1063"/>
      <c r="V106" s="1030"/>
      <c r="W106" s="1030">
        <v>21.091800454690389</v>
      </c>
      <c r="X106" s="1042">
        <v>42.183600909380779</v>
      </c>
      <c r="Z106" s="1032"/>
      <c r="AA106" s="1032"/>
      <c r="AB106" s="1032">
        <v>18.04147942486032</v>
      </c>
      <c r="AC106" s="1042">
        <v>36.08295884972064</v>
      </c>
      <c r="AE106" s="1033"/>
      <c r="AF106" s="1032"/>
      <c r="AG106" s="1032">
        <v>22.616960969605426</v>
      </c>
      <c r="AH106" s="1043">
        <v>45.233921939210852</v>
      </c>
      <c r="AJ106" s="1041"/>
      <c r="AK106" s="1031"/>
      <c r="AL106" s="1031">
        <v>20.704368510349454</v>
      </c>
      <c r="AM106" s="1042">
        <v>41.408737020698908</v>
      </c>
      <c r="AO106" s="1032"/>
      <c r="AP106" s="1032"/>
      <c r="AQ106" s="1032">
        <v>17.674248900372248</v>
      </c>
      <c r="AR106" s="1042">
        <v>35.348497800744497</v>
      </c>
      <c r="AT106" s="1033"/>
      <c r="AU106" s="1032"/>
      <c r="AV106" s="1032">
        <v>22.219428315338057</v>
      </c>
      <c r="AW106" s="1043">
        <v>44.438856630676113</v>
      </c>
    </row>
    <row r="107" spans="1:49" ht="18">
      <c r="A107" s="650" t="s">
        <v>1803</v>
      </c>
      <c r="B107" s="651">
        <v>0.26291143881478329</v>
      </c>
      <c r="C107" s="651">
        <v>0.56932340917043234</v>
      </c>
      <c r="D107" s="651">
        <v>0.99999154900193377</v>
      </c>
      <c r="E107" s="650">
        <v>41728</v>
      </c>
      <c r="F107" s="651">
        <f t="shared" si="34"/>
        <v>0.21533829541478383</v>
      </c>
      <c r="G107" s="659">
        <f t="shared" si="35"/>
        <v>8985.6363910680993</v>
      </c>
      <c r="H107" s="664">
        <f t="shared" si="36"/>
        <v>10.549347045074583</v>
      </c>
      <c r="I107" s="664">
        <f t="shared" si="37"/>
        <v>10.484747315400588</v>
      </c>
      <c r="U107" s="1058"/>
      <c r="W107" s="650"/>
      <c r="X107" s="597">
        <v>162.75916707610031</v>
      </c>
      <c r="Y107" s="596"/>
      <c r="Z107" s="596"/>
      <c r="AA107" s="596"/>
      <c r="AB107" s="596"/>
      <c r="AC107" s="596">
        <v>162.75916707610031</v>
      </c>
      <c r="AD107" s="596"/>
      <c r="AE107" s="1045"/>
      <c r="AF107" s="596"/>
      <c r="AG107" s="596"/>
      <c r="AH107" s="1046">
        <v>162.75916707610031</v>
      </c>
      <c r="AJ107" s="1044"/>
      <c r="AK107" s="594"/>
      <c r="AL107" s="594"/>
      <c r="AM107" s="597">
        <v>160.61376457897734</v>
      </c>
      <c r="AN107" s="596"/>
      <c r="AO107" s="596"/>
      <c r="AP107" s="596"/>
      <c r="AQ107" s="596"/>
      <c r="AR107" s="596">
        <v>160.61376457897734</v>
      </c>
      <c r="AS107" s="596"/>
      <c r="AT107" s="1045"/>
      <c r="AU107" s="596"/>
      <c r="AV107" s="596"/>
      <c r="AW107" s="1046">
        <v>160.61376457897734</v>
      </c>
    </row>
    <row r="108" spans="1:49" ht="18">
      <c r="A108" s="650" t="s">
        <v>1804</v>
      </c>
      <c r="B108" s="651">
        <v>0.26723322124335974</v>
      </c>
      <c r="C108" s="651">
        <v>0.50499845372404983</v>
      </c>
      <c r="D108" s="651">
        <v>0.99999374303202282</v>
      </c>
      <c r="E108" s="650">
        <v>44921</v>
      </c>
      <c r="F108" s="651">
        <f t="shared" si="34"/>
        <v>0.24750077313797508</v>
      </c>
      <c r="G108" s="659">
        <f t="shared" si="35"/>
        <v>11117.98223013098</v>
      </c>
      <c r="H108" s="664">
        <f t="shared" si="36"/>
        <v>9.4839010081515447</v>
      </c>
      <c r="I108" s="664">
        <f t="shared" si="37"/>
        <v>10.105249606904062</v>
      </c>
      <c r="U108" s="1047">
        <v>0.37041098308872145</v>
      </c>
      <c r="V108" s="1034">
        <v>0.11123294926616405</v>
      </c>
      <c r="W108" s="1034">
        <v>0</v>
      </c>
      <c r="X108" s="654">
        <v>0.37041098308872145</v>
      </c>
      <c r="Z108" s="1034">
        <v>0.55166220599797844</v>
      </c>
      <c r="AA108" s="1034">
        <v>9.2491632972723906E-2</v>
      </c>
      <c r="AB108" s="1034">
        <v>0</v>
      </c>
      <c r="AC108" s="1048">
        <v>0.55166220599797844</v>
      </c>
      <c r="AE108" s="1034">
        <v>0.44229527824990972</v>
      </c>
      <c r="AF108" s="1034">
        <v>0.12060360741288412</v>
      </c>
      <c r="AG108" s="1034">
        <v>8.6599309758445514E-2</v>
      </c>
      <c r="AH108" s="1049">
        <v>0.44229527824990972</v>
      </c>
      <c r="AJ108" s="1047">
        <v>0.37109219085535688</v>
      </c>
      <c r="AK108" s="1034">
        <v>0.11327657256607052</v>
      </c>
      <c r="AL108" s="1034">
        <v>0</v>
      </c>
      <c r="AM108" s="654">
        <v>0.37109219085535688</v>
      </c>
      <c r="AO108" s="1034">
        <v>0.55238038443790827</v>
      </c>
      <c r="AP108" s="1034">
        <v>9.4410695049780599E-2</v>
      </c>
      <c r="AQ108" s="1034">
        <v>0</v>
      </c>
      <c r="AR108" s="1048">
        <v>0.55238038443790827</v>
      </c>
      <c r="AT108" s="1034">
        <v>0.44287041013034262</v>
      </c>
      <c r="AU108" s="1034">
        <v>0.12270951132421544</v>
      </c>
      <c r="AV108" s="1034">
        <v>8.666925512123666E-2</v>
      </c>
      <c r="AW108" s="1049">
        <v>0.44287041013034262</v>
      </c>
    </row>
    <row r="109" spans="1:49" ht="18">
      <c r="A109" s="650" t="s">
        <v>1805</v>
      </c>
      <c r="B109" s="651">
        <v>7.0131380625039944E-2</v>
      </c>
      <c r="C109" s="651">
        <v>0.47076725796388769</v>
      </c>
      <c r="D109" s="651">
        <v>1.0000068490475271</v>
      </c>
      <c r="E109" s="650">
        <v>40769</v>
      </c>
      <c r="F109" s="651">
        <f t="shared" si="34"/>
        <v>0.26461637101805613</v>
      </c>
      <c r="G109" s="659">
        <f t="shared" si="35"/>
        <v>10788.144830035129</v>
      </c>
      <c r="H109" s="664">
        <f t="shared" si="36"/>
        <v>9.6277901544806355</v>
      </c>
      <c r="I109" s="664">
        <f t="shared" si="37"/>
        <v>10.607345716600433</v>
      </c>
      <c r="U109" s="1047"/>
      <c r="V109" s="1034">
        <v>0.37041098308872139</v>
      </c>
      <c r="W109" s="1034">
        <v>1.0914020213495502E-17</v>
      </c>
      <c r="X109" s="654">
        <v>0.37041098308872139</v>
      </c>
      <c r="Z109" s="1034"/>
      <c r="AA109" s="1034">
        <v>0.22664239276634476</v>
      </c>
      <c r="AB109" s="1034">
        <v>5.457010106747751E-18</v>
      </c>
      <c r="AC109" s="1048">
        <v>0.22664239276634476</v>
      </c>
      <c r="AE109" s="1034"/>
      <c r="AF109" s="1034">
        <v>0.27978537163409284</v>
      </c>
      <c r="AG109" s="1034">
        <v>5.4138397737488679E-2</v>
      </c>
      <c r="AH109" s="1049">
        <v>0.27978537163409284</v>
      </c>
      <c r="AJ109" s="1047"/>
      <c r="AK109" s="1034">
        <v>0.37109219085535688</v>
      </c>
      <c r="AL109" s="1034">
        <v>1.1059804519598173E-17</v>
      </c>
      <c r="AM109" s="654">
        <v>0.37109219085535688</v>
      </c>
      <c r="AO109" s="1034"/>
      <c r="AP109" s="1034">
        <v>0.2275357523053852</v>
      </c>
      <c r="AQ109" s="1034">
        <v>5.5299022597990863E-18</v>
      </c>
      <c r="AR109" s="1048">
        <v>0.2275357523053852</v>
      </c>
      <c r="AT109" s="1034"/>
      <c r="AU109" s="1034">
        <v>0.28044809406408117</v>
      </c>
      <c r="AV109" s="1034">
        <v>5.3992596733651213E-2</v>
      </c>
      <c r="AW109" s="1049">
        <v>0.28044809406408117</v>
      </c>
    </row>
    <row r="110" spans="1:49" ht="18">
      <c r="A110" s="650" t="s">
        <v>1806</v>
      </c>
      <c r="B110" s="651">
        <v>0.17966184590123271</v>
      </c>
      <c r="C110" s="651">
        <v>0.71299385979204555</v>
      </c>
      <c r="D110" s="659">
        <v>0.9999929831819232</v>
      </c>
      <c r="E110" s="659">
        <v>18140</v>
      </c>
      <c r="F110" s="651">
        <f t="shared" si="34"/>
        <v>0.14350307010397723</v>
      </c>
      <c r="G110" s="659">
        <f t="shared" si="35"/>
        <v>2603.1456916861471</v>
      </c>
      <c r="H110" s="664">
        <f t="shared" si="36"/>
        <v>19.599760404995497</v>
      </c>
      <c r="I110" s="664">
        <f t="shared" si="37"/>
        <v>15.902049896814219</v>
      </c>
      <c r="U110" s="1047"/>
      <c r="V110" s="1034"/>
      <c r="W110" s="1034">
        <v>0.12958901691127864</v>
      </c>
      <c r="X110" s="654">
        <v>0.25917803382255727</v>
      </c>
      <c r="Z110" s="1034"/>
      <c r="AA110" s="1034"/>
      <c r="AB110" s="1034">
        <v>0.11084770061783847</v>
      </c>
      <c r="AC110" s="654">
        <v>0.22169540123567694</v>
      </c>
      <c r="AE110" s="1034"/>
      <c r="AF110" s="1034"/>
      <c r="AG110" s="1034">
        <v>0.13895967505799875</v>
      </c>
      <c r="AH110" s="1050">
        <v>0.2779193501159975</v>
      </c>
      <c r="AJ110" s="1047"/>
      <c r="AK110" s="1034"/>
      <c r="AL110" s="1034">
        <v>0.12890780914464314</v>
      </c>
      <c r="AM110" s="654">
        <v>0.25781561828928629</v>
      </c>
      <c r="AO110" s="1034"/>
      <c r="AP110" s="1034"/>
      <c r="AQ110" s="1034">
        <v>0.11004193162835324</v>
      </c>
      <c r="AR110" s="654">
        <v>0.22008386325670648</v>
      </c>
      <c r="AT110" s="1034"/>
      <c r="AU110" s="1034"/>
      <c r="AV110" s="1034">
        <v>0.13834074790278808</v>
      </c>
      <c r="AW110" s="1050">
        <v>0.27668149580557616</v>
      </c>
    </row>
    <row r="111" spans="1:49" ht="18.600000000000001" thickBot="1">
      <c r="A111" s="650" t="s">
        <v>1728</v>
      </c>
      <c r="B111" s="712">
        <f>MEDIAN(B99:B110)</f>
        <v>0.17966184590123285</v>
      </c>
      <c r="C111" s="712">
        <f>MEDIAN(C99:C110)</f>
        <v>0.56437998983771931</v>
      </c>
      <c r="D111" s="714">
        <f>MEDIAN(D99:D110)</f>
        <v>0.99999336310697307</v>
      </c>
      <c r="E111" s="714"/>
      <c r="F111" s="712">
        <f>(1-C111)/2</f>
        <v>0.21781000508114035</v>
      </c>
      <c r="G111" s="651"/>
      <c r="H111" s="664"/>
      <c r="U111" s="1051"/>
      <c r="V111" s="1052"/>
      <c r="W111" s="1053"/>
      <c r="X111" s="1054">
        <f>X108+X109+X110</f>
        <v>1.0000000000000002</v>
      </c>
      <c r="Y111" s="1055"/>
      <c r="Z111" s="1055"/>
      <c r="AA111" s="1055"/>
      <c r="AB111" s="1056"/>
      <c r="AC111" s="1054">
        <v>1.0000000000000002</v>
      </c>
      <c r="AD111" s="1055"/>
      <c r="AE111" s="1055"/>
      <c r="AF111" s="1055"/>
      <c r="AG111" s="1056"/>
      <c r="AH111" s="1057">
        <v>1</v>
      </c>
      <c r="AJ111" s="1051"/>
      <c r="AK111" s="1052"/>
      <c r="AL111" s="1053"/>
      <c r="AM111" s="1054">
        <v>1</v>
      </c>
      <c r="AN111" s="1055"/>
      <c r="AO111" s="1055"/>
      <c r="AP111" s="1055"/>
      <c r="AQ111" s="1056"/>
      <c r="AR111" s="1054">
        <v>0.99999999999999989</v>
      </c>
      <c r="AS111" s="1055"/>
      <c r="AT111" s="1055"/>
      <c r="AU111" s="1055"/>
      <c r="AV111" s="1056"/>
      <c r="AW111" s="1057">
        <v>1</v>
      </c>
    </row>
    <row r="112" spans="1:49" ht="18">
      <c r="A112" s="650" t="s">
        <v>1729</v>
      </c>
      <c r="B112" s="718">
        <f>STDEVP(B99:B110)</f>
        <v>7.1120608026396859E-2</v>
      </c>
      <c r="C112" s="718">
        <f>STDEVP(C99:C110)</f>
        <v>8.21204382379562E-2</v>
      </c>
      <c r="D112" s="1019"/>
      <c r="E112" s="1019"/>
      <c r="F112" s="718">
        <f>STDEVP(F99:F110)</f>
        <v>4.1060219118978315E-2</v>
      </c>
      <c r="G112" s="718"/>
      <c r="H112" s="718"/>
      <c r="I112" s="650" t="s">
        <v>1807</v>
      </c>
      <c r="U112" s="595"/>
      <c r="V112" s="595"/>
      <c r="W112" s="595"/>
      <c r="X112" s="659"/>
      <c r="Z112" s="594"/>
      <c r="AA112" s="594"/>
      <c r="AB112" s="594"/>
      <c r="AC112" s="1042"/>
      <c r="AE112" s="772"/>
      <c r="AF112" s="594"/>
      <c r="AG112" s="594"/>
      <c r="AH112" s="1042"/>
    </row>
    <row r="113" spans="1:34" ht="18">
      <c r="D113" s="659"/>
      <c r="E113" s="659"/>
      <c r="U113" s="595"/>
      <c r="V113" s="595"/>
      <c r="W113" s="595"/>
      <c r="X113" s="1042"/>
      <c r="Z113" s="594"/>
      <c r="AA113" s="594"/>
      <c r="AB113" s="594"/>
      <c r="AC113" s="1042"/>
      <c r="AE113" s="772"/>
      <c r="AF113" s="594"/>
      <c r="AG113" s="594"/>
      <c r="AH113" s="1042"/>
    </row>
    <row r="114" spans="1:34" s="735" customFormat="1" ht="18">
      <c r="A114" s="735" t="s">
        <v>1782</v>
      </c>
      <c r="B114" s="735" t="s">
        <v>1809</v>
      </c>
      <c r="C114" s="735" t="s">
        <v>1810</v>
      </c>
      <c r="D114" s="1020" t="s">
        <v>1543</v>
      </c>
      <c r="E114" s="1020" t="s">
        <v>1783</v>
      </c>
      <c r="F114" s="735" t="s">
        <v>1784</v>
      </c>
      <c r="G114" s="735" t="s">
        <v>1785</v>
      </c>
      <c r="H114" s="735" t="s">
        <v>1814</v>
      </c>
      <c r="I114" s="735" t="s">
        <v>1813</v>
      </c>
      <c r="J114" s="735" t="s">
        <v>1798</v>
      </c>
      <c r="K114" s="735" t="s">
        <v>1816</v>
      </c>
      <c r="L114" s="735" t="s">
        <v>1812</v>
      </c>
      <c r="M114" s="735" t="s">
        <v>1749</v>
      </c>
      <c r="N114" s="735" t="s">
        <v>1789</v>
      </c>
      <c r="O114" s="735" t="s">
        <v>1815</v>
      </c>
      <c r="P114" s="735" t="s">
        <v>1818</v>
      </c>
      <c r="Q114" s="735" t="s">
        <v>1819</v>
      </c>
      <c r="S114" s="736"/>
      <c r="T114" s="736"/>
      <c r="U114" s="594"/>
      <c r="V114" s="594"/>
      <c r="W114" s="594"/>
      <c r="X114" s="597"/>
      <c r="Y114" s="596"/>
      <c r="Z114" s="596"/>
      <c r="AA114" s="596"/>
      <c r="AB114" s="596"/>
      <c r="AC114" s="596"/>
      <c r="AD114" s="596"/>
      <c r="AE114" s="1045"/>
      <c r="AF114" s="596"/>
      <c r="AG114" s="596"/>
      <c r="AH114" s="596"/>
    </row>
    <row r="115" spans="1:34" ht="18">
      <c r="A115" s="650" t="s">
        <v>1713</v>
      </c>
      <c r="B115" s="659">
        <v>407.423750182589</v>
      </c>
      <c r="C115" s="659">
        <v>681.49177162256603</v>
      </c>
      <c r="D115" s="659">
        <v>272.25869309596402</v>
      </c>
      <c r="E115" s="654">
        <v>3.6015797972253401</v>
      </c>
      <c r="F115" s="654">
        <v>13.490762260638601</v>
      </c>
      <c r="G115" s="654">
        <v>13.94854072477</v>
      </c>
      <c r="H115" s="654">
        <v>0.258204773408993</v>
      </c>
      <c r="I115" s="654">
        <f>F115/G115</f>
        <v>0.96718090636402776</v>
      </c>
      <c r="J115" s="654">
        <v>0.51668788221300199</v>
      </c>
      <c r="K115" s="654">
        <v>0.310814009308302</v>
      </c>
      <c r="L115" s="654">
        <v>0.189185990691698</v>
      </c>
      <c r="M115" s="650">
        <v>12215.1817668029</v>
      </c>
      <c r="N115" s="650">
        <f>L115*M115</f>
        <v>2310.9412640317728</v>
      </c>
      <c r="O115" s="659">
        <f>K115*M115</f>
        <v>3796.6496193696771</v>
      </c>
      <c r="P115" s="664">
        <f>I115/L115</f>
        <v>5.112328364419799</v>
      </c>
      <c r="Q115" s="654">
        <f>H115/K115</f>
        <v>0.83073724374140112</v>
      </c>
      <c r="R115" s="650">
        <f>G115*M115/1000</f>
        <v>170.38396033471821</v>
      </c>
      <c r="U115" s="610"/>
      <c r="V115" s="610"/>
      <c r="W115" s="610"/>
      <c r="X115" s="654"/>
      <c r="Z115" s="610"/>
      <c r="AA115" s="610"/>
      <c r="AB115" s="610"/>
      <c r="AC115" s="1048"/>
      <c r="AE115" s="610"/>
      <c r="AF115" s="610"/>
      <c r="AG115" s="610"/>
      <c r="AH115" s="1048"/>
    </row>
    <row r="116" spans="1:34" ht="18">
      <c r="A116" s="650" t="s">
        <v>1769</v>
      </c>
      <c r="B116" s="659">
        <v>423.32165854048401</v>
      </c>
      <c r="C116" s="659">
        <v>788.62020057130496</v>
      </c>
      <c r="D116" s="659">
        <v>299.64924667335401</v>
      </c>
      <c r="E116" s="654">
        <v>2.9954468196086901</v>
      </c>
      <c r="F116" s="654">
        <v>11.1371384760351</v>
      </c>
      <c r="G116" s="654">
        <v>11.5594628772349</v>
      </c>
      <c r="H116" s="654">
        <v>0.25913373756386998</v>
      </c>
      <c r="I116" s="654">
        <f t="shared" ref="I116:I124" si="38">F116/G116</f>
        <v>0.96346504974452385</v>
      </c>
      <c r="J116" s="654">
        <v>0.51861371417100099</v>
      </c>
      <c r="K116" s="654">
        <v>0.30914370615327402</v>
      </c>
      <c r="L116" s="654">
        <v>0.19085629384672601</v>
      </c>
      <c r="M116" s="650">
        <v>16331.807214689999</v>
      </c>
      <c r="N116" s="650">
        <f t="shared" ref="N116:N124" si="39">L116*M116</f>
        <v>3117.0281968149543</v>
      </c>
      <c r="O116" s="659">
        <f t="shared" ref="O116:O124" si="40">K116*M116</f>
        <v>5048.8754105300459</v>
      </c>
      <c r="P116" s="664">
        <f t="shared" ref="P116:P124" si="41">I116/L116</f>
        <v>5.0481177766045748</v>
      </c>
      <c r="Q116" s="654">
        <f t="shared" ref="Q116:Q124" si="42">H116/K116</f>
        <v>0.83823067526851414</v>
      </c>
      <c r="R116" s="650">
        <f t="shared" ref="R116:R124" si="43">G116*M116/1000</f>
        <v>188.78691921636616</v>
      </c>
      <c r="U116" s="610"/>
      <c r="V116" s="610"/>
      <c r="W116" s="610"/>
      <c r="X116" s="654"/>
      <c r="Z116" s="610"/>
      <c r="AA116" s="610"/>
      <c r="AB116" s="610"/>
      <c r="AC116" s="1048"/>
      <c r="AE116" s="610"/>
      <c r="AF116" s="610"/>
      <c r="AG116" s="610"/>
      <c r="AH116" s="1048"/>
    </row>
    <row r="117" spans="1:34" ht="18">
      <c r="A117" s="650" t="s">
        <v>1755</v>
      </c>
      <c r="B117" s="659">
        <v>536.99368404811401</v>
      </c>
      <c r="C117" s="659">
        <v>473.32024742818197</v>
      </c>
      <c r="D117" s="659">
        <v>273.13520286927599</v>
      </c>
      <c r="E117" s="654">
        <v>3.9343748880929801</v>
      </c>
      <c r="F117" s="654">
        <v>13.404315610261101</v>
      </c>
      <c r="G117" s="654">
        <v>14.570907581316501</v>
      </c>
      <c r="H117" s="654">
        <v>0.27001577397538501</v>
      </c>
      <c r="I117" s="654">
        <f t="shared" si="38"/>
        <v>0.91993690409846129</v>
      </c>
      <c r="J117" s="654">
        <v>0.54177074166547501</v>
      </c>
      <c r="K117" s="654">
        <v>0.31516014938123998</v>
      </c>
      <c r="L117" s="654">
        <v>0.18483985061875999</v>
      </c>
      <c r="M117" s="650">
        <v>43189.588875938403</v>
      </c>
      <c r="N117" s="650">
        <f t="shared" si="39"/>
        <v>7983.1571561141127</v>
      </c>
      <c r="O117" s="659">
        <f t="shared" si="40"/>
        <v>13611.637281855088</v>
      </c>
      <c r="P117" s="664">
        <f t="shared" si="41"/>
        <v>4.9769403135683659</v>
      </c>
      <c r="Q117" s="654">
        <f t="shared" si="42"/>
        <v>0.85675734862263586</v>
      </c>
      <c r="R117" s="650">
        <f t="shared" si="43"/>
        <v>629.31150798635372</v>
      </c>
      <c r="U117" s="610"/>
      <c r="V117" s="610"/>
      <c r="W117" s="610"/>
      <c r="X117" s="654"/>
      <c r="Z117" s="610"/>
      <c r="AA117" s="610"/>
      <c r="AB117" s="610"/>
      <c r="AC117" s="654"/>
      <c r="AE117" s="610"/>
      <c r="AF117" s="610"/>
      <c r="AG117" s="610"/>
      <c r="AH117" s="654"/>
    </row>
    <row r="118" spans="1:34" ht="18">
      <c r="A118" s="650" t="s">
        <v>1753</v>
      </c>
      <c r="B118" s="659">
        <v>582.39626969807796</v>
      </c>
      <c r="C118" s="659">
        <v>833.555796980232</v>
      </c>
      <c r="D118" s="659">
        <v>388.72607061042601</v>
      </c>
      <c r="E118" s="654">
        <v>2.05990285354406</v>
      </c>
      <c r="F118" s="654">
        <v>6.61778514791279</v>
      </c>
      <c r="G118" s="654">
        <v>7.4286982810445297</v>
      </c>
      <c r="H118" s="654">
        <v>0.27728987981652498</v>
      </c>
      <c r="I118" s="654">
        <f t="shared" si="38"/>
        <v>0.89084048073389799</v>
      </c>
      <c r="J118" s="654">
        <v>0.55791371538992995</v>
      </c>
      <c r="K118" s="654">
        <v>0.34948032740038498</v>
      </c>
      <c r="L118" s="654">
        <v>0.15051967259961499</v>
      </c>
      <c r="M118" s="650">
        <v>18139.8727149201</v>
      </c>
      <c r="N118" s="650">
        <f t="shared" si="39"/>
        <v>2730.4077020484624</v>
      </c>
      <c r="O118" s="659">
        <f t="shared" si="40"/>
        <v>6339.5286554115874</v>
      </c>
      <c r="P118" s="664">
        <f t="shared" si="41"/>
        <v>5.9184322244943326</v>
      </c>
      <c r="Q118" s="654">
        <f t="shared" si="42"/>
        <v>0.79343487480153807</v>
      </c>
      <c r="R118" s="650">
        <f t="shared" si="43"/>
        <v>134.75564125569352</v>
      </c>
      <c r="X118" s="611"/>
      <c r="Y118" s="596"/>
      <c r="Z118" s="596"/>
      <c r="AA118" s="596"/>
      <c r="AB118" s="1045"/>
      <c r="AC118" s="611"/>
      <c r="AD118" s="596"/>
      <c r="AE118" s="596"/>
      <c r="AF118" s="596"/>
      <c r="AG118" s="1045"/>
      <c r="AH118" s="611"/>
    </row>
    <row r="119" spans="1:34" ht="18">
      <c r="A119" s="650" t="s">
        <v>1780</v>
      </c>
      <c r="B119" s="659">
        <v>593.12155360965403</v>
      </c>
      <c r="C119" s="659">
        <v>610.63621020744404</v>
      </c>
      <c r="D119" s="659">
        <v>319.55130101110802</v>
      </c>
      <c r="E119" s="654">
        <v>2.7610466199461299</v>
      </c>
      <c r="F119" s="654">
        <v>9.7930691219742396</v>
      </c>
      <c r="G119" s="654">
        <v>10.418627800879401</v>
      </c>
      <c r="H119" s="654">
        <v>0.265010582268145</v>
      </c>
      <c r="I119" s="654">
        <f t="shared" si="38"/>
        <v>0.93995767092741711</v>
      </c>
      <c r="J119" s="654">
        <v>0.53097914019018</v>
      </c>
      <c r="K119" s="654">
        <v>0.31009352066788998</v>
      </c>
      <c r="L119" s="654">
        <v>0.18990647933211</v>
      </c>
      <c r="M119" s="650">
        <v>23586.911608104499</v>
      </c>
      <c r="N119" s="650">
        <f t="shared" si="39"/>
        <v>4479.3073418128024</v>
      </c>
      <c r="O119" s="659">
        <f t="shared" si="40"/>
        <v>7314.1484622394464</v>
      </c>
      <c r="P119" s="664">
        <f t="shared" si="41"/>
        <v>4.9495818901661144</v>
      </c>
      <c r="Q119" s="654">
        <f t="shared" si="42"/>
        <v>0.85461502612939544</v>
      </c>
      <c r="R119" s="650">
        <f t="shared" si="43"/>
        <v>245.74325301708259</v>
      </c>
      <c r="U119" s="1059"/>
      <c r="V119" s="1059"/>
      <c r="W119" s="594"/>
      <c r="X119" s="652"/>
      <c r="Z119" s="594"/>
      <c r="AA119" s="594"/>
      <c r="AB119" s="780"/>
      <c r="AC119" s="652"/>
      <c r="AE119" s="772"/>
      <c r="AF119" s="594"/>
      <c r="AG119" s="594"/>
      <c r="AH119" s="652"/>
    </row>
    <row r="120" spans="1:34" ht="18">
      <c r="A120" s="650" t="s">
        <v>1774</v>
      </c>
      <c r="B120" s="659">
        <v>405.70589754975902</v>
      </c>
      <c r="C120" s="659">
        <v>429.62937956384798</v>
      </c>
      <c r="D120" s="659">
        <v>212.739295013456</v>
      </c>
      <c r="E120" s="654">
        <v>5.7371302111343798</v>
      </c>
      <c r="F120" s="654">
        <v>22.095537388477901</v>
      </c>
      <c r="G120" s="654">
        <v>22.522029116507699</v>
      </c>
      <c r="H120" s="654">
        <v>0.25473416189349102</v>
      </c>
      <c r="I120" s="654">
        <f t="shared" si="38"/>
        <v>0.98106335242603881</v>
      </c>
      <c r="J120" s="654">
        <v>0.50955969517161304</v>
      </c>
      <c r="K120" s="654">
        <v>0.27549173829685197</v>
      </c>
      <c r="L120" s="654">
        <v>0.224508261703148</v>
      </c>
      <c r="M120" s="650">
        <v>44212.297978981398</v>
      </c>
      <c r="N120" s="650">
        <f t="shared" si="39"/>
        <v>9926.026165162717</v>
      </c>
      <c r="O120" s="659">
        <f t="shared" si="40"/>
        <v>12180.12282432798</v>
      </c>
      <c r="P120" s="664">
        <f t="shared" si="41"/>
        <v>4.3698318493206818</v>
      </c>
      <c r="Q120" s="654">
        <f t="shared" si="42"/>
        <v>0.92465263556835253</v>
      </c>
      <c r="R120" s="650">
        <f t="shared" si="43"/>
        <v>995.75066239033356</v>
      </c>
      <c r="U120" s="595"/>
      <c r="V120" s="595"/>
      <c r="W120" s="595"/>
      <c r="X120" s="659"/>
      <c r="Z120" s="594"/>
      <c r="AA120" s="594"/>
      <c r="AB120" s="594"/>
      <c r="AC120" s="1042"/>
      <c r="AE120" s="595"/>
      <c r="AF120" s="594"/>
      <c r="AG120" s="594"/>
      <c r="AH120" s="1042"/>
    </row>
    <row r="121" spans="1:34" ht="18">
      <c r="A121" s="650" t="s">
        <v>1788</v>
      </c>
      <c r="B121" s="659">
        <v>288.11627573802599</v>
      </c>
      <c r="C121" s="659">
        <v>546.18150694036501</v>
      </c>
      <c r="D121" s="659">
        <v>206.4</v>
      </c>
      <c r="E121" s="654">
        <v>6.3547023938579699</v>
      </c>
      <c r="F121" s="654">
        <v>23.473649420107002</v>
      </c>
      <c r="G121" s="654">
        <v>24.446229497769401</v>
      </c>
      <c r="H121" s="654">
        <v>0.25994611538919699</v>
      </c>
      <c r="I121" s="654">
        <f t="shared" si="38"/>
        <v>0.96021553844321295</v>
      </c>
      <c r="J121" s="654">
        <v>0.52030416343966301</v>
      </c>
      <c r="K121" s="654">
        <v>0.303423682481677</v>
      </c>
      <c r="L121" s="654">
        <v>0.196576317518323</v>
      </c>
      <c r="M121" s="650">
        <v>26459.530596480501</v>
      </c>
      <c r="N121" s="650">
        <f t="shared" si="39"/>
        <v>5201.3170879195332</v>
      </c>
      <c r="O121" s="659">
        <f t="shared" si="40"/>
        <v>8028.4482103207174</v>
      </c>
      <c r="P121" s="664">
        <f t="shared" si="41"/>
        <v>4.8846959316638472</v>
      </c>
      <c r="Q121" s="654">
        <f t="shared" si="42"/>
        <v>0.85671004076912971</v>
      </c>
      <c r="R121" s="650">
        <f t="shared" si="43"/>
        <v>646.83575736481362</v>
      </c>
      <c r="U121" s="595"/>
      <c r="V121" s="595"/>
      <c r="W121" s="595"/>
      <c r="X121" s="659"/>
      <c r="Z121" s="594"/>
      <c r="AA121" s="594"/>
      <c r="AB121" s="594"/>
      <c r="AC121" s="1042"/>
      <c r="AE121" s="772"/>
      <c r="AF121" s="594"/>
      <c r="AG121" s="594"/>
      <c r="AH121" s="1042"/>
    </row>
    <row r="122" spans="1:34" ht="18">
      <c r="A122" s="650" t="s">
        <v>1772</v>
      </c>
      <c r="B122" s="659">
        <v>384.904344554678</v>
      </c>
      <c r="C122" s="659">
        <v>622.96755409419302</v>
      </c>
      <c r="D122" s="659">
        <v>252.1</v>
      </c>
      <c r="E122" s="654">
        <v>4.1704388618511503</v>
      </c>
      <c r="F122" s="654">
        <v>15.7345493412652</v>
      </c>
      <c r="G122" s="654">
        <v>16.208152394334899</v>
      </c>
      <c r="H122" s="654">
        <v>0.25730501295809699</v>
      </c>
      <c r="I122" s="654">
        <f t="shared" si="38"/>
        <v>0.97077994816761271</v>
      </c>
      <c r="J122" s="654">
        <v>0.514829856657538</v>
      </c>
      <c r="K122" s="654">
        <v>0.31988230549672098</v>
      </c>
      <c r="L122" s="654">
        <v>0.180117694503278</v>
      </c>
      <c r="M122" s="650">
        <v>35429.972314957697</v>
      </c>
      <c r="N122" s="650">
        <f t="shared" si="39"/>
        <v>6381.5649296851479</v>
      </c>
      <c r="O122" s="659">
        <f t="shared" si="40"/>
        <v>11333.421227793664</v>
      </c>
      <c r="P122" s="664">
        <f t="shared" si="41"/>
        <v>5.3896978353225888</v>
      </c>
      <c r="Q122" s="654">
        <f t="shared" si="42"/>
        <v>0.80437401049285162</v>
      </c>
      <c r="R122" s="650">
        <f t="shared" si="43"/>
        <v>574.25439060790075</v>
      </c>
      <c r="U122" s="595"/>
      <c r="V122" s="595"/>
      <c r="W122" s="595"/>
      <c r="X122" s="1042"/>
      <c r="Z122" s="594"/>
      <c r="AA122" s="594"/>
      <c r="AB122" s="594"/>
      <c r="AC122" s="1042"/>
      <c r="AE122" s="772"/>
      <c r="AF122" s="594"/>
      <c r="AG122" s="594"/>
      <c r="AH122" s="1042"/>
    </row>
    <row r="123" spans="1:34" ht="18">
      <c r="A123" s="650" t="s">
        <v>443</v>
      </c>
      <c r="B123" s="659">
        <v>259.41753077874102</v>
      </c>
      <c r="C123" s="659">
        <v>465.12563655659898</v>
      </c>
      <c r="D123" s="659">
        <v>180.1</v>
      </c>
      <c r="E123" s="654">
        <v>8.2876309069530105</v>
      </c>
      <c r="F123" s="654">
        <v>30.8299325348586</v>
      </c>
      <c r="G123" s="654">
        <v>31.990228081335299</v>
      </c>
      <c r="H123" s="654">
        <v>0.25906757794541702</v>
      </c>
      <c r="I123" s="654">
        <f t="shared" si="38"/>
        <v>0.96372968821833205</v>
      </c>
      <c r="J123" s="654">
        <v>0.51847630512322995</v>
      </c>
      <c r="K123" s="654">
        <v>0.30576663933033499</v>
      </c>
      <c r="L123" s="654">
        <v>0.19423336066966501</v>
      </c>
      <c r="M123" s="650">
        <v>41727.647356752699</v>
      </c>
      <c r="N123" s="650">
        <f t="shared" si="39"/>
        <v>8104.9011789407405</v>
      </c>
      <c r="O123" s="659">
        <f t="shared" si="40"/>
        <v>12758.922499435608</v>
      </c>
      <c r="P123" s="664">
        <f t="shared" si="41"/>
        <v>4.9617104131630541</v>
      </c>
      <c r="Q123" s="654">
        <f t="shared" si="42"/>
        <v>0.84727221554583443</v>
      </c>
      <c r="R123" s="650">
        <f t="shared" si="43"/>
        <v>1334.8769562400469</v>
      </c>
      <c r="U123" s="594"/>
      <c r="V123" s="594"/>
      <c r="W123" s="594"/>
      <c r="X123" s="597"/>
      <c r="Y123" s="596"/>
      <c r="Z123" s="596"/>
      <c r="AA123" s="596"/>
      <c r="AB123" s="596"/>
      <c r="AC123" s="596"/>
      <c r="AD123" s="596"/>
      <c r="AE123" s="1045"/>
      <c r="AF123" s="596"/>
      <c r="AG123" s="596"/>
      <c r="AH123" s="596"/>
    </row>
    <row r="124" spans="1:34" ht="18">
      <c r="A124" s="650" t="s">
        <v>1771</v>
      </c>
      <c r="B124" s="659">
        <v>325.23286297077101</v>
      </c>
      <c r="C124" s="659">
        <v>629.018725524253</v>
      </c>
      <c r="D124" s="659">
        <v>253.3</v>
      </c>
      <c r="E124" s="654">
        <v>4.8881216262698199</v>
      </c>
      <c r="F124" s="654">
        <v>15.5858187129262</v>
      </c>
      <c r="G124" s="654">
        <v>17.5691526090027</v>
      </c>
      <c r="H124" s="654">
        <v>0.27822182065656698</v>
      </c>
      <c r="I124" s="654">
        <f t="shared" si="38"/>
        <v>0.88711271737373321</v>
      </c>
      <c r="J124" s="654">
        <v>0.56002342269740701</v>
      </c>
      <c r="K124" s="654">
        <v>0.29604453557573801</v>
      </c>
      <c r="L124" s="654">
        <v>0.20395546442426199</v>
      </c>
      <c r="M124" s="650">
        <v>44920.718930741503</v>
      </c>
      <c r="N124" s="650">
        <f t="shared" si="39"/>
        <v>9161.8260917911211</v>
      </c>
      <c r="O124" s="659">
        <f t="shared" si="40"/>
        <v>13298.53337357963</v>
      </c>
      <c r="P124" s="664">
        <f t="shared" si="41"/>
        <v>4.3495413073531983</v>
      </c>
      <c r="Q124" s="654">
        <f t="shared" si="42"/>
        <v>0.93979718327004425</v>
      </c>
      <c r="R124" s="650">
        <f t="shared" si="43"/>
        <v>789.21896620031396</v>
      </c>
      <c r="U124" s="610"/>
      <c r="V124" s="610"/>
      <c r="W124" s="610"/>
      <c r="X124" s="654"/>
      <c r="Z124" s="610"/>
      <c r="AA124" s="610"/>
      <c r="AB124" s="610"/>
      <c r="AC124" s="1048"/>
      <c r="AE124" s="610"/>
      <c r="AF124" s="610"/>
      <c r="AG124" s="610"/>
      <c r="AH124" s="1048"/>
    </row>
    <row r="125" spans="1:34" ht="18">
      <c r="G125" s="711" t="s">
        <v>1728</v>
      </c>
      <c r="H125" s="712">
        <v>0.25953992647653401</v>
      </c>
      <c r="I125" s="712">
        <f>MEDIAN(I115:I124)</f>
        <v>0.9618402940938684</v>
      </c>
      <c r="J125" s="712">
        <f>MEDIAN(J115:J124)</f>
        <v>0.519458938805332</v>
      </c>
      <c r="K125" s="712">
        <v>0.309618613410582</v>
      </c>
      <c r="L125" s="712">
        <v>0.190381386589418</v>
      </c>
      <c r="O125" s="712">
        <f>MEDIAN(O115:O124)</f>
        <v>9680.9347190571898</v>
      </c>
      <c r="P125" s="712">
        <f>MEDIAN(P115:P124)</f>
        <v>4.9693253633657104</v>
      </c>
      <c r="Q125" s="712">
        <f>MEDIAN(Q115:Q124)</f>
        <v>0.85094362083761488</v>
      </c>
      <c r="U125" s="610"/>
      <c r="V125" s="610"/>
      <c r="W125" s="610"/>
      <c r="X125" s="654"/>
      <c r="Z125" s="610"/>
      <c r="AA125" s="610"/>
      <c r="AB125" s="610"/>
      <c r="AC125" s="1048"/>
      <c r="AE125" s="610"/>
      <c r="AF125" s="610"/>
      <c r="AG125" s="610"/>
      <c r="AH125" s="1048"/>
    </row>
    <row r="126" spans="1:34" ht="18">
      <c r="G126" s="650" t="s">
        <v>1775</v>
      </c>
      <c r="H126" s="650">
        <v>8.4635415953263297E-3</v>
      </c>
      <c r="I126" s="650">
        <f>STDEV(I115:I124)</f>
        <v>3.3854166381305423E-2</v>
      </c>
      <c r="J126" s="651">
        <f>STDEV(J115:J124)</f>
        <v>1.8226784509817913E-2</v>
      </c>
      <c r="K126" s="651">
        <v>1.8645595060884399E-2</v>
      </c>
      <c r="L126" s="650">
        <v>1.8645595060884399E-2</v>
      </c>
      <c r="O126" s="650">
        <f>STDEV(O115:O124)</f>
        <v>3675.8348277872483</v>
      </c>
      <c r="P126" s="650">
        <f>STDEV(P115:P124)</f>
        <v>0.45316238767661748</v>
      </c>
      <c r="Q126" s="650">
        <f>STDEV(Q115:Q124)</f>
        <v>4.6344015037821436E-2</v>
      </c>
      <c r="U126" s="610"/>
      <c r="V126" s="610"/>
      <c r="W126" s="610"/>
      <c r="X126" s="654"/>
      <c r="Z126" s="610"/>
      <c r="AA126" s="610"/>
      <c r="AB126" s="610"/>
      <c r="AC126" s="654"/>
      <c r="AE126" s="610"/>
      <c r="AF126" s="610"/>
      <c r="AG126" s="610"/>
      <c r="AH126" s="654"/>
    </row>
    <row r="127" spans="1:34" ht="18">
      <c r="G127" s="1014" t="s">
        <v>1729</v>
      </c>
      <c r="H127" s="1014">
        <v>3.2609786518112298E-2</v>
      </c>
      <c r="I127" s="1014">
        <f>I126/I125</f>
        <v>3.5197284402811169E-2</v>
      </c>
      <c r="J127" s="1014">
        <f>J126/J125</f>
        <v>3.5088017835897566E-2</v>
      </c>
      <c r="K127" s="1014">
        <v>6.0221169701314602E-2</v>
      </c>
      <c r="L127" s="1014">
        <v>9.7938119870384005E-2</v>
      </c>
      <c r="O127" s="1014">
        <f>O126/O125</f>
        <v>0.3796983384828807</v>
      </c>
      <c r="P127" s="1014">
        <f>P126/P125</f>
        <v>9.1191933419648707E-2</v>
      </c>
      <c r="Q127" s="1014">
        <f>Q126/Q125</f>
        <v>5.4461910170033746E-2</v>
      </c>
      <c r="X127" s="611"/>
      <c r="Y127" s="596"/>
      <c r="Z127" s="596"/>
      <c r="AA127" s="596"/>
      <c r="AB127" s="1045"/>
      <c r="AC127" s="611"/>
      <c r="AD127" s="596"/>
      <c r="AE127" s="596"/>
      <c r="AF127" s="596"/>
      <c r="AG127" s="1045"/>
      <c r="AH127" s="611"/>
    </row>
    <row r="128" spans="1:34" ht="18">
      <c r="F128" s="650">
        <v>7.789787361757476</v>
      </c>
      <c r="G128" s="650">
        <v>18.421004324740174</v>
      </c>
      <c r="U128" s="1059"/>
      <c r="V128" s="1059"/>
      <c r="W128" s="594"/>
      <c r="X128" s="652"/>
      <c r="Z128" s="594"/>
      <c r="AA128" s="594"/>
      <c r="AB128" s="780"/>
      <c r="AC128" s="652"/>
      <c r="AE128" s="772"/>
      <c r="AF128" s="594"/>
      <c r="AG128" s="594"/>
      <c r="AH128" s="652"/>
    </row>
    <row r="129" spans="1:34" ht="18">
      <c r="A129" s="650" t="s">
        <v>1782</v>
      </c>
      <c r="B129" s="650" t="s">
        <v>1809</v>
      </c>
      <c r="C129" s="650" t="s">
        <v>1810</v>
      </c>
      <c r="D129" s="650" t="s">
        <v>1543</v>
      </c>
      <c r="E129" s="650" t="s">
        <v>261</v>
      </c>
      <c r="F129" s="650" t="s">
        <v>403</v>
      </c>
      <c r="G129" s="650" t="s">
        <v>1845</v>
      </c>
      <c r="H129" s="650" t="s">
        <v>1848</v>
      </c>
      <c r="I129" s="650" t="s">
        <v>1815</v>
      </c>
      <c r="J129" s="650" t="s">
        <v>1827</v>
      </c>
      <c r="K129" s="650" t="s">
        <v>1789</v>
      </c>
      <c r="L129" s="650" t="s">
        <v>1812</v>
      </c>
      <c r="M129" s="650" t="s">
        <v>1849</v>
      </c>
      <c r="N129" s="650" t="s">
        <v>1824</v>
      </c>
      <c r="O129" s="650" t="s">
        <v>1851</v>
      </c>
      <c r="P129" s="650" t="s">
        <v>1850</v>
      </c>
      <c r="Q129" s="650" t="s">
        <v>1852</v>
      </c>
      <c r="U129" s="595"/>
      <c r="V129" s="595"/>
      <c r="W129" s="595"/>
      <c r="X129" s="659"/>
      <c r="Z129" s="594"/>
      <c r="AA129" s="594"/>
      <c r="AB129" s="594"/>
      <c r="AC129" s="1042"/>
      <c r="AE129" s="595"/>
      <c r="AF129" s="594"/>
      <c r="AG129" s="594"/>
      <c r="AH129" s="1042"/>
    </row>
    <row r="130" spans="1:34" ht="18">
      <c r="A130" s="650" t="s">
        <v>1713</v>
      </c>
      <c r="B130" s="659">
        <v>408</v>
      </c>
      <c r="C130" s="659">
        <v>681.49177162256603</v>
      </c>
      <c r="D130" s="659">
        <v>272.25869309596402</v>
      </c>
      <c r="E130" s="654">
        <v>18.07</v>
      </c>
      <c r="F130" s="654">
        <v>8.9565125201584141</v>
      </c>
      <c r="G130" s="664">
        <v>20.055132379055795</v>
      </c>
      <c r="H130" s="664">
        <f>D130/E130</f>
        <v>15.06688949064549</v>
      </c>
      <c r="I130" s="659">
        <f t="shared" ref="I130:I139" si="44">1000000/F130/G130</f>
        <v>5567.1834146434248</v>
      </c>
      <c r="J130" s="651">
        <v>0.310814009308302</v>
      </c>
      <c r="K130" s="659">
        <f>1000000/H130^2</f>
        <v>4405.0697980788045</v>
      </c>
      <c r="L130" s="651">
        <v>0.189185990691698</v>
      </c>
      <c r="M130" s="659">
        <f t="shared" ref="M130:M139" si="45">I130/J130</f>
        <v>17911.623182728665</v>
      </c>
      <c r="N130" s="650">
        <v>12215.1817668029</v>
      </c>
      <c r="O130" s="762">
        <f>M130/N130</f>
        <v>1.4663411093404224</v>
      </c>
      <c r="P130" s="659">
        <f>K130/L130</f>
        <v>23284.33401423159</v>
      </c>
      <c r="Q130" s="654">
        <f>P130/N130</f>
        <v>1.9061799045439696</v>
      </c>
      <c r="R130" s="650">
        <f>2*(I130+K130)</f>
        <v>19944.506425444459</v>
      </c>
      <c r="U130" s="595"/>
      <c r="V130" s="595"/>
      <c r="W130" s="595"/>
      <c r="X130" s="659"/>
      <c r="Z130" s="594"/>
      <c r="AA130" s="594"/>
      <c r="AB130" s="594"/>
      <c r="AC130" s="1042"/>
      <c r="AE130" s="772"/>
      <c r="AF130" s="594"/>
      <c r="AG130" s="594"/>
      <c r="AH130" s="1042"/>
    </row>
    <row r="131" spans="1:34" ht="18">
      <c r="A131" s="650" t="s">
        <v>1769</v>
      </c>
      <c r="B131" s="659">
        <v>423.32165854048401</v>
      </c>
      <c r="C131" s="659">
        <v>788.62020057130496</v>
      </c>
      <c r="D131" s="659">
        <v>299.64924667335401</v>
      </c>
      <c r="E131" s="654">
        <v>21.19</v>
      </c>
      <c r="F131" s="654">
        <v>7.79</v>
      </c>
      <c r="G131" s="664">
        <v>18.420000000000002</v>
      </c>
      <c r="H131" s="664">
        <f t="shared" ref="H131:H139" si="46">D131/E131</f>
        <v>14.141068743433411</v>
      </c>
      <c r="I131" s="659">
        <f t="shared" si="44"/>
        <v>6969.0393458023382</v>
      </c>
      <c r="J131" s="651">
        <v>0.30914370615327402</v>
      </c>
      <c r="K131" s="659">
        <f t="shared" ref="K131:K139" si="47">1000000/H131^2</f>
        <v>5000.7544836692095</v>
      </c>
      <c r="L131" s="651">
        <v>0.19085629384672601</v>
      </c>
      <c r="M131" s="659">
        <f t="shared" si="45"/>
        <v>22543.041333492572</v>
      </c>
      <c r="N131" s="650">
        <v>16331.807214689999</v>
      </c>
      <c r="O131" s="762">
        <f>M131/N131</f>
        <v>1.3803151749927431</v>
      </c>
      <c r="P131" s="659">
        <f t="shared" ref="P131:P139" si="48">K131/L131</f>
        <v>26201.674479151548</v>
      </c>
      <c r="Q131" s="654">
        <f t="shared" ref="Q131:Q139" si="49">P131/N131</f>
        <v>1.6043340540772415</v>
      </c>
      <c r="R131" s="650">
        <f t="shared" ref="R131:R139" si="50">2*(I131+K131)</f>
        <v>23939.587658943095</v>
      </c>
      <c r="U131" s="595"/>
      <c r="V131" s="595"/>
      <c r="W131" s="595"/>
      <c r="X131" s="1042"/>
      <c r="Z131" s="594"/>
      <c r="AA131" s="594"/>
      <c r="AB131" s="594"/>
      <c r="AC131" s="1042"/>
      <c r="AE131" s="772"/>
      <c r="AF131" s="594"/>
      <c r="AG131" s="594"/>
      <c r="AH131" s="1042"/>
    </row>
    <row r="132" spans="1:34" ht="18">
      <c r="A132" s="650" t="s">
        <v>1755</v>
      </c>
      <c r="B132" s="659">
        <v>536.99368404811401</v>
      </c>
      <c r="C132" s="659">
        <v>473.32024742818197</v>
      </c>
      <c r="D132" s="659">
        <v>273.13520286927599</v>
      </c>
      <c r="E132" s="654">
        <v>28.34</v>
      </c>
      <c r="F132" s="654">
        <v>8.5217391592316947</v>
      </c>
      <c r="G132" s="664">
        <v>6.3525549607844223</v>
      </c>
      <c r="H132" s="664">
        <f t="shared" si="46"/>
        <v>9.6377982663823563</v>
      </c>
      <c r="I132" s="659">
        <f t="shared" si="44"/>
        <v>18472.400333940252</v>
      </c>
      <c r="J132" s="651">
        <v>0.31516014938123998</v>
      </c>
      <c r="K132" s="659">
        <f t="shared" si="47"/>
        <v>10765.751146548628</v>
      </c>
      <c r="L132" s="651">
        <v>0.18483985061875999</v>
      </c>
      <c r="M132" s="659">
        <f t="shared" si="45"/>
        <v>58612.741395787103</v>
      </c>
      <c r="N132" s="659">
        <v>43189.588875938403</v>
      </c>
      <c r="O132" s="762">
        <f t="shared" ref="O132:O139" si="51">M132/N132</f>
        <v>1.357103480752075</v>
      </c>
      <c r="P132" s="659">
        <f t="shared" si="48"/>
        <v>58243.669373837816</v>
      </c>
      <c r="Q132" s="654">
        <f t="shared" si="49"/>
        <v>1.3485580874859004</v>
      </c>
      <c r="R132" s="650">
        <f t="shared" si="50"/>
        <v>58476.302960977759</v>
      </c>
      <c r="U132" s="594"/>
      <c r="V132" s="594"/>
      <c r="W132" s="594"/>
      <c r="X132" s="597"/>
      <c r="Y132" s="596"/>
      <c r="Z132" s="596"/>
      <c r="AA132" s="596"/>
      <c r="AB132" s="596"/>
      <c r="AC132" s="596"/>
      <c r="AD132" s="596"/>
      <c r="AE132" s="1045"/>
      <c r="AF132" s="596"/>
      <c r="AG132" s="596"/>
      <c r="AH132" s="596"/>
    </row>
    <row r="133" spans="1:34" ht="18">
      <c r="A133" s="650" t="s">
        <v>1753</v>
      </c>
      <c r="B133" s="659">
        <v>582.39626969807796</v>
      </c>
      <c r="C133" s="659">
        <v>833.555796980232</v>
      </c>
      <c r="D133" s="659">
        <v>388.72607061042601</v>
      </c>
      <c r="E133" s="654">
        <v>23.79</v>
      </c>
      <c r="F133" s="654">
        <v>9.7178987833136876</v>
      </c>
      <c r="G133" s="664">
        <v>13.161963627127667</v>
      </c>
      <c r="H133" s="664">
        <f t="shared" si="46"/>
        <v>16.339893678454224</v>
      </c>
      <c r="I133" s="659">
        <f t="shared" si="44"/>
        <v>7818.2029931768411</v>
      </c>
      <c r="J133" s="651">
        <v>0.34948032740038498</v>
      </c>
      <c r="K133" s="659">
        <f>1000000/H133^2</f>
        <v>3745.4288152318286</v>
      </c>
      <c r="L133" s="651">
        <v>0.15051967259961499</v>
      </c>
      <c r="M133" s="659">
        <f t="shared" si="45"/>
        <v>22370.938734470892</v>
      </c>
      <c r="N133" s="659">
        <v>18139.8727149201</v>
      </c>
      <c r="O133" s="762">
        <f t="shared" si="51"/>
        <v>1.2332467314431996</v>
      </c>
      <c r="P133" s="659">
        <f t="shared" si="48"/>
        <v>24883.317579322247</v>
      </c>
      <c r="Q133" s="654">
        <f t="shared" si="49"/>
        <v>1.3717470883274525</v>
      </c>
      <c r="R133" s="650">
        <f t="shared" si="50"/>
        <v>23127.263616817341</v>
      </c>
      <c r="U133" s="610"/>
      <c r="V133" s="610"/>
      <c r="W133" s="610"/>
      <c r="X133" s="654"/>
      <c r="Z133" s="610"/>
      <c r="AA133" s="610"/>
      <c r="AB133" s="610"/>
      <c r="AC133" s="1048"/>
      <c r="AE133" s="610"/>
      <c r="AF133" s="610"/>
      <c r="AG133" s="610"/>
      <c r="AH133" s="1048"/>
    </row>
    <row r="134" spans="1:34" ht="18">
      <c r="A134" s="650" t="s">
        <v>1780</v>
      </c>
      <c r="B134" s="659">
        <v>593.12155360965403</v>
      </c>
      <c r="C134" s="659">
        <v>610.63621020744404</v>
      </c>
      <c r="D134" s="659">
        <v>319.55130101110802</v>
      </c>
      <c r="E134" s="654">
        <v>24.96</v>
      </c>
      <c r="F134" s="654">
        <v>10.4504864729969</v>
      </c>
      <c r="G134" s="664">
        <v>11.119502954778101</v>
      </c>
      <c r="H134" s="664">
        <f t="shared" si="46"/>
        <v>12.802536098201443</v>
      </c>
      <c r="I134" s="659">
        <f t="shared" si="44"/>
        <v>8605.5398089194241</v>
      </c>
      <c r="J134" s="651">
        <v>0.31009352066788998</v>
      </c>
      <c r="K134" s="659">
        <f t="shared" si="47"/>
        <v>6101.0977319005578</v>
      </c>
      <c r="L134" s="651">
        <v>0.18990647933211</v>
      </c>
      <c r="M134" s="659">
        <f t="shared" si="45"/>
        <v>27751.433794503413</v>
      </c>
      <c r="N134" s="659">
        <v>23586.911608104499</v>
      </c>
      <c r="O134" s="762">
        <f t="shared" si="51"/>
        <v>1.176560723828209</v>
      </c>
      <c r="P134" s="659">
        <f t="shared" si="48"/>
        <v>32126.853982853889</v>
      </c>
      <c r="Q134" s="654">
        <f t="shared" si="49"/>
        <v>1.3620627624608155</v>
      </c>
      <c r="R134" s="650">
        <f t="shared" si="50"/>
        <v>29413.275081639964</v>
      </c>
      <c r="U134" s="610"/>
      <c r="V134" s="610"/>
      <c r="W134" s="610"/>
      <c r="X134" s="654"/>
      <c r="Z134" s="610"/>
      <c r="AA134" s="610"/>
      <c r="AB134" s="610"/>
      <c r="AC134" s="1048"/>
      <c r="AE134" s="610"/>
      <c r="AF134" s="610"/>
      <c r="AG134" s="610"/>
      <c r="AH134" s="1048"/>
    </row>
    <row r="135" spans="1:34" ht="18">
      <c r="A135" s="650" t="s">
        <v>1774</v>
      </c>
      <c r="B135" s="659">
        <v>405.70589754975902</v>
      </c>
      <c r="C135" s="659">
        <v>429.62937956384798</v>
      </c>
      <c r="D135" s="659">
        <v>212.739295013456</v>
      </c>
      <c r="E135" s="654">
        <v>25.35</v>
      </c>
      <c r="F135" s="654">
        <v>7.5064636802662683</v>
      </c>
      <c r="G135" s="664">
        <v>8.3111907111724488</v>
      </c>
      <c r="H135" s="664">
        <f t="shared" si="46"/>
        <v>8.3920826435288358</v>
      </c>
      <c r="I135" s="659">
        <f t="shared" si="44"/>
        <v>16028.813083264502</v>
      </c>
      <c r="J135" s="651">
        <v>0.27549173829685197</v>
      </c>
      <c r="K135" s="659">
        <f t="shared" si="47"/>
        <v>14199.089475427172</v>
      </c>
      <c r="L135" s="651">
        <v>0.224508261703148</v>
      </c>
      <c r="M135" s="659">
        <f t="shared" si="45"/>
        <v>58182.554519993973</v>
      </c>
      <c r="N135" s="659">
        <v>44212.297978981398</v>
      </c>
      <c r="O135" s="762">
        <f t="shared" si="51"/>
        <v>1.3159812355298532</v>
      </c>
      <c r="P135" s="659">
        <f t="shared" si="48"/>
        <v>63245.287134251041</v>
      </c>
      <c r="Q135" s="654">
        <f t="shared" si="49"/>
        <v>1.4304908368327283</v>
      </c>
      <c r="R135" s="650">
        <f t="shared" si="50"/>
        <v>60455.805117383352</v>
      </c>
      <c r="U135" s="610"/>
      <c r="V135" s="610"/>
      <c r="W135" s="610"/>
      <c r="X135" s="654"/>
      <c r="Z135" s="610"/>
      <c r="AA135" s="610"/>
      <c r="AB135" s="610"/>
      <c r="AC135" s="654"/>
      <c r="AE135" s="610"/>
      <c r="AF135" s="610"/>
      <c r="AG135" s="610"/>
      <c r="AH135" s="654"/>
    </row>
    <row r="136" spans="1:34" ht="18">
      <c r="A136" s="650" t="s">
        <v>1788</v>
      </c>
      <c r="B136" s="659">
        <v>288.11627573802599</v>
      </c>
      <c r="C136" s="659">
        <v>546.18150694036501</v>
      </c>
      <c r="D136" s="659">
        <v>206.4</v>
      </c>
      <c r="E136" s="654">
        <v>21.060000000000002</v>
      </c>
      <c r="F136" s="654">
        <v>5.2097524761391067</v>
      </c>
      <c r="G136" s="664">
        <v>13.804010342405954</v>
      </c>
      <c r="H136" s="664">
        <f t="shared" si="46"/>
        <v>9.8005698005698001</v>
      </c>
      <c r="I136" s="659">
        <f t="shared" si="44"/>
        <v>13905.212630904014</v>
      </c>
      <c r="J136" s="651">
        <v>0.303423682481677</v>
      </c>
      <c r="K136" s="659">
        <f t="shared" si="47"/>
        <v>10411.117495943754</v>
      </c>
      <c r="L136" s="651">
        <v>0.196576317518323</v>
      </c>
      <c r="M136" s="659">
        <f t="shared" si="45"/>
        <v>45827.710339464735</v>
      </c>
      <c r="N136" s="659">
        <v>26459.530596480501</v>
      </c>
      <c r="O136" s="762">
        <f t="shared" si="51"/>
        <v>1.731992567757815</v>
      </c>
      <c r="P136" s="659">
        <f t="shared" si="48"/>
        <v>52962.216544591276</v>
      </c>
      <c r="Q136" s="654">
        <f t="shared" si="49"/>
        <v>2.0016309946041151</v>
      </c>
      <c r="R136" s="650">
        <f t="shared" si="50"/>
        <v>48632.660253695532</v>
      </c>
      <c r="X136" s="611"/>
      <c r="Y136" s="596"/>
      <c r="Z136" s="596"/>
      <c r="AA136" s="596"/>
      <c r="AB136" s="1045"/>
      <c r="AC136" s="611"/>
      <c r="AD136" s="596"/>
      <c r="AE136" s="596"/>
      <c r="AF136" s="596"/>
      <c r="AG136" s="1045"/>
      <c r="AH136" s="611"/>
    </row>
    <row r="137" spans="1:34">
      <c r="A137" s="650" t="s">
        <v>1772</v>
      </c>
      <c r="B137" s="659">
        <v>384.904344554678</v>
      </c>
      <c r="C137" s="659">
        <v>622.96755409419302</v>
      </c>
      <c r="D137" s="659">
        <v>252.1</v>
      </c>
      <c r="E137" s="654">
        <v>30.16</v>
      </c>
      <c r="F137" s="654">
        <v>5.166477514866564</v>
      </c>
      <c r="G137" s="664">
        <v>10.6884656926358</v>
      </c>
      <c r="H137" s="664">
        <f t="shared" si="46"/>
        <v>8.3587533156498672</v>
      </c>
      <c r="I137" s="659">
        <f t="shared" si="44"/>
        <v>18108.817367585569</v>
      </c>
      <c r="J137" s="651">
        <v>0.31988230549672098</v>
      </c>
      <c r="K137" s="659">
        <f t="shared" si="47"/>
        <v>14312.548885277985</v>
      </c>
      <c r="L137" s="651">
        <v>0.180117694503278</v>
      </c>
      <c r="M137" s="659">
        <f t="shared" si="45"/>
        <v>56610.875488926336</v>
      </c>
      <c r="N137" s="659">
        <v>35429.972314957697</v>
      </c>
      <c r="O137" s="762">
        <f t="shared" si="51"/>
        <v>1.5978244347943382</v>
      </c>
      <c r="P137" s="659">
        <f t="shared" si="48"/>
        <v>79462.203448409724</v>
      </c>
      <c r="Q137" s="654">
        <f t="shared" si="49"/>
        <v>2.242796092021293</v>
      </c>
      <c r="R137" s="650">
        <f t="shared" si="50"/>
        <v>64842.732505727108</v>
      </c>
    </row>
    <row r="138" spans="1:34">
      <c r="A138" s="650" t="s">
        <v>443</v>
      </c>
      <c r="B138" s="659">
        <v>259.41753077874102</v>
      </c>
      <c r="C138" s="659">
        <v>465.12563655659898</v>
      </c>
      <c r="D138" s="659">
        <v>180.1</v>
      </c>
      <c r="E138" s="654">
        <v>21.84</v>
      </c>
      <c r="F138" s="654">
        <v>4.5958922929166741</v>
      </c>
      <c r="G138" s="664">
        <v>11.857180131254603</v>
      </c>
      <c r="H138" s="664">
        <f t="shared" si="46"/>
        <v>8.2463369963369964</v>
      </c>
      <c r="I138" s="659">
        <f t="shared" si="44"/>
        <v>18350.535413010683</v>
      </c>
      <c r="J138" s="651">
        <v>0.30576663933033499</v>
      </c>
      <c r="K138" s="659">
        <f t="shared" si="47"/>
        <v>14705.433868099066</v>
      </c>
      <c r="L138" s="651">
        <v>0.19423336066966501</v>
      </c>
      <c r="M138" s="659">
        <f t="shared" si="45"/>
        <v>60014.838287134662</v>
      </c>
      <c r="N138" s="659">
        <v>41727.647356752699</v>
      </c>
      <c r="O138" s="762">
        <f t="shared" si="51"/>
        <v>1.4382511856955336</v>
      </c>
      <c r="P138" s="659">
        <f t="shared" si="48"/>
        <v>75710.134538158833</v>
      </c>
      <c r="Q138" s="654">
        <f t="shared" si="49"/>
        <v>1.8143878060239316</v>
      </c>
      <c r="R138" s="650">
        <f t="shared" si="50"/>
        <v>66111.938562219497</v>
      </c>
    </row>
    <row r="139" spans="1:34">
      <c r="A139" s="650" t="s">
        <v>1771</v>
      </c>
      <c r="B139" s="659">
        <v>325.23286297077101</v>
      </c>
      <c r="C139" s="659">
        <v>629.018725524253</v>
      </c>
      <c r="D139" s="659">
        <v>253.3</v>
      </c>
      <c r="E139" s="654">
        <v>26.78</v>
      </c>
      <c r="F139" s="654">
        <v>4.5688774666738396</v>
      </c>
      <c r="G139" s="664">
        <v>12.961770903801554</v>
      </c>
      <c r="H139" s="664">
        <f t="shared" si="46"/>
        <v>9.458551157580283</v>
      </c>
      <c r="I139" s="659">
        <f t="shared" si="44"/>
        <v>16885.975237115093</v>
      </c>
      <c r="J139" s="651">
        <v>0.29604453557573801</v>
      </c>
      <c r="K139" s="659">
        <f t="shared" si="47"/>
        <v>11177.65666903935</v>
      </c>
      <c r="L139" s="651">
        <v>0.20395546442426199</v>
      </c>
      <c r="M139" s="659">
        <f t="shared" si="45"/>
        <v>57038.631718960074</v>
      </c>
      <c r="N139" s="659">
        <v>44920.718930741503</v>
      </c>
      <c r="O139" s="762">
        <f t="shared" si="51"/>
        <v>1.2697622183407593</v>
      </c>
      <c r="P139" s="659">
        <f t="shared" si="48"/>
        <v>54804.399090714855</v>
      </c>
      <c r="Q139" s="654">
        <f t="shared" si="49"/>
        <v>1.2200249772318192</v>
      </c>
      <c r="R139" s="650">
        <f t="shared" si="50"/>
        <v>56127.263812308884</v>
      </c>
      <c r="S139" s="655" t="s">
        <v>1843</v>
      </c>
    </row>
    <row r="140" spans="1:34">
      <c r="O140" s="654">
        <f>MEDIAN(O130:O139)</f>
        <v>1.3687093278724092</v>
      </c>
    </row>
    <row r="141" spans="1:34">
      <c r="F141" s="650" t="s">
        <v>1817</v>
      </c>
    </row>
    <row r="142" spans="1:34" s="652" customFormat="1">
      <c r="A142" s="735" t="s">
        <v>1782</v>
      </c>
      <c r="B142" s="1020" t="s">
        <v>1832</v>
      </c>
      <c r="C142" s="735" t="s">
        <v>1833</v>
      </c>
      <c r="D142" s="735" t="s">
        <v>1821</v>
      </c>
      <c r="E142" s="735" t="s">
        <v>1830</v>
      </c>
      <c r="F142" s="735" t="s">
        <v>1831</v>
      </c>
      <c r="G142" s="735" t="s">
        <v>1820</v>
      </c>
      <c r="H142" s="735" t="s">
        <v>1827</v>
      </c>
      <c r="I142" s="735" t="s">
        <v>1829</v>
      </c>
      <c r="J142" s="735" t="s">
        <v>1824</v>
      </c>
      <c r="K142" s="735" t="s">
        <v>1834</v>
      </c>
      <c r="L142" s="735" t="s">
        <v>1835</v>
      </c>
      <c r="M142" s="652" t="s">
        <v>1825</v>
      </c>
      <c r="N142" s="652" t="s">
        <v>1836</v>
      </c>
      <c r="O142" s="652" t="s">
        <v>1837</v>
      </c>
      <c r="P142" s="652" t="s">
        <v>1839</v>
      </c>
      <c r="Q142" s="652" t="s">
        <v>1838</v>
      </c>
      <c r="R142" s="652" t="s">
        <v>1840</v>
      </c>
      <c r="S142" s="656" t="s">
        <v>1841</v>
      </c>
      <c r="T142" s="656" t="s">
        <v>1842</v>
      </c>
      <c r="W142" s="656"/>
      <c r="X142" s="656"/>
      <c r="AE142" s="656"/>
    </row>
    <row r="143" spans="1:34">
      <c r="A143" s="650" t="s">
        <v>1713</v>
      </c>
      <c r="B143" s="654">
        <v>3.6015797972253401</v>
      </c>
      <c r="C143" s="654">
        <v>13.490762260638601</v>
      </c>
      <c r="D143" s="654">
        <v>13.94854072477</v>
      </c>
      <c r="E143" s="654">
        <v>0.258204773408993</v>
      </c>
      <c r="F143" s="654">
        <f>C143/D143</f>
        <v>0.96718090636402776</v>
      </c>
      <c r="G143" s="654">
        <v>0.51668788221300199</v>
      </c>
      <c r="H143" s="654">
        <v>0.310814009308302</v>
      </c>
      <c r="I143" s="654">
        <v>0.189185990691698</v>
      </c>
      <c r="J143" s="659">
        <v>12215.1817668029</v>
      </c>
      <c r="K143" s="659">
        <f>J143*0.31</f>
        <v>3786.7063477088991</v>
      </c>
      <c r="L143" s="659">
        <f>J143*0.19</f>
        <v>2320.8845356925508</v>
      </c>
      <c r="M143" s="654">
        <f>D143*0.26</f>
        <v>3.6266205884402001</v>
      </c>
      <c r="N143" s="650">
        <f>M143*0.962/0.26</f>
        <v>13.418496177228739</v>
      </c>
      <c r="O143" s="664">
        <f>1000*(1/M143)^0.5/46.85</f>
        <v>11.208289591788111</v>
      </c>
      <c r="P143" s="664">
        <f>1000/K143^0.5</f>
        <v>16.250591979693947</v>
      </c>
      <c r="Q143" s="664">
        <f>(1000/N143^0.5)/17.97</f>
        <v>15.191476966807425</v>
      </c>
      <c r="R143" s="664">
        <f>1000/L143^0.5</f>
        <v>20.757413298950244</v>
      </c>
      <c r="S143" s="654">
        <f>O143/P143</f>
        <v>0.68971577194194</v>
      </c>
      <c r="T143" s="654">
        <f>Q143/R143</f>
        <v>0.73185790291007491</v>
      </c>
    </row>
    <row r="144" spans="1:34">
      <c r="A144" s="650" t="s">
        <v>1769</v>
      </c>
      <c r="B144" s="654">
        <v>2.9954468196086901</v>
      </c>
      <c r="C144" s="654">
        <v>11.1371384760351</v>
      </c>
      <c r="D144" s="654">
        <v>11.5594628772349</v>
      </c>
      <c r="E144" s="654">
        <v>0.25913373756386998</v>
      </c>
      <c r="F144" s="654">
        <f t="shared" ref="F144:F152" si="52">C144/D144</f>
        <v>0.96346504974452385</v>
      </c>
      <c r="G144" s="654">
        <v>0.51861371417100099</v>
      </c>
      <c r="H144" s="654">
        <v>0.30914370615327402</v>
      </c>
      <c r="I144" s="654">
        <v>0.19085629384672601</v>
      </c>
      <c r="J144" s="659">
        <v>16331.807214689999</v>
      </c>
      <c r="K144" s="659">
        <f t="shared" ref="K144:K152" si="53">J144*0.31</f>
        <v>5062.8602365539</v>
      </c>
      <c r="L144" s="659">
        <f t="shared" ref="L144:L152" si="54">J144*0.19</f>
        <v>3103.0433707910997</v>
      </c>
      <c r="M144" s="654">
        <f t="shared" ref="M144:M152" si="55">D144*0.26</f>
        <v>3.005460348081074</v>
      </c>
      <c r="N144" s="650">
        <f t="shared" ref="N144:N152" si="56">M144*0.962/0.26</f>
        <v>11.120203287899972</v>
      </c>
      <c r="O144" s="664">
        <f t="shared" ref="O144:O152" si="57">1000*(1/M144)^0.5/46.85</f>
        <v>12.312178508248891</v>
      </c>
      <c r="P144" s="664">
        <f t="shared" ref="P144:P152" si="58">1000/K144^0.5</f>
        <v>14.054067358898223</v>
      </c>
      <c r="Q144" s="664">
        <f t="shared" ref="Q144:Q152" si="59">(1000/N144^0.5)/17.97</f>
        <v>16.687664490425171</v>
      </c>
      <c r="R144" s="664">
        <f t="shared" ref="R144:R152" si="60">1000/L144^0.5</f>
        <v>17.951720470519785</v>
      </c>
      <c r="S144" s="654">
        <f t="shared" ref="S144:S152" si="61">O144/P144</f>
        <v>0.87605802603852834</v>
      </c>
      <c r="T144" s="654">
        <f t="shared" ref="T144:T152" si="62">Q144/R144</f>
        <v>0.92958580308943428</v>
      </c>
    </row>
    <row r="145" spans="1:31">
      <c r="A145" s="650" t="s">
        <v>1755</v>
      </c>
      <c r="B145" s="654">
        <v>3.9343748880929801</v>
      </c>
      <c r="C145" s="654">
        <v>13.404315610261101</v>
      </c>
      <c r="D145" s="654">
        <v>14.570907581316501</v>
      </c>
      <c r="E145" s="654">
        <v>0.27001577397538501</v>
      </c>
      <c r="F145" s="654">
        <f t="shared" si="52"/>
        <v>0.91993690409846129</v>
      </c>
      <c r="G145" s="654">
        <v>0.54177074166547501</v>
      </c>
      <c r="H145" s="654">
        <v>0.31516014938123998</v>
      </c>
      <c r="I145" s="654">
        <v>0.18483985061875999</v>
      </c>
      <c r="J145" s="659">
        <v>43189.588875938403</v>
      </c>
      <c r="K145" s="659">
        <f t="shared" si="53"/>
        <v>13388.772551540906</v>
      </c>
      <c r="L145" s="659">
        <f t="shared" si="54"/>
        <v>8206.0218864282961</v>
      </c>
      <c r="M145" s="654">
        <f t="shared" si="55"/>
        <v>3.7884359711422904</v>
      </c>
      <c r="N145" s="650">
        <f t="shared" si="56"/>
        <v>14.017213093226474</v>
      </c>
      <c r="O145" s="664">
        <f t="shared" si="57"/>
        <v>10.966307738964604</v>
      </c>
      <c r="P145" s="664">
        <f t="shared" si="58"/>
        <v>8.6423055757304184</v>
      </c>
      <c r="Q145" s="664">
        <f t="shared" si="59"/>
        <v>14.86349991790542</v>
      </c>
      <c r="R145" s="664">
        <f t="shared" si="60"/>
        <v>11.039099924200851</v>
      </c>
      <c r="S145" s="654">
        <f t="shared" si="61"/>
        <v>1.2689099734867646</v>
      </c>
      <c r="T145" s="654">
        <f t="shared" si="62"/>
        <v>1.3464412877829284</v>
      </c>
    </row>
    <row r="146" spans="1:31">
      <c r="A146" s="650" t="s">
        <v>1753</v>
      </c>
      <c r="B146" s="654">
        <v>2.05990285354406</v>
      </c>
      <c r="C146" s="654">
        <v>6.61778514791279</v>
      </c>
      <c r="D146" s="654">
        <v>7.4286982810445297</v>
      </c>
      <c r="E146" s="654">
        <v>0.27728987981652498</v>
      </c>
      <c r="F146" s="654">
        <f t="shared" si="52"/>
        <v>0.89084048073389799</v>
      </c>
      <c r="G146" s="654">
        <v>0.55791371538992995</v>
      </c>
      <c r="H146" s="654">
        <v>0.34948032740038498</v>
      </c>
      <c r="I146" s="654">
        <v>0.15051967259961499</v>
      </c>
      <c r="J146" s="659">
        <v>18139.8727149201</v>
      </c>
      <c r="K146" s="659">
        <f t="shared" si="53"/>
        <v>5623.3605416252312</v>
      </c>
      <c r="L146" s="659">
        <f t="shared" si="54"/>
        <v>3446.575815834819</v>
      </c>
      <c r="M146" s="654">
        <f t="shared" si="55"/>
        <v>1.9314615530715777</v>
      </c>
      <c r="N146" s="650">
        <f t="shared" si="56"/>
        <v>7.1464077463648374</v>
      </c>
      <c r="O146" s="664">
        <f t="shared" si="57"/>
        <v>15.358449389875382</v>
      </c>
      <c r="P146" s="664">
        <f t="shared" si="58"/>
        <v>13.335276819956546</v>
      </c>
      <c r="Q146" s="664">
        <f t="shared" si="59"/>
        <v>20.816515155275106</v>
      </c>
      <c r="R146" s="664">
        <f t="shared" si="60"/>
        <v>17.033585776667937</v>
      </c>
      <c r="S146" s="654">
        <f t="shared" si="61"/>
        <v>1.1517158284176832</v>
      </c>
      <c r="T146" s="654">
        <f t="shared" si="62"/>
        <v>1.2220864959501894</v>
      </c>
    </row>
    <row r="147" spans="1:31">
      <c r="A147" s="650" t="s">
        <v>1780</v>
      </c>
      <c r="B147" s="654">
        <v>2.7610466199461299</v>
      </c>
      <c r="C147" s="654">
        <v>9.7930691219742396</v>
      </c>
      <c r="D147" s="654">
        <v>10.418627800879401</v>
      </c>
      <c r="E147" s="654">
        <v>0.265010582268145</v>
      </c>
      <c r="F147" s="654">
        <f t="shared" si="52"/>
        <v>0.93995767092741711</v>
      </c>
      <c r="G147" s="654">
        <v>0.53097914019018</v>
      </c>
      <c r="H147" s="654">
        <v>0.31009352066788998</v>
      </c>
      <c r="I147" s="654">
        <v>0.18990647933211</v>
      </c>
      <c r="J147" s="659">
        <v>23586.911608104499</v>
      </c>
      <c r="K147" s="659">
        <f t="shared" si="53"/>
        <v>7311.9425985123944</v>
      </c>
      <c r="L147" s="659">
        <f t="shared" si="54"/>
        <v>4481.5132055398553</v>
      </c>
      <c r="M147" s="654">
        <f t="shared" si="55"/>
        <v>2.7088432282286443</v>
      </c>
      <c r="N147" s="650">
        <f t="shared" si="56"/>
        <v>10.022719944445983</v>
      </c>
      <c r="O147" s="664">
        <f t="shared" si="57"/>
        <v>12.968760472410672</v>
      </c>
      <c r="P147" s="664">
        <f t="shared" si="58"/>
        <v>11.694552646163283</v>
      </c>
      <c r="Q147" s="664">
        <f t="shared" si="59"/>
        <v>17.577581698907426</v>
      </c>
      <c r="R147" s="664">
        <f t="shared" si="60"/>
        <v>14.937835060167155</v>
      </c>
      <c r="S147" s="654">
        <f t="shared" si="61"/>
        <v>1.1089573808251167</v>
      </c>
      <c r="T147" s="654">
        <f t="shared" si="62"/>
        <v>1.1767154763797969</v>
      </c>
    </row>
    <row r="148" spans="1:31">
      <c r="A148" s="650" t="s">
        <v>1774</v>
      </c>
      <c r="B148" s="654">
        <v>5.7371302111343798</v>
      </c>
      <c r="C148" s="654">
        <v>22.095537388477901</v>
      </c>
      <c r="D148" s="654">
        <v>22.522029116507699</v>
      </c>
      <c r="E148" s="654">
        <v>0.25473416189349102</v>
      </c>
      <c r="F148" s="654">
        <f t="shared" si="52"/>
        <v>0.98106335242603881</v>
      </c>
      <c r="G148" s="654">
        <v>0.50955969517161304</v>
      </c>
      <c r="H148" s="654">
        <v>0.27549173829685197</v>
      </c>
      <c r="I148" s="654">
        <v>0.224508261703148</v>
      </c>
      <c r="J148" s="659">
        <v>44212.297978981398</v>
      </c>
      <c r="K148" s="659">
        <f t="shared" si="53"/>
        <v>13705.812373484234</v>
      </c>
      <c r="L148" s="659">
        <f t="shared" si="54"/>
        <v>8400.3366160064652</v>
      </c>
      <c r="M148" s="654">
        <f t="shared" si="55"/>
        <v>5.855727570292002</v>
      </c>
      <c r="N148" s="650">
        <f t="shared" si="56"/>
        <v>21.666192010080405</v>
      </c>
      <c r="O148" s="664">
        <f t="shared" si="57"/>
        <v>8.8206374728701356</v>
      </c>
      <c r="P148" s="664">
        <f t="shared" si="58"/>
        <v>8.541764801166229</v>
      </c>
      <c r="Q148" s="664">
        <f t="shared" si="59"/>
        <v>11.955304143804488</v>
      </c>
      <c r="R148" s="664">
        <f t="shared" si="60"/>
        <v>10.910675900409396</v>
      </c>
      <c r="S148" s="654">
        <f t="shared" si="61"/>
        <v>1.03264813281511</v>
      </c>
      <c r="T148" s="654">
        <f t="shared" si="62"/>
        <v>1.0957436782954844</v>
      </c>
    </row>
    <row r="149" spans="1:31">
      <c r="A149" s="650" t="s">
        <v>1788</v>
      </c>
      <c r="B149" s="654">
        <v>6.3547023938579699</v>
      </c>
      <c r="C149" s="654">
        <v>23.473649420107002</v>
      </c>
      <c r="D149" s="654">
        <v>24.446229497769401</v>
      </c>
      <c r="E149" s="654">
        <v>0.25994611538919699</v>
      </c>
      <c r="F149" s="654">
        <f t="shared" si="52"/>
        <v>0.96021553844321295</v>
      </c>
      <c r="G149" s="654">
        <v>0.52030416343966301</v>
      </c>
      <c r="H149" s="654">
        <v>0.303423682481677</v>
      </c>
      <c r="I149" s="654">
        <v>0.196576317518323</v>
      </c>
      <c r="J149" s="659">
        <v>26459.530596480501</v>
      </c>
      <c r="K149" s="659">
        <f t="shared" si="53"/>
        <v>8202.4544849089561</v>
      </c>
      <c r="L149" s="659">
        <f t="shared" si="54"/>
        <v>5027.3108133312953</v>
      </c>
      <c r="M149" s="654">
        <f t="shared" si="55"/>
        <v>6.3560196694200446</v>
      </c>
      <c r="N149" s="650">
        <f t="shared" si="56"/>
        <v>23.517272776854163</v>
      </c>
      <c r="O149" s="664">
        <f t="shared" si="57"/>
        <v>8.4663806107324948</v>
      </c>
      <c r="P149" s="664">
        <f t="shared" si="58"/>
        <v>11.041500219196184</v>
      </c>
      <c r="Q149" s="664">
        <f t="shared" si="59"/>
        <v>11.475151938829306</v>
      </c>
      <c r="R149" s="664">
        <f t="shared" si="60"/>
        <v>14.103669809487233</v>
      </c>
      <c r="S149" s="654">
        <f t="shared" si="61"/>
        <v>0.76677810466491514</v>
      </c>
      <c r="T149" s="654">
        <f t="shared" si="62"/>
        <v>0.81362879972631097</v>
      </c>
    </row>
    <row r="150" spans="1:31">
      <c r="A150" s="650" t="s">
        <v>1772</v>
      </c>
      <c r="B150" s="654">
        <v>4.1704388618511503</v>
      </c>
      <c r="C150" s="654">
        <v>15.7345493412652</v>
      </c>
      <c r="D150" s="654">
        <v>16.208152394334899</v>
      </c>
      <c r="E150" s="654">
        <v>0.25730501295809699</v>
      </c>
      <c r="F150" s="654">
        <f t="shared" si="52"/>
        <v>0.97077994816761271</v>
      </c>
      <c r="G150" s="654">
        <v>0.514829856657538</v>
      </c>
      <c r="H150" s="654">
        <v>0.31988230549672098</v>
      </c>
      <c r="I150" s="654">
        <v>0.180117694503278</v>
      </c>
      <c r="J150" s="659">
        <v>35429.972314957697</v>
      </c>
      <c r="K150" s="659">
        <f t="shared" si="53"/>
        <v>10983.291417636887</v>
      </c>
      <c r="L150" s="659">
        <f t="shared" si="54"/>
        <v>6731.6947398419625</v>
      </c>
      <c r="M150" s="654">
        <f t="shared" si="55"/>
        <v>4.2141196225270736</v>
      </c>
      <c r="N150" s="650">
        <f t="shared" si="56"/>
        <v>15.59224260335017</v>
      </c>
      <c r="O150" s="664">
        <f t="shared" si="57"/>
        <v>10.397692633228226</v>
      </c>
      <c r="P150" s="664">
        <f t="shared" si="58"/>
        <v>9.5418755197984488</v>
      </c>
      <c r="Q150" s="664">
        <f t="shared" si="59"/>
        <v>14.092811115565612</v>
      </c>
      <c r="R150" s="664">
        <f t="shared" si="60"/>
        <v>12.188150072261079</v>
      </c>
      <c r="S150" s="654">
        <f t="shared" si="61"/>
        <v>1.0896906600441434</v>
      </c>
      <c r="T150" s="654">
        <f t="shared" si="62"/>
        <v>1.156271545067314</v>
      </c>
    </row>
    <row r="151" spans="1:31">
      <c r="A151" s="650" t="s">
        <v>443</v>
      </c>
      <c r="B151" s="654">
        <v>8.2876309069530105</v>
      </c>
      <c r="C151" s="654">
        <v>30.8299325348586</v>
      </c>
      <c r="D151" s="654">
        <v>31.990228081335299</v>
      </c>
      <c r="E151" s="654">
        <v>0.25906757794541702</v>
      </c>
      <c r="F151" s="654">
        <f t="shared" si="52"/>
        <v>0.96372968821833205</v>
      </c>
      <c r="G151" s="654">
        <v>0.51847630512322995</v>
      </c>
      <c r="H151" s="654">
        <v>0.30576663933033499</v>
      </c>
      <c r="I151" s="654">
        <v>0.19423336066966501</v>
      </c>
      <c r="J151" s="659">
        <v>41727.647356752699</v>
      </c>
      <c r="K151" s="659">
        <f t="shared" si="53"/>
        <v>12935.570680593337</v>
      </c>
      <c r="L151" s="659">
        <f t="shared" si="54"/>
        <v>7928.2529977830127</v>
      </c>
      <c r="M151" s="654">
        <f t="shared" si="55"/>
        <v>8.3174593011471778</v>
      </c>
      <c r="N151" s="650">
        <f t="shared" si="56"/>
        <v>30.774599414244555</v>
      </c>
      <c r="O151" s="664">
        <f t="shared" si="57"/>
        <v>7.401079385126577</v>
      </c>
      <c r="P151" s="664">
        <f t="shared" si="58"/>
        <v>8.7923952576933218</v>
      </c>
      <c r="Q151" s="664">
        <f t="shared" si="59"/>
        <v>10.031265349446295</v>
      </c>
      <c r="R151" s="664">
        <f t="shared" si="60"/>
        <v>11.230814390006463</v>
      </c>
      <c r="S151" s="654">
        <f t="shared" si="61"/>
        <v>0.84175917576620007</v>
      </c>
      <c r="T151" s="654">
        <f t="shared" si="62"/>
        <v>0.89319126833512941</v>
      </c>
    </row>
    <row r="152" spans="1:31">
      <c r="A152" s="650" t="s">
        <v>1771</v>
      </c>
      <c r="B152" s="654">
        <v>4.8881216262698199</v>
      </c>
      <c r="C152" s="654">
        <v>15.5858187129262</v>
      </c>
      <c r="D152" s="654">
        <v>17.5691526090027</v>
      </c>
      <c r="E152" s="654">
        <v>0.27822182065656698</v>
      </c>
      <c r="F152" s="654">
        <f t="shared" si="52"/>
        <v>0.88711271737373321</v>
      </c>
      <c r="G152" s="654">
        <v>0.56002342269740701</v>
      </c>
      <c r="H152" s="654">
        <v>0.29604453557573801</v>
      </c>
      <c r="I152" s="654">
        <v>0.20395546442426199</v>
      </c>
      <c r="J152" s="659">
        <v>44920.718930741503</v>
      </c>
      <c r="K152" s="659">
        <f t="shared" si="53"/>
        <v>13925.422868529866</v>
      </c>
      <c r="L152" s="659">
        <f t="shared" si="54"/>
        <v>8534.9365968408856</v>
      </c>
      <c r="M152" s="654">
        <f t="shared" si="55"/>
        <v>4.5679796783407021</v>
      </c>
      <c r="N152" s="650">
        <f t="shared" si="56"/>
        <v>16.901524809860597</v>
      </c>
      <c r="O152" s="664">
        <f t="shared" si="57"/>
        <v>9.9868453146976517</v>
      </c>
      <c r="P152" s="664">
        <f t="shared" si="58"/>
        <v>8.474143303511779</v>
      </c>
      <c r="Q152" s="664">
        <f t="shared" si="59"/>
        <v>13.535957411419295</v>
      </c>
      <c r="R152" s="664">
        <f t="shared" si="60"/>
        <v>10.824300747032746</v>
      </c>
      <c r="S152" s="654">
        <f t="shared" si="61"/>
        <v>1.1785079573246056</v>
      </c>
      <c r="T152" s="654">
        <f t="shared" si="62"/>
        <v>1.2505156432511257</v>
      </c>
    </row>
    <row r="153" spans="1:31">
      <c r="D153" s="711" t="s">
        <v>1728</v>
      </c>
      <c r="E153" s="712">
        <f>MEDIAN(E143:E152)</f>
        <v>0.25953992647653346</v>
      </c>
      <c r="F153" s="712">
        <f>MEDIAN(F143:F152)</f>
        <v>0.9618402940938684</v>
      </c>
      <c r="G153" s="712">
        <f>MEDIAN(G143:G152)</f>
        <v>0.519458938805332</v>
      </c>
      <c r="H153" s="712">
        <f>MEDIAN(H143:H152)</f>
        <v>0.309618613410582</v>
      </c>
      <c r="I153" s="712">
        <f>MEDIAN(I143:I152)</f>
        <v>0.190381386589418</v>
      </c>
      <c r="J153" s="712"/>
      <c r="K153" s="712"/>
      <c r="L153" s="712"/>
      <c r="M153" s="712"/>
      <c r="N153" s="711" t="s">
        <v>1728</v>
      </c>
      <c r="O153" s="698">
        <f t="shared" ref="O153:T153" si="63">MEDIAN(O143:O152)</f>
        <v>10.682000186096415</v>
      </c>
      <c r="P153" s="698">
        <f t="shared" si="63"/>
        <v>10.291687869497316</v>
      </c>
      <c r="Q153" s="698">
        <f t="shared" si="63"/>
        <v>14.478155516735516</v>
      </c>
      <c r="R153" s="698">
        <f t="shared" si="63"/>
        <v>13.145909940874155</v>
      </c>
      <c r="S153" s="712">
        <f t="shared" si="63"/>
        <v>1.0611693964296267</v>
      </c>
      <c r="T153" s="712">
        <f t="shared" si="63"/>
        <v>1.1260076116813993</v>
      </c>
    </row>
    <row r="154" spans="1:31">
      <c r="D154" s="650" t="s">
        <v>1775</v>
      </c>
      <c r="E154" s="651">
        <f>STDEV(E143:E152)</f>
        <v>8.4635415953261631E-3</v>
      </c>
      <c r="F154" s="651">
        <f>STDEV(F143:F152)</f>
        <v>3.3854166381305423E-2</v>
      </c>
      <c r="G154" s="651">
        <f>STDEV(G143:G152)</f>
        <v>1.8226784509817913E-2</v>
      </c>
      <c r="H154" s="651">
        <f>STDEV(H143:H152)</f>
        <v>1.8645595060884455E-2</v>
      </c>
      <c r="I154" s="651">
        <f>STDEV(I143:I152)</f>
        <v>1.8645595060884521E-2</v>
      </c>
      <c r="J154" s="651"/>
      <c r="K154" s="683"/>
      <c r="L154" s="651"/>
      <c r="M154" s="651"/>
      <c r="N154" s="650" t="s">
        <v>1775</v>
      </c>
      <c r="O154" s="654">
        <f t="shared" ref="O154:T154" si="64">STDEV(O143:O152)</f>
        <v>2.3499912155589726</v>
      </c>
      <c r="P154" s="654">
        <f t="shared" si="64"/>
        <v>2.7447191884654925</v>
      </c>
      <c r="Q154" s="654">
        <f t="shared" si="64"/>
        <v>3.1851280367987429</v>
      </c>
      <c r="R154" s="654">
        <f t="shared" si="64"/>
        <v>3.5059197016163464</v>
      </c>
      <c r="S154" s="654">
        <f t="shared" si="64"/>
        <v>0.19414933011678084</v>
      </c>
      <c r="T154" s="654">
        <f t="shared" si="64"/>
        <v>0.20601199417348373</v>
      </c>
    </row>
    <row r="155" spans="1:31">
      <c r="D155" s="1014" t="s">
        <v>1729</v>
      </c>
      <c r="E155" s="1014">
        <f>E154/E153</f>
        <v>3.2609786518111701E-2</v>
      </c>
      <c r="F155" s="1014">
        <f>F154/F153</f>
        <v>3.5197284402811169E-2</v>
      </c>
      <c r="G155" s="1014">
        <f>G154/G153</f>
        <v>3.5088017835897566E-2</v>
      </c>
      <c r="H155" s="1014">
        <f>H154/H153</f>
        <v>6.0221169701314844E-2</v>
      </c>
      <c r="I155" s="1014">
        <f>I154/I153</f>
        <v>9.7938119870384963E-2</v>
      </c>
      <c r="J155" s="1014"/>
      <c r="K155" s="1014"/>
      <c r="L155" s="1014"/>
      <c r="M155" s="1014"/>
      <c r="N155" s="1014" t="s">
        <v>1729</v>
      </c>
      <c r="O155" s="784">
        <f t="shared" ref="O155:T155" si="65">O154/O153</f>
        <v>0.21999542919103277</v>
      </c>
      <c r="P155" s="784">
        <f t="shared" si="65"/>
        <v>0.26669281300303899</v>
      </c>
      <c r="Q155" s="784">
        <f t="shared" si="65"/>
        <v>0.21999542919103238</v>
      </c>
      <c r="R155" s="784">
        <f t="shared" si="65"/>
        <v>0.26669281300303932</v>
      </c>
      <c r="S155" s="784">
        <f t="shared" si="65"/>
        <v>0.18295790546731641</v>
      </c>
      <c r="T155" s="784">
        <f t="shared" si="65"/>
        <v>0.18295790546731602</v>
      </c>
    </row>
    <row r="157" spans="1:31" s="652" customFormat="1">
      <c r="A157" s="735" t="s">
        <v>1782</v>
      </c>
      <c r="B157" s="735" t="s">
        <v>1809</v>
      </c>
      <c r="C157" s="735" t="s">
        <v>1810</v>
      </c>
      <c r="D157" s="652" t="s">
        <v>1783</v>
      </c>
      <c r="E157" s="652" t="s">
        <v>1822</v>
      </c>
      <c r="F157" s="652" t="s">
        <v>1821</v>
      </c>
      <c r="G157" s="652" t="s">
        <v>1823</v>
      </c>
      <c r="H157" s="652" t="s">
        <v>1826</v>
      </c>
      <c r="I157" s="652" t="s">
        <v>1827</v>
      </c>
      <c r="J157" s="652" t="s">
        <v>1828</v>
      </c>
      <c r="K157" s="652" t="s">
        <v>1829</v>
      </c>
      <c r="L157" s="652" t="s">
        <v>298</v>
      </c>
      <c r="M157" s="652" t="s">
        <v>403</v>
      </c>
      <c r="N157" s="652" t="s">
        <v>1845</v>
      </c>
      <c r="O157" s="652" t="s">
        <v>1815</v>
      </c>
      <c r="P157" s="652" t="s">
        <v>1844</v>
      </c>
      <c r="Q157" s="652" t="s">
        <v>1824</v>
      </c>
      <c r="R157" s="652" t="s">
        <v>1824</v>
      </c>
      <c r="S157" s="656"/>
      <c r="T157" s="656"/>
      <c r="W157" s="656"/>
      <c r="X157" s="656"/>
      <c r="AE157" s="656"/>
    </row>
    <row r="158" spans="1:31">
      <c r="A158" s="650" t="s">
        <v>1713</v>
      </c>
      <c r="B158" s="659">
        <v>407.423750182589</v>
      </c>
      <c r="C158" s="659">
        <v>681.49177162256603</v>
      </c>
      <c r="D158" s="655">
        <f>1/B158/C158</f>
        <v>3.6015797972253411E-6</v>
      </c>
      <c r="E158" s="664">
        <f>1000000*D158/0.26</f>
        <v>13.852229989328235</v>
      </c>
      <c r="F158" s="664">
        <f>D143</f>
        <v>13.94854072477</v>
      </c>
      <c r="G158" s="654">
        <f>E158/F158</f>
        <v>0.99309528234227862</v>
      </c>
      <c r="H158" s="654">
        <v>0.31</v>
      </c>
      <c r="I158" s="654">
        <f>H143</f>
        <v>0.310814009308302</v>
      </c>
      <c r="J158" s="654">
        <v>0.19</v>
      </c>
      <c r="K158" s="762">
        <f>I143</f>
        <v>0.189185990691698</v>
      </c>
      <c r="L158" s="659">
        <v>120.92999999999999</v>
      </c>
      <c r="M158" s="654">
        <f>B158/L158</f>
        <v>3.3690874901396595</v>
      </c>
      <c r="N158" s="654">
        <f>C158/L158</f>
        <v>5.6354235642319201</v>
      </c>
      <c r="O158" s="659">
        <f>1000/(M158/N158)</f>
        <v>1672.6854321014721</v>
      </c>
      <c r="P158" s="659">
        <f>1*O158/H158</f>
        <v>5395.7594583918453</v>
      </c>
      <c r="Q158" s="659">
        <f>O158/I158</f>
        <v>5381.6281827963085</v>
      </c>
      <c r="R158" s="650">
        <v>12215.1817668029</v>
      </c>
    </row>
    <row r="159" spans="1:31">
      <c r="A159" s="650" t="s">
        <v>1769</v>
      </c>
      <c r="B159" s="659">
        <v>423.32165854048401</v>
      </c>
      <c r="C159" s="659">
        <v>788.62020057130496</v>
      </c>
      <c r="D159" s="655">
        <f t="shared" ref="D159:D167" si="66">1/B159/C159</f>
        <v>2.9954468196086951E-6</v>
      </c>
      <c r="E159" s="664">
        <f t="shared" ref="E159:E167" si="67">1000000*D159/0.26</f>
        <v>11.520949306187289</v>
      </c>
      <c r="F159" s="664">
        <f t="shared" ref="F159:F167" si="68">D144</f>
        <v>11.5594628772349</v>
      </c>
      <c r="G159" s="654">
        <f t="shared" ref="G159:G167" si="69">E159/F159</f>
        <v>0.99666822139950295</v>
      </c>
      <c r="H159" s="654">
        <v>0.31</v>
      </c>
      <c r="I159" s="654">
        <f t="shared" ref="I159:I167" si="70">H144</f>
        <v>0.30914370615327402</v>
      </c>
      <c r="J159" s="654">
        <v>0.19</v>
      </c>
      <c r="K159" s="762">
        <f t="shared" ref="K159:K168" si="71">I144</f>
        <v>0.19085629384672601</v>
      </c>
      <c r="L159" s="659">
        <v>140.18</v>
      </c>
      <c r="M159" s="654">
        <f t="shared" ref="M159:M167" si="72">B159/L159</f>
        <v>3.0198434765336279</v>
      </c>
      <c r="N159" s="654">
        <f t="shared" ref="N159:N167" si="73">C159/L159</f>
        <v>5.6257683019782059</v>
      </c>
      <c r="O159" s="659">
        <f t="shared" ref="O159:O167" si="74">1000/(M159/N159)</f>
        <v>1862.9337400082163</v>
      </c>
      <c r="P159" s="659">
        <f t="shared" ref="P159:P167" si="75">O159/H159</f>
        <v>6009.4636774458595</v>
      </c>
      <c r="Q159" s="659">
        <f t="shared" ref="Q159:Q167" si="76">O159/I159</f>
        <v>6026.1092266409278</v>
      </c>
      <c r="R159" s="650">
        <v>16331.807214689999</v>
      </c>
    </row>
    <row r="160" spans="1:31">
      <c r="A160" s="650" t="s">
        <v>1755</v>
      </c>
      <c r="B160" s="659">
        <v>536.99368404811401</v>
      </c>
      <c r="C160" s="659">
        <v>473.32024742818197</v>
      </c>
      <c r="D160" s="655">
        <f t="shared" si="66"/>
        <v>3.9343748880929817E-6</v>
      </c>
      <c r="E160" s="664">
        <f t="shared" si="67"/>
        <v>15.13221110804993</v>
      </c>
      <c r="F160" s="664">
        <f t="shared" si="68"/>
        <v>14.570907581316501</v>
      </c>
      <c r="G160" s="654">
        <f t="shared" si="69"/>
        <v>1.038522207597635</v>
      </c>
      <c r="H160" s="654">
        <v>0.31</v>
      </c>
      <c r="I160" s="654">
        <f t="shared" si="70"/>
        <v>0.31516014938123998</v>
      </c>
      <c r="J160" s="654">
        <v>0.19</v>
      </c>
      <c r="K160" s="762">
        <f t="shared" si="71"/>
        <v>0.18483985061875999</v>
      </c>
      <c r="L160" s="659">
        <v>191.84</v>
      </c>
      <c r="M160" s="654">
        <f t="shared" si="72"/>
        <v>2.7991747500422957</v>
      </c>
      <c r="N160" s="654">
        <f t="shared" si="73"/>
        <v>2.4672656767524082</v>
      </c>
      <c r="O160" s="659">
        <f t="shared" si="74"/>
        <v>881.42609771509535</v>
      </c>
      <c r="P160" s="659">
        <f t="shared" si="75"/>
        <v>2843.3099926293398</v>
      </c>
      <c r="Q160" s="659">
        <f t="shared" si="76"/>
        <v>2796.7561871182515</v>
      </c>
      <c r="R160" s="650">
        <v>43189.588875938403</v>
      </c>
    </row>
    <row r="161" spans="1:31">
      <c r="A161" s="650" t="s">
        <v>1753</v>
      </c>
      <c r="B161" s="659">
        <v>582.39626969807796</v>
      </c>
      <c r="C161" s="659">
        <v>833.555796980232</v>
      </c>
      <c r="D161" s="655">
        <f t="shared" si="66"/>
        <v>2.0599028535440662E-6</v>
      </c>
      <c r="E161" s="664">
        <f t="shared" si="67"/>
        <v>7.9227032828617929</v>
      </c>
      <c r="F161" s="664">
        <f t="shared" si="68"/>
        <v>7.4286982810445297</v>
      </c>
      <c r="G161" s="654">
        <f t="shared" si="69"/>
        <v>1.0664995377558668</v>
      </c>
      <c r="H161" s="654">
        <v>0.31</v>
      </c>
      <c r="I161" s="654">
        <f t="shared" si="70"/>
        <v>0.34948032740038498</v>
      </c>
      <c r="J161" s="654">
        <v>0.19</v>
      </c>
      <c r="K161" s="762">
        <f t="shared" si="71"/>
        <v>0.15051967259961499</v>
      </c>
      <c r="L161" s="659">
        <v>162.87</v>
      </c>
      <c r="M161" s="654">
        <f t="shared" si="72"/>
        <v>3.575835142740087</v>
      </c>
      <c r="N161" s="654">
        <f t="shared" si="73"/>
        <v>5.1179210227803278</v>
      </c>
      <c r="O161" s="659">
        <f t="shared" si="74"/>
        <v>1431.251950518774</v>
      </c>
      <c r="P161" s="659">
        <f t="shared" si="75"/>
        <v>4616.9417758670133</v>
      </c>
      <c r="Q161" s="659">
        <f t="shared" si="76"/>
        <v>4095.3720089630356</v>
      </c>
      <c r="R161" s="650">
        <v>18139.8727149201</v>
      </c>
    </row>
    <row r="162" spans="1:31">
      <c r="A162" s="650" t="s">
        <v>1780</v>
      </c>
      <c r="B162" s="659">
        <v>593.12155360965403</v>
      </c>
      <c r="C162" s="659">
        <v>610.63621020744404</v>
      </c>
      <c r="D162" s="655">
        <f t="shared" si="66"/>
        <v>2.7610466199461317E-6</v>
      </c>
      <c r="E162" s="664">
        <f t="shared" si="67"/>
        <v>10.619410076715891</v>
      </c>
      <c r="F162" s="664">
        <f t="shared" si="68"/>
        <v>10.418627800879401</v>
      </c>
      <c r="G162" s="654">
        <f t="shared" si="69"/>
        <v>1.0192714702620955</v>
      </c>
      <c r="H162" s="654">
        <v>0.31</v>
      </c>
      <c r="I162" s="654">
        <f t="shared" si="70"/>
        <v>0.31009352066788998</v>
      </c>
      <c r="J162" s="654">
        <v>0.19</v>
      </c>
      <c r="K162" s="762">
        <f t="shared" si="71"/>
        <v>0.18990647933211</v>
      </c>
      <c r="L162" s="659">
        <v>170.88</v>
      </c>
      <c r="M162" s="654">
        <f t="shared" si="72"/>
        <v>3.4709828745883313</v>
      </c>
      <c r="N162" s="654">
        <f t="shared" si="73"/>
        <v>3.5734796945660348</v>
      </c>
      <c r="O162" s="659">
        <f t="shared" si="74"/>
        <v>1029.5296242249135</v>
      </c>
      <c r="P162" s="659">
        <f t="shared" si="75"/>
        <v>3321.0633039513341</v>
      </c>
      <c r="Q162" s="659">
        <f t="shared" si="76"/>
        <v>3320.0617091497998</v>
      </c>
      <c r="R162" s="650">
        <v>23586.911608104499</v>
      </c>
    </row>
    <row r="163" spans="1:31">
      <c r="A163" s="650" t="s">
        <v>1774</v>
      </c>
      <c r="B163" s="659">
        <v>405.70589754975902</v>
      </c>
      <c r="C163" s="659">
        <v>429.62937956384798</v>
      </c>
      <c r="D163" s="655">
        <f t="shared" si="66"/>
        <v>5.7371302111343759E-6</v>
      </c>
      <c r="E163" s="664">
        <f t="shared" si="67"/>
        <v>22.065885427439909</v>
      </c>
      <c r="F163" s="664">
        <f t="shared" si="68"/>
        <v>22.522029116507699</v>
      </c>
      <c r="G163" s="654">
        <f t="shared" si="69"/>
        <v>0.97974677651342457</v>
      </c>
      <c r="H163" s="654">
        <v>0.31</v>
      </c>
      <c r="I163" s="654">
        <f t="shared" si="70"/>
        <v>0.27549173829685197</v>
      </c>
      <c r="J163" s="654">
        <v>0.19</v>
      </c>
      <c r="K163" s="762">
        <f t="shared" si="71"/>
        <v>0.224508261703148</v>
      </c>
      <c r="L163" s="659">
        <v>175.5</v>
      </c>
      <c r="M163" s="654">
        <f t="shared" si="72"/>
        <v>2.3117145159530428</v>
      </c>
      <c r="N163" s="654">
        <f t="shared" si="73"/>
        <v>2.4480306527854587</v>
      </c>
      <c r="O163" s="659">
        <f t="shared" si="74"/>
        <v>1058.9675480651715</v>
      </c>
      <c r="P163" s="659">
        <f t="shared" si="75"/>
        <v>3416.0243485973274</v>
      </c>
      <c r="Q163" s="659">
        <f t="shared" si="76"/>
        <v>3843.9176238530135</v>
      </c>
      <c r="R163" s="650">
        <v>44212.297978981398</v>
      </c>
    </row>
    <row r="164" spans="1:31">
      <c r="A164" s="650" t="s">
        <v>1788</v>
      </c>
      <c r="B164" s="659">
        <v>288.11627573802599</v>
      </c>
      <c r="C164" s="659">
        <v>546.18150694036501</v>
      </c>
      <c r="D164" s="655">
        <f t="shared" si="66"/>
        <v>6.3547023938579826E-6</v>
      </c>
      <c r="E164" s="664">
        <f t="shared" si="67"/>
        <v>24.441163053299931</v>
      </c>
      <c r="F164" s="664">
        <f t="shared" si="68"/>
        <v>24.446229497769401</v>
      </c>
      <c r="G164" s="654">
        <f t="shared" si="69"/>
        <v>0.9997927514969156</v>
      </c>
      <c r="H164" s="654">
        <v>0.31</v>
      </c>
      <c r="I164" s="654">
        <f t="shared" si="70"/>
        <v>0.303423682481677</v>
      </c>
      <c r="J164" s="654">
        <v>0.19</v>
      </c>
      <c r="K164" s="762">
        <f t="shared" si="71"/>
        <v>0.196576317518323</v>
      </c>
      <c r="L164" s="659">
        <v>137.69999999999999</v>
      </c>
      <c r="M164" s="654">
        <f t="shared" si="72"/>
        <v>2.092347681467146</v>
      </c>
      <c r="N164" s="654">
        <f t="shared" si="73"/>
        <v>3.9664597453911767</v>
      </c>
      <c r="O164" s="659">
        <f t="shared" si="74"/>
        <v>1895.698205668147</v>
      </c>
      <c r="P164" s="659">
        <f t="shared" si="75"/>
        <v>6115.1555021553131</v>
      </c>
      <c r="Q164" s="659">
        <f t="shared" si="76"/>
        <v>6247.6936215505311</v>
      </c>
      <c r="R164" s="650">
        <v>26459.530596480501</v>
      </c>
    </row>
    <row r="165" spans="1:31">
      <c r="A165" s="650" t="s">
        <v>1772</v>
      </c>
      <c r="B165" s="659">
        <v>384.904344554678</v>
      </c>
      <c r="C165" s="659">
        <v>622.96755409419302</v>
      </c>
      <c r="D165" s="655">
        <f t="shared" si="66"/>
        <v>4.1704388618511556E-6</v>
      </c>
      <c r="E165" s="664">
        <f t="shared" si="67"/>
        <v>16.040149468658289</v>
      </c>
      <c r="F165" s="664">
        <f t="shared" si="68"/>
        <v>16.208152394334899</v>
      </c>
      <c r="G165" s="654">
        <f t="shared" si="69"/>
        <v>0.98963466522345067</v>
      </c>
      <c r="H165" s="654">
        <v>0.31</v>
      </c>
      <c r="I165" s="654">
        <f t="shared" si="70"/>
        <v>0.31988230549672098</v>
      </c>
      <c r="J165" s="654">
        <v>0.19</v>
      </c>
      <c r="K165" s="762">
        <f t="shared" si="71"/>
        <v>0.180117694503278</v>
      </c>
      <c r="L165" s="659">
        <v>204.16</v>
      </c>
      <c r="M165" s="654">
        <f t="shared" si="72"/>
        <v>1.8853073303030858</v>
      </c>
      <c r="N165" s="654">
        <f t="shared" si="73"/>
        <v>3.0513692892544722</v>
      </c>
      <c r="O165" s="659">
        <f t="shared" si="74"/>
        <v>1618.4996685733609</v>
      </c>
      <c r="P165" s="659">
        <f t="shared" si="75"/>
        <v>5220.9666728172933</v>
      </c>
      <c r="Q165" s="659">
        <f t="shared" si="76"/>
        <v>5059.6723881307389</v>
      </c>
      <c r="R165" s="650">
        <v>35429.972314957697</v>
      </c>
    </row>
    <row r="166" spans="1:31">
      <c r="A166" s="650" t="s">
        <v>443</v>
      </c>
      <c r="B166" s="659">
        <v>259.41753077874102</v>
      </c>
      <c r="C166" s="659">
        <v>465.12563655659898</v>
      </c>
      <c r="D166" s="655">
        <f t="shared" si="66"/>
        <v>8.2876309069530308E-6</v>
      </c>
      <c r="E166" s="664">
        <f t="shared" si="67"/>
        <v>31.875503488280884</v>
      </c>
      <c r="F166" s="664">
        <f t="shared" si="68"/>
        <v>31.990228081335299</v>
      </c>
      <c r="G166" s="654">
        <f t="shared" si="69"/>
        <v>0.99641376132853043</v>
      </c>
      <c r="H166" s="654">
        <v>0.31</v>
      </c>
      <c r="I166" s="654">
        <f t="shared" si="70"/>
        <v>0.30576663933033499</v>
      </c>
      <c r="J166" s="654">
        <v>0.19</v>
      </c>
      <c r="K166" s="762">
        <f t="shared" si="71"/>
        <v>0.19423336066966501</v>
      </c>
      <c r="L166" s="659">
        <v>147.84</v>
      </c>
      <c r="M166" s="654">
        <f t="shared" si="72"/>
        <v>1.7547181465012245</v>
      </c>
      <c r="N166" s="654">
        <f t="shared" si="73"/>
        <v>3.1461420221631422</v>
      </c>
      <c r="O166" s="659">
        <f t="shared" si="74"/>
        <v>1792.9614670232434</v>
      </c>
      <c r="P166" s="659">
        <f t="shared" si="75"/>
        <v>5783.7466678169139</v>
      </c>
      <c r="Q166" s="659">
        <f t="shared" si="76"/>
        <v>5863.8230480278698</v>
      </c>
      <c r="R166" s="650">
        <v>41727.647356752699</v>
      </c>
    </row>
    <row r="167" spans="1:31">
      <c r="A167" s="650" t="s">
        <v>1771</v>
      </c>
      <c r="B167" s="659">
        <v>325.23286297077101</v>
      </c>
      <c r="C167" s="659">
        <v>629.018725524253</v>
      </c>
      <c r="D167" s="655">
        <f t="shared" si="66"/>
        <v>4.8881216262698225E-6</v>
      </c>
      <c r="E167" s="664">
        <f t="shared" si="67"/>
        <v>18.800467793345472</v>
      </c>
      <c r="F167" s="664">
        <f t="shared" si="68"/>
        <v>17.5691526090027</v>
      </c>
      <c r="G167" s="654">
        <f t="shared" si="69"/>
        <v>1.0700839256021846</v>
      </c>
      <c r="H167" s="654">
        <v>0.31</v>
      </c>
      <c r="I167" s="654">
        <f t="shared" si="70"/>
        <v>0.29604453557573801</v>
      </c>
      <c r="J167" s="654">
        <v>0.19</v>
      </c>
      <c r="K167" s="762">
        <f t="shared" si="71"/>
        <v>0.20395546442426199</v>
      </c>
      <c r="L167" s="659">
        <v>181.28</v>
      </c>
      <c r="M167" s="654">
        <f t="shared" si="72"/>
        <v>1.7940912564583573</v>
      </c>
      <c r="N167" s="654">
        <f t="shared" si="73"/>
        <v>3.4698738168813601</v>
      </c>
      <c r="O167" s="659">
        <f t="shared" si="74"/>
        <v>1934.0564781142166</v>
      </c>
      <c r="P167" s="659">
        <f t="shared" si="75"/>
        <v>6238.8918648845693</v>
      </c>
      <c r="Q167" s="659">
        <f t="shared" si="76"/>
        <v>6532.9916471956658</v>
      </c>
      <c r="R167" s="650">
        <v>44920.718930741503</v>
      </c>
    </row>
    <row r="168" spans="1:31">
      <c r="E168" s="711"/>
      <c r="F168" s="711" t="s">
        <v>1728</v>
      </c>
      <c r="G168" s="698">
        <f>MEDIAN(G158:G167)</f>
        <v>0.99823048644820922</v>
      </c>
      <c r="H168" s="712">
        <f>MEDIAN(H158:H167)</f>
        <v>0.31</v>
      </c>
      <c r="I168" s="712">
        <f>MEDIAN(I158:I167)</f>
        <v>0.309618613410582</v>
      </c>
      <c r="J168" s="712">
        <v>0.19</v>
      </c>
      <c r="K168" s="1021">
        <f t="shared" si="71"/>
        <v>0.190381386589418</v>
      </c>
      <c r="L168" s="650">
        <v>0.877</v>
      </c>
    </row>
    <row r="169" spans="1:31">
      <c r="F169" s="650" t="s">
        <v>1775</v>
      </c>
      <c r="G169" s="650">
        <f>STDEV(G158:G167)</f>
        <v>3.2552083058947572E-2</v>
      </c>
      <c r="H169" s="650">
        <f>STDEV(H158:H167)</f>
        <v>0</v>
      </c>
      <c r="I169" s="650">
        <f>STDEV(I158:I167)</f>
        <v>1.8645595060884455E-2</v>
      </c>
      <c r="J169" s="650">
        <f>STDEV(J158:J167)</f>
        <v>2.925694557147251E-17</v>
      </c>
      <c r="K169" s="650">
        <f>STDEV(K158:K167)</f>
        <v>1.8645595060884521E-2</v>
      </c>
    </row>
    <row r="170" spans="1:31">
      <c r="E170" s="1014"/>
      <c r="F170" s="1014" t="s">
        <v>1729</v>
      </c>
      <c r="G170" s="1014">
        <f>G169/G168</f>
        <v>3.2609786518112374E-2</v>
      </c>
      <c r="H170" s="1014">
        <f>H169/H168</f>
        <v>0</v>
      </c>
      <c r="I170" s="1014">
        <f>I169/I168</f>
        <v>6.0221169701314844E-2</v>
      </c>
      <c r="J170" s="1014">
        <f>J169/J168</f>
        <v>1.5398392406038164E-16</v>
      </c>
      <c r="K170" s="1014">
        <f>K169/K168</f>
        <v>9.7938119870384963E-2</v>
      </c>
    </row>
    <row r="172" spans="1:31" s="735" customFormat="1" ht="18">
      <c r="A172" s="721" t="s">
        <v>1790</v>
      </c>
      <c r="B172" s="721" t="s">
        <v>1737</v>
      </c>
      <c r="C172" s="721" t="s">
        <v>1735</v>
      </c>
      <c r="D172" s="721" t="s">
        <v>1791</v>
      </c>
      <c r="E172" s="721" t="s">
        <v>1746</v>
      </c>
      <c r="F172" s="721" t="s">
        <v>1732</v>
      </c>
      <c r="G172" s="721" t="s">
        <v>288</v>
      </c>
      <c r="H172" s="735" t="s">
        <v>298</v>
      </c>
      <c r="I172" s="735" t="s">
        <v>261</v>
      </c>
      <c r="S172" s="736"/>
      <c r="T172" s="736"/>
      <c r="W172" s="736"/>
      <c r="X172" s="736"/>
      <c r="AE172" s="736"/>
    </row>
    <row r="173" spans="1:31" ht="18">
      <c r="A173" s="1022" t="s">
        <v>1792</v>
      </c>
      <c r="B173" s="1022">
        <v>0.88</v>
      </c>
      <c r="C173" s="1022">
        <v>5.7000000000000002E-2</v>
      </c>
      <c r="D173" s="1022">
        <v>3.4000000000000002E-2</v>
      </c>
      <c r="E173" s="1022">
        <v>139</v>
      </c>
      <c r="F173" s="1022">
        <v>1</v>
      </c>
      <c r="G173" s="1023">
        <v>0.87</v>
      </c>
      <c r="H173" s="659">
        <f>E173*G173</f>
        <v>120.92999999999999</v>
      </c>
      <c r="I173" s="654">
        <f>E173*0.13</f>
        <v>18.07</v>
      </c>
    </row>
    <row r="174" spans="1:31" ht="18">
      <c r="A174" s="1022" t="s">
        <v>1793</v>
      </c>
      <c r="B174" s="1022">
        <v>0.87</v>
      </c>
      <c r="C174" s="1022">
        <v>5.7000000000000002E-2</v>
      </c>
      <c r="D174" s="1022">
        <v>3.5999999999999997E-2</v>
      </c>
      <c r="E174" s="1022">
        <v>163</v>
      </c>
      <c r="F174" s="1022">
        <v>1</v>
      </c>
      <c r="G174" s="1023">
        <v>0.86</v>
      </c>
      <c r="H174" s="659">
        <f t="shared" ref="H174:H183" si="77">E174*G174</f>
        <v>140.18</v>
      </c>
      <c r="I174" s="654">
        <f t="shared" ref="I174:I182" si="78">E174*0.13</f>
        <v>21.19</v>
      </c>
    </row>
    <row r="175" spans="1:31" ht="18">
      <c r="A175" s="594" t="s">
        <v>1755</v>
      </c>
      <c r="B175" s="610">
        <v>0.88</v>
      </c>
      <c r="C175" s="1016">
        <v>4.5999999999999999E-2</v>
      </c>
      <c r="D175" s="1016">
        <v>3.5999999999999997E-2</v>
      </c>
      <c r="E175" s="595">
        <v>218</v>
      </c>
      <c r="F175" s="610">
        <v>1</v>
      </c>
      <c r="G175" s="1016">
        <v>0.88</v>
      </c>
      <c r="H175" s="659">
        <f t="shared" si="77"/>
        <v>191.84</v>
      </c>
      <c r="I175" s="654">
        <f t="shared" si="78"/>
        <v>28.34</v>
      </c>
    </row>
    <row r="176" spans="1:31" ht="18">
      <c r="A176" s="594" t="s">
        <v>1753</v>
      </c>
      <c r="B176" s="1017">
        <v>0.9</v>
      </c>
      <c r="C176" s="1018">
        <v>0.05</v>
      </c>
      <c r="D176" s="1018">
        <v>2.7E-2</v>
      </c>
      <c r="E176" s="595">
        <v>183</v>
      </c>
      <c r="F176" s="610">
        <v>1</v>
      </c>
      <c r="G176" s="1016">
        <v>0.89</v>
      </c>
      <c r="H176" s="659">
        <f t="shared" si="77"/>
        <v>162.87</v>
      </c>
      <c r="I176" s="654">
        <f t="shared" si="78"/>
        <v>23.79</v>
      </c>
    </row>
    <row r="177" spans="1:9" ht="18">
      <c r="A177" s="594" t="s">
        <v>1780</v>
      </c>
      <c r="B177" s="610">
        <v>0.9</v>
      </c>
      <c r="C177" s="1016">
        <v>4.8000000000000001E-2</v>
      </c>
      <c r="D177" s="1016">
        <v>2.8000000000000001E-2</v>
      </c>
      <c r="E177" s="594">
        <v>192</v>
      </c>
      <c r="F177" s="610">
        <v>1</v>
      </c>
      <c r="G177" s="1016">
        <v>0.89</v>
      </c>
      <c r="H177" s="659">
        <f t="shared" si="77"/>
        <v>170.88</v>
      </c>
      <c r="I177" s="654">
        <f t="shared" si="78"/>
        <v>24.96</v>
      </c>
    </row>
    <row r="178" spans="1:9" ht="18">
      <c r="A178" s="594" t="s">
        <v>1796</v>
      </c>
      <c r="B178" s="610">
        <v>0.9</v>
      </c>
      <c r="C178" s="1016">
        <v>4.2000000000000003E-2</v>
      </c>
      <c r="D178" s="1016">
        <v>2.8000000000000001E-2</v>
      </c>
      <c r="E178" s="594">
        <v>195</v>
      </c>
      <c r="F178" s="610">
        <v>1</v>
      </c>
      <c r="G178" s="1016">
        <v>0.9</v>
      </c>
      <c r="H178" s="659">
        <f t="shared" si="77"/>
        <v>175.5</v>
      </c>
      <c r="I178" s="654">
        <f t="shared" si="78"/>
        <v>25.35</v>
      </c>
    </row>
    <row r="179" spans="1:9" ht="18">
      <c r="A179" s="594" t="s">
        <v>1788</v>
      </c>
      <c r="B179" s="610">
        <v>0.86</v>
      </c>
      <c r="C179" s="1016">
        <v>5.6000000000000001E-2</v>
      </c>
      <c r="D179" s="1016">
        <v>4.3999999999999997E-2</v>
      </c>
      <c r="E179" s="594">
        <v>162</v>
      </c>
      <c r="F179" s="610">
        <v>1</v>
      </c>
      <c r="G179" s="1016">
        <v>0.85</v>
      </c>
      <c r="H179" s="659">
        <f t="shared" si="77"/>
        <v>137.69999999999999</v>
      </c>
      <c r="I179" s="654">
        <f t="shared" si="78"/>
        <v>21.060000000000002</v>
      </c>
    </row>
    <row r="180" spans="1:9" ht="18">
      <c r="A180" s="594" t="s">
        <v>1772</v>
      </c>
      <c r="B180" s="610">
        <v>0.88</v>
      </c>
      <c r="C180" s="1016">
        <v>4.9000000000000002E-2</v>
      </c>
      <c r="D180" s="1016">
        <v>3.5999999999999997E-2</v>
      </c>
      <c r="E180" s="594">
        <v>232</v>
      </c>
      <c r="F180" s="610">
        <v>1</v>
      </c>
      <c r="G180" s="1016">
        <v>0.88</v>
      </c>
      <c r="H180" s="659">
        <f t="shared" si="77"/>
        <v>204.16</v>
      </c>
      <c r="I180" s="654">
        <f t="shared" si="78"/>
        <v>30.16</v>
      </c>
    </row>
    <row r="181" spans="1:9" ht="18">
      <c r="A181" s="594" t="s">
        <v>1794</v>
      </c>
      <c r="B181" s="610">
        <v>0.89</v>
      </c>
      <c r="C181" s="1016">
        <v>5.8000000000000003E-2</v>
      </c>
      <c r="D181" s="1016">
        <v>2.7E-2</v>
      </c>
      <c r="E181" s="594">
        <v>168</v>
      </c>
      <c r="F181" s="610">
        <v>1</v>
      </c>
      <c r="G181" s="1016">
        <v>0.88</v>
      </c>
      <c r="H181" s="659">
        <f t="shared" si="77"/>
        <v>147.84</v>
      </c>
      <c r="I181" s="654">
        <f t="shared" si="78"/>
        <v>21.84</v>
      </c>
    </row>
    <row r="182" spans="1:9" ht="18">
      <c r="A182" s="594" t="s">
        <v>1795</v>
      </c>
      <c r="B182" s="610">
        <v>0.88</v>
      </c>
      <c r="C182" s="1016">
        <v>0.05</v>
      </c>
      <c r="D182" s="1016">
        <v>3.5000000000000003E-2</v>
      </c>
      <c r="E182" s="594">
        <v>206</v>
      </c>
      <c r="F182" s="610">
        <v>1</v>
      </c>
      <c r="G182" s="1016">
        <v>0.88</v>
      </c>
      <c r="H182" s="659">
        <f t="shared" si="77"/>
        <v>181.28</v>
      </c>
      <c r="I182" s="654">
        <f t="shared" si="78"/>
        <v>26.78</v>
      </c>
    </row>
    <row r="183" spans="1:9" ht="18">
      <c r="A183" s="596" t="s">
        <v>1756</v>
      </c>
      <c r="B183" s="598">
        <v>0.88300000000000001</v>
      </c>
      <c r="C183" s="598">
        <v>0.05</v>
      </c>
      <c r="D183" s="598">
        <v>3.4000000000000002E-2</v>
      </c>
      <c r="E183" s="597">
        <v>187</v>
      </c>
      <c r="F183" s="611">
        <v>1</v>
      </c>
      <c r="G183" s="598">
        <v>0.877</v>
      </c>
      <c r="H183" s="664">
        <f t="shared" si="77"/>
        <v>163.999</v>
      </c>
      <c r="I183" s="654">
        <f>E183*0.13</f>
        <v>24.310000000000002</v>
      </c>
    </row>
    <row r="184" spans="1:9" ht="18">
      <c r="A184" s="594" t="s">
        <v>1846</v>
      </c>
      <c r="B184" s="1016">
        <v>1.2999999999999999E-2</v>
      </c>
      <c r="C184" s="1016">
        <v>5.0000000000000001E-3</v>
      </c>
      <c r="D184" s="1016">
        <v>5.0000000000000001E-3</v>
      </c>
      <c r="E184" s="1016"/>
      <c r="F184" s="1016">
        <v>1E-3</v>
      </c>
      <c r="G184" s="1016">
        <v>1.4E-2</v>
      </c>
    </row>
    <row r="185" spans="1:9" ht="18">
      <c r="A185" s="594" t="s">
        <v>1729</v>
      </c>
      <c r="B185" s="1024">
        <v>1.4999999999999999E-2</v>
      </c>
      <c r="C185" s="1025">
        <v>0.109</v>
      </c>
      <c r="D185" s="1025">
        <v>0.158</v>
      </c>
      <c r="E185" s="1025"/>
      <c r="F185" s="1025">
        <v>1E-3</v>
      </c>
      <c r="G185" s="1024">
        <v>1.4999999999999999E-2</v>
      </c>
    </row>
    <row r="186" spans="1:9" ht="18">
      <c r="A186" s="1026" t="s">
        <v>1847</v>
      </c>
      <c r="B186" s="1027">
        <v>165</v>
      </c>
      <c r="C186" s="1028">
        <v>9.35</v>
      </c>
      <c r="D186" s="1028">
        <v>6.42</v>
      </c>
      <c r="E186" s="1028"/>
      <c r="F186" s="1029">
        <v>187</v>
      </c>
      <c r="G186" s="1029">
        <v>164</v>
      </c>
    </row>
    <row r="187" spans="1:9">
      <c r="B187" s="650">
        <f>B186/E183</f>
        <v>0.88235294117647056</v>
      </c>
      <c r="C187" s="651">
        <f>C186/E183</f>
        <v>4.9999999999999996E-2</v>
      </c>
      <c r="D187" s="650">
        <f>D186/E183</f>
        <v>3.4331550802139038E-2</v>
      </c>
      <c r="F187" s="650">
        <f>B187+C187+2*D187</f>
        <v>1.0010160427807486</v>
      </c>
    </row>
  </sheetData>
  <phoneticPr fontId="5" type="noConversion"/>
  <printOptions headings="1"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  <rowBreaks count="1" manualBreakCount="1">
    <brk id="39" max="65535" man="1"/>
  </rowBreaks>
  <colBreaks count="5" manualBreakCount="5">
    <brk id="9" max="1048575" man="1"/>
    <brk id="17" max="1048575" man="1"/>
    <brk id="24" max="1048575" man="1"/>
    <brk id="31" max="1048575" man="1"/>
    <brk id="37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Line="0" autoPict="0" macro="[0]!SelectMaterial2">
                <anchor moveWithCells="1" sizeWithCells="1">
                  <from>
                    <xdr:col>5</xdr:col>
                    <xdr:colOff>0</xdr:colOff>
                    <xdr:row>0</xdr:row>
                    <xdr:rowOff>114300</xdr:rowOff>
                  </from>
                  <to>
                    <xdr:col>6</xdr:col>
                    <xdr:colOff>335280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7620</xdr:colOff>
                    <xdr:row>0</xdr:row>
                    <xdr:rowOff>114300</xdr:rowOff>
                  </from>
                  <to>
                    <xdr:col>9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LaunchFinder">
                <anchor moveWithCells="1" sizeWithCells="1">
                  <from>
                    <xdr:col>9</xdr:col>
                    <xdr:colOff>495300</xdr:colOff>
                    <xdr:row>0</xdr:row>
                    <xdr:rowOff>121920</xdr:rowOff>
                  </from>
                  <to>
                    <xdr:col>11</xdr:col>
                    <xdr:colOff>228600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Main">
                <anchor moveWithCells="1" sizeWithCells="1">
                  <from>
                    <xdr:col>11</xdr:col>
                    <xdr:colOff>495300</xdr:colOff>
                    <xdr:row>0</xdr:row>
                    <xdr:rowOff>144780</xdr:rowOff>
                  </from>
                  <to>
                    <xdr:col>13</xdr:col>
                    <xdr:colOff>236220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GetVals">
                <anchor moveWithCells="1" sizeWithCells="1">
                  <from>
                    <xdr:col>17</xdr:col>
                    <xdr:colOff>259080</xdr:colOff>
                    <xdr:row>0</xdr:row>
                    <xdr:rowOff>114300</xdr:rowOff>
                  </from>
                  <to>
                    <xdr:col>18</xdr:col>
                    <xdr:colOff>495300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M78"/>
  <sheetViews>
    <sheetView workbookViewId="0"/>
  </sheetViews>
  <sheetFormatPr defaultColWidth="14" defaultRowHeight="15"/>
  <cols>
    <col min="1" max="1" width="8.90625" style="2" customWidth="1"/>
    <col min="2" max="7" width="7.453125" style="2" customWidth="1"/>
    <col min="8" max="8" width="8.453125" style="2" customWidth="1"/>
    <col min="9" max="9" width="7.453125" style="2" customWidth="1"/>
    <col min="10" max="11" width="0" style="2" hidden="1" customWidth="1"/>
    <col min="12" max="20" width="6" style="2" customWidth="1"/>
    <col min="21" max="22" width="6" style="5" customWidth="1"/>
    <col min="23" max="24" width="6" style="2" customWidth="1"/>
    <col min="25" max="26" width="6" style="5" customWidth="1"/>
    <col min="27" max="32" width="6" style="2" customWidth="1"/>
    <col min="33" max="33" width="6" style="5" customWidth="1"/>
    <col min="34" max="40" width="6" style="2" customWidth="1"/>
    <col min="41" max="54" width="16.453125" style="2" customWidth="1"/>
    <col min="55" max="16384" width="14" style="2"/>
  </cols>
  <sheetData>
    <row r="1" spans="1:39" ht="59.25" customHeight="1">
      <c r="A1" s="531" t="s">
        <v>1659</v>
      </c>
      <c r="L1" s="1" t="s">
        <v>1660</v>
      </c>
      <c r="M1" s="3"/>
      <c r="N1" s="3"/>
      <c r="P1" s="2" t="s">
        <v>1551</v>
      </c>
      <c r="R1" s="4"/>
      <c r="T1" s="2" t="s">
        <v>237</v>
      </c>
      <c r="AA1" s="2" t="s">
        <v>529</v>
      </c>
      <c r="AH1" s="2" t="s">
        <v>530</v>
      </c>
    </row>
    <row r="2" spans="1:39">
      <c r="A2" s="2" t="s">
        <v>1699</v>
      </c>
      <c r="B2" s="6" t="s">
        <v>1562</v>
      </c>
      <c r="C2" s="6" t="s">
        <v>1563</v>
      </c>
      <c r="D2" s="6" t="s">
        <v>1564</v>
      </c>
      <c r="E2" s="6" t="s">
        <v>1565</v>
      </c>
      <c r="F2" s="2" t="s">
        <v>1661</v>
      </c>
      <c r="G2" s="1" t="str">
        <f>L2</f>
        <v>IM6/ep[Eng]</v>
      </c>
      <c r="H2" s="2" t="s">
        <v>1662</v>
      </c>
      <c r="I2" s="1" t="str">
        <f>$L$41</f>
        <v>IM6/ep[Eng]</v>
      </c>
      <c r="L2" s="1" t="str">
        <f>$A$27</f>
        <v>IM6/ep[Eng]</v>
      </c>
      <c r="M2" s="1"/>
      <c r="N2" s="3"/>
      <c r="P2" s="3" t="s">
        <v>596</v>
      </c>
      <c r="Q2" s="7">
        <f>G28</f>
        <v>71.599999999999994</v>
      </c>
      <c r="R2" s="7">
        <f>B20</f>
        <v>71.599999999999994</v>
      </c>
      <c r="S2" s="8">
        <f t="shared" ref="S2:S7" si="0">R2/Q2</f>
        <v>1</v>
      </c>
      <c r="T2" s="1"/>
      <c r="Z2" s="6"/>
      <c r="AA2" s="3" t="s">
        <v>531</v>
      </c>
      <c r="AB2" s="9">
        <f t="shared" ref="AB2:AE3" si="1">U4</f>
        <v>0</v>
      </c>
      <c r="AC2" s="9">
        <f t="shared" si="1"/>
        <v>90</v>
      </c>
      <c r="AD2" s="9">
        <f t="shared" si="1"/>
        <v>0</v>
      </c>
      <c r="AE2" s="9">
        <f t="shared" si="1"/>
        <v>90</v>
      </c>
      <c r="AF2" s="3" t="s">
        <v>532</v>
      </c>
      <c r="AG2" s="6" t="s">
        <v>533</v>
      </c>
      <c r="AH2" s="3" t="s">
        <v>531</v>
      </c>
      <c r="AI2" s="9">
        <f t="shared" ref="AI2:AL4" si="2">AB2</f>
        <v>0</v>
      </c>
      <c r="AJ2" s="9">
        <f t="shared" si="2"/>
        <v>90</v>
      </c>
      <c r="AK2" s="9">
        <f t="shared" si="2"/>
        <v>0</v>
      </c>
      <c r="AL2" s="9">
        <f t="shared" si="2"/>
        <v>90</v>
      </c>
    </row>
    <row r="3" spans="1:39" ht="15.6">
      <c r="A3" s="1" t="s">
        <v>1663</v>
      </c>
      <c r="B3" s="538">
        <v>0</v>
      </c>
      <c r="C3" s="538">
        <v>90</v>
      </c>
      <c r="D3" s="538">
        <v>0</v>
      </c>
      <c r="E3" s="538">
        <v>90</v>
      </c>
      <c r="F3" s="1" t="s">
        <v>1664</v>
      </c>
      <c r="G3" s="1" t="s">
        <v>1665</v>
      </c>
      <c r="H3" s="1" t="s">
        <v>1666</v>
      </c>
      <c r="I3" s="1" t="s">
        <v>1667</v>
      </c>
      <c r="L3" s="3"/>
      <c r="M3" s="3"/>
      <c r="N3" s="3"/>
      <c r="P3" s="3" t="s">
        <v>600</v>
      </c>
      <c r="Q3" s="11">
        <f>H28</f>
        <v>5.0000000000000001E-3</v>
      </c>
      <c r="R3" s="11">
        <f>C20</f>
        <v>5.0000000000000001E-3</v>
      </c>
      <c r="S3" s="8">
        <f t="shared" si="0"/>
        <v>1</v>
      </c>
      <c r="T3" s="3" t="s">
        <v>243</v>
      </c>
      <c r="U3" s="6" t="s">
        <v>1562</v>
      </c>
      <c r="V3" s="6" t="s">
        <v>1563</v>
      </c>
      <c r="W3" s="6" t="s">
        <v>1564</v>
      </c>
      <c r="X3" s="6" t="s">
        <v>1565</v>
      </c>
      <c r="Y3" s="6"/>
      <c r="Z3" s="6"/>
      <c r="AA3" s="3" t="s">
        <v>536</v>
      </c>
      <c r="AB3" s="9">
        <f t="shared" si="1"/>
        <v>1</v>
      </c>
      <c r="AC3" s="9">
        <f t="shared" si="1"/>
        <v>1</v>
      </c>
      <c r="AD3" s="9">
        <f t="shared" si="1"/>
        <v>1</v>
      </c>
      <c r="AE3" s="9">
        <f t="shared" si="1"/>
        <v>1</v>
      </c>
      <c r="AF3" s="3">
        <f>Y5</f>
        <v>1</v>
      </c>
      <c r="AG3" s="9">
        <f>Z5</f>
        <v>0</v>
      </c>
      <c r="AH3" s="3" t="s">
        <v>536</v>
      </c>
      <c r="AI3" s="9">
        <f t="shared" si="2"/>
        <v>1</v>
      </c>
      <c r="AJ3" s="9">
        <f t="shared" si="2"/>
        <v>1</v>
      </c>
      <c r="AK3" s="9">
        <f t="shared" si="2"/>
        <v>1</v>
      </c>
      <c r="AL3" s="9">
        <f t="shared" si="2"/>
        <v>1</v>
      </c>
    </row>
    <row r="4" spans="1:39" ht="15.6">
      <c r="A4" s="1" t="s">
        <v>1668</v>
      </c>
      <c r="B4" s="539">
        <v>1</v>
      </c>
      <c r="C4" s="539">
        <v>1</v>
      </c>
      <c r="D4" s="539">
        <v>1</v>
      </c>
      <c r="E4" s="539">
        <v>1</v>
      </c>
      <c r="F4" s="544">
        <v>1</v>
      </c>
      <c r="G4" s="7">
        <f>(B4+C4+D4+E4)*F4*2</f>
        <v>8</v>
      </c>
      <c r="H4" s="545">
        <v>0.1</v>
      </c>
      <c r="I4" s="541">
        <v>0</v>
      </c>
      <c r="L4" s="3" t="s">
        <v>1553</v>
      </c>
      <c r="M4" s="3" t="s">
        <v>1554</v>
      </c>
      <c r="N4" s="3" t="s">
        <v>1555</v>
      </c>
      <c r="O4" s="13" t="s">
        <v>1556</v>
      </c>
      <c r="P4" s="3" t="s">
        <v>1557</v>
      </c>
      <c r="Q4" s="7">
        <f>G27</f>
        <v>251.6</v>
      </c>
      <c r="R4" s="7">
        <f>Q4</f>
        <v>251.6</v>
      </c>
      <c r="S4" s="8">
        <f t="shared" si="0"/>
        <v>1</v>
      </c>
      <c r="T4" s="3" t="s">
        <v>537</v>
      </c>
      <c r="U4" s="14">
        <f>B3+$I$4</f>
        <v>0</v>
      </c>
      <c r="V4" s="14">
        <f>C3+$I$4</f>
        <v>90</v>
      </c>
      <c r="W4" s="14">
        <f>D3+$I$4</f>
        <v>0</v>
      </c>
      <c r="X4" s="14">
        <f>E3+$I$4</f>
        <v>90</v>
      </c>
      <c r="Y4" s="6" t="s">
        <v>538</v>
      </c>
      <c r="Z4" s="6"/>
      <c r="AA4" s="3" t="s">
        <v>539</v>
      </c>
      <c r="AB4" s="13">
        <f>U6*AB3/AB3</f>
        <v>0</v>
      </c>
      <c r="AC4" s="13">
        <f>V6*AC3/AC3</f>
        <v>3.1415926535897931</v>
      </c>
      <c r="AD4" s="13">
        <f>W6*AD3/AD3</f>
        <v>0</v>
      </c>
      <c r="AE4" s="13">
        <f>X6*AE3/AE3</f>
        <v>3.1415926535897931</v>
      </c>
      <c r="AF4" s="3" t="s">
        <v>603</v>
      </c>
      <c r="AG4" s="5">
        <f>$Y$12</f>
        <v>3.9399999999999998E-2</v>
      </c>
      <c r="AH4" s="3" t="s">
        <v>539</v>
      </c>
      <c r="AI4" s="13">
        <f t="shared" si="2"/>
        <v>0</v>
      </c>
      <c r="AJ4" s="13">
        <f t="shared" si="2"/>
        <v>3.1415926535897931</v>
      </c>
      <c r="AK4" s="13">
        <f t="shared" si="2"/>
        <v>0</v>
      </c>
      <c r="AL4" s="13">
        <f t="shared" si="2"/>
        <v>3.1415926535897931</v>
      </c>
    </row>
    <row r="5" spans="1:39" ht="15.6">
      <c r="A5" s="1" t="s">
        <v>1669</v>
      </c>
      <c r="B5" s="538">
        <v>0</v>
      </c>
      <c r="C5" s="538">
        <v>90</v>
      </c>
      <c r="D5" s="538">
        <v>0</v>
      </c>
      <c r="E5" s="538">
        <v>90</v>
      </c>
      <c r="F5" s="1" t="s">
        <v>1670</v>
      </c>
      <c r="G5" s="1" t="s">
        <v>1671</v>
      </c>
      <c r="H5" s="1" t="s">
        <v>1672</v>
      </c>
      <c r="I5" s="1" t="s">
        <v>1673</v>
      </c>
      <c r="L5" s="3" t="s">
        <v>298</v>
      </c>
      <c r="M5" s="4">
        <f>B27</f>
        <v>29.462989840348001</v>
      </c>
      <c r="N5" s="4">
        <f>N12*N11</f>
        <v>29.462989840348001</v>
      </c>
      <c r="O5" s="8">
        <f>N5/M5</f>
        <v>1</v>
      </c>
      <c r="P5" s="3" t="s">
        <v>299</v>
      </c>
      <c r="Q5" s="7">
        <f>H27</f>
        <v>320</v>
      </c>
      <c r="R5" s="7">
        <f>Q5-$H$30*(R3-Q3)</f>
        <v>320</v>
      </c>
      <c r="S5" s="8">
        <f t="shared" si="0"/>
        <v>1</v>
      </c>
      <c r="T5" s="3" t="s">
        <v>541</v>
      </c>
      <c r="U5" s="14">
        <f>$B$4</f>
        <v>1</v>
      </c>
      <c r="V5" s="14">
        <f>$C$4</f>
        <v>1</v>
      </c>
      <c r="W5" s="14">
        <f>$D$4</f>
        <v>1</v>
      </c>
      <c r="X5" s="14">
        <f>$E$4</f>
        <v>1</v>
      </c>
      <c r="Y5" s="15">
        <f>F4</f>
        <v>1</v>
      </c>
      <c r="Z5" s="9"/>
      <c r="AA5" s="3"/>
      <c r="AB5" s="5"/>
      <c r="AC5" s="5"/>
      <c r="AD5" s="5"/>
      <c r="AE5" s="5"/>
      <c r="AF5" s="6"/>
    </row>
    <row r="6" spans="1:39" ht="15.6">
      <c r="A6" s="1" t="s">
        <v>1674</v>
      </c>
      <c r="B6" s="539">
        <v>1</v>
      </c>
      <c r="C6" s="539">
        <v>1</v>
      </c>
      <c r="D6" s="539">
        <v>1</v>
      </c>
      <c r="E6" s="539">
        <v>1</v>
      </c>
      <c r="F6" s="544">
        <v>1</v>
      </c>
      <c r="G6" s="7">
        <f>(B6+C6+D6+E6)*F6*2</f>
        <v>8</v>
      </c>
      <c r="H6" s="546">
        <f>(H4-(G4*$N$9+G6*$N$48)/1000000)/H4*100</f>
        <v>21.20000000000001</v>
      </c>
      <c r="I6" s="541">
        <v>0</v>
      </c>
      <c r="L6" s="3" t="s">
        <v>1579</v>
      </c>
      <c r="M6" s="4">
        <f>C27</f>
        <v>1.6255442670536999</v>
      </c>
      <c r="N6" s="4">
        <f>(1+N15)/(1/N16+N15/N13)</f>
        <v>1.6255442670536999</v>
      </c>
      <c r="O6" s="8">
        <f>N6/M6</f>
        <v>1</v>
      </c>
      <c r="P6" s="3" t="s">
        <v>1580</v>
      </c>
      <c r="Q6" s="4">
        <f>(Q5-Q2)/(Q5-Q2)</f>
        <v>1</v>
      </c>
      <c r="R6" s="4">
        <f>(R5-R2)/(R5-Q2)</f>
        <v>1</v>
      </c>
      <c r="S6" s="8">
        <f t="shared" si="0"/>
        <v>1</v>
      </c>
      <c r="T6" s="3" t="s">
        <v>1295</v>
      </c>
      <c r="U6" s="8">
        <f>U4*PI()/90</f>
        <v>0</v>
      </c>
      <c r="V6" s="8">
        <f>V4*PI()/90</f>
        <v>3.1415926535897931</v>
      </c>
      <c r="W6" s="8">
        <f>W4*PI()/90</f>
        <v>0</v>
      </c>
      <c r="X6" s="8">
        <f>X4*PI()/90</f>
        <v>3.1415926535897931</v>
      </c>
      <c r="Y6" s="6" t="s">
        <v>1296</v>
      </c>
      <c r="Z6" s="16"/>
      <c r="AA6" s="1" t="s">
        <v>1297</v>
      </c>
      <c r="AB6" s="6"/>
      <c r="AC6" s="6"/>
      <c r="AD6" s="5"/>
      <c r="AE6" s="5"/>
      <c r="AF6" s="5"/>
      <c r="AH6" s="1" t="s">
        <v>1298</v>
      </c>
      <c r="AM6" s="3" t="s">
        <v>1299</v>
      </c>
    </row>
    <row r="7" spans="1:39">
      <c r="A7" s="1" t="s">
        <v>1675</v>
      </c>
      <c r="B7" s="8">
        <f>AI38</f>
        <v>0.98254466408959718</v>
      </c>
      <c r="C7" s="8">
        <f>AJ38</f>
        <v>0.30109284417963289</v>
      </c>
      <c r="D7" s="8">
        <f>AK38</f>
        <v>0.98254466408959718</v>
      </c>
      <c r="E7" s="8">
        <f>AL38</f>
        <v>0.30109284417963289</v>
      </c>
      <c r="F7" s="10" t="s">
        <v>1676</v>
      </c>
      <c r="G7" s="8">
        <f>MIN(B7:E7)</f>
        <v>0.30109284417963289</v>
      </c>
      <c r="L7" s="3" t="s">
        <v>259</v>
      </c>
      <c r="M7" s="4">
        <f>D27</f>
        <v>0.32</v>
      </c>
      <c r="N7" s="4">
        <f>M7*I20</f>
        <v>0.32</v>
      </c>
      <c r="O7" s="8">
        <f>N7/M7</f>
        <v>1</v>
      </c>
      <c r="P7" s="3" t="s">
        <v>260</v>
      </c>
      <c r="Q7" s="7">
        <f>Q2-Q4</f>
        <v>-180</v>
      </c>
      <c r="R7" s="7">
        <f>R2-R4</f>
        <v>-180</v>
      </c>
      <c r="S7" s="8">
        <f t="shared" si="0"/>
        <v>1</v>
      </c>
      <c r="T7" s="3" t="s">
        <v>1300</v>
      </c>
      <c r="U7" s="8">
        <f>2*U6</f>
        <v>0</v>
      </c>
      <c r="V7" s="8">
        <f>2*V6</f>
        <v>6.2831853071795862</v>
      </c>
      <c r="W7" s="8">
        <f>2*W6</f>
        <v>0</v>
      </c>
      <c r="X7" s="8">
        <f>2*X6</f>
        <v>6.2831853071795862</v>
      </c>
      <c r="Y7" s="15">
        <f>G4/Y5/2</f>
        <v>4</v>
      </c>
      <c r="Z7" s="9"/>
      <c r="AA7" s="3"/>
      <c r="AB7" s="6" t="s">
        <v>1677</v>
      </c>
      <c r="AC7" s="6"/>
      <c r="AD7" s="19" t="s">
        <v>619</v>
      </c>
      <c r="AE7" s="19"/>
      <c r="AF7" s="6" t="s">
        <v>1303</v>
      </c>
      <c r="AG7" s="6" t="s">
        <v>1304</v>
      </c>
      <c r="AH7" s="3" t="s">
        <v>1305</v>
      </c>
      <c r="AI7" s="22">
        <f t="shared" ref="AI7:AL9" si="3">AB13/1000</f>
        <v>1.7066673143202492E-2</v>
      </c>
      <c r="AJ7" s="22">
        <f t="shared" si="3"/>
        <v>-5.7112004243920107E-4</v>
      </c>
      <c r="AK7" s="22">
        <f t="shared" si="3"/>
        <v>1.7066673143202492E-2</v>
      </c>
      <c r="AL7" s="22">
        <f t="shared" si="3"/>
        <v>-5.7112004243920107E-4</v>
      </c>
      <c r="AM7" s="22">
        <f>($V$37+$V$38)/2</f>
        <v>4.0685555274477028E-5</v>
      </c>
    </row>
    <row r="8" spans="1:39">
      <c r="A8" s="1" t="s">
        <v>1678</v>
      </c>
      <c r="B8" s="8">
        <f>AI77</f>
        <v>0.67034120070735748</v>
      </c>
      <c r="C8" s="8">
        <f>AJ77</f>
        <v>0.85856528464378079</v>
      </c>
      <c r="D8" s="8">
        <f>AK77</f>
        <v>0.67034120070735748</v>
      </c>
      <c r="E8" s="8">
        <f>AL77</f>
        <v>0.85856528464378079</v>
      </c>
      <c r="F8" s="10" t="s">
        <v>1679</v>
      </c>
      <c r="G8" s="8">
        <f>MIN(B8:E8)</f>
        <v>0.67034120070735748</v>
      </c>
      <c r="L8" s="3" t="s">
        <v>261</v>
      </c>
      <c r="M8" s="4">
        <f>E27</f>
        <v>1.2191582002903001</v>
      </c>
      <c r="N8" s="4">
        <f>(1+N18)/(1/N19+N18*2.7/N13)</f>
        <v>1.2191582002903001</v>
      </c>
      <c r="O8" s="8">
        <f>N8/M8</f>
        <v>1</v>
      </c>
      <c r="P8" s="3"/>
      <c r="Q8" s="4"/>
      <c r="R8" s="4"/>
      <c r="S8" s="4"/>
      <c r="U8" s="20"/>
      <c r="V8" s="20"/>
      <c r="W8" s="20"/>
      <c r="X8" s="21"/>
      <c r="Y8" s="6"/>
      <c r="Z8" s="6"/>
      <c r="AA8" s="3">
        <v>1</v>
      </c>
      <c r="AB8" s="22">
        <f>C10*$Y$12</f>
        <v>10.499999999999998</v>
      </c>
      <c r="AC8" s="22"/>
      <c r="AD8" s="22">
        <f>AB8*U23+AB9*U25+AB10*U27</f>
        <v>17.066673143202493</v>
      </c>
      <c r="AE8" s="22"/>
      <c r="AF8" s="16" t="s">
        <v>1306</v>
      </c>
      <c r="AG8" s="22">
        <f>(AD8+AD9)/2</f>
        <v>8.247776550381646</v>
      </c>
      <c r="AH8" s="3" t="s">
        <v>1307</v>
      </c>
      <c r="AI8" s="22">
        <f t="shared" si="3"/>
        <v>-5.7112004243920107E-4</v>
      </c>
      <c r="AJ8" s="22">
        <f t="shared" si="3"/>
        <v>1.7066673143202492E-2</v>
      </c>
      <c r="AK8" s="22">
        <f t="shared" si="3"/>
        <v>-5.7112004243920107E-4</v>
      </c>
      <c r="AL8" s="22">
        <f t="shared" si="3"/>
        <v>1.7066673143202492E-2</v>
      </c>
      <c r="AM8" s="22">
        <f>($V$37-$V$38)/2</f>
        <v>0</v>
      </c>
    </row>
    <row r="9" spans="1:39">
      <c r="A9" s="1" t="s">
        <v>1680</v>
      </c>
      <c r="B9" s="16"/>
      <c r="C9" s="23" t="s">
        <v>1681</v>
      </c>
      <c r="D9" s="23" t="s">
        <v>546</v>
      </c>
      <c r="E9" s="17" t="s">
        <v>547</v>
      </c>
      <c r="F9" s="17" t="s">
        <v>548</v>
      </c>
      <c r="G9" s="1" t="s">
        <v>549</v>
      </c>
      <c r="H9" s="1" t="s">
        <v>550</v>
      </c>
      <c r="I9" s="23" t="s">
        <v>551</v>
      </c>
      <c r="L9" s="3" t="s">
        <v>262</v>
      </c>
      <c r="M9" s="7">
        <f>B29</f>
        <v>4925</v>
      </c>
      <c r="N9" s="7">
        <f>M9/O11</f>
        <v>4925</v>
      </c>
      <c r="O9" s="8">
        <f>N9/M9</f>
        <v>1</v>
      </c>
      <c r="P9" s="1" t="s">
        <v>1531</v>
      </c>
      <c r="Q9" s="4"/>
      <c r="R9" s="4"/>
      <c r="S9" s="4"/>
      <c r="T9" s="3" t="s">
        <v>1308</v>
      </c>
      <c r="U9" s="20">
        <v>1</v>
      </c>
      <c r="V9" s="20">
        <f>U10</f>
        <v>0.75</v>
      </c>
      <c r="W9" s="20">
        <f>V10</f>
        <v>0.5</v>
      </c>
      <c r="X9" s="20">
        <f>W10</f>
        <v>0.25</v>
      </c>
      <c r="Y9" s="20"/>
      <c r="Z9" s="6"/>
      <c r="AA9" s="3">
        <v>2</v>
      </c>
      <c r="AB9" s="22">
        <f>C11*$Y$12</f>
        <v>0</v>
      </c>
      <c r="AC9" s="22"/>
      <c r="AD9" s="22">
        <f>AB8*U25+AB9*U24+AB10*U28</f>
        <v>-0.57112004243920045</v>
      </c>
      <c r="AE9" s="22"/>
      <c r="AF9" s="16" t="s">
        <v>1309</v>
      </c>
      <c r="AG9" s="22">
        <f>(AD8-AD9)/2</f>
        <v>8.8188965928208471</v>
      </c>
      <c r="AH9" s="3" t="s">
        <v>1310</v>
      </c>
      <c r="AI9" s="22">
        <f t="shared" si="3"/>
        <v>-1.8617537284031421E-19</v>
      </c>
      <c r="AJ9" s="22">
        <f t="shared" si="3"/>
        <v>-1.9747161340983569E-18</v>
      </c>
      <c r="AK9" s="22">
        <f t="shared" si="3"/>
        <v>-1.8617537284031421E-19</v>
      </c>
      <c r="AL9" s="22">
        <f t="shared" si="3"/>
        <v>-1.9747161340983569E-18</v>
      </c>
      <c r="AM9" s="22">
        <f>$V$39/2</f>
        <v>-5.9919563525345359E-21</v>
      </c>
    </row>
    <row r="10" spans="1:39" ht="15.6">
      <c r="A10" s="1" t="s">
        <v>214</v>
      </c>
      <c r="B10" s="540">
        <v>1</v>
      </c>
      <c r="C10" s="12">
        <f>(B10/2+B14/$H$4)/$G$4/$N$9*1000000</f>
        <v>266.497461928934</v>
      </c>
      <c r="D10" s="14">
        <f>C10*$G$7</f>
        <v>80.240478778836177</v>
      </c>
      <c r="E10" s="8">
        <f>AD8</f>
        <v>17.066673143202493</v>
      </c>
      <c r="F10" s="8">
        <f>E10*$G$7</f>
        <v>5.1386531573709942</v>
      </c>
      <c r="G10" s="4">
        <f t="shared" ref="G10:H12" si="4">(E10+E14)/2</f>
        <v>0.81269872110488084</v>
      </c>
      <c r="H10" s="4">
        <f t="shared" si="4"/>
        <v>-2.6061350682429083</v>
      </c>
      <c r="I10" s="8">
        <f>Y23</f>
        <v>15.615079734217423</v>
      </c>
      <c r="L10" s="1" t="s">
        <v>264</v>
      </c>
      <c r="M10" s="4"/>
      <c r="N10" s="4"/>
      <c r="P10" s="3" t="s">
        <v>265</v>
      </c>
      <c r="Q10" s="4">
        <f>A30</f>
        <v>-0.16666666666666999</v>
      </c>
      <c r="R10" s="4">
        <f>Q10</f>
        <v>-0.16666666666666999</v>
      </c>
      <c r="S10" s="4">
        <f>R10/Q10</f>
        <v>1</v>
      </c>
      <c r="T10" s="3" t="s">
        <v>1311</v>
      </c>
      <c r="U10" s="20">
        <f>U9-U5/$Y$7</f>
        <v>0.75</v>
      </c>
      <c r="V10" s="20">
        <f>V9-V5/$Y$7</f>
        <v>0.5</v>
      </c>
      <c r="W10" s="20">
        <f>W9-W5/$Y$7</f>
        <v>0.25</v>
      </c>
      <c r="X10" s="20">
        <f>X9-X5/$Y$7</f>
        <v>0</v>
      </c>
      <c r="AA10" s="3">
        <v>6</v>
      </c>
      <c r="AB10" s="22">
        <f>C12*$Y$12</f>
        <v>0</v>
      </c>
      <c r="AC10" s="22"/>
      <c r="AD10" s="22">
        <f>AB8*U27+AB9*U28+AB10*U26</f>
        <v>-1.8617537284031422E-16</v>
      </c>
      <c r="AE10" s="22"/>
      <c r="AF10" s="16" t="s">
        <v>1312</v>
      </c>
      <c r="AG10" s="22">
        <f>AD10/2</f>
        <v>-9.308768642015711E-17</v>
      </c>
      <c r="AH10" s="3"/>
      <c r="AI10" s="22"/>
      <c r="AJ10" s="22"/>
      <c r="AK10" s="22"/>
      <c r="AL10" s="22"/>
      <c r="AM10" s="22"/>
    </row>
    <row r="11" spans="1:39" ht="15.6">
      <c r="A11" s="1" t="s">
        <v>215</v>
      </c>
      <c r="B11" s="540">
        <v>0</v>
      </c>
      <c r="C11" s="12">
        <f>(B11/2+B15/$H$4)/$G$4/$N$9*1000000</f>
        <v>0</v>
      </c>
      <c r="D11" s="14">
        <f>C11*$G$7</f>
        <v>0</v>
      </c>
      <c r="E11" s="8">
        <f>AD9</f>
        <v>-0.57112004243920045</v>
      </c>
      <c r="F11" s="8">
        <f>E11*$G$7</f>
        <v>-0.17196015794601149</v>
      </c>
      <c r="G11" s="4">
        <f t="shared" si="4"/>
        <v>-2.719619249710481E-2</v>
      </c>
      <c r="H11" s="4">
        <f t="shared" si="4"/>
        <v>8.7211840192181894E-2</v>
      </c>
      <c r="I11" s="8">
        <f>Y24</f>
        <v>15.615079734217423</v>
      </c>
      <c r="L11" s="3" t="s">
        <v>1532</v>
      </c>
      <c r="M11" s="4">
        <f>C29</f>
        <v>0.66</v>
      </c>
      <c r="N11" s="4">
        <f>$D$20</f>
        <v>0.66</v>
      </c>
      <c r="O11" s="8">
        <f t="shared" ref="O11:O19" si="5">N11/M11</f>
        <v>1</v>
      </c>
      <c r="P11" s="3" t="s">
        <v>1533</v>
      </c>
      <c r="Q11" s="4">
        <f>B30</f>
        <v>15.611111111111001</v>
      </c>
      <c r="R11" s="4">
        <f>Q11*(1-N11)/(1-M11)</f>
        <v>15.611111111111001</v>
      </c>
      <c r="S11" s="4">
        <f>R11/Q11</f>
        <v>1</v>
      </c>
      <c r="T11" s="3" t="s">
        <v>1321</v>
      </c>
      <c r="U11" s="20">
        <f>U9-U10</f>
        <v>0.25</v>
      </c>
      <c r="V11" s="20">
        <f>V9-V10</f>
        <v>0.25</v>
      </c>
      <c r="W11" s="20">
        <f>W9-W10</f>
        <v>0.25</v>
      </c>
      <c r="X11" s="20">
        <f>X9-X10</f>
        <v>0.25</v>
      </c>
      <c r="Y11" s="6" t="s">
        <v>1322</v>
      </c>
      <c r="Z11" s="6"/>
      <c r="AB11" s="22"/>
      <c r="AC11" s="22"/>
      <c r="AD11" s="22"/>
      <c r="AE11" s="22"/>
      <c r="AF11" s="16"/>
      <c r="AG11" s="22"/>
      <c r="AH11" s="3"/>
      <c r="AI11" s="22"/>
      <c r="AJ11" s="22"/>
      <c r="AK11" s="22"/>
      <c r="AL11" s="22"/>
      <c r="AM11" s="22"/>
    </row>
    <row r="12" spans="1:39" ht="15.6">
      <c r="A12" s="1" t="s">
        <v>216</v>
      </c>
      <c r="B12" s="540">
        <v>0</v>
      </c>
      <c r="C12" s="12">
        <f>(B12/2+B16/$H$4)/$G$4/$N$9*1000000</f>
        <v>0</v>
      </c>
      <c r="D12" s="14">
        <f>C12*$G$7</f>
        <v>0</v>
      </c>
      <c r="E12" s="8">
        <f>AD10</f>
        <v>-1.8617537284031422E-16</v>
      </c>
      <c r="F12" s="8">
        <f>E12*$G$7</f>
        <v>-5.6056072524693784E-17</v>
      </c>
      <c r="G12" s="4">
        <f t="shared" si="4"/>
        <v>-8.8654939447768764E-18</v>
      </c>
      <c r="H12" s="4">
        <f t="shared" si="4"/>
        <v>2.842956936780566E-17</v>
      </c>
      <c r="I12" s="8">
        <f>Y26</f>
        <v>1.2191582002902992</v>
      </c>
      <c r="L12" s="3" t="s">
        <v>1534</v>
      </c>
      <c r="M12" s="7">
        <f>M5/M11</f>
        <v>44.640893697496971</v>
      </c>
      <c r="N12" s="7">
        <f>$F$20*R6^$F$30</f>
        <v>44.640893697496971</v>
      </c>
      <c r="O12" s="8">
        <f t="shared" si="5"/>
        <v>1</v>
      </c>
      <c r="P12" s="2" t="s">
        <v>1535</v>
      </c>
      <c r="Q12" s="4"/>
      <c r="R12" s="4"/>
      <c r="S12" s="4"/>
      <c r="T12" s="3"/>
      <c r="U12" s="20"/>
      <c r="V12" s="20"/>
      <c r="W12" s="20"/>
      <c r="X12" s="18"/>
      <c r="Y12" s="5">
        <f>G4*N9/1000000</f>
        <v>3.9399999999999998E-2</v>
      </c>
      <c r="AA12" s="1" t="s">
        <v>1323</v>
      </c>
      <c r="AB12" s="22"/>
      <c r="AC12" s="22"/>
      <c r="AD12" s="22"/>
      <c r="AE12" s="22"/>
      <c r="AF12" s="16"/>
      <c r="AG12" s="22"/>
      <c r="AH12" s="3"/>
      <c r="AI12" s="22"/>
      <c r="AJ12" s="22"/>
      <c r="AK12" s="22"/>
      <c r="AL12" s="22"/>
      <c r="AM12" s="22"/>
    </row>
    <row r="13" spans="1:39">
      <c r="A13" s="2" t="s">
        <v>552</v>
      </c>
      <c r="B13" s="4"/>
      <c r="C13" s="23" t="s">
        <v>553</v>
      </c>
      <c r="D13" s="23" t="s">
        <v>554</v>
      </c>
      <c r="E13" s="17" t="s">
        <v>555</v>
      </c>
      <c r="F13" s="17" t="s">
        <v>556</v>
      </c>
      <c r="G13" s="1" t="s">
        <v>557</v>
      </c>
      <c r="H13" s="1" t="s">
        <v>558</v>
      </c>
      <c r="I13" s="23" t="s">
        <v>559</v>
      </c>
      <c r="L13" s="3" t="s">
        <v>1536</v>
      </c>
      <c r="M13" s="4">
        <f>F27</f>
        <v>0.49346879535559002</v>
      </c>
      <c r="N13" s="4">
        <f>$E$20*R6^$F$29*I20</f>
        <v>0.49346879535559002</v>
      </c>
      <c r="O13" s="8">
        <f t="shared" si="5"/>
        <v>1</v>
      </c>
      <c r="P13" s="3" t="s">
        <v>1537</v>
      </c>
      <c r="Q13" s="4">
        <f>C30</f>
        <v>0</v>
      </c>
      <c r="R13" s="4">
        <f>Q13</f>
        <v>0</v>
      </c>
      <c r="S13" s="4">
        <v>1</v>
      </c>
      <c r="T13" s="3"/>
      <c r="U13" s="20"/>
      <c r="V13" s="20"/>
      <c r="W13" s="20"/>
      <c r="X13" s="18"/>
      <c r="AA13" s="3" t="s">
        <v>1324</v>
      </c>
      <c r="AB13" s="22">
        <f>$AG$8+$AG$9*COS(AB4)+$AG$10*SIN(AB4)</f>
        <v>17.066673143202493</v>
      </c>
      <c r="AC13" s="22">
        <f>$AG$8+$AG$9*COS(AC4)+$AG$10*SIN(AC4)</f>
        <v>-0.57112004243920111</v>
      </c>
      <c r="AD13" s="22">
        <f>$AG$8+$AG$9*COS(AD4)+$AG$10*SIN(AD4)</f>
        <v>17.066673143202493</v>
      </c>
      <c r="AE13" s="22">
        <f>$AG$8+$AG$9*COS(AE4)+$AG$10*SIN(AE4)</f>
        <v>-0.57112004243920111</v>
      </c>
      <c r="AF13" s="16"/>
      <c r="AG13" s="22"/>
      <c r="AH13" s="1"/>
      <c r="AI13" s="16"/>
      <c r="AJ13" s="16"/>
      <c r="AK13" s="16"/>
      <c r="AL13" s="16"/>
      <c r="AM13" s="22"/>
    </row>
    <row r="14" spans="1:39" ht="15.6">
      <c r="A14" s="1" t="s">
        <v>214</v>
      </c>
      <c r="B14" s="540">
        <v>1</v>
      </c>
      <c r="C14" s="12">
        <f>(B10/2-B14/$H$4)/$G$6/$N$48*1000000</f>
        <v>-241.11675126903552</v>
      </c>
      <c r="D14" s="12">
        <f>C14*$G$8</f>
        <v>-161.63049255634252</v>
      </c>
      <c r="E14" s="4">
        <f>AD47</f>
        <v>-15.441275700992732</v>
      </c>
      <c r="F14" s="4">
        <f>E14*$G$8</f>
        <v>-10.350923293856811</v>
      </c>
      <c r="G14" s="4">
        <f t="shared" ref="G14:H16" si="6">(E10-E14)/2</f>
        <v>16.253974422097613</v>
      </c>
      <c r="H14" s="4">
        <f t="shared" si="6"/>
        <v>7.7447882256139025</v>
      </c>
      <c r="I14" s="4">
        <f>Y62</f>
        <v>15.615079734217423</v>
      </c>
      <c r="L14" s="3" t="s">
        <v>1538</v>
      </c>
      <c r="M14" s="4">
        <f>$E$29</f>
        <v>0.51600000000000001</v>
      </c>
      <c r="N14" s="4">
        <f>M14*R6^$G$29</f>
        <v>0.51600000000000001</v>
      </c>
      <c r="O14" s="8">
        <f t="shared" si="5"/>
        <v>1</v>
      </c>
      <c r="P14" s="3" t="s">
        <v>1539</v>
      </c>
      <c r="Q14" s="4">
        <f>D30</f>
        <v>0.6</v>
      </c>
      <c r="R14" s="4">
        <f>Q14*(1-N11)/(1-M11)</f>
        <v>0.6</v>
      </c>
      <c r="S14" s="4">
        <f>R14/Q14</f>
        <v>1</v>
      </c>
      <c r="T14" s="3" t="s">
        <v>1325</v>
      </c>
      <c r="U14" s="6" t="s">
        <v>1326</v>
      </c>
      <c r="V14" s="6" t="s">
        <v>1327</v>
      </c>
      <c r="W14" s="6" t="s">
        <v>1328</v>
      </c>
      <c r="X14" s="6" t="s">
        <v>1329</v>
      </c>
      <c r="Y14" s="6" t="s">
        <v>1330</v>
      </c>
      <c r="Z14" s="6" t="s">
        <v>1331</v>
      </c>
      <c r="AA14" s="3" t="s">
        <v>1332</v>
      </c>
      <c r="AB14" s="22">
        <f>2*$AG$8-AB13</f>
        <v>-0.57112004243920111</v>
      </c>
      <c r="AC14" s="22">
        <f>2*$AG$8-AC13</f>
        <v>17.066673143202493</v>
      </c>
      <c r="AD14" s="22">
        <f>2*$AG$8-AD13</f>
        <v>-0.57112004243920111</v>
      </c>
      <c r="AE14" s="22">
        <f>2*$AG$8-AE13</f>
        <v>17.066673143202493</v>
      </c>
      <c r="AF14" s="22"/>
      <c r="AG14" s="22"/>
      <c r="AH14" s="3" t="s">
        <v>1333</v>
      </c>
      <c r="AI14" s="22">
        <f>$R$33*AI7^2+2*$R$35*AI7*AI8+$R$34*AI8^2+$R$36*AI9^2</f>
        <v>1.709399014861902</v>
      </c>
      <c r="AJ14" s="22">
        <f>$R$33*AJ7^2+2*$R$35*AJ7*AJ8+$R$34*AJ8^2+$R$36*AJ9^2</f>
        <v>4.3552982970449401</v>
      </c>
      <c r="AK14" s="22">
        <f>$R$33*AK7^2+2*$R$35*AK7*AK8+$R$34*AK8^2+$R$36*AK9^2</f>
        <v>1.709399014861902</v>
      </c>
      <c r="AL14" s="22">
        <f>$R$33*AL7^2+2*$R$35*AL7*AL8+$R$34*AL8^2+$R$36*AL9^2</f>
        <v>4.3552982970449401</v>
      </c>
      <c r="AM14" s="22"/>
    </row>
    <row r="15" spans="1:39" ht="15.6">
      <c r="A15" s="1" t="s">
        <v>215</v>
      </c>
      <c r="B15" s="540">
        <v>0</v>
      </c>
      <c r="C15" s="12">
        <f>(B11/2-B15/$H$4)/$G$6/$N$48*1000000</f>
        <v>0</v>
      </c>
      <c r="D15" s="12">
        <f>C15*$G$8</f>
        <v>0</v>
      </c>
      <c r="E15" s="4">
        <f>AD48</f>
        <v>0.51672765744499083</v>
      </c>
      <c r="F15" s="4">
        <f>E15*$G$8</f>
        <v>0.34638383833037528</v>
      </c>
      <c r="G15" s="4">
        <f t="shared" si="6"/>
        <v>-0.54392384994209564</v>
      </c>
      <c r="H15" s="4">
        <f t="shared" si="6"/>
        <v>-0.25917199813819336</v>
      </c>
      <c r="I15" s="4">
        <f>Y63</f>
        <v>15.615079734217423</v>
      </c>
      <c r="L15" s="3" t="s">
        <v>1547</v>
      </c>
      <c r="M15" s="4">
        <f>M14*(1-M11)/M11</f>
        <v>0.26581818181818179</v>
      </c>
      <c r="N15" s="4">
        <f>N14*(1-N11)/N11</f>
        <v>0.26581818181818179</v>
      </c>
      <c r="O15" s="8">
        <f t="shared" si="5"/>
        <v>1</v>
      </c>
      <c r="Q15" s="4"/>
      <c r="R15" s="4"/>
      <c r="S15" s="4"/>
      <c r="T15" s="3">
        <v>11</v>
      </c>
      <c r="U15" s="5">
        <f>$N$27+$N$28*COS(U6)+$N$29*COS(U7)</f>
        <v>29.630391334008831</v>
      </c>
      <c r="V15" s="5">
        <f>$N$27+$N$28*COS(V6)+$N$29*COS(V7)</f>
        <v>1.6347802115315373</v>
      </c>
      <c r="W15" s="5">
        <f>$N$27+$N$28*COS(W6)+$N$29*COS(W7)</f>
        <v>29.630391334008831</v>
      </c>
      <c r="X15" s="5">
        <f>$N$27+$N$28*COS(X6)+$N$29*COS(X7)</f>
        <v>1.6347802115315373</v>
      </c>
      <c r="Y15" s="4">
        <f t="shared" ref="Y15:Y20" si="7">($U$11*U15+$V$11*V15+$W$11*W15+$X$11*X15)*$Y$12</f>
        <v>0.61592387944714522</v>
      </c>
      <c r="Z15" s="4">
        <f t="shared" ref="Z15:Z20" si="8">Y15/$Y$12</f>
        <v>15.632585772770184</v>
      </c>
      <c r="AA15" s="3" t="s">
        <v>1334</v>
      </c>
      <c r="AB15" s="22">
        <f>2*($AG$10*COS(AB4)-$AG$9*SIN(AB4))</f>
        <v>-1.8617537284031422E-16</v>
      </c>
      <c r="AC15" s="22">
        <f>2*($AG$10*COS(AC4)-$AG$9*SIN(AC4))</f>
        <v>-1.974716134098357E-15</v>
      </c>
      <c r="AD15" s="22">
        <f>2*($AG$10*COS(AD4)-$AG$9*SIN(AD4))</f>
        <v>-1.8617537284031422E-16</v>
      </c>
      <c r="AE15" s="22">
        <f>2*($AG$10*COS(AE4)-$AG$9*SIN(AE4))</f>
        <v>-1.974716134098357E-15</v>
      </c>
      <c r="AF15" s="22"/>
      <c r="AG15" s="22"/>
      <c r="AH15" s="3" t="s">
        <v>1335</v>
      </c>
      <c r="AI15" s="22">
        <f>$R$37*AI7+$R$38*AI8</f>
        <v>-0.64985089721284961</v>
      </c>
      <c r="AJ15" s="22">
        <f>$R$37*AJ7+$R$38*AJ8</f>
        <v>2.1481702474087752</v>
      </c>
      <c r="AK15" s="22">
        <f>$R$37*AK7+$R$38*AK8</f>
        <v>-0.64985089721284961</v>
      </c>
      <c r="AL15" s="22">
        <f>$R$37*AL7+$R$38*AL8</f>
        <v>2.1481702474087752</v>
      </c>
      <c r="AM15" s="22"/>
    </row>
    <row r="16" spans="1:39" ht="15.6">
      <c r="A16" s="1" t="s">
        <v>216</v>
      </c>
      <c r="B16" s="540">
        <v>0</v>
      </c>
      <c r="C16" s="12">
        <f>(B12/2-B16/$H$4)/$G$6/$N$48*1000000</f>
        <v>0</v>
      </c>
      <c r="D16" s="12">
        <f>C16*$G$8</f>
        <v>0</v>
      </c>
      <c r="E16" s="4">
        <f>AD49</f>
        <v>1.6844438495076047E-16</v>
      </c>
      <c r="F16" s="4">
        <f>E16*$G$8</f>
        <v>1.1291521126030511E-16</v>
      </c>
      <c r="G16" s="4">
        <f t="shared" si="6"/>
        <v>-1.7730987889553733E-16</v>
      </c>
      <c r="H16" s="4">
        <f t="shared" si="6"/>
        <v>-8.4485641892499439E-17</v>
      </c>
      <c r="I16" s="4">
        <f>Y65</f>
        <v>1.2191582002902992</v>
      </c>
      <c r="L16" s="3" t="s">
        <v>1548</v>
      </c>
      <c r="M16" s="4">
        <f>1/((1+M15)/M6-M15/M13)</f>
        <v>4.1661199761394414</v>
      </c>
      <c r="N16" s="4">
        <f>M16*R6^$F$30</f>
        <v>4.1661199761394414</v>
      </c>
      <c r="O16" s="8">
        <f t="shared" si="5"/>
        <v>1</v>
      </c>
      <c r="P16" s="2" t="s">
        <v>1148</v>
      </c>
      <c r="Q16" s="4"/>
      <c r="R16" s="4"/>
      <c r="S16" s="4"/>
      <c r="T16" s="3">
        <v>22</v>
      </c>
      <c r="U16" s="5">
        <f>U15-2*$N$28*COS(U6)</f>
        <v>1.6347802115315382</v>
      </c>
      <c r="V16" s="5">
        <f>V15-2*$N$28*COS(V6)</f>
        <v>29.630391334008831</v>
      </c>
      <c r="W16" s="5">
        <f>W15-2*$N$28*COS(W6)</f>
        <v>1.6347802115315382</v>
      </c>
      <c r="X16" s="5">
        <f>X15-2*$N$28*COS(X6)</f>
        <v>29.630391334008831</v>
      </c>
      <c r="Y16" s="4">
        <f t="shared" si="7"/>
        <v>0.61592387944714522</v>
      </c>
      <c r="Z16" s="4">
        <f t="shared" si="8"/>
        <v>15.632585772770184</v>
      </c>
      <c r="AA16" s="3"/>
      <c r="AB16" s="22"/>
      <c r="AC16" s="22"/>
      <c r="AD16" s="22"/>
      <c r="AE16" s="22"/>
      <c r="AF16" s="22"/>
      <c r="AG16" s="22"/>
      <c r="AH16" s="3" t="s">
        <v>1344</v>
      </c>
      <c r="AI16" s="22">
        <f>AI15/2/AI14</f>
        <v>-0.19008168706162187</v>
      </c>
      <c r="AJ16" s="22">
        <f>AJ15/2/AJ14</f>
        <v>0.24661574258487687</v>
      </c>
      <c r="AK16" s="22">
        <f>AK15/2/AK14</f>
        <v>-0.19008168706162187</v>
      </c>
      <c r="AL16" s="22">
        <f>AL15/2/AL14</f>
        <v>0.24661574258487687</v>
      </c>
      <c r="AM16" s="22"/>
    </row>
    <row r="17" spans="1:39" ht="15.6">
      <c r="A17" s="532" t="s">
        <v>560</v>
      </c>
      <c r="B17" s="547" t="s">
        <v>1641</v>
      </c>
      <c r="C17" s="542">
        <v>0</v>
      </c>
      <c r="D17" s="547" t="s">
        <v>1546</v>
      </c>
      <c r="E17" s="542">
        <v>0</v>
      </c>
      <c r="F17" s="542">
        <v>0</v>
      </c>
      <c r="G17" s="548">
        <v>0</v>
      </c>
      <c r="L17" s="3" t="s">
        <v>295</v>
      </c>
      <c r="M17" s="4">
        <f>$E$30</f>
        <v>0.316</v>
      </c>
      <c r="N17" s="4">
        <f>M17*R6^$G$29</f>
        <v>0.316</v>
      </c>
      <c r="O17" s="8">
        <f t="shared" si="5"/>
        <v>1</v>
      </c>
      <c r="P17" s="3" t="s">
        <v>296</v>
      </c>
      <c r="Q17" s="7">
        <f>A28</f>
        <v>507.98258345428002</v>
      </c>
      <c r="R17" s="7">
        <f>R23*N11</f>
        <v>507.98258345428002</v>
      </c>
      <c r="S17" s="4">
        <f t="shared" ref="S17:S24" si="9">R17/Q17</f>
        <v>1</v>
      </c>
      <c r="T17" s="3" t="s">
        <v>1345</v>
      </c>
      <c r="U17" s="5">
        <f>$N$30-$N$29*COS(U7)</f>
        <v>0.5231296676900925</v>
      </c>
      <c r="V17" s="5">
        <f>$N$30-$N$29*COS(V7)</f>
        <v>0.5231296676900925</v>
      </c>
      <c r="W17" s="5">
        <f>$N$30-$N$29*COS(W7)</f>
        <v>0.5231296676900925</v>
      </c>
      <c r="X17" s="5">
        <f>$N$30-$N$29*COS(X7)</f>
        <v>0.5231296676900925</v>
      </c>
      <c r="Y17" s="4">
        <f t="shared" si="7"/>
        <v>2.0611308906989645E-2</v>
      </c>
      <c r="Z17" s="4">
        <f t="shared" si="8"/>
        <v>0.5231296676900925</v>
      </c>
      <c r="AA17" s="3"/>
      <c r="AB17" s="22"/>
      <c r="AC17" s="22"/>
      <c r="AD17" s="22"/>
      <c r="AE17" s="22"/>
      <c r="AF17" s="22"/>
      <c r="AG17" s="22"/>
      <c r="AH17" s="3"/>
      <c r="AI17" s="22"/>
      <c r="AJ17" s="22"/>
      <c r="AK17" s="22"/>
      <c r="AL17" s="22"/>
      <c r="AM17" s="22"/>
    </row>
    <row r="18" spans="1:39">
      <c r="B18" s="1" t="s">
        <v>561</v>
      </c>
      <c r="C18" s="1" t="s">
        <v>562</v>
      </c>
      <c r="D18" s="17" t="s">
        <v>563</v>
      </c>
      <c r="E18" s="1" t="s">
        <v>1339</v>
      </c>
      <c r="F18" s="1" t="s">
        <v>564</v>
      </c>
      <c r="G18" s="1" t="s">
        <v>565</v>
      </c>
      <c r="H18" s="1" t="s">
        <v>566</v>
      </c>
      <c r="I18" s="1" t="s">
        <v>1642</v>
      </c>
      <c r="L18" s="3" t="s">
        <v>301</v>
      </c>
      <c r="M18" s="4">
        <f>M17*(1-M11)/M11</f>
        <v>0.16278787878787876</v>
      </c>
      <c r="N18" s="4">
        <f>N17*(1-N11)/N11</f>
        <v>0.16278787878787876</v>
      </c>
      <c r="O18" s="8">
        <f t="shared" si="5"/>
        <v>1</v>
      </c>
      <c r="P18" s="3" t="s">
        <v>302</v>
      </c>
      <c r="Q18" s="7">
        <f>B28</f>
        <v>223.51233671988001</v>
      </c>
      <c r="R18" s="7">
        <f>Q18*S17*O8^E31</f>
        <v>223.51233671988001</v>
      </c>
      <c r="S18" s="4">
        <f t="shared" si="9"/>
        <v>1</v>
      </c>
      <c r="T18" s="3">
        <v>66</v>
      </c>
      <c r="U18" s="5">
        <f>U17-$N$30+$N$31</f>
        <v>1.2191582002902992</v>
      </c>
      <c r="V18" s="5">
        <f>V17-$N$30+$N$31</f>
        <v>1.2191582002902992</v>
      </c>
      <c r="W18" s="5">
        <f>W17-$N$30+$N$31</f>
        <v>1.2191582002902992</v>
      </c>
      <c r="X18" s="5">
        <f>X17-$N$30+$N$31</f>
        <v>1.2191582002902992</v>
      </c>
      <c r="Y18" s="4">
        <f t="shared" si="7"/>
        <v>4.8034833091437787E-2</v>
      </c>
      <c r="Z18" s="4">
        <f t="shared" si="8"/>
        <v>1.2191582002902992</v>
      </c>
      <c r="AA18" s="3"/>
      <c r="AB18" s="22"/>
      <c r="AC18" s="22"/>
      <c r="AD18" s="22"/>
      <c r="AE18" s="22"/>
      <c r="AF18" s="22"/>
      <c r="AG18" s="22"/>
      <c r="AH18" s="3"/>
      <c r="AI18" s="22"/>
      <c r="AJ18" s="11"/>
      <c r="AK18" s="22"/>
      <c r="AL18" s="22"/>
      <c r="AM18" s="22"/>
    </row>
    <row r="19" spans="1:39">
      <c r="A19" s="1" t="s">
        <v>567</v>
      </c>
      <c r="B19" s="14">
        <f>Q2</f>
        <v>71.599999999999994</v>
      </c>
      <c r="C19" s="18">
        <f>Q3</f>
        <v>5.0000000000000001E-3</v>
      </c>
      <c r="D19" s="8">
        <f>M11</f>
        <v>0.66</v>
      </c>
      <c r="E19" s="8">
        <f>M13</f>
        <v>0.49346879535559002</v>
      </c>
      <c r="F19" s="25">
        <f>M12</f>
        <v>44.640893697496971</v>
      </c>
      <c r="G19" s="14">
        <f>Q24</f>
        <v>8.1277213352685003</v>
      </c>
      <c r="H19" s="25">
        <f>Q23</f>
        <v>769.67058099133328</v>
      </c>
      <c r="I19" s="4">
        <f>A31</f>
        <v>0.04</v>
      </c>
      <c r="L19" s="3" t="s">
        <v>304</v>
      </c>
      <c r="M19" s="4">
        <f>1/((1+M18)/M8-M18*2.7/M13)</f>
        <v>15.854437503778623</v>
      </c>
      <c r="N19" s="4">
        <f>M19*R6^$F$30</f>
        <v>15.854437503778623</v>
      </c>
      <c r="O19" s="8">
        <f t="shared" si="5"/>
        <v>1</v>
      </c>
      <c r="P19" s="3" t="s">
        <v>305</v>
      </c>
      <c r="Q19" s="7">
        <f>C28</f>
        <v>8.1277213352685003</v>
      </c>
      <c r="R19" s="7">
        <f>Q19*S24</f>
        <v>8.1277213352685003</v>
      </c>
      <c r="S19" s="4">
        <f t="shared" si="9"/>
        <v>1</v>
      </c>
      <c r="T19" s="3" t="s">
        <v>1347</v>
      </c>
      <c r="U19" s="5">
        <f>$N$28*SIN(U6)/2+$N$29*SIN(U7)</f>
        <v>0</v>
      </c>
      <c r="V19" s="5">
        <f>$N$28*SIN(V6)/2+$N$29*SIN(V7)</f>
        <v>8.1268131228199808E-17</v>
      </c>
      <c r="W19" s="5">
        <f>$N$28*SIN(W6)/2+$N$29*SIN(W7)</f>
        <v>0</v>
      </c>
      <c r="X19" s="5">
        <f>$N$28*SIN(X6)/2+$N$29*SIN(X7)</f>
        <v>8.1268131228199808E-17</v>
      </c>
      <c r="Y19" s="4">
        <f t="shared" si="7"/>
        <v>1.6009821851955362E-18</v>
      </c>
      <c r="Z19" s="4">
        <f t="shared" si="8"/>
        <v>4.0634065614099904E-17</v>
      </c>
      <c r="AB19" s="22"/>
      <c r="AC19" s="22"/>
      <c r="AD19" s="22"/>
      <c r="AE19" s="22"/>
      <c r="AF19" s="22"/>
      <c r="AG19" s="22"/>
      <c r="AH19" s="3"/>
      <c r="AI19" s="22"/>
      <c r="AJ19" s="22"/>
      <c r="AK19" s="22"/>
      <c r="AL19" s="22"/>
      <c r="AM19" s="16" t="s">
        <v>1348</v>
      </c>
    </row>
    <row r="20" spans="1:39" ht="15.6">
      <c r="A20" s="1" t="s">
        <v>568</v>
      </c>
      <c r="B20" s="533">
        <f t="shared" ref="B20:H20" si="10">B19</f>
        <v>71.599999999999994</v>
      </c>
      <c r="C20" s="534">
        <f t="shared" si="10"/>
        <v>5.0000000000000001E-3</v>
      </c>
      <c r="D20" s="535">
        <f t="shared" si="10"/>
        <v>0.66</v>
      </c>
      <c r="E20" s="535">
        <f t="shared" si="10"/>
        <v>0.49346879535559002</v>
      </c>
      <c r="F20" s="536">
        <f t="shared" si="10"/>
        <v>44.640893697496971</v>
      </c>
      <c r="G20" s="533">
        <f t="shared" si="10"/>
        <v>8.1277213352685003</v>
      </c>
      <c r="H20" s="536">
        <f t="shared" si="10"/>
        <v>769.67058099133328</v>
      </c>
      <c r="I20" s="543">
        <v>1</v>
      </c>
      <c r="N20" s="4"/>
      <c r="P20" s="3" t="s">
        <v>1542</v>
      </c>
      <c r="Q20" s="7">
        <f>D28</f>
        <v>21.770682148041001</v>
      </c>
      <c r="R20" s="7">
        <f>Q20*S24</f>
        <v>21.770682148041001</v>
      </c>
      <c r="S20" s="4">
        <f t="shared" si="9"/>
        <v>1</v>
      </c>
      <c r="T20" s="3" t="s">
        <v>1349</v>
      </c>
      <c r="U20" s="5">
        <f>$N$28*SIN(U6)-U19</f>
        <v>0</v>
      </c>
      <c r="V20" s="5">
        <f>$N$28*SIN(V6)-V19</f>
        <v>1.6336708543180818E-15</v>
      </c>
      <c r="W20" s="5">
        <f>$N$28*SIN(W6)-W19</f>
        <v>0</v>
      </c>
      <c r="X20" s="5">
        <f>$N$28*SIN(X6)-X19</f>
        <v>1.6336708543180818E-15</v>
      </c>
      <c r="Y20" s="4">
        <f t="shared" si="7"/>
        <v>3.2183315830066211E-17</v>
      </c>
      <c r="Z20" s="4">
        <f t="shared" si="8"/>
        <v>8.1683542715904092E-16</v>
      </c>
      <c r="AA20" s="2" t="s">
        <v>1158</v>
      </c>
      <c r="AB20" s="16" t="s">
        <v>569</v>
      </c>
      <c r="AC20" s="22"/>
      <c r="AD20" s="16" t="s">
        <v>570</v>
      </c>
      <c r="AE20" s="22"/>
      <c r="AG20" s="22"/>
      <c r="AH20" s="3" t="s">
        <v>1351</v>
      </c>
      <c r="AI20" s="11">
        <f>(AI16^2+1/AI14)^0.5-AI16</f>
        <v>0.97820094827564108</v>
      </c>
      <c r="AJ20" s="11">
        <f>(AJ16^2+1/AJ14)^0.5-AJ16</f>
        <v>0.29229493901538606</v>
      </c>
      <c r="AK20" s="11">
        <f>(AK16^2+1/AK14)^0.5-AK16</f>
        <v>0.97820094827564108</v>
      </c>
      <c r="AL20" s="11">
        <f>(AL16^2+1/AL14)^0.5-AL16</f>
        <v>0.29229493901538606</v>
      </c>
      <c r="AM20" s="11">
        <f>MIN(AI21:AL21)</f>
        <v>0.29229493901538606</v>
      </c>
    </row>
    <row r="21" spans="1:39">
      <c r="A21" s="1" t="s">
        <v>571</v>
      </c>
      <c r="B21" s="14">
        <f>Q41</f>
        <v>71.599999999999994</v>
      </c>
      <c r="C21" s="18">
        <f>Q42</f>
        <v>5.0000000000000001E-3</v>
      </c>
      <c r="D21" s="8">
        <f>M50</f>
        <v>0.66</v>
      </c>
      <c r="E21" s="8">
        <f>M52</f>
        <v>0.49346879535559002</v>
      </c>
      <c r="F21" s="25">
        <f>M51</f>
        <v>44.640893697496971</v>
      </c>
      <c r="G21" s="14">
        <f>Q63</f>
        <v>8.1277213352685003</v>
      </c>
      <c r="H21" s="7">
        <f>Q62</f>
        <v>769.67058099133328</v>
      </c>
      <c r="I21" s="4">
        <f>A36</f>
        <v>0.04</v>
      </c>
      <c r="L21" s="2" t="s">
        <v>1507</v>
      </c>
      <c r="P21" s="3" t="s">
        <v>1543</v>
      </c>
      <c r="Q21" s="25">
        <f>E28</f>
        <v>14.223512336720001</v>
      </c>
      <c r="R21" s="25">
        <f>Q21*S24</f>
        <v>14.223512336720001</v>
      </c>
      <c r="S21" s="4">
        <f t="shared" si="9"/>
        <v>1</v>
      </c>
      <c r="T21" s="1"/>
      <c r="X21" s="6" t="s">
        <v>1353</v>
      </c>
      <c r="Y21" s="5">
        <f>Y15*Y16*Y18+2*Y17*Y19*Y20-Y16*Y19^2-Y18*Y17^2-Y15*Y20^2</f>
        <v>1.8202194723557556E-2</v>
      </c>
      <c r="AA21" s="3">
        <v>1</v>
      </c>
      <c r="AB21" s="22">
        <f>AB8/$AG$4</f>
        <v>266.497461928934</v>
      </c>
      <c r="AC21" s="22"/>
      <c r="AD21" s="22">
        <f>AD8+AE8*$AG$4/2</f>
        <v>17.066673143202493</v>
      </c>
      <c r="AE21" s="22"/>
      <c r="AG21" s="22"/>
      <c r="AH21" s="3"/>
      <c r="AI21" s="11">
        <f>IF(AI3=0,1000000000,AI20)</f>
        <v>0.97820094827564108</v>
      </c>
      <c r="AJ21" s="11">
        <f>IF(AJ3=0,1000000000,AJ20)</f>
        <v>0.29229493901538606</v>
      </c>
      <c r="AK21" s="11">
        <f>IF(AK3=0,1000000000,AK20)</f>
        <v>0.97820094827564108</v>
      </c>
      <c r="AL21" s="11">
        <f>IF(AL3=0,1000000000,AL20)</f>
        <v>0.29229493901538606</v>
      </c>
    </row>
    <row r="22" spans="1:39" ht="15.6">
      <c r="A22" s="1" t="s">
        <v>572</v>
      </c>
      <c r="B22" s="533">
        <f t="shared" ref="B22:H22" si="11">B21</f>
        <v>71.599999999999994</v>
      </c>
      <c r="C22" s="534">
        <f t="shared" si="11"/>
        <v>5.0000000000000001E-3</v>
      </c>
      <c r="D22" s="535">
        <f t="shared" si="11"/>
        <v>0.66</v>
      </c>
      <c r="E22" s="535">
        <f t="shared" si="11"/>
        <v>0.49346879535559002</v>
      </c>
      <c r="F22" s="536">
        <f t="shared" si="11"/>
        <v>44.640893697496971</v>
      </c>
      <c r="G22" s="533">
        <f t="shared" si="11"/>
        <v>8.1277213352685003</v>
      </c>
      <c r="H22" s="536">
        <f t="shared" si="11"/>
        <v>769.67058099133328</v>
      </c>
      <c r="I22" s="543">
        <v>1</v>
      </c>
      <c r="L22" s="3" t="s">
        <v>1354</v>
      </c>
      <c r="M22" s="4">
        <f>M5/(1-M7^2*M6/M5)</f>
        <v>29.630391334008831</v>
      </c>
      <c r="N22" s="4">
        <f>N5/(1-N7^2*N6/N5)</f>
        <v>29.630391334008831</v>
      </c>
      <c r="O22" s="8">
        <f>N22/M22</f>
        <v>1</v>
      </c>
      <c r="P22" s="3" t="s">
        <v>1168</v>
      </c>
      <c r="Q22" s="8">
        <f>A29</f>
        <v>-0.5</v>
      </c>
      <c r="R22" s="8">
        <f>Q22*I20</f>
        <v>-0.5</v>
      </c>
      <c r="S22" s="4">
        <f t="shared" si="9"/>
        <v>1</v>
      </c>
      <c r="T22" s="3" t="s">
        <v>1355</v>
      </c>
      <c r="U22" s="6" t="s">
        <v>1169</v>
      </c>
      <c r="V22" s="6"/>
      <c r="W22" s="6" t="s">
        <v>1357</v>
      </c>
      <c r="X22" s="6"/>
      <c r="Y22" s="6" t="s">
        <v>1358</v>
      </c>
      <c r="Z22" s="6"/>
      <c r="AA22" s="3">
        <v>2</v>
      </c>
      <c r="AB22" s="22">
        <f>AB9/$AG$4</f>
        <v>0</v>
      </c>
      <c r="AC22" s="22"/>
      <c r="AD22" s="22">
        <f>AD9+AE9*$AG$4/2</f>
        <v>-0.57112004243920045</v>
      </c>
      <c r="AE22" s="22"/>
      <c r="AG22" s="22"/>
      <c r="AH22" s="2" t="s">
        <v>1360</v>
      </c>
      <c r="AI22" s="11">
        <f>IF(AI3=0,0,AI20)</f>
        <v>0.97820094827564108</v>
      </c>
      <c r="AJ22" s="11">
        <f>IF(AJ3=0,0,AJ20)</f>
        <v>0.29229493901538606</v>
      </c>
      <c r="AK22" s="11">
        <f>IF(AK3=0,0,AK20)</f>
        <v>0.97820094827564108</v>
      </c>
      <c r="AL22" s="11">
        <f>IF(AL3=0,0,AL20)</f>
        <v>0.29229493901538606</v>
      </c>
    </row>
    <row r="23" spans="1:39">
      <c r="L23" s="3" t="s">
        <v>1361</v>
      </c>
      <c r="M23" s="4">
        <f>M22*M6/M5</f>
        <v>1.6347802115315391</v>
      </c>
      <c r="N23" s="4">
        <f>N22*N6/N5</f>
        <v>1.6347802115315391</v>
      </c>
      <c r="O23" s="8">
        <f>N23/M23</f>
        <v>1</v>
      </c>
      <c r="P23" s="3" t="s">
        <v>1175</v>
      </c>
      <c r="Q23" s="7">
        <f>Q17/M11</f>
        <v>769.67058099133328</v>
      </c>
      <c r="R23" s="7">
        <f>$H$20*R6^$G$30</f>
        <v>769.67058099133328</v>
      </c>
      <c r="S23" s="4">
        <f t="shared" si="9"/>
        <v>1</v>
      </c>
      <c r="T23" s="3">
        <v>11</v>
      </c>
      <c r="U23" s="5">
        <f>(Y16*Y18-Y20^2)/Y21</f>
        <v>1.6253974422097615</v>
      </c>
      <c r="W23" s="5">
        <f t="shared" ref="W23:W28" si="12">U23*$Y$12</f>
        <v>6.4040659223064594E-2</v>
      </c>
      <c r="X23" s="5"/>
      <c r="Y23" s="4">
        <f>1/W23</f>
        <v>15.615079734217423</v>
      </c>
      <c r="AA23" s="3">
        <v>6</v>
      </c>
      <c r="AB23" s="22">
        <f>AB10/$AG$4</f>
        <v>0</v>
      </c>
      <c r="AC23" s="22"/>
      <c r="AD23" s="22">
        <f>AD10+AE10*$AG$4/2</f>
        <v>-1.8617537284031422E-16</v>
      </c>
      <c r="AE23" s="22"/>
      <c r="AG23" s="22"/>
      <c r="AH23" s="3" t="s">
        <v>1364</v>
      </c>
      <c r="AI23" s="26">
        <f>$AM$7+$AM$8*COS(AI4)+$AM$9*SIN(AI4)-$X$37</f>
        <v>1.0685555274476431E-5</v>
      </c>
      <c r="AJ23" s="22">
        <f>$AM$7+$AM$8*COS(AJ4)+$AM$9*SIN(AJ4)-$X$37</f>
        <v>1.0685555274476431E-5</v>
      </c>
      <c r="AK23" s="22">
        <f>$AM$7+$AM$8*COS(AK4)+$AM$9*SIN(AK4)-$X$37</f>
        <v>1.0685555274476431E-5</v>
      </c>
      <c r="AL23" s="22">
        <f>$AM$7+$AM$8*COS(AL4)+$AM$9*SIN(AL4)-$X$37</f>
        <v>1.0685555274476431E-5</v>
      </c>
      <c r="AM23" s="22"/>
    </row>
    <row r="24" spans="1:39">
      <c r="L24" s="3" t="s">
        <v>1365</v>
      </c>
      <c r="M24" s="4">
        <f>M23*M7</f>
        <v>0.5231296676900925</v>
      </c>
      <c r="N24" s="4">
        <f>N23*N7</f>
        <v>0.5231296676900925</v>
      </c>
      <c r="O24" s="8">
        <f>N24/M24</f>
        <v>1</v>
      </c>
      <c r="P24" s="3" t="s">
        <v>1176</v>
      </c>
      <c r="Q24" s="7">
        <f>Q19</f>
        <v>8.1277213352685003</v>
      </c>
      <c r="R24" s="7">
        <f>$G$20*R6^$H$29</f>
        <v>8.1277213352685003</v>
      </c>
      <c r="S24" s="4">
        <f t="shared" si="9"/>
        <v>1</v>
      </c>
      <c r="T24" s="3">
        <v>22</v>
      </c>
      <c r="U24" s="5">
        <f>(Y15*Y18-Y19^2)/Y21</f>
        <v>1.6253974422097615</v>
      </c>
      <c r="W24" s="5">
        <f t="shared" si="12"/>
        <v>6.4040659223064594E-2</v>
      </c>
      <c r="X24" s="5"/>
      <c r="Y24" s="4">
        <f>1/W24</f>
        <v>15.615079734217423</v>
      </c>
      <c r="AA24" s="3" t="s">
        <v>1177</v>
      </c>
      <c r="AB24" s="22">
        <f>(AB21^2-AB21*AB22+AB22^2+3*AB23^2)^0.5</f>
        <v>266.497461928934</v>
      </c>
      <c r="AC24" s="22"/>
      <c r="AD24" s="22">
        <f>(AD21^2+AD22^2+AD23^2/2)^0.5</f>
        <v>17.076226464877568</v>
      </c>
      <c r="AE24" s="22"/>
      <c r="AG24" s="22"/>
      <c r="AH24" s="3" t="s">
        <v>1367</v>
      </c>
      <c r="AI24" s="22">
        <f>2*$AM$7-AI23-$X$38-$X$37</f>
        <v>-1.4931444472554299E-4</v>
      </c>
      <c r="AJ24" s="22">
        <f>2*$AM$7-AJ23-$X$38-$X$37</f>
        <v>-1.4931444472554299E-4</v>
      </c>
      <c r="AK24" s="22">
        <f>2*$AM$7-AK23-$X$38-$X$37</f>
        <v>-1.4931444472554299E-4</v>
      </c>
      <c r="AL24" s="22">
        <f>2*$AM$7-AL23-$X$38-$X$37</f>
        <v>-1.4931444472554299E-4</v>
      </c>
      <c r="AM24" s="22"/>
    </row>
    <row r="25" spans="1:39">
      <c r="L25" s="3" t="s">
        <v>1370</v>
      </c>
      <c r="M25" s="4">
        <f>M8</f>
        <v>1.2191582002903001</v>
      </c>
      <c r="N25" s="4">
        <f>N8</f>
        <v>1.2191582002903001</v>
      </c>
      <c r="O25" s="8">
        <f>N25/M25</f>
        <v>1</v>
      </c>
      <c r="T25" s="3" t="s">
        <v>1345</v>
      </c>
      <c r="U25" s="5">
        <f>(Y19*Y20-Y17*Y18)/Y21</f>
        <v>-5.4392384994209571E-2</v>
      </c>
      <c r="W25" s="5">
        <f t="shared" si="12"/>
        <v>-2.1430599687718571E-3</v>
      </c>
      <c r="X25" s="5"/>
      <c r="Y25" s="4">
        <f>-W25/W23</f>
        <v>3.346405228758205E-2</v>
      </c>
      <c r="AA25" s="3"/>
      <c r="AB25" s="3" t="s">
        <v>1178</v>
      </c>
      <c r="AC25" s="16">
        <f>AB24</f>
        <v>266.497461928934</v>
      </c>
      <c r="AD25" s="16" t="s">
        <v>1179</v>
      </c>
      <c r="AE25" s="22">
        <f>AD24</f>
        <v>17.076226464877568</v>
      </c>
      <c r="AG25" s="22"/>
      <c r="AH25" s="3" t="s">
        <v>1372</v>
      </c>
      <c r="AI25" s="26">
        <f>2*($AM$9*COS(AI4)-$AM$8*SIN(AI4))</f>
        <v>-1.1983912705069072E-20</v>
      </c>
      <c r="AJ25" s="22">
        <f>2*($AM$9*COS(AJ4)-$AM$8*SIN(AJ4))</f>
        <v>1.1983912705069072E-20</v>
      </c>
      <c r="AK25" s="22">
        <f>2*($AM$9*COS(AK4)-$AM$8*SIN(AK4))</f>
        <v>-1.1983912705069072E-20</v>
      </c>
      <c r="AL25" s="22">
        <f>2*($AM$9*COS(AL4)-$AM$8*SIN(AL4))</f>
        <v>1.1983912705069072E-20</v>
      </c>
      <c r="AM25" s="22"/>
    </row>
    <row r="26" spans="1:39">
      <c r="A26" s="2" t="s">
        <v>573</v>
      </c>
      <c r="L26" s="2" t="s">
        <v>1510</v>
      </c>
      <c r="M26" s="4"/>
      <c r="N26" s="4"/>
      <c r="P26" s="2" t="s">
        <v>1375</v>
      </c>
      <c r="T26" s="3">
        <v>66</v>
      </c>
      <c r="U26" s="5">
        <f>(Y15*Y16-Y17^2)/Y21</f>
        <v>20.818225767463947</v>
      </c>
      <c r="W26" s="5">
        <f t="shared" si="12"/>
        <v>0.82023809523807945</v>
      </c>
      <c r="X26" s="5"/>
      <c r="Y26" s="4">
        <f>1/W26</f>
        <v>1.2191582002902992</v>
      </c>
      <c r="AG26" s="22"/>
      <c r="AH26" s="22"/>
      <c r="AI26" s="22"/>
      <c r="AJ26" s="22"/>
      <c r="AK26" s="22"/>
      <c r="AL26" s="22"/>
      <c r="AM26" s="22"/>
    </row>
    <row r="27" spans="1:39">
      <c r="A27" s="4" t="s">
        <v>1602</v>
      </c>
      <c r="B27" s="4">
        <v>29.462989840348001</v>
      </c>
      <c r="C27" s="4">
        <v>1.6255442670536999</v>
      </c>
      <c r="D27" s="4">
        <v>0.32</v>
      </c>
      <c r="E27" s="4">
        <v>1.2191582002903001</v>
      </c>
      <c r="F27" s="4">
        <v>0.49346879535559002</v>
      </c>
      <c r="G27" s="4">
        <v>251.6</v>
      </c>
      <c r="H27" s="4">
        <v>320</v>
      </c>
      <c r="L27" s="3" t="s">
        <v>1380</v>
      </c>
      <c r="M27" s="4">
        <f>(3*M22+3*M23+2*M24+4*M25)/8</f>
        <v>12.464800846645311</v>
      </c>
      <c r="N27" s="4">
        <f>(3*N22+3*N23+2*N24+4*N25)/8</f>
        <v>12.464800846645311</v>
      </c>
      <c r="O27" s="8">
        <f>N27/M27</f>
        <v>1</v>
      </c>
      <c r="P27" s="3" t="s">
        <v>1381</v>
      </c>
      <c r="Q27" s="4">
        <f>1/Q17/Q18*1000000</f>
        <v>8.8074397031541682</v>
      </c>
      <c r="R27" s="4">
        <f>1/R17/R18*1000000</f>
        <v>8.8074397031541682</v>
      </c>
      <c r="S27" s="4">
        <f t="shared" ref="S27:S38" si="13">R27/Q27</f>
        <v>1</v>
      </c>
      <c r="T27" s="3" t="s">
        <v>1347</v>
      </c>
      <c r="U27" s="5">
        <f>(Y17*Y20-Y16*Y19)/Y21</f>
        <v>-1.7730987889553737E-17</v>
      </c>
      <c r="W27" s="5">
        <f t="shared" si="12"/>
        <v>-6.9860092284841718E-19</v>
      </c>
      <c r="X27" s="5"/>
      <c r="Y27" s="4">
        <f>W27/W23</f>
        <v>-1.0908709112675909E-17</v>
      </c>
      <c r="AB27" s="3" t="s">
        <v>1181</v>
      </c>
      <c r="AC27" s="3" t="s">
        <v>1182</v>
      </c>
      <c r="AD27" s="3" t="s">
        <v>1183</v>
      </c>
      <c r="AG27" s="22"/>
      <c r="AH27" s="16" t="s">
        <v>1383</v>
      </c>
      <c r="AI27" s="26">
        <f>$R$33*AI23^2+2*$R$35*AI23*AI24+$R$34*AI24^2+$R$36*AI25^2</f>
        <v>3.3467608132940871E-4</v>
      </c>
      <c r="AJ27" s="22">
        <f>$R$33*AJ23^2+2*$R$35*AJ23*AJ24+$R$34*AJ24^2+$R$36*AJ25^2</f>
        <v>3.3467608132940871E-4</v>
      </c>
      <c r="AK27" s="22">
        <f>$R$33*AK23^2+2*$R$35*AK23*AK24+$R$34*AK24^2+$R$36*AK25^2</f>
        <v>3.3467608132940871E-4</v>
      </c>
      <c r="AL27" s="22">
        <f>$R$33*AL23^2+2*$R$35*AL23*AL24+$R$34*AL24^2+$R$36*AL25^2</f>
        <v>3.3467608132940871E-4</v>
      </c>
      <c r="AM27" s="22"/>
    </row>
    <row r="28" spans="1:39">
      <c r="A28" s="4">
        <v>507.98258345428002</v>
      </c>
      <c r="B28" s="4">
        <v>223.51233671988001</v>
      </c>
      <c r="C28" s="4">
        <v>8.1277213352685003</v>
      </c>
      <c r="D28" s="4">
        <v>21.770682148041001</v>
      </c>
      <c r="E28" s="4">
        <v>14.223512336720001</v>
      </c>
      <c r="F28" s="4">
        <v>1.2</v>
      </c>
      <c r="G28" s="4">
        <v>71.599999999999994</v>
      </c>
      <c r="H28" s="4">
        <v>5.0000000000000001E-3</v>
      </c>
      <c r="L28" s="3" t="s">
        <v>1384</v>
      </c>
      <c r="M28" s="4">
        <f>(M22-M23)/2</f>
        <v>13.997805561238646</v>
      </c>
      <c r="N28" s="4">
        <f>(N22-N23)/2</f>
        <v>13.997805561238646</v>
      </c>
      <c r="O28" s="8">
        <f>N28/M28</f>
        <v>1</v>
      </c>
      <c r="P28" s="3" t="s">
        <v>1385</v>
      </c>
      <c r="Q28" s="4">
        <f>1/Q19/Q20*1000000</f>
        <v>5651.4404761903852</v>
      </c>
      <c r="R28" s="4">
        <f>1/R19/R20*1000000</f>
        <v>5651.4404761903852</v>
      </c>
      <c r="S28" s="4">
        <f t="shared" si="13"/>
        <v>1</v>
      </c>
      <c r="T28" s="3" t="s">
        <v>1349</v>
      </c>
      <c r="U28" s="5">
        <f>(Y17*Y19-Y15*Y20)/Y21</f>
        <v>-1.0872026533999009E-15</v>
      </c>
      <c r="W28" s="5">
        <f t="shared" si="12"/>
        <v>-4.2835784543956094E-17</v>
      </c>
      <c r="X28" s="5"/>
      <c r="Y28" s="4">
        <f>W28/W24</f>
        <v>-6.6888419113163267E-16</v>
      </c>
      <c r="AA28" s="3" t="s">
        <v>41</v>
      </c>
      <c r="AB28" s="7">
        <f>A31</f>
        <v>0.04</v>
      </c>
      <c r="AC28" s="7">
        <v>69</v>
      </c>
      <c r="AD28" s="7">
        <v>210</v>
      </c>
      <c r="AG28" s="22"/>
      <c r="AH28" s="16" t="s">
        <v>1387</v>
      </c>
      <c r="AI28" s="26">
        <f>$R$37*AI23+$R$38*AI24</f>
        <v>-1.8986975752978755E-2</v>
      </c>
      <c r="AJ28" s="22">
        <f>$R$37*AJ23+$R$38*AJ24</f>
        <v>-1.8986975752978755E-2</v>
      </c>
      <c r="AK28" s="22">
        <f>$R$37*AK23+$R$38*AK24</f>
        <v>-1.8986975752978755E-2</v>
      </c>
      <c r="AL28" s="22">
        <f>$R$37*AL23+$R$38*AL24</f>
        <v>-1.8986975752978755E-2</v>
      </c>
      <c r="AM28" s="22"/>
    </row>
    <row r="29" spans="1:39">
      <c r="A29" s="4">
        <v>-0.5</v>
      </c>
      <c r="B29" s="4">
        <v>4925</v>
      </c>
      <c r="C29" s="4">
        <v>0.66</v>
      </c>
      <c r="D29" s="4">
        <v>1.6</v>
      </c>
      <c r="E29" s="4">
        <v>0.51600000000000001</v>
      </c>
      <c r="F29" s="4">
        <v>0.5</v>
      </c>
      <c r="G29" s="4">
        <v>0.2</v>
      </c>
      <c r="H29" s="4">
        <v>0.9</v>
      </c>
      <c r="L29" s="3" t="s">
        <v>1388</v>
      </c>
      <c r="M29" s="4">
        <f>(M22+M23-2*M24-4*M25)/8</f>
        <v>3.1677849261248729</v>
      </c>
      <c r="N29" s="4">
        <f>(N22+N23-2*N24-4*N25)/8</f>
        <v>3.1677849261248729</v>
      </c>
      <c r="O29" s="8">
        <f>N29/M29</f>
        <v>1</v>
      </c>
      <c r="P29" s="3" t="s">
        <v>1389</v>
      </c>
      <c r="Q29" s="4">
        <f>Q22*(Q27*Q28)^0.5</f>
        <v>-111.55124520821327</v>
      </c>
      <c r="R29" s="4">
        <f>R22*(R27*R28)^0.5</f>
        <v>-111.55124520821327</v>
      </c>
      <c r="S29" s="4">
        <f t="shared" si="13"/>
        <v>1</v>
      </c>
      <c r="W29" s="5"/>
      <c r="X29" s="5"/>
      <c r="Y29" s="6"/>
      <c r="AA29" s="3" t="s">
        <v>296</v>
      </c>
      <c r="AB29" s="7">
        <f>B31</f>
        <v>0.01</v>
      </c>
      <c r="AC29" s="7">
        <v>200</v>
      </c>
      <c r="AD29" s="7">
        <v>400</v>
      </c>
      <c r="AG29" s="22"/>
      <c r="AH29" s="16" t="s">
        <v>1390</v>
      </c>
      <c r="AI29" s="26">
        <f>AI27+AI28</f>
        <v>-1.8652299671649348E-2</v>
      </c>
      <c r="AJ29" s="22">
        <f>AJ27+AJ28</f>
        <v>-1.8652299671649348E-2</v>
      </c>
      <c r="AK29" s="22">
        <f>AK27+AK28</f>
        <v>-1.8652299671649348E-2</v>
      </c>
      <c r="AL29" s="22">
        <f>AL27+AL28</f>
        <v>-1.8652299671649348E-2</v>
      </c>
      <c r="AM29" s="22"/>
    </row>
    <row r="30" spans="1:39">
      <c r="A30" s="4">
        <v>-0.16666666666666999</v>
      </c>
      <c r="B30" s="4">
        <v>15.611111111111001</v>
      </c>
      <c r="C30" s="4">
        <v>0</v>
      </c>
      <c r="D30" s="4">
        <v>0.6</v>
      </c>
      <c r="E30" s="4">
        <v>0.316</v>
      </c>
      <c r="F30" s="4">
        <v>4.0000000000000001E-3</v>
      </c>
      <c r="G30" s="4">
        <v>4.0000000000000001E-3</v>
      </c>
      <c r="H30" s="4">
        <v>3600</v>
      </c>
      <c r="L30" s="3" t="s">
        <v>1391</v>
      </c>
      <c r="M30" s="4">
        <f>(M22+M23+6*M24-4*M25)/8</f>
        <v>3.6909145938149654</v>
      </c>
      <c r="N30" s="4">
        <f>(N22+N23+6*N24-4*N25)/8</f>
        <v>3.6909145938149654</v>
      </c>
      <c r="O30" s="8">
        <f>N30/M30</f>
        <v>1</v>
      </c>
      <c r="P30" s="3" t="s">
        <v>1392</v>
      </c>
      <c r="Q30" s="4">
        <f>1/Q21^2*1000000</f>
        <v>4942.9508538108312</v>
      </c>
      <c r="R30" s="4">
        <f>1/R21^2*1000000</f>
        <v>4942.9508538108312</v>
      </c>
      <c r="S30" s="4">
        <f t="shared" si="13"/>
        <v>1</v>
      </c>
      <c r="T30" s="1" t="s">
        <v>1185</v>
      </c>
      <c r="W30" s="5"/>
      <c r="X30" s="5"/>
      <c r="Y30" s="6" t="s">
        <v>1394</v>
      </c>
      <c r="AA30" s="3" t="s">
        <v>1187</v>
      </c>
      <c r="AB30" s="12">
        <f>D29</f>
        <v>1.6</v>
      </c>
      <c r="AC30" s="12">
        <v>2.7</v>
      </c>
      <c r="AD30" s="12">
        <v>7.8</v>
      </c>
      <c r="AG30" s="22"/>
      <c r="AH30" s="16" t="s">
        <v>1395</v>
      </c>
      <c r="AI30" s="22">
        <f>-1+AI29</f>
        <v>-1.0186522996716494</v>
      </c>
      <c r="AJ30" s="22">
        <f>-1+AJ29</f>
        <v>-1.0186522996716494</v>
      </c>
      <c r="AK30" s="22">
        <f>-1+AK29</f>
        <v>-1.0186522996716494</v>
      </c>
      <c r="AL30" s="22">
        <f>-1+AL29</f>
        <v>-1.0186522996716494</v>
      </c>
      <c r="AM30" s="22"/>
    </row>
    <row r="31" spans="1:39">
      <c r="A31" s="4">
        <v>0.04</v>
      </c>
      <c r="B31" s="4">
        <v>0.01</v>
      </c>
      <c r="C31" s="4">
        <v>1</v>
      </c>
      <c r="D31" s="4">
        <v>1</v>
      </c>
      <c r="E31" s="4">
        <v>0.02</v>
      </c>
      <c r="F31" s="4"/>
      <c r="G31" s="4"/>
      <c r="H31" s="4"/>
      <c r="L31" s="3" t="s">
        <v>1396</v>
      </c>
      <c r="M31" s="4">
        <f>(M27-M30)/2</f>
        <v>4.3869431264151721</v>
      </c>
      <c r="N31" s="4">
        <f>(N27-N30)/2</f>
        <v>4.3869431264151721</v>
      </c>
      <c r="O31" s="8">
        <f>N31/M31</f>
        <v>1</v>
      </c>
      <c r="P31" s="3" t="s">
        <v>1397</v>
      </c>
      <c r="Q31" s="4">
        <f>(1/Q17-1/Q18)*1000</f>
        <v>-2.5054545454546173</v>
      </c>
      <c r="R31" s="4">
        <f>(1/R17-1/R18)*1000</f>
        <v>-2.5054545454546173</v>
      </c>
      <c r="S31" s="4">
        <f t="shared" si="13"/>
        <v>1</v>
      </c>
      <c r="T31" s="3" t="s">
        <v>1398</v>
      </c>
      <c r="U31" s="5">
        <f>U11*COS(U6)</f>
        <v>0.25</v>
      </c>
      <c r="V31" s="5">
        <f>V11*COS(V6)</f>
        <v>-0.25</v>
      </c>
      <c r="W31" s="5">
        <f>W11*COS(W6)</f>
        <v>0.25</v>
      </c>
      <c r="X31" s="5">
        <f>X11*COS(X6)</f>
        <v>-0.25</v>
      </c>
      <c r="Y31" s="5">
        <f>(U31+V31+W31+X31)</f>
        <v>0</v>
      </c>
      <c r="AA31" s="3" t="s">
        <v>1188</v>
      </c>
      <c r="AB31" s="7">
        <f>AB29/$AC$25*1000000</f>
        <v>37.523809523809526</v>
      </c>
      <c r="AC31" s="7">
        <f>AC29/$AC$25*1000000</f>
        <v>750476.19047619053</v>
      </c>
      <c r="AD31" s="7">
        <f>AD29/$AC$25*1000000</f>
        <v>1500952.3809523811</v>
      </c>
      <c r="AG31" s="22"/>
      <c r="AH31" s="16" t="s">
        <v>1399</v>
      </c>
      <c r="AI31" s="22">
        <f>2*($R$33*AI7*AI23+$R$34*AI8*AI24+$R$35*(AI7*AI24+AI23*AI8)+$R$36*AI9*AI25)</f>
        <v>7.0391198888228503E-3</v>
      </c>
      <c r="AJ31" s="22">
        <f>2*($R$33*AJ7*AJ23+$R$34*AJ8*AJ24+$R$35*(AJ7*AJ24+AJ23*AJ8)+$R$36*AJ9*AJ25)</f>
        <v>-7.6336040816353048E-2</v>
      </c>
      <c r="AK31" s="22">
        <f>2*($R$33*AK7*AK23+$R$34*AK8*AK24+$R$35*(AK7*AK24+AK23*AK8)+$R$36*AK9*AK25)</f>
        <v>7.0391198888228503E-3</v>
      </c>
      <c r="AL31" s="22">
        <f>2*($R$33*AL7*AL23+$R$34*AL8*AL24+$R$35*(AL7*AL24+AL23*AL8)+$R$36*AL9*AL25)</f>
        <v>-7.6336040816353048E-2</v>
      </c>
      <c r="AM31" s="22"/>
    </row>
    <row r="32" spans="1:39">
      <c r="A32" s="4" t="s">
        <v>1602</v>
      </c>
      <c r="B32" s="4">
        <v>29.462989840348001</v>
      </c>
      <c r="C32" s="4">
        <v>1.6255442670536999</v>
      </c>
      <c r="D32" s="4">
        <v>0.32</v>
      </c>
      <c r="E32" s="4">
        <v>1.2191582002903001</v>
      </c>
      <c r="F32" s="4">
        <v>0.49346879535559002</v>
      </c>
      <c r="G32" s="4">
        <v>251.6</v>
      </c>
      <c r="H32" s="4">
        <v>320</v>
      </c>
      <c r="L32" s="2" t="s">
        <v>1400</v>
      </c>
      <c r="P32" s="3" t="s">
        <v>1401</v>
      </c>
      <c r="Q32" s="4">
        <f>(1/Q19-1/Q20)*1000</f>
        <v>77.102380952381779</v>
      </c>
      <c r="R32" s="4">
        <f>(1/R19-1/R20)*1000</f>
        <v>77.102380952381779</v>
      </c>
      <c r="S32" s="4">
        <f t="shared" si="13"/>
        <v>1</v>
      </c>
      <c r="T32" s="3" t="s">
        <v>1402</v>
      </c>
      <c r="U32" s="5">
        <f>U11*SIN(U6)</f>
        <v>0</v>
      </c>
      <c r="V32" s="5">
        <f>V11*SIN(V6)</f>
        <v>3.06287113727155E-17</v>
      </c>
      <c r="W32" s="5">
        <f>W11*SIN(W6)</f>
        <v>0</v>
      </c>
      <c r="X32" s="5">
        <f>X11*SIN(X6)</f>
        <v>3.06287113727155E-17</v>
      </c>
      <c r="Y32" s="5">
        <f>(U32+V32+W32+X32)</f>
        <v>6.1257422745431001E-17</v>
      </c>
      <c r="AA32" s="3" t="s">
        <v>1189</v>
      </c>
      <c r="AB32" s="7">
        <f>1</f>
        <v>1</v>
      </c>
      <c r="AC32" s="7">
        <f>AC30/AB30</f>
        <v>1.6875</v>
      </c>
      <c r="AD32" s="7">
        <f>AD30/AB30</f>
        <v>4.875</v>
      </c>
      <c r="AH32" s="16" t="s">
        <v>1403</v>
      </c>
      <c r="AI32" s="26">
        <f>AI31+AI15</f>
        <v>-0.64281177732402672</v>
      </c>
      <c r="AJ32" s="22">
        <f>AJ31+AJ15</f>
        <v>2.0718342065924222</v>
      </c>
      <c r="AK32" s="22">
        <f>AK31+AK15</f>
        <v>-0.64281177732402672</v>
      </c>
      <c r="AL32" s="22">
        <f>AL31+AL15</f>
        <v>2.0718342065924222</v>
      </c>
      <c r="AM32" s="22"/>
    </row>
    <row r="33" spans="1:39">
      <c r="A33" s="4">
        <v>507.98258345428002</v>
      </c>
      <c r="B33" s="4">
        <v>223.51233671988001</v>
      </c>
      <c r="C33" s="4">
        <v>8.1277213352685003</v>
      </c>
      <c r="D33" s="4">
        <v>21.770682148041001</v>
      </c>
      <c r="E33" s="4">
        <v>14.223512336720001</v>
      </c>
      <c r="F33" s="4">
        <v>1.2</v>
      </c>
      <c r="G33" s="4">
        <v>71.599999999999994</v>
      </c>
      <c r="H33" s="4">
        <v>5.0000000000000001E-3</v>
      </c>
      <c r="L33" s="3" t="s">
        <v>1404</v>
      </c>
      <c r="M33" s="4">
        <f>(1-(M30/M27)^2)*M27</f>
        <v>11.371895255417781</v>
      </c>
      <c r="N33" s="4">
        <f>(1-(N30/N27)^2)*N27</f>
        <v>11.371895255417781</v>
      </c>
      <c r="O33" s="4">
        <f>N33/M33</f>
        <v>1</v>
      </c>
      <c r="P33" s="3" t="s">
        <v>1405</v>
      </c>
      <c r="Q33" s="7">
        <f>(Q27*M22^2+2*Q29*M22*M24+Q28*M24^2)</f>
        <v>5820.971678638949</v>
      </c>
      <c r="R33" s="7">
        <f>(R27*N22^2+2*R29*N22*N24+R28*N24^2)</f>
        <v>5820.971678638949</v>
      </c>
      <c r="S33" s="4">
        <f t="shared" si="13"/>
        <v>1</v>
      </c>
      <c r="T33" s="3"/>
      <c r="U33" s="6" t="s">
        <v>1406</v>
      </c>
      <c r="V33" s="6" t="s">
        <v>1407</v>
      </c>
      <c r="W33" s="6" t="s">
        <v>1408</v>
      </c>
      <c r="X33" s="6" t="s">
        <v>1409</v>
      </c>
      <c r="Y33" s="6" t="s">
        <v>1410</v>
      </c>
      <c r="Z33" s="6" t="s">
        <v>1411</v>
      </c>
      <c r="AA33" s="3" t="s">
        <v>1190</v>
      </c>
      <c r="AB33" s="5">
        <f>$AC$25*1.04/AB28/1000000000</f>
        <v>6.928934010152284E-6</v>
      </c>
      <c r="AC33" s="5">
        <f>$AC$25*1.04/AC28/1000000000</f>
        <v>4.0167733392187151E-9</v>
      </c>
      <c r="AD33" s="5">
        <f>$AC$25*1.04/AD28/1000000000</f>
        <v>1.3197969543147207E-9</v>
      </c>
      <c r="AH33" s="16" t="s">
        <v>1412</v>
      </c>
      <c r="AI33" s="26">
        <f>AI32/2/AI14</f>
        <v>-0.18802274124861298</v>
      </c>
      <c r="AJ33" s="22">
        <f>AJ32/2/AJ14</f>
        <v>0.23785215905856058</v>
      </c>
      <c r="AK33" s="22">
        <f>AK32/2/AK14</f>
        <v>-0.18802274124861298</v>
      </c>
      <c r="AL33" s="22">
        <f>AL32/2/AL14</f>
        <v>0.23785215905856058</v>
      </c>
      <c r="AM33" s="22"/>
    </row>
    <row r="34" spans="1:39">
      <c r="A34" s="4">
        <v>-0.5</v>
      </c>
      <c r="B34" s="4">
        <v>4925</v>
      </c>
      <c r="C34" s="4">
        <v>0.66</v>
      </c>
      <c r="D34" s="4">
        <v>1.6</v>
      </c>
      <c r="E34" s="4">
        <v>0.51600000000000001</v>
      </c>
      <c r="F34" s="4">
        <v>0.5</v>
      </c>
      <c r="G34" s="4">
        <v>0.2</v>
      </c>
      <c r="H34" s="4">
        <v>0.9</v>
      </c>
      <c r="L34" s="3" t="s">
        <v>1414</v>
      </c>
      <c r="M34" s="4">
        <f>M30/M27</f>
        <v>0.29610698471835695</v>
      </c>
      <c r="N34" s="4">
        <f>N30/N27</f>
        <v>0.29610698471835695</v>
      </c>
      <c r="O34" s="4">
        <f>N34/M34</f>
        <v>1</v>
      </c>
      <c r="P34" s="3" t="s">
        <v>1415</v>
      </c>
      <c r="Q34" s="7">
        <f>(Q27*M24^2+2*Q29*M24*M23+Q28*M23^2)</f>
        <v>14915.12308529811</v>
      </c>
      <c r="R34" s="7">
        <f>(R27*N24^2+2*R29*N24*N23+R28*N23^2)</f>
        <v>14915.12308529811</v>
      </c>
      <c r="S34" s="4">
        <f t="shared" si="13"/>
        <v>1</v>
      </c>
      <c r="T34" s="3">
        <v>1</v>
      </c>
      <c r="U34" s="5">
        <f>(($N$22+$N$24)/2*$R$10+($N$24+$N$23)/2*$R$11)/1000000</f>
        <v>1.4330892029338213E-5</v>
      </c>
      <c r="V34" s="5">
        <f>(($N$22+$N$24)/2*$R$13+($N$24+$N$23)/2*$R$14)</f>
        <v>0.64737296376648945</v>
      </c>
      <c r="W34" s="5">
        <f>U34+U35*Y31</f>
        <v>1.4330892029338213E-5</v>
      </c>
      <c r="X34" s="5">
        <f>V34+V35*Y31</f>
        <v>0.64737296376648945</v>
      </c>
      <c r="Y34" s="5">
        <f>(W34*W23+W35*W25+W36*W27)*1000000</f>
        <v>0.88704781178851466</v>
      </c>
      <c r="Z34" s="5">
        <f>(X34*W23+X35*W25+X36*W27)</f>
        <v>4.0070832279281932E-2</v>
      </c>
      <c r="AA34" s="3"/>
      <c r="AH34" s="16"/>
      <c r="AI34" s="26"/>
      <c r="AJ34" s="22"/>
      <c r="AK34" s="22"/>
      <c r="AL34" s="22"/>
      <c r="AM34" s="22"/>
    </row>
    <row r="35" spans="1:39">
      <c r="A35" s="4">
        <v>-0.16666666666666999</v>
      </c>
      <c r="B35" s="4">
        <v>15.611111111111001</v>
      </c>
      <c r="C35" s="4">
        <v>0</v>
      </c>
      <c r="D35" s="4">
        <v>0.6</v>
      </c>
      <c r="E35" s="4">
        <v>0.316</v>
      </c>
      <c r="F35" s="4">
        <v>4.0000000000000001E-3</v>
      </c>
      <c r="G35" s="4">
        <v>4.0000000000000001E-3</v>
      </c>
      <c r="H35" s="4">
        <v>3600</v>
      </c>
      <c r="P35" s="3" t="s">
        <v>1416</v>
      </c>
      <c r="Q35" s="7">
        <f>(Q27*M22*M24+Q29*(M22*M23+M24^2)+Q28*M24*M23)</f>
        <v>-464.33478575164554</v>
      </c>
      <c r="R35" s="7">
        <f>(R27*N22*N24+R29*(N22*N23+N24^2)+R28*N24*N23)</f>
        <v>-464.33478575164554</v>
      </c>
      <c r="S35" s="4">
        <f t="shared" si="13"/>
        <v>1</v>
      </c>
      <c r="T35" s="3">
        <v>2</v>
      </c>
      <c r="U35" s="5">
        <f>(($N$22-$N$24)/2*$R$10+($N$24-$N$23)/2*$R$11)/1000000</f>
        <v>-1.1102655217177838E-5</v>
      </c>
      <c r="V35" s="5">
        <f>(($N$22-$N$24)/2*$R$13+($N$24-$N$23)/2*$R$14)</f>
        <v>-0.33349516315243394</v>
      </c>
      <c r="W35" s="5">
        <f>U34-U35*Y31</f>
        <v>1.4330892029338213E-5</v>
      </c>
      <c r="X35" s="5">
        <f>V34-V35*Y31</f>
        <v>0.64737296376648945</v>
      </c>
      <c r="Y35" s="5">
        <f>(W34*W25+W35*W24+W36*W28)*1000000</f>
        <v>0.88704781178851466</v>
      </c>
      <c r="Z35" s="5">
        <f>(X34*W25+X35*W24+X36*W28)</f>
        <v>4.0070832279281932E-2</v>
      </c>
      <c r="AF35" s="6"/>
      <c r="AH35" s="16"/>
      <c r="AI35" s="26"/>
      <c r="AJ35" s="22"/>
      <c r="AK35" s="22"/>
      <c r="AL35" s="22"/>
      <c r="AM35" s="22"/>
    </row>
    <row r="36" spans="1:39">
      <c r="A36" s="4">
        <v>0.04</v>
      </c>
      <c r="B36" s="4">
        <v>0.01</v>
      </c>
      <c r="C36" s="4">
        <v>1</v>
      </c>
      <c r="D36" s="4">
        <v>1</v>
      </c>
      <c r="E36" s="4">
        <v>0.02</v>
      </c>
      <c r="F36" s="4"/>
      <c r="G36" s="4"/>
      <c r="H36" s="4"/>
      <c r="L36" s="3" t="s">
        <v>1193</v>
      </c>
      <c r="M36" s="4">
        <f>D29</f>
        <v>1.6</v>
      </c>
      <c r="N36" s="4">
        <f>N37*(1-$N$11)+N38*$N$11</f>
        <v>1.5762</v>
      </c>
      <c r="O36" s="4">
        <f>N36/M36</f>
        <v>0.98512500000000003</v>
      </c>
      <c r="P36" s="3" t="s">
        <v>1418</v>
      </c>
      <c r="Q36" s="7">
        <f>Q30*M25^2</f>
        <v>7346.9387755103771</v>
      </c>
      <c r="R36" s="7">
        <f>R30*N25^2</f>
        <v>7346.9387755103771</v>
      </c>
      <c r="S36" s="4">
        <f t="shared" si="13"/>
        <v>1</v>
      </c>
      <c r="T36" s="3">
        <v>6</v>
      </c>
      <c r="U36" s="6" t="s">
        <v>1419</v>
      </c>
      <c r="V36" s="6" t="s">
        <v>1420</v>
      </c>
      <c r="W36" s="5">
        <f>U35*Y32</f>
        <v>-6.8012004423542788E-22</v>
      </c>
      <c r="X36" s="5">
        <f>V35*Y32</f>
        <v>-2.0429054192785128E-17</v>
      </c>
      <c r="Y36" s="5">
        <f>(W34*W27+W35*W28+W36*W26)*1000000</f>
        <v>-1.1817469473052717E-15</v>
      </c>
      <c r="Z36" s="5">
        <f>(X34*W27+X35*W28+X36*W26)</f>
        <v>-4.4939672644003594E-17</v>
      </c>
      <c r="AF36" s="5"/>
      <c r="AH36" s="16"/>
      <c r="AI36" s="26"/>
      <c r="AJ36" s="22"/>
      <c r="AK36" s="22"/>
      <c r="AL36" s="22"/>
      <c r="AM36" s="16" t="s">
        <v>1421</v>
      </c>
    </row>
    <row r="37" spans="1:39">
      <c r="L37" s="3" t="s">
        <v>274</v>
      </c>
      <c r="M37" s="4">
        <f>F28</f>
        <v>1.2</v>
      </c>
      <c r="N37" s="4">
        <v>1.2</v>
      </c>
      <c r="O37" s="4">
        <f>N37/M37</f>
        <v>1</v>
      </c>
      <c r="P37" s="3" t="s">
        <v>1422</v>
      </c>
      <c r="Q37" s="7">
        <f>(Q31*M22+Q32*M24)</f>
        <v>-33.903055725657126</v>
      </c>
      <c r="R37" s="7">
        <f>(R31*N22+R32*N24)</f>
        <v>-33.903055725657126</v>
      </c>
      <c r="S37" s="4">
        <f t="shared" si="13"/>
        <v>1</v>
      </c>
      <c r="T37" s="3">
        <v>1</v>
      </c>
      <c r="U37" s="5">
        <f>$R$7*W34+$R$3*X34</f>
        <v>6.5730425355156911E-4</v>
      </c>
      <c r="V37" s="5">
        <f>$R$7*Y34/1000000+$R$3*Z34</f>
        <v>4.0685555274477028E-5</v>
      </c>
      <c r="W37" s="6" t="s">
        <v>1423</v>
      </c>
      <c r="X37" s="5">
        <f>$R$7*$R$10/1000000+$R$3*$R$13</f>
        <v>3.0000000000000597E-5</v>
      </c>
      <c r="AH37" s="3" t="s">
        <v>1424</v>
      </c>
      <c r="AI37" s="11">
        <f>(AI33^2-AI30/AI14)^0.5-AI33</f>
        <v>0.98254466408959718</v>
      </c>
      <c r="AJ37" s="11">
        <f>(AJ33^2-AJ30/AJ14)^0.5-AJ33</f>
        <v>0.30109284417963289</v>
      </c>
      <c r="AK37" s="11">
        <f>(AK33^2-AK30/AK14)^0.5-AK33</f>
        <v>0.98254466408959718</v>
      </c>
      <c r="AL37" s="11">
        <f>(AL33^2-AL30/AL14)^0.5-AL33</f>
        <v>0.30109284417963289</v>
      </c>
      <c r="AM37" s="11">
        <f>MIN(AI38:AL38)</f>
        <v>0.30109284417963289</v>
      </c>
    </row>
    <row r="38" spans="1:39">
      <c r="A38" s="3" t="s">
        <v>1413</v>
      </c>
      <c r="B38" s="3" t="s">
        <v>1577</v>
      </c>
      <c r="C38" s="3" t="s">
        <v>1578</v>
      </c>
      <c r="D38" s="3" t="s">
        <v>266</v>
      </c>
      <c r="E38" s="3" t="s">
        <v>267</v>
      </c>
      <c r="F38" s="3" t="s">
        <v>268</v>
      </c>
      <c r="G38" s="3" t="s">
        <v>1584</v>
      </c>
      <c r="H38" s="3" t="s">
        <v>1585</v>
      </c>
      <c r="L38" s="3" t="s">
        <v>1195</v>
      </c>
      <c r="M38" s="4">
        <f>(M36-M37*(1-$M$11))/$M$11</f>
        <v>1.8060606060606061</v>
      </c>
      <c r="N38" s="4">
        <v>1.77</v>
      </c>
      <c r="O38" s="4">
        <f>N38/M38</f>
        <v>0.98003355704697981</v>
      </c>
      <c r="P38" s="3" t="s">
        <v>1426</v>
      </c>
      <c r="Q38" s="7">
        <f>(Q31*M24+Q32*M23)</f>
        <v>124.73476903914369</v>
      </c>
      <c r="R38" s="7">
        <f>(R31*N24+R32*N23)</f>
        <v>124.73476903914369</v>
      </c>
      <c r="S38" s="4">
        <f t="shared" si="13"/>
        <v>1</v>
      </c>
      <c r="T38" s="3">
        <v>2</v>
      </c>
      <c r="U38" s="5">
        <f>$R$7*W35+$R$3*X35</f>
        <v>6.5730425355156911E-4</v>
      </c>
      <c r="V38" s="5">
        <f>$R$7*Y35/1000000+$R$3*Z35</f>
        <v>4.0685555274477028E-5</v>
      </c>
      <c r="W38" s="6" t="s">
        <v>1427</v>
      </c>
      <c r="X38" s="5">
        <f>$R$7*$R$11/1000000+$R$3*$R$14</f>
        <v>1.9000000000002001E-4</v>
      </c>
      <c r="AH38" s="3"/>
      <c r="AI38" s="11">
        <f>IF(AI3=0,1000000000,AI37)</f>
        <v>0.98254466408959718</v>
      </c>
      <c r="AJ38" s="11">
        <f>IF(AJ3=0,1000000000,AJ37)</f>
        <v>0.30109284417963289</v>
      </c>
      <c r="AK38" s="11">
        <f>IF(AK3=0,1000000000,AK37)</f>
        <v>0.98254466408959718</v>
      </c>
      <c r="AL38" s="11">
        <f>IF(AL3=0,1000000000,AL37)</f>
        <v>0.30109284417963289</v>
      </c>
    </row>
    <row r="39" spans="1:39">
      <c r="A39" s="3" t="s">
        <v>269</v>
      </c>
      <c r="B39" s="3" t="s">
        <v>270</v>
      </c>
      <c r="C39" s="3" t="s">
        <v>271</v>
      </c>
      <c r="D39" s="3" t="s">
        <v>272</v>
      </c>
      <c r="E39" s="3" t="s">
        <v>273</v>
      </c>
      <c r="F39" s="3" t="s">
        <v>274</v>
      </c>
      <c r="G39" s="3" t="s">
        <v>1588</v>
      </c>
      <c r="H39" s="3" t="s">
        <v>275</v>
      </c>
      <c r="N39" s="2" t="s">
        <v>42</v>
      </c>
      <c r="T39" s="3">
        <v>6</v>
      </c>
      <c r="U39" s="5">
        <f>$R$7*W36+$R$3*X36</f>
        <v>2.0276336998451361E-20</v>
      </c>
      <c r="V39" s="5">
        <f>$R$7*Y36/1000000+$R$3*Z36</f>
        <v>-1.1983912705069072E-20</v>
      </c>
      <c r="W39" s="6" t="s">
        <v>1429</v>
      </c>
      <c r="X39" s="5">
        <f>0</f>
        <v>0</v>
      </c>
      <c r="AI39" s="11">
        <f>IF(AI3=0,0,AI37)</f>
        <v>0.98254466408959718</v>
      </c>
      <c r="AJ39" s="11">
        <f>IF(AJ3=0,0,AJ37)</f>
        <v>0.30109284417963289</v>
      </c>
      <c r="AK39" s="11">
        <f>IF(AK3=0,0,AK37)</f>
        <v>0.98254466408959718</v>
      </c>
      <c r="AL39" s="11">
        <f>IF(AL3=0,0,AL37)</f>
        <v>0.30109284417963289</v>
      </c>
    </row>
    <row r="40" spans="1:39">
      <c r="A40" s="3" t="s">
        <v>1568</v>
      </c>
      <c r="B40" s="3" t="s">
        <v>276</v>
      </c>
      <c r="C40" s="3" t="s">
        <v>277</v>
      </c>
      <c r="D40" s="3" t="s">
        <v>278</v>
      </c>
      <c r="E40" s="3" t="s">
        <v>279</v>
      </c>
      <c r="F40" s="3" t="s">
        <v>280</v>
      </c>
      <c r="G40" s="3" t="s">
        <v>281</v>
      </c>
      <c r="H40" s="3" t="s">
        <v>282</v>
      </c>
      <c r="L40" s="1" t="s">
        <v>43</v>
      </c>
      <c r="M40" s="3"/>
      <c r="N40" s="3"/>
      <c r="P40" s="2" t="s">
        <v>1551</v>
      </c>
      <c r="R40" s="4"/>
      <c r="T40" s="2" t="s">
        <v>44</v>
      </c>
      <c r="AA40" s="2" t="s">
        <v>529</v>
      </c>
      <c r="AH40" s="2" t="s">
        <v>530</v>
      </c>
    </row>
    <row r="41" spans="1:39">
      <c r="A41" s="1" t="s">
        <v>1591</v>
      </c>
      <c r="B41" s="1" t="s">
        <v>1592</v>
      </c>
      <c r="C41" s="1" t="s">
        <v>1537</v>
      </c>
      <c r="D41" s="1" t="s">
        <v>1539</v>
      </c>
      <c r="E41" s="3" t="s">
        <v>295</v>
      </c>
      <c r="F41" s="3" t="s">
        <v>283</v>
      </c>
      <c r="G41" s="3" t="s">
        <v>284</v>
      </c>
      <c r="H41" s="3" t="s">
        <v>285</v>
      </c>
      <c r="L41" s="1" t="str">
        <f>$A$32</f>
        <v>IM6/ep[Eng]</v>
      </c>
      <c r="M41" s="1"/>
      <c r="N41" s="3"/>
      <c r="P41" s="3" t="s">
        <v>596</v>
      </c>
      <c r="Q41" s="7">
        <f>G33</f>
        <v>71.599999999999994</v>
      </c>
      <c r="R41" s="7">
        <f>B22</f>
        <v>71.599999999999994</v>
      </c>
      <c r="S41" s="8">
        <f t="shared" ref="S41:S46" si="14">R41/Q41</f>
        <v>1</v>
      </c>
      <c r="T41" s="1"/>
      <c r="Z41" s="6"/>
      <c r="AA41" s="3" t="s">
        <v>531</v>
      </c>
      <c r="AB41" s="9">
        <f t="shared" ref="AB41:AE42" si="15">U43</f>
        <v>0</v>
      </c>
      <c r="AC41" s="9">
        <f t="shared" si="15"/>
        <v>90</v>
      </c>
      <c r="AD41" s="9">
        <f t="shared" si="15"/>
        <v>0</v>
      </c>
      <c r="AE41" s="9">
        <f t="shared" si="15"/>
        <v>90</v>
      </c>
      <c r="AF41" s="3" t="s">
        <v>532</v>
      </c>
      <c r="AG41" s="6" t="s">
        <v>533</v>
      </c>
      <c r="AH41" s="3" t="s">
        <v>531</v>
      </c>
      <c r="AI41" s="9">
        <f t="shared" ref="AI41:AL43" si="16">AB41</f>
        <v>0</v>
      </c>
      <c r="AJ41" s="9">
        <f t="shared" si="16"/>
        <v>90</v>
      </c>
      <c r="AK41" s="9">
        <f t="shared" si="16"/>
        <v>0</v>
      </c>
      <c r="AL41" s="9">
        <f t="shared" si="16"/>
        <v>90</v>
      </c>
    </row>
    <row r="42" spans="1:39">
      <c r="A42" s="1" t="s">
        <v>286</v>
      </c>
      <c r="B42" s="1" t="s">
        <v>287</v>
      </c>
      <c r="C42" s="3" t="s">
        <v>288</v>
      </c>
      <c r="D42" s="3" t="s">
        <v>289</v>
      </c>
      <c r="E42" s="3" t="s">
        <v>290</v>
      </c>
      <c r="L42" s="3"/>
      <c r="M42" s="3"/>
      <c r="N42" s="3"/>
      <c r="P42" s="3" t="s">
        <v>600</v>
      </c>
      <c r="Q42" s="11">
        <f>H33</f>
        <v>5.0000000000000001E-3</v>
      </c>
      <c r="R42" s="11">
        <f>C22</f>
        <v>5.0000000000000001E-3</v>
      </c>
      <c r="S42" s="8">
        <f t="shared" si="14"/>
        <v>1</v>
      </c>
      <c r="T42" s="3" t="s">
        <v>45</v>
      </c>
      <c r="U42" s="6" t="s">
        <v>1562</v>
      </c>
      <c r="V42" s="6" t="s">
        <v>1563</v>
      </c>
      <c r="W42" s="6" t="s">
        <v>1564</v>
      </c>
      <c r="X42" s="6" t="s">
        <v>1565</v>
      </c>
      <c r="Y42" s="6"/>
      <c r="Z42" s="6"/>
      <c r="AA42" s="3" t="s">
        <v>536</v>
      </c>
      <c r="AB42" s="9">
        <f t="shared" si="15"/>
        <v>1</v>
      </c>
      <c r="AC42" s="9">
        <f t="shared" si="15"/>
        <v>1</v>
      </c>
      <c r="AD42" s="9">
        <f t="shared" si="15"/>
        <v>1</v>
      </c>
      <c r="AE42" s="9">
        <f t="shared" si="15"/>
        <v>1</v>
      </c>
      <c r="AF42" s="3">
        <f>Y44</f>
        <v>1</v>
      </c>
      <c r="AG42" s="9">
        <f>Z44</f>
        <v>0</v>
      </c>
      <c r="AH42" s="3" t="s">
        <v>536</v>
      </c>
      <c r="AI42" s="9">
        <f t="shared" si="16"/>
        <v>1</v>
      </c>
      <c r="AJ42" s="9">
        <f t="shared" si="16"/>
        <v>1</v>
      </c>
      <c r="AK42" s="9">
        <f t="shared" si="16"/>
        <v>1</v>
      </c>
      <c r="AL42" s="9">
        <f t="shared" si="16"/>
        <v>1</v>
      </c>
    </row>
    <row r="43" spans="1:39">
      <c r="L43" s="3" t="s">
        <v>1553</v>
      </c>
      <c r="M43" s="3" t="s">
        <v>1554</v>
      </c>
      <c r="N43" s="3" t="s">
        <v>1555</v>
      </c>
      <c r="O43" s="13" t="s">
        <v>1556</v>
      </c>
      <c r="P43" s="3" t="s">
        <v>1557</v>
      </c>
      <c r="Q43" s="7">
        <f>G32</f>
        <v>251.6</v>
      </c>
      <c r="R43" s="7">
        <f>Q43</f>
        <v>251.6</v>
      </c>
      <c r="S43" s="8">
        <f t="shared" si="14"/>
        <v>1</v>
      </c>
      <c r="T43" s="3" t="s">
        <v>537</v>
      </c>
      <c r="U43" s="14">
        <f>B5+$I$6</f>
        <v>0</v>
      </c>
      <c r="V43" s="14">
        <f>C5+$I$6</f>
        <v>90</v>
      </c>
      <c r="W43" s="14">
        <f>D5+$I$6</f>
        <v>0</v>
      </c>
      <c r="X43" s="14">
        <f>E5+$I$6</f>
        <v>90</v>
      </c>
      <c r="Y43" s="6" t="s">
        <v>46</v>
      </c>
      <c r="Z43" s="6"/>
      <c r="AA43" s="3" t="s">
        <v>539</v>
      </c>
      <c r="AB43" s="13">
        <f>U45*AB42/AB42</f>
        <v>0</v>
      </c>
      <c r="AC43" s="13">
        <f>V45*AC42/AC42</f>
        <v>3.1415926535897931</v>
      </c>
      <c r="AD43" s="13">
        <f>W45*AD42/AD42</f>
        <v>0</v>
      </c>
      <c r="AE43" s="13">
        <f>X45*AE42/AE42</f>
        <v>3.1415926535897931</v>
      </c>
      <c r="AF43" s="3" t="s">
        <v>603</v>
      </c>
      <c r="AG43" s="5">
        <f>$Y$12</f>
        <v>3.9399999999999998E-2</v>
      </c>
      <c r="AH43" s="3" t="s">
        <v>539</v>
      </c>
      <c r="AI43" s="13">
        <f t="shared" si="16"/>
        <v>0</v>
      </c>
      <c r="AJ43" s="13">
        <f t="shared" si="16"/>
        <v>3.1415926535897931</v>
      </c>
      <c r="AK43" s="13">
        <f t="shared" si="16"/>
        <v>0</v>
      </c>
      <c r="AL43" s="13">
        <f t="shared" si="16"/>
        <v>3.1415926535897931</v>
      </c>
    </row>
    <row r="44" spans="1:39">
      <c r="L44" s="3" t="s">
        <v>298</v>
      </c>
      <c r="M44" s="4">
        <f>B32</f>
        <v>29.462989840348001</v>
      </c>
      <c r="N44" s="4">
        <f>N51*N50</f>
        <v>29.462989840348001</v>
      </c>
      <c r="O44" s="8">
        <f>N44/M44</f>
        <v>1</v>
      </c>
      <c r="P44" s="3" t="s">
        <v>299</v>
      </c>
      <c r="Q44" s="7">
        <f>H32</f>
        <v>320</v>
      </c>
      <c r="R44" s="7">
        <f>Q44-$H$35*(R42-Q42)</f>
        <v>320</v>
      </c>
      <c r="S44" s="8">
        <f t="shared" si="14"/>
        <v>1</v>
      </c>
      <c r="T44" s="3" t="s">
        <v>541</v>
      </c>
      <c r="U44" s="14">
        <f>B6</f>
        <v>1</v>
      </c>
      <c r="V44" s="14">
        <f>C6</f>
        <v>1</v>
      </c>
      <c r="W44" s="14">
        <f>D6</f>
        <v>1</v>
      </c>
      <c r="X44" s="14">
        <f>E6</f>
        <v>1</v>
      </c>
      <c r="Y44" s="15">
        <f>F6</f>
        <v>1</v>
      </c>
      <c r="Z44" s="9"/>
      <c r="AA44" s="3"/>
      <c r="AB44" s="5"/>
      <c r="AC44" s="5"/>
      <c r="AD44" s="5"/>
      <c r="AE44" s="5"/>
      <c r="AF44" s="6"/>
    </row>
    <row r="45" spans="1:39">
      <c r="L45" s="3" t="s">
        <v>1579</v>
      </c>
      <c r="M45" s="4">
        <f>C32</f>
        <v>1.6255442670536999</v>
      </c>
      <c r="N45" s="4">
        <f>(1+N54)/(1/N55+N54/N52)</f>
        <v>1.6255442670536999</v>
      </c>
      <c r="O45" s="8">
        <f>N45/M45</f>
        <v>1</v>
      </c>
      <c r="P45" s="3" t="s">
        <v>1580</v>
      </c>
      <c r="Q45" s="4">
        <f>(Q44-Q41)/(Q44-Q41)</f>
        <v>1</v>
      </c>
      <c r="R45" s="4">
        <f>(R44-R41)/(R44-Q41)</f>
        <v>1</v>
      </c>
      <c r="S45" s="8">
        <f t="shared" si="14"/>
        <v>1</v>
      </c>
      <c r="T45" s="3" t="s">
        <v>1295</v>
      </c>
      <c r="U45" s="8">
        <f>U43*PI()/90</f>
        <v>0</v>
      </c>
      <c r="V45" s="8">
        <f>V43*PI()/90</f>
        <v>3.1415926535897931</v>
      </c>
      <c r="W45" s="8">
        <f>W43*PI()/90</f>
        <v>0</v>
      </c>
      <c r="X45" s="8">
        <f>X43*PI()/90</f>
        <v>3.1415926535897931</v>
      </c>
      <c r="Y45" s="6" t="s">
        <v>1433</v>
      </c>
      <c r="Z45" s="16"/>
      <c r="AA45" s="1" t="s">
        <v>1434</v>
      </c>
      <c r="AB45" s="6"/>
      <c r="AC45" s="6"/>
      <c r="AD45" s="5"/>
      <c r="AE45" s="5"/>
      <c r="AF45" s="5"/>
      <c r="AH45" s="1" t="s">
        <v>1298</v>
      </c>
      <c r="AM45" s="3" t="s">
        <v>1299</v>
      </c>
    </row>
    <row r="46" spans="1:39">
      <c r="L46" s="3" t="s">
        <v>259</v>
      </c>
      <c r="M46" s="4">
        <f>D32</f>
        <v>0.32</v>
      </c>
      <c r="N46" s="4">
        <f>M46*I22</f>
        <v>0.32</v>
      </c>
      <c r="O46" s="8">
        <f>N46/M46</f>
        <v>1</v>
      </c>
      <c r="P46" s="3" t="s">
        <v>260</v>
      </c>
      <c r="Q46" s="7">
        <f>Q41-Q43</f>
        <v>-180</v>
      </c>
      <c r="R46" s="7">
        <f>R41-R43</f>
        <v>-180</v>
      </c>
      <c r="S46" s="8">
        <f t="shared" si="14"/>
        <v>1</v>
      </c>
      <c r="T46" s="3" t="s">
        <v>1300</v>
      </c>
      <c r="U46" s="8">
        <f>2*U45</f>
        <v>0</v>
      </c>
      <c r="V46" s="8">
        <f>2*V45</f>
        <v>6.2831853071795862</v>
      </c>
      <c r="W46" s="8">
        <f>2*W45</f>
        <v>0</v>
      </c>
      <c r="X46" s="8">
        <f>2*X45</f>
        <v>6.2831853071795862</v>
      </c>
      <c r="Y46" s="9">
        <f>G6/Y44/2</f>
        <v>4</v>
      </c>
      <c r="Z46" s="9"/>
      <c r="AA46" s="3"/>
      <c r="AB46" s="6" t="s">
        <v>47</v>
      </c>
      <c r="AC46" s="6"/>
      <c r="AD46" s="19" t="s">
        <v>619</v>
      </c>
      <c r="AE46" s="19"/>
      <c r="AF46" s="6" t="s">
        <v>1303</v>
      </c>
      <c r="AG46" s="6" t="s">
        <v>1304</v>
      </c>
      <c r="AH46" s="3" t="s">
        <v>1305</v>
      </c>
      <c r="AI46" s="22">
        <f t="shared" ref="AI46:AL48" si="17">AB52/1000</f>
        <v>-1.5441275700992732E-2</v>
      </c>
      <c r="AJ46" s="22">
        <f t="shared" si="17"/>
        <v>5.167276574449904E-4</v>
      </c>
      <c r="AK46" s="22">
        <f t="shared" si="17"/>
        <v>-1.5441275700992732E-2</v>
      </c>
      <c r="AL46" s="22">
        <f t="shared" si="17"/>
        <v>5.167276574449904E-4</v>
      </c>
      <c r="AM46" s="22">
        <f>($V$76+$V$77)/2</f>
        <v>4.0685555274477028E-5</v>
      </c>
    </row>
    <row r="47" spans="1:39">
      <c r="L47" s="3" t="s">
        <v>261</v>
      </c>
      <c r="M47" s="4">
        <f>E32</f>
        <v>1.2191582002903001</v>
      </c>
      <c r="N47" s="4">
        <f>(1+N57)/(1/N58+N57*2.7/N52)</f>
        <v>1.2191582002903001</v>
      </c>
      <c r="O47" s="8">
        <f>N47/M47</f>
        <v>1</v>
      </c>
      <c r="P47" s="3"/>
      <c r="Q47" s="4"/>
      <c r="R47" s="4"/>
      <c r="S47" s="4"/>
      <c r="U47" s="20"/>
      <c r="V47" s="20"/>
      <c r="W47" s="20"/>
      <c r="X47" s="21"/>
      <c r="Y47" s="6"/>
      <c r="Z47" s="6"/>
      <c r="AA47" s="3">
        <v>1</v>
      </c>
      <c r="AB47" s="22">
        <f>C14*$Y$51</f>
        <v>-9.4999999999999982</v>
      </c>
      <c r="AC47" s="22"/>
      <c r="AD47" s="22">
        <f>AB47*U62+AB48*U64+AB49*U66</f>
        <v>-15.441275700992732</v>
      </c>
      <c r="AE47" s="22"/>
      <c r="AF47" s="16" t="s">
        <v>1306</v>
      </c>
      <c r="AG47" s="22">
        <f>(AD47+AD48)/2</f>
        <v>-7.4622740217738706</v>
      </c>
      <c r="AH47" s="3" t="s">
        <v>1307</v>
      </c>
      <c r="AI47" s="22">
        <f t="shared" si="17"/>
        <v>5.167276574449904E-4</v>
      </c>
      <c r="AJ47" s="22">
        <f t="shared" si="17"/>
        <v>-1.5441275700992732E-2</v>
      </c>
      <c r="AK47" s="22">
        <f t="shared" si="17"/>
        <v>5.167276574449904E-4</v>
      </c>
      <c r="AL47" s="22">
        <f t="shared" si="17"/>
        <v>-1.5441275700992732E-2</v>
      </c>
      <c r="AM47" s="22">
        <f>($V$76-$V$77)/2</f>
        <v>0</v>
      </c>
    </row>
    <row r="48" spans="1:39">
      <c r="L48" s="3" t="s">
        <v>262</v>
      </c>
      <c r="M48" s="7">
        <f>B34</f>
        <v>4925</v>
      </c>
      <c r="N48" s="7">
        <f>M48/O50</f>
        <v>4925</v>
      </c>
      <c r="O48" s="8">
        <f>N48/M48</f>
        <v>1</v>
      </c>
      <c r="P48" s="1" t="s">
        <v>1531</v>
      </c>
      <c r="Q48" s="4"/>
      <c r="R48" s="4"/>
      <c r="S48" s="4"/>
      <c r="T48" s="3" t="s">
        <v>1308</v>
      </c>
      <c r="U48" s="20">
        <v>1</v>
      </c>
      <c r="V48" s="20">
        <f>U49</f>
        <v>0.75</v>
      </c>
      <c r="W48" s="20">
        <f>V49</f>
        <v>0.5</v>
      </c>
      <c r="X48" s="18">
        <f>W49</f>
        <v>0.25</v>
      </c>
      <c r="Y48" s="20"/>
      <c r="Z48" s="6"/>
      <c r="AA48" s="3">
        <v>2</v>
      </c>
      <c r="AB48" s="22">
        <f>C15*$Y$51</f>
        <v>0</v>
      </c>
      <c r="AC48" s="22"/>
      <c r="AD48" s="22">
        <f>AB47*U64+AB48*U63+AB49*U67</f>
        <v>0.51672765744499083</v>
      </c>
      <c r="AE48" s="22"/>
      <c r="AF48" s="16" t="s">
        <v>1309</v>
      </c>
      <c r="AG48" s="22">
        <f>(AD47-AD48)/2</f>
        <v>-7.9790016792188609</v>
      </c>
      <c r="AH48" s="3" t="s">
        <v>1310</v>
      </c>
      <c r="AI48" s="22">
        <f t="shared" si="17"/>
        <v>1.6844438495076046E-19</v>
      </c>
      <c r="AJ48" s="22">
        <f t="shared" si="17"/>
        <v>1.7866479308508938E-18</v>
      </c>
      <c r="AK48" s="22">
        <f t="shared" si="17"/>
        <v>1.6844438495076046E-19</v>
      </c>
      <c r="AL48" s="22">
        <f t="shared" si="17"/>
        <v>1.7866479308508938E-18</v>
      </c>
      <c r="AM48" s="22">
        <f>$V$78/2</f>
        <v>-5.9919563525345359E-21</v>
      </c>
    </row>
    <row r="49" spans="12:39">
      <c r="L49" s="1" t="s">
        <v>264</v>
      </c>
      <c r="M49" s="4"/>
      <c r="N49" s="4"/>
      <c r="P49" s="3" t="s">
        <v>265</v>
      </c>
      <c r="Q49" s="4">
        <f>A35</f>
        <v>-0.16666666666666999</v>
      </c>
      <c r="R49" s="4">
        <f>Q49</f>
        <v>-0.16666666666666999</v>
      </c>
      <c r="S49" s="4">
        <f>R49/Q49</f>
        <v>1</v>
      </c>
      <c r="T49" s="3" t="s">
        <v>1311</v>
      </c>
      <c r="U49" s="20">
        <f>U48-U44/$Y$46</f>
        <v>0.75</v>
      </c>
      <c r="V49" s="20">
        <f>V48-V44/$Y$46</f>
        <v>0.5</v>
      </c>
      <c r="W49" s="20">
        <f>W48-W44/$Y$46</f>
        <v>0.25</v>
      </c>
      <c r="X49" s="20">
        <f>X48-X44/$Y$46</f>
        <v>0</v>
      </c>
      <c r="AA49" s="3">
        <v>6</v>
      </c>
      <c r="AB49" s="22">
        <f>C16*$Y$51</f>
        <v>0</v>
      </c>
      <c r="AC49" s="22"/>
      <c r="AD49" s="22">
        <f>AB47*U66+AB48*U67+AB49*U65</f>
        <v>1.6844438495076047E-16</v>
      </c>
      <c r="AE49" s="22"/>
      <c r="AF49" s="16" t="s">
        <v>1312</v>
      </c>
      <c r="AG49" s="22">
        <f>AD49/2</f>
        <v>8.4222192475380233E-17</v>
      </c>
      <c r="AH49" s="3"/>
      <c r="AI49" s="22"/>
      <c r="AJ49" s="22"/>
      <c r="AK49" s="22"/>
      <c r="AL49" s="22"/>
      <c r="AM49" s="22"/>
    </row>
    <row r="50" spans="12:39">
      <c r="L50" s="3" t="s">
        <v>1532</v>
      </c>
      <c r="M50" s="4">
        <f>C34</f>
        <v>0.66</v>
      </c>
      <c r="N50" s="4">
        <f>$D$22</f>
        <v>0.66</v>
      </c>
      <c r="O50" s="8">
        <f t="shared" ref="O50:O58" si="18">N50/M50</f>
        <v>1</v>
      </c>
      <c r="P50" s="3" t="s">
        <v>1533</v>
      </c>
      <c r="Q50" s="4">
        <f>B35</f>
        <v>15.611111111111001</v>
      </c>
      <c r="R50" s="4">
        <f>Q50*(1-N50)/(1-M50)</f>
        <v>15.611111111111001</v>
      </c>
      <c r="S50" s="4">
        <f>R50/Q50</f>
        <v>1</v>
      </c>
      <c r="T50" s="3" t="s">
        <v>1321</v>
      </c>
      <c r="U50" s="20">
        <f>U48-U49</f>
        <v>0.25</v>
      </c>
      <c r="V50" s="20">
        <f>V48-V49</f>
        <v>0.25</v>
      </c>
      <c r="W50" s="20">
        <f>W48-W49</f>
        <v>0.25</v>
      </c>
      <c r="X50" s="18">
        <f>X48-X49</f>
        <v>0.25</v>
      </c>
      <c r="Y50" s="6" t="s">
        <v>603</v>
      </c>
      <c r="Z50" s="6"/>
      <c r="AB50" s="22"/>
      <c r="AC50" s="22"/>
      <c r="AD50" s="22"/>
      <c r="AE50" s="22"/>
      <c r="AF50" s="16"/>
      <c r="AG50" s="22"/>
      <c r="AH50" s="3"/>
      <c r="AI50" s="22"/>
      <c r="AJ50" s="22"/>
      <c r="AK50" s="22"/>
      <c r="AL50" s="22"/>
      <c r="AM50" s="22"/>
    </row>
    <row r="51" spans="12:39">
      <c r="L51" s="3" t="s">
        <v>1534</v>
      </c>
      <c r="M51" s="7">
        <f>M44/M50</f>
        <v>44.640893697496971</v>
      </c>
      <c r="N51" s="7">
        <f>$F$22*R45^$F$35</f>
        <v>44.640893697496971</v>
      </c>
      <c r="O51" s="8">
        <f t="shared" si="18"/>
        <v>1</v>
      </c>
      <c r="P51" s="2" t="s">
        <v>1535</v>
      </c>
      <c r="Q51" s="4"/>
      <c r="R51" s="4"/>
      <c r="S51" s="4"/>
      <c r="T51" s="3"/>
      <c r="U51" s="20"/>
      <c r="V51" s="20"/>
      <c r="W51" s="20"/>
      <c r="X51" s="18"/>
      <c r="Y51" s="5">
        <f>G6*N48/1000000</f>
        <v>3.9399999999999998E-2</v>
      </c>
      <c r="AA51" s="1" t="s">
        <v>1323</v>
      </c>
      <c r="AB51" s="22"/>
      <c r="AC51" s="22"/>
      <c r="AD51" s="22"/>
      <c r="AE51" s="22"/>
      <c r="AF51" s="16"/>
      <c r="AG51" s="22"/>
      <c r="AH51" s="3"/>
      <c r="AI51" s="22"/>
      <c r="AJ51" s="22"/>
      <c r="AK51" s="22"/>
      <c r="AL51" s="22"/>
      <c r="AM51" s="22"/>
    </row>
    <row r="52" spans="12:39">
      <c r="L52" s="3" t="s">
        <v>1536</v>
      </c>
      <c r="M52" s="4">
        <f>F32</f>
        <v>0.49346879535559002</v>
      </c>
      <c r="N52" s="4">
        <f>$E$22*R45^$F$34*I22</f>
        <v>0.49346879535559002</v>
      </c>
      <c r="O52" s="8">
        <f t="shared" si="18"/>
        <v>1</v>
      </c>
      <c r="P52" s="3" t="s">
        <v>1537</v>
      </c>
      <c r="Q52" s="4">
        <f>C35</f>
        <v>0</v>
      </c>
      <c r="R52" s="4">
        <f>Q52</f>
        <v>0</v>
      </c>
      <c r="S52" s="4">
        <v>1</v>
      </c>
      <c r="T52" s="3"/>
      <c r="U52" s="20"/>
      <c r="V52" s="20"/>
      <c r="W52" s="20"/>
      <c r="X52" s="18"/>
      <c r="AA52" s="3" t="s">
        <v>1324</v>
      </c>
      <c r="AB52" s="22">
        <f>$AG$47+$AG$48*COS(AB43)+$AG$49*SIN(AB43)</f>
        <v>-15.441275700992732</v>
      </c>
      <c r="AC52" s="22">
        <f>$AG$47+$AG$48*COS(AC43)+$AG$49*SIN(AC43)</f>
        <v>0.51672765744499038</v>
      </c>
      <c r="AD52" s="22">
        <f>$AG$47+$AG$48*COS(AD43)+$AG$49*SIN(AD43)</f>
        <v>-15.441275700992732</v>
      </c>
      <c r="AE52" s="22">
        <f>$AG$47+$AG$48*COS(AE43)+$AG$49*SIN(AE43)</f>
        <v>0.51672765744499038</v>
      </c>
      <c r="AF52" s="16"/>
      <c r="AG52" s="22"/>
      <c r="AH52" s="1"/>
      <c r="AI52" s="16"/>
      <c r="AJ52" s="16"/>
      <c r="AK52" s="16"/>
      <c r="AL52" s="16"/>
      <c r="AM52" s="22"/>
    </row>
    <row r="53" spans="12:39">
      <c r="L53" s="3" t="s">
        <v>1538</v>
      </c>
      <c r="M53" s="4">
        <f>E34</f>
        <v>0.51600000000000001</v>
      </c>
      <c r="N53" s="4">
        <f>M53*R45^$G$34</f>
        <v>0.51600000000000001</v>
      </c>
      <c r="O53" s="8">
        <f t="shared" si="18"/>
        <v>1</v>
      </c>
      <c r="P53" s="3" t="s">
        <v>1539</v>
      </c>
      <c r="Q53" s="4">
        <f>D35</f>
        <v>0.6</v>
      </c>
      <c r="R53" s="4">
        <f>Q53*(1-N50)/(1-M50)</f>
        <v>0.6</v>
      </c>
      <c r="S53" s="4">
        <f>R53/Q53</f>
        <v>1</v>
      </c>
      <c r="T53" s="3" t="s">
        <v>1325</v>
      </c>
      <c r="U53" s="6" t="s">
        <v>1326</v>
      </c>
      <c r="V53" s="6" t="s">
        <v>1327</v>
      </c>
      <c r="W53" s="6" t="s">
        <v>1328</v>
      </c>
      <c r="X53" s="6" t="s">
        <v>1329</v>
      </c>
      <c r="Y53" s="6" t="s">
        <v>1330</v>
      </c>
      <c r="Z53" s="6" t="s">
        <v>1331</v>
      </c>
      <c r="AA53" s="3" t="s">
        <v>1332</v>
      </c>
      <c r="AB53" s="22">
        <f>2*$AG$47-AB52</f>
        <v>0.51672765744499038</v>
      </c>
      <c r="AC53" s="22">
        <f>2*$AG$47-AC52</f>
        <v>-15.441275700992732</v>
      </c>
      <c r="AD53" s="22">
        <f>2*$AG$47-AD52</f>
        <v>0.51672765744499038</v>
      </c>
      <c r="AE53" s="22">
        <f>2*$AG$47-AE52</f>
        <v>-15.441275700992732</v>
      </c>
      <c r="AF53" s="22"/>
      <c r="AG53" s="22"/>
      <c r="AH53" s="3" t="s">
        <v>1333</v>
      </c>
      <c r="AI53" s="22">
        <f>$R$72*AI46^2+2*$R$74*AI46*AI47+$R$73*AI47^2+$R$75*AI48^2</f>
        <v>1.3993039554765232</v>
      </c>
      <c r="AJ53" s="22">
        <f>$R$72*AJ46^2+2*$R$74*AJ46*AJ47+$R$73*AJ47^2+$R$75*AJ48^2</f>
        <v>3.5652215084653593</v>
      </c>
      <c r="AK53" s="22">
        <f>$R$72*AK46^2+2*$R$74*AK46*AK47+$R$73*AK47^2+$R$75*AK48^2</f>
        <v>1.3993039554765232</v>
      </c>
      <c r="AL53" s="22">
        <f>$R$72*AL46^2+2*$R$74*AL46*AL47+$R$73*AL47^2+$R$75*AL48^2</f>
        <v>3.5652215084653593</v>
      </c>
      <c r="AM53" s="22"/>
    </row>
    <row r="54" spans="12:39">
      <c r="L54" s="3" t="s">
        <v>1547</v>
      </c>
      <c r="M54" s="4">
        <f>M53*(1-M50)/M50</f>
        <v>0.26581818181818179</v>
      </c>
      <c r="N54" s="4">
        <f>N53*(1-N50)/N50</f>
        <v>0.26581818181818179</v>
      </c>
      <c r="O54" s="8">
        <f t="shared" si="18"/>
        <v>1</v>
      </c>
      <c r="Q54" s="4"/>
      <c r="R54" s="4"/>
      <c r="S54" s="4"/>
      <c r="T54" s="3">
        <v>11</v>
      </c>
      <c r="U54" s="5">
        <f>$N$66+$N$67*COS(U45)+$N$68*COS(U46)</f>
        <v>29.630391334008831</v>
      </c>
      <c r="V54" s="5">
        <f>$N$66+$N$67*COS(V45)+$N$68*COS(V46)</f>
        <v>1.6347802115315373</v>
      </c>
      <c r="W54" s="5">
        <f>$N$66+$N$67*COS(W45)+$N$68*COS(W46)</f>
        <v>29.630391334008831</v>
      </c>
      <c r="X54" s="5">
        <f>$N$66+$N$67*COS(X45)+$N$68*COS(X46)</f>
        <v>1.6347802115315373</v>
      </c>
      <c r="Y54" s="5">
        <f t="shared" ref="Y54:Y59" si="19">($U$50*U54+$V$50*V54+$W$50*W54+$X$50*X54)*$Y$51</f>
        <v>0.61592387944714522</v>
      </c>
      <c r="Z54" s="4">
        <f t="shared" ref="Z54:Z59" si="20">Y54/$Y$51</f>
        <v>15.632585772770184</v>
      </c>
      <c r="AA54" s="3" t="s">
        <v>1334</v>
      </c>
      <c r="AB54" s="22">
        <f>2*($AG$49*COS(AB43)-$AG$48*SIN(AB43))</f>
        <v>1.6844438495076047E-16</v>
      </c>
      <c r="AC54" s="22">
        <f>2*($AG$49*COS(AC43)-$AG$48*SIN(AC43))</f>
        <v>1.7866479308508937E-15</v>
      </c>
      <c r="AD54" s="22">
        <f>2*($AG$49*COS(AD43)-$AG$48*SIN(AD43))</f>
        <v>1.6844438495076047E-16</v>
      </c>
      <c r="AE54" s="22">
        <f>2*($AG$49*COS(AE43)-$AG$48*SIN(AE43))</f>
        <v>1.7866479308508937E-15</v>
      </c>
      <c r="AF54" s="22"/>
      <c r="AG54" s="22"/>
      <c r="AH54" s="3" t="s">
        <v>1335</v>
      </c>
      <c r="AI54" s="22">
        <f>$R$76*AI46+$R$77*AI47</f>
        <v>0.58796033557353056</v>
      </c>
      <c r="AJ54" s="22">
        <f>$R$76*AJ46+$R$77*AJ47</f>
        <v>-1.9435826047984157</v>
      </c>
      <c r="AK54" s="22">
        <f>$R$76*AK46+$R$77*AK47</f>
        <v>0.58796033557353056</v>
      </c>
      <c r="AL54" s="22">
        <f>$R$76*AL46+$R$77*AL47</f>
        <v>-1.9435826047984157</v>
      </c>
      <c r="AM54" s="22"/>
    </row>
    <row r="55" spans="12:39">
      <c r="L55" s="3" t="s">
        <v>1548</v>
      </c>
      <c r="M55" s="4">
        <f>1/((1+M54)/M45-M54/M52)</f>
        <v>4.1661199761394414</v>
      </c>
      <c r="N55" s="4">
        <f>M55*R45^$F$35</f>
        <v>4.1661199761394414</v>
      </c>
      <c r="O55" s="8">
        <f t="shared" si="18"/>
        <v>1</v>
      </c>
      <c r="P55" s="2" t="s">
        <v>1148</v>
      </c>
      <c r="Q55" s="4"/>
      <c r="R55" s="4"/>
      <c r="S55" s="4"/>
      <c r="T55" s="3">
        <v>22</v>
      </c>
      <c r="U55" s="5">
        <f>U54-2*$N$67*COS(U45)</f>
        <v>1.6347802115315382</v>
      </c>
      <c r="V55" s="5">
        <f>V54-2*$N$67*COS(V45)</f>
        <v>29.630391334008831</v>
      </c>
      <c r="W55" s="5">
        <f>W54-2*$N$67*COS(W45)</f>
        <v>1.6347802115315382</v>
      </c>
      <c r="X55" s="5">
        <f>X54-2*$N$67*COS(X45)</f>
        <v>29.630391334008831</v>
      </c>
      <c r="Y55" s="5">
        <f t="shared" si="19"/>
        <v>0.61592387944714522</v>
      </c>
      <c r="Z55" s="4">
        <f t="shared" si="20"/>
        <v>15.632585772770184</v>
      </c>
      <c r="AA55" s="3"/>
      <c r="AB55" s="22"/>
      <c r="AC55" s="22"/>
      <c r="AD55" s="22"/>
      <c r="AE55" s="22"/>
      <c r="AF55" s="22"/>
      <c r="AG55" s="22"/>
      <c r="AH55" s="3" t="s">
        <v>1344</v>
      </c>
      <c r="AI55" s="22">
        <f>AI54/2/AI53</f>
        <v>0.2100902856996873</v>
      </c>
      <c r="AJ55" s="22">
        <f>AJ54/2/AJ53</f>
        <v>-0.27257529443591655</v>
      </c>
      <c r="AK55" s="22">
        <f>AK54/2/AK53</f>
        <v>0.2100902856996873</v>
      </c>
      <c r="AL55" s="22">
        <f>AL54/2/AL53</f>
        <v>-0.27257529443591655</v>
      </c>
      <c r="AM55" s="22"/>
    </row>
    <row r="56" spans="12:39">
      <c r="L56" s="3" t="s">
        <v>295</v>
      </c>
      <c r="M56" s="4">
        <f>E35</f>
        <v>0.316</v>
      </c>
      <c r="N56" s="4">
        <f>M56*R45^$G$34</f>
        <v>0.316</v>
      </c>
      <c r="O56" s="8">
        <f t="shared" si="18"/>
        <v>1</v>
      </c>
      <c r="P56" s="3" t="s">
        <v>296</v>
      </c>
      <c r="Q56" s="7">
        <f>A33</f>
        <v>507.98258345428002</v>
      </c>
      <c r="R56" s="7">
        <f>R62*N50</f>
        <v>507.98258345428002</v>
      </c>
      <c r="S56" s="4">
        <f t="shared" ref="S56:S63" si="21">R56/Q56</f>
        <v>1</v>
      </c>
      <c r="T56" s="3" t="s">
        <v>1345</v>
      </c>
      <c r="U56" s="5">
        <f>$N$69-$N$68*COS(U46)</f>
        <v>0.5231296676900925</v>
      </c>
      <c r="V56" s="5">
        <f>$N$69-$N$68*COS(V46)</f>
        <v>0.5231296676900925</v>
      </c>
      <c r="W56" s="5">
        <f>$N$69-$N$68*COS(W46)</f>
        <v>0.5231296676900925</v>
      </c>
      <c r="X56" s="5">
        <f>$N$69-$N$68*COS(X46)</f>
        <v>0.5231296676900925</v>
      </c>
      <c r="Y56" s="5">
        <f t="shared" si="19"/>
        <v>2.0611308906989645E-2</v>
      </c>
      <c r="Z56" s="4">
        <f t="shared" si="20"/>
        <v>0.5231296676900925</v>
      </c>
      <c r="AA56" s="3"/>
      <c r="AB56" s="22"/>
      <c r="AC56" s="22"/>
      <c r="AD56" s="22"/>
      <c r="AE56" s="22"/>
      <c r="AF56" s="22"/>
      <c r="AG56" s="22"/>
      <c r="AH56" s="3"/>
      <c r="AI56" s="22"/>
      <c r="AJ56" s="22"/>
      <c r="AK56" s="22"/>
      <c r="AL56" s="22"/>
      <c r="AM56" s="22"/>
    </row>
    <row r="57" spans="12:39">
      <c r="L57" s="3" t="s">
        <v>301</v>
      </c>
      <c r="M57" s="4">
        <f>M56*(1-M50)/M50</f>
        <v>0.16278787878787876</v>
      </c>
      <c r="N57" s="4">
        <f>N56*(1-N50)/N50</f>
        <v>0.16278787878787876</v>
      </c>
      <c r="O57" s="8">
        <f t="shared" si="18"/>
        <v>1</v>
      </c>
      <c r="P57" s="3" t="s">
        <v>302</v>
      </c>
      <c r="Q57" s="7">
        <f>B33</f>
        <v>223.51233671988001</v>
      </c>
      <c r="R57" s="7">
        <f>Q57*S56*O47^E36</f>
        <v>223.51233671988001</v>
      </c>
      <c r="S57" s="4">
        <f t="shared" si="21"/>
        <v>1</v>
      </c>
      <c r="T57" s="3">
        <v>66</v>
      </c>
      <c r="U57" s="5">
        <f>U56-$N$69+$N$70</f>
        <v>1.2191582002902992</v>
      </c>
      <c r="V57" s="5">
        <f>V56-$N$69+$N$70</f>
        <v>1.2191582002902992</v>
      </c>
      <c r="W57" s="5">
        <f>W56-$N$69+$N$70</f>
        <v>1.2191582002902992</v>
      </c>
      <c r="X57" s="5">
        <f>X56-$N$69+$N$70</f>
        <v>1.2191582002902992</v>
      </c>
      <c r="Y57" s="5">
        <f t="shared" si="19"/>
        <v>4.8034833091437787E-2</v>
      </c>
      <c r="Z57" s="4">
        <f t="shared" si="20"/>
        <v>1.2191582002902992</v>
      </c>
      <c r="AA57" s="3"/>
      <c r="AB57" s="22"/>
      <c r="AC57" s="22"/>
      <c r="AD57" s="22"/>
      <c r="AE57" s="22"/>
      <c r="AF57" s="22"/>
      <c r="AG57" s="22"/>
      <c r="AH57" s="3"/>
      <c r="AI57" s="22"/>
      <c r="AJ57" s="22"/>
      <c r="AK57" s="22"/>
      <c r="AL57" s="22"/>
      <c r="AM57" s="22"/>
    </row>
    <row r="58" spans="12:39">
      <c r="L58" s="3" t="s">
        <v>304</v>
      </c>
      <c r="M58" s="4">
        <f>1/((1+M57)/M47-M57*2.7/M52)</f>
        <v>15.854437503778623</v>
      </c>
      <c r="N58" s="4">
        <f>M58*R45^$G$35</f>
        <v>15.854437503778623</v>
      </c>
      <c r="O58" s="8">
        <f t="shared" si="18"/>
        <v>1</v>
      </c>
      <c r="P58" s="3" t="s">
        <v>305</v>
      </c>
      <c r="Q58" s="7">
        <f>C33</f>
        <v>8.1277213352685003</v>
      </c>
      <c r="R58" s="7">
        <f>Q58*S63</f>
        <v>8.1277213352685003</v>
      </c>
      <c r="S58" s="4">
        <f t="shared" si="21"/>
        <v>1</v>
      </c>
      <c r="T58" s="3" t="s">
        <v>1347</v>
      </c>
      <c r="U58" s="5">
        <f>$N$67*SIN(U45)/2+$N$68*SIN(U46)</f>
        <v>0</v>
      </c>
      <c r="V58" s="5">
        <f>$N$67*SIN(V45)/2+$N$68*SIN(V46)</f>
        <v>8.1268131228199808E-17</v>
      </c>
      <c r="W58" s="5">
        <f>$N$67*SIN(W45)/2+$N$68*SIN(W46)</f>
        <v>0</v>
      </c>
      <c r="X58" s="5">
        <f>$N$67*SIN(X45)/2+$N$68*SIN(X46)</f>
        <v>8.1268131228199808E-17</v>
      </c>
      <c r="Y58" s="5">
        <f t="shared" si="19"/>
        <v>1.6009821851955362E-18</v>
      </c>
      <c r="Z58" s="4">
        <f t="shared" si="20"/>
        <v>4.0634065614099904E-17</v>
      </c>
      <c r="AB58" s="22"/>
      <c r="AC58" s="22"/>
      <c r="AD58" s="22"/>
      <c r="AE58" s="22"/>
      <c r="AF58" s="22"/>
      <c r="AG58" s="22"/>
      <c r="AH58" s="3"/>
      <c r="AI58" s="22"/>
      <c r="AJ58" s="22"/>
      <c r="AK58" s="22"/>
      <c r="AL58" s="22"/>
      <c r="AM58" s="16" t="s">
        <v>574</v>
      </c>
    </row>
    <row r="59" spans="12:39">
      <c r="N59" s="4"/>
      <c r="P59" s="3" t="s">
        <v>1542</v>
      </c>
      <c r="Q59" s="7">
        <f>D33</f>
        <v>21.770682148041001</v>
      </c>
      <c r="R59" s="7">
        <f>Q59*S63</f>
        <v>21.770682148041001</v>
      </c>
      <c r="S59" s="4">
        <f t="shared" si="21"/>
        <v>1</v>
      </c>
      <c r="T59" s="3" t="s">
        <v>1349</v>
      </c>
      <c r="U59" s="5">
        <f>$N$67*SIN(U45)-U58</f>
        <v>0</v>
      </c>
      <c r="V59" s="5">
        <f>$N$67*SIN(V45)-V58</f>
        <v>1.6336708543180818E-15</v>
      </c>
      <c r="W59" s="5">
        <f>$N$67*SIN(W45)-W58</f>
        <v>0</v>
      </c>
      <c r="X59" s="5">
        <f>$N$67*SIN(X45)-X58</f>
        <v>1.6336708543180818E-15</v>
      </c>
      <c r="Y59" s="5">
        <f t="shared" si="19"/>
        <v>3.2183315830066211E-17</v>
      </c>
      <c r="Z59" s="4">
        <f t="shared" si="20"/>
        <v>8.1683542715904092E-16</v>
      </c>
      <c r="AA59" s="2" t="s">
        <v>1158</v>
      </c>
      <c r="AB59" s="16" t="s">
        <v>569</v>
      </c>
      <c r="AC59" s="22"/>
      <c r="AD59" s="16" t="s">
        <v>570</v>
      </c>
      <c r="AE59" s="22"/>
      <c r="AG59" s="22"/>
      <c r="AH59" s="3" t="s">
        <v>1351</v>
      </c>
      <c r="AI59" s="11">
        <f>(AI55^2+1/AI53)^0.5-AI55</f>
        <v>0.66098889774738656</v>
      </c>
      <c r="AJ59" s="11">
        <f>(AJ55^2+1/AJ53)^0.5-AJ55</f>
        <v>0.86821341620462822</v>
      </c>
      <c r="AK59" s="11">
        <f>(AK55^2+1/AK53)^0.5-AK55</f>
        <v>0.66098889774738656</v>
      </c>
      <c r="AL59" s="11">
        <f>(AL55^2+1/AL53)^0.5-AL55</f>
        <v>0.86821341620462822</v>
      </c>
      <c r="AM59" s="11">
        <f>MIN(AI60:AL60)</f>
        <v>0.66098889774738656</v>
      </c>
    </row>
    <row r="60" spans="12:39">
      <c r="L60" s="2" t="s">
        <v>1507</v>
      </c>
      <c r="P60" s="3" t="s">
        <v>1543</v>
      </c>
      <c r="Q60" s="25">
        <f>E33</f>
        <v>14.223512336720001</v>
      </c>
      <c r="R60" s="25">
        <f>Q60*S63</f>
        <v>14.223512336720001</v>
      </c>
      <c r="S60" s="4">
        <f t="shared" si="21"/>
        <v>1</v>
      </c>
      <c r="T60" s="1"/>
      <c r="X60" s="6" t="s">
        <v>1353</v>
      </c>
      <c r="Y60" s="5">
        <f>Y54*Y55*Y57+2*Y56*Y58*Y59-Y55*Y58^2-Y57*Y56^2-Y54*Y59^2</f>
        <v>1.8202194723557556E-2</v>
      </c>
      <c r="AA60" s="3">
        <v>1</v>
      </c>
      <c r="AB60" s="22">
        <f>AB47/$AG$4</f>
        <v>-241.11675126903549</v>
      </c>
      <c r="AC60" s="22"/>
      <c r="AD60" s="22">
        <f>AD47+AE47*$AG$4/2</f>
        <v>-15.441275700992732</v>
      </c>
      <c r="AE60" s="22"/>
      <c r="AG60" s="22"/>
      <c r="AH60" s="3"/>
      <c r="AI60" s="11">
        <f>IF(AI42=0,1000000000,AI59)</f>
        <v>0.66098889774738656</v>
      </c>
      <c r="AJ60" s="11">
        <f>IF(AJ42=0,1000000000,AJ59)</f>
        <v>0.86821341620462822</v>
      </c>
      <c r="AK60" s="11">
        <f>IF(AK42=0,1000000000,AK59)</f>
        <v>0.66098889774738656</v>
      </c>
      <c r="AL60" s="11">
        <f>IF(AL42=0,1000000000,AL59)</f>
        <v>0.86821341620462822</v>
      </c>
    </row>
    <row r="61" spans="12:39">
      <c r="L61" s="3" t="s">
        <v>1354</v>
      </c>
      <c r="M61" s="4">
        <f>M44/(1-M46^2*M45/M44)</f>
        <v>29.630391334008831</v>
      </c>
      <c r="N61" s="4">
        <f>N44/(1-N46^2*N45/N44)</f>
        <v>29.630391334008831</v>
      </c>
      <c r="O61" s="8">
        <f>N61/M61</f>
        <v>1</v>
      </c>
      <c r="P61" s="3" t="s">
        <v>1168</v>
      </c>
      <c r="Q61" s="8">
        <f>A34</f>
        <v>-0.5</v>
      </c>
      <c r="R61" s="8">
        <f>Q61*I22</f>
        <v>-0.5</v>
      </c>
      <c r="S61" s="4">
        <f t="shared" si="21"/>
        <v>1</v>
      </c>
      <c r="T61" s="3" t="s">
        <v>1355</v>
      </c>
      <c r="U61" s="6" t="s">
        <v>1169</v>
      </c>
      <c r="V61" s="6"/>
      <c r="W61" s="6" t="s">
        <v>1357</v>
      </c>
      <c r="X61" s="6"/>
      <c r="Y61" s="6" t="s">
        <v>1358</v>
      </c>
      <c r="Z61" s="6"/>
      <c r="AA61" s="3">
        <v>2</v>
      </c>
      <c r="AB61" s="22">
        <f>AB48/$AG$4</f>
        <v>0</v>
      </c>
      <c r="AC61" s="22"/>
      <c r="AD61" s="22">
        <f>AD48+AE48*$AG$4/2</f>
        <v>0.51672765744499083</v>
      </c>
      <c r="AE61" s="22"/>
      <c r="AG61" s="22"/>
      <c r="AH61" s="2" t="s">
        <v>1360</v>
      </c>
      <c r="AI61" s="11">
        <f>IF(AI42=0,0,AI59)</f>
        <v>0.66098889774738656</v>
      </c>
      <c r="AJ61" s="11">
        <f>IF(AJ42=0,0,AJ59)</f>
        <v>0.86821341620462822</v>
      </c>
      <c r="AK61" s="11">
        <f>IF(AK42=0,0,AK59)</f>
        <v>0.66098889774738656</v>
      </c>
      <c r="AL61" s="11">
        <f>IF(AL42=0,0,AL59)</f>
        <v>0.86821341620462822</v>
      </c>
    </row>
    <row r="62" spans="12:39">
      <c r="L62" s="3" t="s">
        <v>1361</v>
      </c>
      <c r="M62" s="4">
        <f>M61*M45/M44</f>
        <v>1.6347802115315391</v>
      </c>
      <c r="N62" s="4">
        <f>N61*N45/N44</f>
        <v>1.6347802115315391</v>
      </c>
      <c r="O62" s="8">
        <f>N62/M62</f>
        <v>1</v>
      </c>
      <c r="P62" s="3" t="s">
        <v>1175</v>
      </c>
      <c r="Q62" s="7">
        <f>Q56/M50</f>
        <v>769.67058099133328</v>
      </c>
      <c r="R62" s="7">
        <f>$H$22*R45^$G$35</f>
        <v>769.67058099133328</v>
      </c>
      <c r="S62" s="4">
        <f t="shared" si="21"/>
        <v>1</v>
      </c>
      <c r="T62" s="3">
        <v>11</v>
      </c>
      <c r="U62" s="5">
        <f>(Y55*Y57-Y59^2)/Y60</f>
        <v>1.6253974422097615</v>
      </c>
      <c r="W62" s="5">
        <f t="shared" ref="W62:W67" si="22">U62*$Y$51</f>
        <v>6.4040659223064594E-2</v>
      </c>
      <c r="X62" s="5"/>
      <c r="Y62" s="4">
        <f>1/W62</f>
        <v>15.615079734217423</v>
      </c>
      <c r="AA62" s="3">
        <v>6</v>
      </c>
      <c r="AB62" s="22">
        <f>AB49/$AG$4</f>
        <v>0</v>
      </c>
      <c r="AC62" s="22"/>
      <c r="AD62" s="22">
        <f>AD49+AE49*$AG$4/2</f>
        <v>1.6844438495076047E-16</v>
      </c>
      <c r="AE62" s="22"/>
      <c r="AG62" s="22"/>
      <c r="AH62" s="3" t="s">
        <v>1364</v>
      </c>
      <c r="AI62" s="26">
        <f>$AM$46+$AM$47*COS(AI43)+$AM$48*SIN(AI43)-$X$76</f>
        <v>1.0685555274476431E-5</v>
      </c>
      <c r="AJ62" s="22">
        <f>$AM$46+$AM$47*COS(AJ43)+$AM$48*SIN(AJ43)-$X$76</f>
        <v>1.0685555274476431E-5</v>
      </c>
      <c r="AK62" s="26">
        <f>$AM$46+$AM$47*COS(AK43)+$AM$48*SIN(AK43)-$X$76</f>
        <v>1.0685555274476431E-5</v>
      </c>
      <c r="AL62" s="26">
        <f>$AM$46+$AM$47*COS(AL43)+$AM$48*SIN(AL43)-$X$76</f>
        <v>1.0685555274476431E-5</v>
      </c>
      <c r="AM62" s="22"/>
    </row>
    <row r="63" spans="12:39">
      <c r="L63" s="3" t="s">
        <v>1365</v>
      </c>
      <c r="M63" s="4">
        <f>M62*M46</f>
        <v>0.5231296676900925</v>
      </c>
      <c r="N63" s="4">
        <f>N62*N46</f>
        <v>0.5231296676900925</v>
      </c>
      <c r="O63" s="8">
        <f>N63/M63</f>
        <v>1</v>
      </c>
      <c r="P63" s="3" t="s">
        <v>1176</v>
      </c>
      <c r="Q63" s="7">
        <f>Q58</f>
        <v>8.1277213352685003</v>
      </c>
      <c r="R63" s="7">
        <f>$G$22*R45^$H$34</f>
        <v>8.1277213352685003</v>
      </c>
      <c r="S63" s="4">
        <f t="shared" si="21"/>
        <v>1</v>
      </c>
      <c r="T63" s="3">
        <v>22</v>
      </c>
      <c r="U63" s="5">
        <f>(Y54*Y57-Y58^2)/Y60</f>
        <v>1.6253974422097615</v>
      </c>
      <c r="W63" s="5">
        <f t="shared" si="22"/>
        <v>6.4040659223064594E-2</v>
      </c>
      <c r="X63" s="5"/>
      <c r="Y63" s="4">
        <f>1/W63</f>
        <v>15.615079734217423</v>
      </c>
      <c r="AA63" s="3" t="s">
        <v>1177</v>
      </c>
      <c r="AB63" s="22">
        <f>(AB60^2-AB60*AB61+AB61^2+3*AB62^2)^0.5</f>
        <v>241.11675126903549</v>
      </c>
      <c r="AC63" s="22"/>
      <c r="AD63" s="22">
        <f>(AD60^2+AD61^2+AD62^2/2)^0.5</f>
        <v>15.449919182508275</v>
      </c>
      <c r="AE63" s="22"/>
      <c r="AG63" s="22"/>
      <c r="AH63" s="3" t="s">
        <v>1367</v>
      </c>
      <c r="AI63" s="22">
        <f>2*$AM$46-AI62-$X$77-$X$76</f>
        <v>-1.4931444472554299E-4</v>
      </c>
      <c r="AJ63" s="22">
        <f>2*$AM$46-AJ62-$X$77-$X$76</f>
        <v>-1.4931444472554299E-4</v>
      </c>
      <c r="AK63" s="22">
        <f>2*$AM$46-AK62-$X$77-$X$76</f>
        <v>-1.4931444472554299E-4</v>
      </c>
      <c r="AL63" s="22">
        <f>2*$AM$46-AL62-$X$77-$X$76</f>
        <v>-1.4931444472554299E-4</v>
      </c>
      <c r="AM63" s="22"/>
    </row>
    <row r="64" spans="12:39">
      <c r="L64" s="3" t="s">
        <v>1370</v>
      </c>
      <c r="M64" s="4">
        <f>M47</f>
        <v>1.2191582002903001</v>
      </c>
      <c r="N64" s="4">
        <f>N47</f>
        <v>1.2191582002903001</v>
      </c>
      <c r="O64" s="8">
        <f>N64/M64</f>
        <v>1</v>
      </c>
      <c r="T64" s="3" t="s">
        <v>1345</v>
      </c>
      <c r="U64" s="5">
        <f>(Y58*Y59-Y56*Y57)/Y60</f>
        <v>-5.4392384994209571E-2</v>
      </c>
      <c r="W64" s="5">
        <f t="shared" si="22"/>
        <v>-2.1430599687718571E-3</v>
      </c>
      <c r="X64" s="5"/>
      <c r="Y64" s="4">
        <f>-W64/W62</f>
        <v>3.346405228758205E-2</v>
      </c>
      <c r="AA64" s="3"/>
      <c r="AB64" s="3" t="s">
        <v>1178</v>
      </c>
      <c r="AC64" s="16">
        <f>AB63</f>
        <v>241.11675126903549</v>
      </c>
      <c r="AD64" s="16" t="s">
        <v>1179</v>
      </c>
      <c r="AE64" s="22">
        <f>AD63</f>
        <v>15.449919182508275</v>
      </c>
      <c r="AG64" s="22"/>
      <c r="AH64" s="3" t="s">
        <v>1372</v>
      </c>
      <c r="AI64" s="26">
        <f>2*($AM$48*COS(AI43)-$AM$47*SIN(AI43))</f>
        <v>-1.1983912705069072E-20</v>
      </c>
      <c r="AJ64" s="22">
        <f>2*($AM$48*COS(AJ43)-$AM$47*SIN(AJ43))</f>
        <v>1.1983912705069072E-20</v>
      </c>
      <c r="AK64" s="26">
        <f>2*($AM$48*COS(AK43)-$AM$47*SIN(AK43))</f>
        <v>-1.1983912705069072E-20</v>
      </c>
      <c r="AL64" s="26">
        <f>2*($AM$48*COS(AL43)-$AM$47*SIN(AL43))</f>
        <v>1.1983912705069072E-20</v>
      </c>
      <c r="AM64" s="22"/>
    </row>
    <row r="65" spans="12:39">
      <c r="L65" s="2" t="s">
        <v>1510</v>
      </c>
      <c r="M65" s="4"/>
      <c r="N65" s="4"/>
      <c r="P65" s="2" t="s">
        <v>1375</v>
      </c>
      <c r="T65" s="3">
        <v>66</v>
      </c>
      <c r="U65" s="5">
        <f>(Y54*Y55-Y56^2)/Y60</f>
        <v>20.818225767463947</v>
      </c>
      <c r="W65" s="5">
        <f t="shared" si="22"/>
        <v>0.82023809523807945</v>
      </c>
      <c r="X65" s="5"/>
      <c r="Y65" s="4">
        <f>1/W65</f>
        <v>1.2191582002902992</v>
      </c>
      <c r="AG65" s="22"/>
      <c r="AH65" s="22"/>
      <c r="AI65" s="22"/>
      <c r="AJ65" s="22"/>
      <c r="AK65" s="22"/>
      <c r="AL65" s="22"/>
      <c r="AM65" s="22"/>
    </row>
    <row r="66" spans="12:39">
      <c r="L66" s="3" t="s">
        <v>1380</v>
      </c>
      <c r="M66" s="4">
        <f>(3*M61+3*M62+2*M63+4*M64)/8</f>
        <v>12.464800846645311</v>
      </c>
      <c r="N66" s="4">
        <f>(3*N61+3*N62+2*N63+4*N64)/8</f>
        <v>12.464800846645311</v>
      </c>
      <c r="O66" s="8">
        <f>N66/M66</f>
        <v>1</v>
      </c>
      <c r="P66" s="3" t="s">
        <v>1381</v>
      </c>
      <c r="Q66" s="4">
        <f>1/Q56/Q57*1000000</f>
        <v>8.8074397031541682</v>
      </c>
      <c r="R66" s="4">
        <f>1/R56/R57*1000000</f>
        <v>8.8074397031541682</v>
      </c>
      <c r="S66" s="4">
        <f t="shared" ref="S66:S77" si="23">R66/Q66</f>
        <v>1</v>
      </c>
      <c r="T66" s="3" t="s">
        <v>1347</v>
      </c>
      <c r="U66" s="5">
        <f>(Y56*Y59-Y55*Y58)/Y60</f>
        <v>-1.7730987889553737E-17</v>
      </c>
      <c r="W66" s="5">
        <f t="shared" si="22"/>
        <v>-6.9860092284841718E-19</v>
      </c>
      <c r="X66" s="5"/>
      <c r="Y66" s="4">
        <f>W66/W62</f>
        <v>-1.0908709112675909E-17</v>
      </c>
      <c r="AB66" s="3" t="s">
        <v>1181</v>
      </c>
      <c r="AC66" s="3" t="s">
        <v>1182</v>
      </c>
      <c r="AD66" s="3" t="s">
        <v>1183</v>
      </c>
      <c r="AG66" s="22"/>
      <c r="AH66" s="16" t="s">
        <v>1383</v>
      </c>
      <c r="AI66" s="26">
        <f>$R$72*AI62^2+2*$R$74*AI62*AI63+$R$73*AI63^2+$R$75*AI64^2</f>
        <v>3.3467608132940871E-4</v>
      </c>
      <c r="AJ66" s="22">
        <f>$R$72*AJ62^2+2*$R$74*AJ62*AJ63+$R$73*AJ63^2+$R$75*AJ64^2</f>
        <v>3.3467608132940871E-4</v>
      </c>
      <c r="AK66" s="26">
        <f>$R$72*AK62^2+2*$R$74*AK62*AK63+$R$73*AK63^2+$R$75*AK64^2</f>
        <v>3.3467608132940871E-4</v>
      </c>
      <c r="AL66" s="26">
        <f>$R$72*AL62^2+2*$R$74*AL62*AL63+$R$73*AL63^2+$R$75*AL64^2</f>
        <v>3.3467608132940871E-4</v>
      </c>
      <c r="AM66" s="22"/>
    </row>
    <row r="67" spans="12:39">
      <c r="L67" s="3" t="s">
        <v>1384</v>
      </c>
      <c r="M67" s="4">
        <f>(M61-M62)/2</f>
        <v>13.997805561238646</v>
      </c>
      <c r="N67" s="4">
        <f>(N61-N62)/2</f>
        <v>13.997805561238646</v>
      </c>
      <c r="O67" s="8">
        <f>N67/M67</f>
        <v>1</v>
      </c>
      <c r="P67" s="3" t="s">
        <v>1385</v>
      </c>
      <c r="Q67" s="4">
        <f>1/Q58/Q59*1000000</f>
        <v>5651.4404761903852</v>
      </c>
      <c r="R67" s="4">
        <f>1/R58/R59*1000000</f>
        <v>5651.4404761903852</v>
      </c>
      <c r="S67" s="4">
        <f t="shared" si="23"/>
        <v>1</v>
      </c>
      <c r="T67" s="3" t="s">
        <v>1349</v>
      </c>
      <c r="U67" s="5">
        <f>(Y56*Y58-Y54*Y59)/Y60</f>
        <v>-1.0872026533999009E-15</v>
      </c>
      <c r="W67" s="5">
        <f t="shared" si="22"/>
        <v>-4.2835784543956094E-17</v>
      </c>
      <c r="X67" s="5"/>
      <c r="Y67" s="4">
        <f>W67/W63</f>
        <v>-6.6888419113163267E-16</v>
      </c>
      <c r="AA67" s="3" t="s">
        <v>41</v>
      </c>
      <c r="AB67" s="7">
        <f>A36</f>
        <v>0.04</v>
      </c>
      <c r="AC67" s="7">
        <v>69</v>
      </c>
      <c r="AD67" s="7">
        <v>210</v>
      </c>
      <c r="AG67" s="22"/>
      <c r="AH67" s="16" t="s">
        <v>1387</v>
      </c>
      <c r="AI67" s="26">
        <f>$R$76*AI62+$R$77*AI63</f>
        <v>-1.8986975752978755E-2</v>
      </c>
      <c r="AJ67" s="22">
        <f>$R$76*AJ62+$R$77*AJ63</f>
        <v>-1.8986975752978755E-2</v>
      </c>
      <c r="AK67" s="26">
        <f>$R$76*AK62+$R$77*AK63</f>
        <v>-1.8986975752978755E-2</v>
      </c>
      <c r="AL67" s="26">
        <f>$R$76*AL62+$R$77*AL63</f>
        <v>-1.8986975752978755E-2</v>
      </c>
      <c r="AM67" s="22"/>
    </row>
    <row r="68" spans="12:39">
      <c r="L68" s="3" t="s">
        <v>1388</v>
      </c>
      <c r="M68" s="4">
        <f>(M61+M62-2*M63-4*M64)/8</f>
        <v>3.1677849261248729</v>
      </c>
      <c r="N68" s="4">
        <f>(N61+N62-2*N63-4*N64)/8</f>
        <v>3.1677849261248729</v>
      </c>
      <c r="O68" s="8">
        <f>N68/M68</f>
        <v>1</v>
      </c>
      <c r="P68" s="3" t="s">
        <v>1389</v>
      </c>
      <c r="Q68" s="4">
        <f>Q61*(Q66*Q67)^0.5</f>
        <v>-111.55124520821327</v>
      </c>
      <c r="R68" s="4">
        <f>R61*(R66*R67)^0.5</f>
        <v>-111.55124520821327</v>
      </c>
      <c r="S68" s="4">
        <f t="shared" si="23"/>
        <v>1</v>
      </c>
      <c r="W68" s="5"/>
      <c r="X68" s="5"/>
      <c r="Y68" s="6"/>
      <c r="AA68" s="3" t="s">
        <v>296</v>
      </c>
      <c r="AB68" s="7">
        <f>B36</f>
        <v>0.01</v>
      </c>
      <c r="AC68" s="7">
        <v>200</v>
      </c>
      <c r="AD68" s="7">
        <v>400</v>
      </c>
      <c r="AG68" s="22"/>
      <c r="AH68" s="16" t="s">
        <v>1390</v>
      </c>
      <c r="AI68" s="26">
        <f>AI66+AI67</f>
        <v>-1.8652299671649348E-2</v>
      </c>
      <c r="AJ68" s="22">
        <f>AJ66+AJ67</f>
        <v>-1.8652299671649348E-2</v>
      </c>
      <c r="AK68" s="26">
        <f>AK66+AK67</f>
        <v>-1.8652299671649348E-2</v>
      </c>
      <c r="AL68" s="26">
        <f>AL66+AL67</f>
        <v>-1.8652299671649348E-2</v>
      </c>
      <c r="AM68" s="22"/>
    </row>
    <row r="69" spans="12:39">
      <c r="L69" s="3" t="s">
        <v>1391</v>
      </c>
      <c r="M69" s="4">
        <f>(M61+M62+6*M63-4*M64)/8</f>
        <v>3.6909145938149654</v>
      </c>
      <c r="N69" s="4">
        <f>(N61+N62+6*N63-4*N64)/8</f>
        <v>3.6909145938149654</v>
      </c>
      <c r="O69" s="8">
        <f>N69/M69</f>
        <v>1</v>
      </c>
      <c r="P69" s="3" t="s">
        <v>1392</v>
      </c>
      <c r="Q69" s="4">
        <f>1/Q60^2*1000000</f>
        <v>4942.9508538108312</v>
      </c>
      <c r="R69" s="4">
        <f>1/R60^2*1000000</f>
        <v>4942.9508538108312</v>
      </c>
      <c r="S69" s="4">
        <f t="shared" si="23"/>
        <v>1</v>
      </c>
      <c r="T69" s="1" t="s">
        <v>1185</v>
      </c>
      <c r="W69" s="5"/>
      <c r="X69" s="5"/>
      <c r="Y69" s="6" t="s">
        <v>1394</v>
      </c>
      <c r="AA69" s="3" t="s">
        <v>1187</v>
      </c>
      <c r="AB69" s="12">
        <f>D34</f>
        <v>1.6</v>
      </c>
      <c r="AC69" s="12">
        <v>2.7</v>
      </c>
      <c r="AD69" s="12">
        <v>7.8</v>
      </c>
      <c r="AG69" s="22"/>
      <c r="AH69" s="16" t="s">
        <v>1395</v>
      </c>
      <c r="AI69" s="22">
        <f>-1+AI68</f>
        <v>-1.0186522996716494</v>
      </c>
      <c r="AJ69" s="22">
        <f>-1+AJ68</f>
        <v>-1.0186522996716494</v>
      </c>
      <c r="AK69" s="22">
        <f>-1+AK68</f>
        <v>-1.0186522996716494</v>
      </c>
      <c r="AL69" s="22">
        <f>-1+AL68</f>
        <v>-1.0186522996716494</v>
      </c>
      <c r="AM69" s="22"/>
    </row>
    <row r="70" spans="12:39">
      <c r="L70" s="3" t="s">
        <v>1396</v>
      </c>
      <c r="M70" s="4">
        <f>(M66-M69)/2</f>
        <v>4.3869431264151721</v>
      </c>
      <c r="N70" s="4">
        <f>(N66-N69)/2</f>
        <v>4.3869431264151721</v>
      </c>
      <c r="O70" s="8">
        <f>N70/M70</f>
        <v>1</v>
      </c>
      <c r="P70" s="3" t="s">
        <v>1397</v>
      </c>
      <c r="Q70" s="4">
        <f>(1/Q56-1/Q57)*1000</f>
        <v>-2.5054545454546173</v>
      </c>
      <c r="R70" s="4">
        <f>(1/R56-1/R57)*1000</f>
        <v>-2.5054545454546173</v>
      </c>
      <c r="S70" s="4">
        <f t="shared" si="23"/>
        <v>1</v>
      </c>
      <c r="T70" s="3" t="s">
        <v>1398</v>
      </c>
      <c r="U70" s="11">
        <f>U50*COS(U45)</f>
        <v>0.25</v>
      </c>
      <c r="V70" s="11">
        <f>V50*COS(V45)</f>
        <v>-0.25</v>
      </c>
      <c r="W70" s="11">
        <f>W50*COS(W45)</f>
        <v>0.25</v>
      </c>
      <c r="X70" s="11">
        <f>X50*COS(X45)</f>
        <v>-0.25</v>
      </c>
      <c r="Y70" s="11">
        <f>(U70+V70+W70+X70)</f>
        <v>0</v>
      </c>
      <c r="AA70" s="3" t="s">
        <v>1188</v>
      </c>
      <c r="AB70" s="7">
        <f>AB68/$AC$25*1000000</f>
        <v>37.523809523809526</v>
      </c>
      <c r="AC70" s="7">
        <f>AC68/$AC$25*1000000</f>
        <v>750476.19047619053</v>
      </c>
      <c r="AD70" s="7">
        <f>AD68/$AC$25*1000000</f>
        <v>1500952.3809523811</v>
      </c>
      <c r="AG70" s="22"/>
      <c r="AH70" s="16" t="s">
        <v>1399</v>
      </c>
      <c r="AI70" s="22">
        <f>2*($R$72*AI46*AI62+$R$73*AI47*AI63+$R$74*(AI46*AI63+AI62*AI47)+$R$75*AI48*AI64)</f>
        <v>-6.3687275184587657E-3</v>
      </c>
      <c r="AJ70" s="22">
        <f>2*($R$72*AJ46*AJ62+$R$73*AJ47*AJ63+$R$74*(AJ46*AJ63+AJ62*AJ47)+$R$75*AJ48*AJ64)</f>
        <v>6.9065941690986093E-2</v>
      </c>
      <c r="AK70" s="22">
        <f>2*($R$72*AK46*AK62+$R$73*AK47*AK63+$R$74*(AK46*AK63+AK62*AK47)+$R$75*AK48*AK64)</f>
        <v>-6.3687275184587657E-3</v>
      </c>
      <c r="AL70" s="22">
        <f>2*($R$72*AL46*AL62+$R$73*AL47*AL63+$R$74*(AL46*AL63+AL62*AL47)+$R$75*AL48*AL64)</f>
        <v>6.9065941690986093E-2</v>
      </c>
      <c r="AM70" s="22"/>
    </row>
    <row r="71" spans="12:39">
      <c r="L71" s="2" t="s">
        <v>1400</v>
      </c>
      <c r="P71" s="3" t="s">
        <v>1401</v>
      </c>
      <c r="Q71" s="4">
        <f>(1/Q58-1/Q59)*1000</f>
        <v>77.102380952381779</v>
      </c>
      <c r="R71" s="4">
        <f>(1/R58-1/R59)*1000</f>
        <v>77.102380952381779</v>
      </c>
      <c r="S71" s="4">
        <f t="shared" si="23"/>
        <v>1</v>
      </c>
      <c r="T71" s="3" t="s">
        <v>1402</v>
      </c>
      <c r="U71" s="11">
        <f>U50*SIN(U45)</f>
        <v>0</v>
      </c>
      <c r="V71" s="11">
        <f>V50*SIN(V45)</f>
        <v>3.06287113727155E-17</v>
      </c>
      <c r="W71" s="11">
        <f>W50*SIN(W45)</f>
        <v>0</v>
      </c>
      <c r="X71" s="11">
        <f>X50*SIN(X45)</f>
        <v>3.06287113727155E-17</v>
      </c>
      <c r="Y71" s="11">
        <f>(U71+V71+W71+X71)</f>
        <v>6.1257422745431001E-17</v>
      </c>
      <c r="AA71" s="3" t="s">
        <v>1189</v>
      </c>
      <c r="AB71" s="7">
        <f>1</f>
        <v>1</v>
      </c>
      <c r="AC71" s="7">
        <f>AC69/AB69</f>
        <v>1.6875</v>
      </c>
      <c r="AD71" s="7">
        <f>AD69/AB69</f>
        <v>4.875</v>
      </c>
      <c r="AH71" s="16" t="s">
        <v>1403</v>
      </c>
      <c r="AI71" s="26">
        <f>AI70+AI54</f>
        <v>0.58159160805507182</v>
      </c>
      <c r="AJ71" s="22">
        <f>AJ70+AJ54</f>
        <v>-1.8745166631074297</v>
      </c>
      <c r="AK71" s="26">
        <f>AK70+AK54</f>
        <v>0.58159160805507182</v>
      </c>
      <c r="AL71" s="26">
        <f>AL70+AL54</f>
        <v>-1.8745166631074297</v>
      </c>
      <c r="AM71" s="22"/>
    </row>
    <row r="72" spans="12:39">
      <c r="L72" s="3" t="s">
        <v>1404</v>
      </c>
      <c r="M72" s="4">
        <f>(1-(M69/M66)^2)*M66</f>
        <v>11.371895255417781</v>
      </c>
      <c r="N72" s="4">
        <f>(1-(N69/N66)^2)*N66</f>
        <v>11.371895255417781</v>
      </c>
      <c r="O72" s="4">
        <f>N72/M72</f>
        <v>1</v>
      </c>
      <c r="P72" s="3" t="s">
        <v>1405</v>
      </c>
      <c r="Q72" s="7">
        <f>(Q66*M61^2+2*Q68*M61*M63+Q67*M63^2)</f>
        <v>5820.971678638949</v>
      </c>
      <c r="R72" s="7">
        <f>(R66*N61^2+2*R68*N61*N63+R67*N63^2)</f>
        <v>5820.971678638949</v>
      </c>
      <c r="S72" s="4">
        <f t="shared" si="23"/>
        <v>1</v>
      </c>
      <c r="T72" s="3"/>
      <c r="U72" s="6" t="s">
        <v>1406</v>
      </c>
      <c r="V72" s="6" t="s">
        <v>1407</v>
      </c>
      <c r="W72" s="6" t="s">
        <v>1408</v>
      </c>
      <c r="X72" s="6" t="s">
        <v>1409</v>
      </c>
      <c r="Y72" s="6" t="s">
        <v>1410</v>
      </c>
      <c r="Z72" s="6" t="s">
        <v>1411</v>
      </c>
      <c r="AA72" s="3" t="s">
        <v>1190</v>
      </c>
      <c r="AB72" s="5">
        <f>$AC$64*1.04/AB67/1000000000</f>
        <v>6.2690355329949225E-6</v>
      </c>
      <c r="AC72" s="5">
        <f>$AC$64*1.04/AC67/1000000000</f>
        <v>3.634223497388361E-9</v>
      </c>
      <c r="AD72" s="5">
        <f>$AC$64*1.04/AD67/1000000000</f>
        <v>1.1941020062847471E-9</v>
      </c>
      <c r="AH72" s="16" t="s">
        <v>1412</v>
      </c>
      <c r="AI72" s="26">
        <f>AI71/2/AI53</f>
        <v>0.20781460874846697</v>
      </c>
      <c r="AJ72" s="22">
        <f>AJ71/2/AJ53</f>
        <v>-0.26288922843314588</v>
      </c>
      <c r="AK72" s="26">
        <f>AK71/2/AK53</f>
        <v>0.20781460874846697</v>
      </c>
      <c r="AL72" s="26">
        <f>AL71/2/AL53</f>
        <v>-0.26288922843314588</v>
      </c>
      <c r="AM72" s="22"/>
    </row>
    <row r="73" spans="12:39">
      <c r="L73" s="3" t="s">
        <v>1414</v>
      </c>
      <c r="M73" s="4">
        <f>M69/M66</f>
        <v>0.29610698471835695</v>
      </c>
      <c r="N73" s="4">
        <f>N69/N66</f>
        <v>0.29610698471835695</v>
      </c>
      <c r="O73" s="4">
        <f>N73/M73</f>
        <v>1</v>
      </c>
      <c r="P73" s="3" t="s">
        <v>1415</v>
      </c>
      <c r="Q73" s="7">
        <f>(Q66*M63^2+2*Q68*M63*M62+Q67*M62^2)</f>
        <v>14915.12308529811</v>
      </c>
      <c r="R73" s="7">
        <f>(R66*N63^2+2*R68*N63*N62+R67*N62^2)</f>
        <v>14915.12308529811</v>
      </c>
      <c r="S73" s="4">
        <f t="shared" si="23"/>
        <v>1</v>
      </c>
      <c r="T73" s="3">
        <v>1</v>
      </c>
      <c r="U73" s="5">
        <f>(($N$61+$N$63)/2*$R$49+($N$63+$N$62)/2*$R$50)/1000000</f>
        <v>1.4330892029338213E-5</v>
      </c>
      <c r="V73" s="5">
        <f>(($N$61+$N$63)/2*$R$52+($N$63+$N$62)/2*$R$53)</f>
        <v>0.64737296376648945</v>
      </c>
      <c r="W73" s="5">
        <f>U73+U74*Y70</f>
        <v>1.4330892029338213E-5</v>
      </c>
      <c r="X73" s="5">
        <f>V73+V74*Y70</f>
        <v>0.64737296376648945</v>
      </c>
      <c r="Y73" s="5">
        <f>(W73*W62+W74*W64+W75*W66)*1000000</f>
        <v>0.88704781178851466</v>
      </c>
      <c r="Z73" s="5">
        <f>(X73*W62+X74*W64+X75*W66)</f>
        <v>4.0070832279281932E-2</v>
      </c>
      <c r="AA73" s="3"/>
      <c r="AH73" s="16"/>
      <c r="AI73" s="26"/>
      <c r="AJ73" s="22"/>
      <c r="AK73" s="22"/>
      <c r="AL73" s="22"/>
      <c r="AM73" s="22"/>
    </row>
    <row r="74" spans="12:39">
      <c r="P74" s="3" t="s">
        <v>1416</v>
      </c>
      <c r="Q74" s="7">
        <f>(Q66*M61*M63+Q68*(M61*M62+M63^2)+Q67*M63*M62)</f>
        <v>-464.33478575164554</v>
      </c>
      <c r="R74" s="7">
        <f>(R66*N61*N63+R68*(N61*N62+N63^2)+R67*N63*N62)</f>
        <v>-464.33478575164554</v>
      </c>
      <c r="S74" s="4">
        <f t="shared" si="23"/>
        <v>1</v>
      </c>
      <c r="T74" s="3">
        <v>2</v>
      </c>
      <c r="U74" s="5">
        <f>(($N$61-$N$63)/2*$R$49+($N$63-$N$62)/2*$R$50)/1000000</f>
        <v>-1.1102655217177838E-5</v>
      </c>
      <c r="V74" s="5">
        <f>(($N$61-$N$63)/2*$R$52+($N$63-$N$62)/2*$R$53)</f>
        <v>-0.33349516315243394</v>
      </c>
      <c r="W74" s="5">
        <f>U73-U74*Y70</f>
        <v>1.4330892029338213E-5</v>
      </c>
      <c r="X74" s="5">
        <f>V73-V74*Y70</f>
        <v>0.64737296376648945</v>
      </c>
      <c r="Y74" s="5">
        <f>(W73*W64+W74*W63+W75*W67)*1000000</f>
        <v>0.88704781178851466</v>
      </c>
      <c r="Z74" s="5">
        <f>(X73*W64+X74*W63+X75*W67)</f>
        <v>4.0070832279281932E-2</v>
      </c>
      <c r="AF74" s="6"/>
      <c r="AH74" s="16"/>
      <c r="AI74" s="26"/>
      <c r="AJ74" s="22"/>
      <c r="AK74" s="22"/>
      <c r="AL74" s="22"/>
      <c r="AM74" s="22"/>
    </row>
    <row r="75" spans="12:39">
      <c r="L75" s="3" t="s">
        <v>1193</v>
      </c>
      <c r="M75" s="4">
        <f>D34</f>
        <v>1.6</v>
      </c>
      <c r="N75" s="4">
        <f>N76*(1-$N$50)+N77*$N$50</f>
        <v>1.5762</v>
      </c>
      <c r="O75" s="4">
        <f>N75/M75</f>
        <v>0.98512500000000003</v>
      </c>
      <c r="P75" s="3" t="s">
        <v>1418</v>
      </c>
      <c r="Q75" s="7">
        <f>Q69*M64^2</f>
        <v>7346.9387755103771</v>
      </c>
      <c r="R75" s="7">
        <f>R69*N64^2</f>
        <v>7346.9387755103771</v>
      </c>
      <c r="S75" s="4">
        <f t="shared" si="23"/>
        <v>1</v>
      </c>
      <c r="T75" s="3">
        <v>6</v>
      </c>
      <c r="U75" s="6" t="s">
        <v>1419</v>
      </c>
      <c r="V75" s="6" t="s">
        <v>1420</v>
      </c>
      <c r="W75" s="5">
        <f>U74*Y71</f>
        <v>-6.8012004423542788E-22</v>
      </c>
      <c r="X75" s="5">
        <f>V74*Y71</f>
        <v>-2.0429054192785128E-17</v>
      </c>
      <c r="Y75" s="5">
        <f>(W73*W66+W74*W67+W75*W65)*1000000</f>
        <v>-1.1817469473052717E-15</v>
      </c>
      <c r="Z75" s="5">
        <f>(X73*W66+X74*W67+X75*W65)</f>
        <v>-4.4939672644003594E-17</v>
      </c>
      <c r="AF75" s="5"/>
      <c r="AH75" s="16"/>
      <c r="AI75" s="26"/>
      <c r="AJ75" s="22"/>
      <c r="AK75" s="22"/>
      <c r="AL75" s="22"/>
      <c r="AM75" s="16" t="s">
        <v>583</v>
      </c>
    </row>
    <row r="76" spans="12:39">
      <c r="L76" s="3" t="s">
        <v>274</v>
      </c>
      <c r="M76" s="4">
        <f>F33</f>
        <v>1.2</v>
      </c>
      <c r="N76" s="4">
        <v>1.2</v>
      </c>
      <c r="O76" s="4">
        <f>N76/M76</f>
        <v>1</v>
      </c>
      <c r="P76" s="3" t="s">
        <v>1422</v>
      </c>
      <c r="Q76" s="7">
        <f>(Q70*M61+Q71*M63)</f>
        <v>-33.903055725657126</v>
      </c>
      <c r="R76" s="7">
        <f>(R70*N61+R71*N63)</f>
        <v>-33.903055725657126</v>
      </c>
      <c r="S76" s="4">
        <f t="shared" si="23"/>
        <v>1</v>
      </c>
      <c r="T76" s="3">
        <v>1</v>
      </c>
      <c r="U76" s="5">
        <f>$R$46*W73+$R$42*X73</f>
        <v>6.5730425355156911E-4</v>
      </c>
      <c r="V76" s="5">
        <f>$R$46*Y73/1000000+$R$42*Z73</f>
        <v>4.0685555274477028E-5</v>
      </c>
      <c r="W76" s="6" t="s">
        <v>1423</v>
      </c>
      <c r="X76" s="5">
        <f>$R$46*$R$49/1000000+$R$42*$R$52</f>
        <v>3.0000000000000597E-5</v>
      </c>
      <c r="AH76" s="3" t="s">
        <v>1424</v>
      </c>
      <c r="AI76" s="11">
        <f>(AI72^2-AI69/AI53)^0.5-AI72</f>
        <v>0.67034120070735748</v>
      </c>
      <c r="AJ76" s="11">
        <f>(AJ72^2-AJ69/AJ53)^0.5-AJ72</f>
        <v>0.85856528464378079</v>
      </c>
      <c r="AK76" s="11">
        <f>(AK72^2-AK69/AK53)^0.5-AK72</f>
        <v>0.67034120070735748</v>
      </c>
      <c r="AL76" s="11">
        <f>(AL72^2-AL69/AL53)^0.5-AL72</f>
        <v>0.85856528464378079</v>
      </c>
      <c r="AM76" s="11">
        <f>MIN(AI77:AL77)</f>
        <v>0.67034120070735748</v>
      </c>
    </row>
    <row r="77" spans="12:39">
      <c r="L77" s="3" t="s">
        <v>1195</v>
      </c>
      <c r="M77" s="4">
        <f>(M75-M76*(1-$M$50))/$M$50</f>
        <v>1.8060606060606061</v>
      </c>
      <c r="N77" s="4">
        <v>1.77</v>
      </c>
      <c r="O77" s="4">
        <f>N77/M77</f>
        <v>0.98003355704697981</v>
      </c>
      <c r="P77" s="3" t="s">
        <v>1426</v>
      </c>
      <c r="Q77" s="7">
        <f>(Q70*M63+Q71*M62)</f>
        <v>124.73476903914369</v>
      </c>
      <c r="R77" s="7">
        <f>(R70*N63+R71*N62)</f>
        <v>124.73476903914369</v>
      </c>
      <c r="S77" s="4">
        <f t="shared" si="23"/>
        <v>1</v>
      </c>
      <c r="T77" s="3">
        <v>2</v>
      </c>
      <c r="U77" s="5">
        <f>$R$46*W74+$R$42*X74</f>
        <v>6.5730425355156911E-4</v>
      </c>
      <c r="V77" s="5">
        <f>$R$46*Y74/1000000+$R$42*Z74</f>
        <v>4.0685555274477028E-5</v>
      </c>
      <c r="W77" s="6" t="s">
        <v>1427</v>
      </c>
      <c r="X77" s="5">
        <f>$R$46*$R$50/1000000+$R$42*$R$53</f>
        <v>1.9000000000002001E-4</v>
      </c>
      <c r="AH77" s="3"/>
      <c r="AI77" s="11">
        <f>IF(AI42=0,1000000000,AI76)</f>
        <v>0.67034120070735748</v>
      </c>
      <c r="AJ77" s="11">
        <f>IF(AJ42=0,1000000000,AJ76)</f>
        <v>0.85856528464378079</v>
      </c>
      <c r="AK77" s="11">
        <f>IF(AK42=0,1000000000,AK76)</f>
        <v>0.67034120070735748</v>
      </c>
      <c r="AL77" s="11">
        <f>IF(AL42=0,1000000000,AL76)</f>
        <v>0.85856528464378079</v>
      </c>
    </row>
    <row r="78" spans="12:39">
      <c r="T78" s="3">
        <v>6</v>
      </c>
      <c r="U78" s="5">
        <f>$R$46*W75+$R$42*X75</f>
        <v>2.0276336998451361E-20</v>
      </c>
      <c r="V78" s="5">
        <f>$R$46*Y75/1000000+$R$42*Z75</f>
        <v>-1.1983912705069072E-20</v>
      </c>
      <c r="W78" s="6" t="s">
        <v>1429</v>
      </c>
      <c r="X78" s="5">
        <f>0</f>
        <v>0</v>
      </c>
      <c r="AI78" s="11">
        <f>IF(AI42=0,0,AI76)</f>
        <v>0.67034120070735748</v>
      </c>
      <c r="AJ78" s="11">
        <f>IF(AJ42=0,0,AJ76)</f>
        <v>0.85856528464378079</v>
      </c>
      <c r="AK78" s="11">
        <f>IF(AK42=0,0,AK76)</f>
        <v>0.67034120070735748</v>
      </c>
      <c r="AL78" s="11">
        <f>IF(AL42=0,0,AL76)</f>
        <v>0.85856528464378079</v>
      </c>
    </row>
  </sheetData>
  <phoneticPr fontId="0" type="noConversion"/>
  <printOptions headings="1"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  <rowBreaks count="1" manualBreakCount="1">
    <brk id="39" max="65535" man="1"/>
  </rowBreaks>
  <colBreaks count="4" manualBreakCount="4">
    <brk id="11" max="1048575" man="1"/>
    <brk id="19" max="1048575" man="1"/>
    <brk id="26" max="1048575" man="1"/>
    <brk id="33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Line="0" autoPict="0" macro="[0]!SelectMaterial2">
                <anchor moveWithCells="1" sizeWithCells="1">
                  <from>
                    <xdr:col>5</xdr:col>
                    <xdr:colOff>0</xdr:colOff>
                    <xdr:row>0</xdr:row>
                    <xdr:rowOff>83820</xdr:rowOff>
                  </from>
                  <to>
                    <xdr:col>6</xdr:col>
                    <xdr:colOff>304800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0</xdr:colOff>
                    <xdr:row>0</xdr:row>
                    <xdr:rowOff>106680</xdr:rowOff>
                  </from>
                  <to>
                    <xdr:col>8</xdr:col>
                    <xdr:colOff>525780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aunchFinder">
                <anchor moveWithCells="1" sizeWithCells="1">
                  <from>
                    <xdr:col>11</xdr:col>
                    <xdr:colOff>502920</xdr:colOff>
                    <xdr:row>0</xdr:row>
                    <xdr:rowOff>114300</xdr:rowOff>
                  </from>
                  <to>
                    <xdr:col>13</xdr:col>
                    <xdr:colOff>350520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Main">
                <anchor moveWithCells="1" sizeWithCells="1">
                  <from>
                    <xdr:col>14</xdr:col>
                    <xdr:colOff>99060</xdr:colOff>
                    <xdr:row>0</xdr:row>
                    <xdr:rowOff>121920</xdr:rowOff>
                  </from>
                  <to>
                    <xdr:col>15</xdr:col>
                    <xdr:colOff>419100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GetVals">
                <anchor moveWithCells="1" sizeWithCells="1">
                  <from>
                    <xdr:col>18</xdr:col>
                    <xdr:colOff>198120</xdr:colOff>
                    <xdr:row>0</xdr:row>
                    <xdr:rowOff>114300</xdr:rowOff>
                  </from>
                  <to>
                    <xdr:col>19</xdr:col>
                    <xdr:colOff>441960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P99"/>
  <sheetViews>
    <sheetView topLeftCell="B45" zoomScale="120" zoomScaleNormal="120" workbookViewId="0">
      <selection activeCell="G70" sqref="G70"/>
    </sheetView>
  </sheetViews>
  <sheetFormatPr defaultColWidth="11" defaultRowHeight="15.6"/>
  <cols>
    <col min="1" max="1" width="7.90625" style="650" customWidth="1"/>
    <col min="2" max="2" width="8.08984375" style="650" customWidth="1"/>
    <col min="3" max="7" width="7.453125" style="650" customWidth="1"/>
    <col min="8" max="8" width="5.90625" style="650" customWidth="1"/>
    <col min="9" max="18" width="4.90625" style="650" customWidth="1"/>
    <col min="19" max="20" width="4.90625" style="655" customWidth="1"/>
    <col min="21" max="21" width="8.36328125" style="650" customWidth="1"/>
    <col min="22" max="22" width="9.90625" style="650" customWidth="1"/>
    <col min="23" max="23" width="8.453125" style="655" customWidth="1"/>
    <col min="24" max="24" width="10.36328125" style="655" customWidth="1"/>
    <col min="25" max="25" width="8.6328125" style="650" customWidth="1"/>
    <col min="26" max="31" width="9.6328125" style="650" customWidth="1"/>
    <col min="32" max="32" width="9.6328125" style="655" customWidth="1"/>
    <col min="33" max="33" width="6.6328125" style="650" customWidth="1"/>
    <col min="34" max="37" width="7.6328125" style="650" customWidth="1"/>
    <col min="38" max="42" width="6.6328125" style="650" customWidth="1"/>
    <col min="43" max="43" width="10.453125" style="650" customWidth="1"/>
    <col min="44" max="53" width="16.6328125" style="650" customWidth="1"/>
    <col min="54" max="16384" width="11" style="650"/>
  </cols>
  <sheetData>
    <row r="1" spans="1:38" ht="60.75" customHeight="1">
      <c r="A1" s="649" t="s">
        <v>590</v>
      </c>
      <c r="J1" s="653" t="s">
        <v>1550</v>
      </c>
      <c r="K1" s="652"/>
      <c r="L1" s="652"/>
      <c r="N1" s="650" t="s">
        <v>591</v>
      </c>
      <c r="P1" s="654"/>
      <c r="R1" s="650" t="s">
        <v>592</v>
      </c>
      <c r="Z1" s="650" t="s">
        <v>593</v>
      </c>
      <c r="AG1" s="650" t="s">
        <v>594</v>
      </c>
    </row>
    <row r="2" spans="1:38">
      <c r="A2" s="650" t="s">
        <v>595</v>
      </c>
      <c r="B2" s="652" t="s">
        <v>1562</v>
      </c>
      <c r="C2" s="652" t="s">
        <v>1563</v>
      </c>
      <c r="D2" s="652" t="s">
        <v>1564</v>
      </c>
      <c r="E2" s="661">
        <f>-D3</f>
        <v>-90</v>
      </c>
      <c r="G2" s="653" t="s">
        <v>1566</v>
      </c>
      <c r="H2" s="653" t="str">
        <f>J2</f>
        <v>Master ply[SI]</v>
      </c>
      <c r="J2" s="653" t="str">
        <f>$A$26</f>
        <v>Master ply[SI]</v>
      </c>
      <c r="K2" s="653"/>
      <c r="L2" s="652"/>
      <c r="N2" s="652" t="s">
        <v>596</v>
      </c>
      <c r="O2" s="659">
        <f>$G$27</f>
        <v>22</v>
      </c>
      <c r="P2" s="659">
        <f>B18</f>
        <v>22</v>
      </c>
      <c r="Q2" s="660">
        <f t="shared" ref="Q2:Q7" si="0">P2/O2</f>
        <v>1</v>
      </c>
      <c r="R2" s="653" t="s">
        <v>597</v>
      </c>
      <c r="X2" s="656"/>
      <c r="Z2" s="652" t="s">
        <v>531</v>
      </c>
      <c r="AA2" s="661">
        <f t="shared" ref="AA2:AD3" si="1">S4</f>
        <v>45</v>
      </c>
      <c r="AB2" s="661">
        <f t="shared" si="1"/>
        <v>-45</v>
      </c>
      <c r="AC2" s="661">
        <f t="shared" si="1"/>
        <v>90</v>
      </c>
      <c r="AD2" s="661">
        <f t="shared" si="1"/>
        <v>0</v>
      </c>
      <c r="AE2" s="652" t="s">
        <v>532</v>
      </c>
      <c r="AF2" s="656" t="s">
        <v>533</v>
      </c>
      <c r="AG2" s="652" t="s">
        <v>531</v>
      </c>
      <c r="AH2" s="661">
        <f t="shared" ref="AH2:AK4" si="2">AA2</f>
        <v>45</v>
      </c>
      <c r="AI2" s="661">
        <f t="shared" si="2"/>
        <v>-45</v>
      </c>
      <c r="AJ2" s="661">
        <f t="shared" si="2"/>
        <v>90</v>
      </c>
      <c r="AK2" s="661">
        <f t="shared" si="2"/>
        <v>0</v>
      </c>
    </row>
    <row r="3" spans="1:38">
      <c r="A3" s="653" t="s">
        <v>598</v>
      </c>
      <c r="B3" s="848">
        <v>45</v>
      </c>
      <c r="C3" s="848">
        <v>-45</v>
      </c>
      <c r="D3" s="848">
        <v>90</v>
      </c>
      <c r="E3" s="848">
        <v>0</v>
      </c>
      <c r="F3" s="653" t="s">
        <v>1570</v>
      </c>
      <c r="G3" s="653" t="s">
        <v>599</v>
      </c>
      <c r="H3" s="653" t="s">
        <v>534</v>
      </c>
      <c r="I3" s="653" t="s">
        <v>1571</v>
      </c>
      <c r="J3" s="652"/>
      <c r="K3" s="652"/>
      <c r="L3" s="652"/>
      <c r="N3" s="652" t="s">
        <v>600</v>
      </c>
      <c r="O3" s="651">
        <f>$H$27</f>
        <v>5.0000000000000001E-3</v>
      </c>
      <c r="P3" s="651">
        <f>C18</f>
        <v>5.0000000000000001E-3</v>
      </c>
      <c r="Q3" s="660">
        <f t="shared" si="0"/>
        <v>1</v>
      </c>
      <c r="R3" s="652" t="s">
        <v>601</v>
      </c>
      <c r="S3" s="656" t="s">
        <v>1562</v>
      </c>
      <c r="T3" s="656" t="s">
        <v>1563</v>
      </c>
      <c r="U3" s="656" t="s">
        <v>1564</v>
      </c>
      <c r="V3" s="656" t="s">
        <v>1565</v>
      </c>
      <c r="W3" s="656"/>
      <c r="X3" s="656"/>
      <c r="Z3" s="652" t="s">
        <v>536</v>
      </c>
      <c r="AA3" s="661">
        <f t="shared" si="1"/>
        <v>1</v>
      </c>
      <c r="AB3" s="661">
        <f t="shared" si="1"/>
        <v>1</v>
      </c>
      <c r="AC3" s="661">
        <f t="shared" si="1"/>
        <v>1</v>
      </c>
      <c r="AD3" s="661">
        <f t="shared" si="1"/>
        <v>1</v>
      </c>
      <c r="AE3" s="652">
        <f>W5</f>
        <v>1</v>
      </c>
      <c r="AF3" s="661">
        <f>X5</f>
        <v>0</v>
      </c>
      <c r="AG3" s="652" t="s">
        <v>536</v>
      </c>
      <c r="AH3" s="661">
        <f t="shared" si="2"/>
        <v>1</v>
      </c>
      <c r="AI3" s="661">
        <f t="shared" si="2"/>
        <v>1</v>
      </c>
      <c r="AJ3" s="661">
        <f t="shared" si="2"/>
        <v>1</v>
      </c>
      <c r="AK3" s="661">
        <f t="shared" si="2"/>
        <v>1</v>
      </c>
    </row>
    <row r="4" spans="1:38">
      <c r="A4" s="653" t="s">
        <v>602</v>
      </c>
      <c r="B4" s="849">
        <v>1</v>
      </c>
      <c r="C4" s="849">
        <v>1</v>
      </c>
      <c r="D4" s="849">
        <f>C4</f>
        <v>1</v>
      </c>
      <c r="E4" s="849">
        <v>1</v>
      </c>
      <c r="F4" s="850">
        <v>1</v>
      </c>
      <c r="G4" s="851">
        <v>0</v>
      </c>
      <c r="H4" s="659">
        <f>2*$X$7</f>
        <v>8</v>
      </c>
      <c r="I4" s="654">
        <f>H4*L9/1000</f>
        <v>1</v>
      </c>
      <c r="J4" s="652" t="s">
        <v>1553</v>
      </c>
      <c r="K4" s="652" t="s">
        <v>1554</v>
      </c>
      <c r="L4" s="652" t="s">
        <v>1555</v>
      </c>
      <c r="M4" s="665" t="s">
        <v>1556</v>
      </c>
      <c r="N4" s="652" t="s">
        <v>1557</v>
      </c>
      <c r="O4" s="659">
        <f>$G$26</f>
        <v>122</v>
      </c>
      <c r="P4" s="659">
        <f>O4</f>
        <v>122</v>
      </c>
      <c r="Q4" s="660">
        <f t="shared" si="0"/>
        <v>1</v>
      </c>
      <c r="R4" s="652" t="s">
        <v>537</v>
      </c>
      <c r="S4" s="666">
        <f>B3+$I$6</f>
        <v>45</v>
      </c>
      <c r="T4" s="666">
        <f>C3+$I$6</f>
        <v>-45</v>
      </c>
      <c r="U4" s="666">
        <f>D3+$I$6</f>
        <v>90</v>
      </c>
      <c r="V4" s="666">
        <f>E3+$I$6</f>
        <v>0</v>
      </c>
      <c r="W4" s="656" t="s">
        <v>532</v>
      </c>
      <c r="X4" s="656" t="s">
        <v>533</v>
      </c>
      <c r="Z4" s="652" t="s">
        <v>539</v>
      </c>
      <c r="AA4" s="665">
        <f>S6*AA3/AA3</f>
        <v>1.5707963267948966</v>
      </c>
      <c r="AB4" s="665">
        <f>T6*AB3/AB3</f>
        <v>-1.5707963267948966</v>
      </c>
      <c r="AC4" s="665">
        <f>U6*AC3/AC3</f>
        <v>3.1415926535897931</v>
      </c>
      <c r="AD4" s="665">
        <f>V6*AD3/AD3</f>
        <v>0</v>
      </c>
      <c r="AE4" s="652" t="s">
        <v>603</v>
      </c>
      <c r="AF4" s="655">
        <f>$W$12</f>
        <v>1E-3</v>
      </c>
      <c r="AG4" s="652" t="s">
        <v>539</v>
      </c>
      <c r="AH4" s="665">
        <f t="shared" si="2"/>
        <v>1.5707963267948966</v>
      </c>
      <c r="AI4" s="665">
        <f t="shared" si="2"/>
        <v>-1.5707963267948966</v>
      </c>
      <c r="AJ4" s="665">
        <f t="shared" si="2"/>
        <v>3.1415926535897931</v>
      </c>
      <c r="AK4" s="665">
        <f t="shared" si="2"/>
        <v>0</v>
      </c>
    </row>
    <row r="5" spans="1:38">
      <c r="F5" s="653" t="s">
        <v>604</v>
      </c>
      <c r="G5" s="660">
        <f>2*G4/H4</f>
        <v>0</v>
      </c>
      <c r="H5" s="653" t="s">
        <v>1575</v>
      </c>
      <c r="I5" s="848">
        <v>1</v>
      </c>
      <c r="J5" s="652" t="s">
        <v>298</v>
      </c>
      <c r="K5" s="659">
        <f>$B$26</f>
        <v>0.88</v>
      </c>
      <c r="L5" s="659">
        <f>L12*L11</f>
        <v>0.88</v>
      </c>
      <c r="M5" s="660">
        <f>L5/K5</f>
        <v>1</v>
      </c>
      <c r="N5" s="652" t="s">
        <v>299</v>
      </c>
      <c r="O5" s="659">
        <f>$H$26</f>
        <v>160</v>
      </c>
      <c r="P5" s="659">
        <f>O5-$H$29*(P3-O3)</f>
        <v>160</v>
      </c>
      <c r="Q5" s="660">
        <f t="shared" si="0"/>
        <v>1</v>
      </c>
      <c r="R5" s="652" t="s">
        <v>541</v>
      </c>
      <c r="S5" s="666">
        <f>$B$4</f>
        <v>1</v>
      </c>
      <c r="T5" s="666">
        <f>$C$4</f>
        <v>1</v>
      </c>
      <c r="U5" s="666">
        <f>$D$4</f>
        <v>1</v>
      </c>
      <c r="V5" s="666">
        <f>$E$4</f>
        <v>1</v>
      </c>
      <c r="W5" s="668">
        <f>$F$4</f>
        <v>1</v>
      </c>
      <c r="X5" s="661">
        <f>$G$4</f>
        <v>0</v>
      </c>
      <c r="Z5" s="652" t="s">
        <v>605</v>
      </c>
      <c r="AA5" s="651">
        <f>S9*$W$12/2</f>
        <v>5.0000000000000001E-4</v>
      </c>
      <c r="AB5" s="651">
        <f>T9*$W$12/2</f>
        <v>3.7500000000000001E-4</v>
      </c>
      <c r="AC5" s="651">
        <f>U9*$W$12/2</f>
        <v>2.5000000000000001E-4</v>
      </c>
      <c r="AD5" s="651">
        <f>V9*$W$12/2</f>
        <v>1.25E-4</v>
      </c>
      <c r="AE5" s="656" t="s">
        <v>606</v>
      </c>
      <c r="AF5" s="655">
        <f>AF4^2/6</f>
        <v>1.6666666666666665E-7</v>
      </c>
    </row>
    <row r="6" spans="1:38">
      <c r="A6" s="650" t="s">
        <v>607</v>
      </c>
      <c r="C6" s="653" t="s">
        <v>608</v>
      </c>
      <c r="D6" s="653" t="s">
        <v>609</v>
      </c>
      <c r="E6" s="653" t="s">
        <v>610</v>
      </c>
      <c r="F6" s="653" t="s">
        <v>611</v>
      </c>
      <c r="G6" s="677" t="s">
        <v>612</v>
      </c>
      <c r="H6" s="852" t="s">
        <v>613</v>
      </c>
      <c r="I6" s="848">
        <v>0</v>
      </c>
      <c r="J6" s="652" t="s">
        <v>1579</v>
      </c>
      <c r="K6" s="654">
        <f>$C$26</f>
        <v>5.1999999999999998E-2</v>
      </c>
      <c r="L6" s="654">
        <f>(1+L15)/(1/L16+L15/L13)</f>
        <v>5.1999999999999998E-2</v>
      </c>
      <c r="M6" s="660">
        <f>L6/K6</f>
        <v>1</v>
      </c>
      <c r="N6" s="652" t="s">
        <v>1580</v>
      </c>
      <c r="O6" s="654">
        <f>(O5-O2)/(O5-O2)</f>
        <v>1</v>
      </c>
      <c r="P6" s="654">
        <f>(P5-P2)/(P5-O2)</f>
        <v>1</v>
      </c>
      <c r="Q6" s="660">
        <f t="shared" si="0"/>
        <v>1</v>
      </c>
      <c r="R6" s="652" t="s">
        <v>1295</v>
      </c>
      <c r="S6" s="660">
        <f>S4*PI()/90</f>
        <v>1.5707963267948966</v>
      </c>
      <c r="T6" s="660">
        <f>T4*PI()/90</f>
        <v>-1.5707963267948966</v>
      </c>
      <c r="U6" s="660">
        <f>U4*PI()/90</f>
        <v>3.1415926535897931</v>
      </c>
      <c r="V6" s="660">
        <f>V4*PI()/90</f>
        <v>0</v>
      </c>
      <c r="W6" s="656" t="s">
        <v>614</v>
      </c>
      <c r="X6" s="669" t="s">
        <v>615</v>
      </c>
      <c r="Y6" s="652" t="s">
        <v>616</v>
      </c>
      <c r="Z6" s="653" t="s">
        <v>1434</v>
      </c>
      <c r="AA6" s="656"/>
      <c r="AB6" s="656"/>
      <c r="AC6" s="655"/>
      <c r="AD6" s="655"/>
      <c r="AE6" s="655"/>
      <c r="AG6" s="653" t="s">
        <v>617</v>
      </c>
      <c r="AL6" s="652" t="s">
        <v>1299</v>
      </c>
    </row>
    <row r="7" spans="1:38">
      <c r="A7" s="652">
        <v>1</v>
      </c>
      <c r="B7" s="853">
        <v>0</v>
      </c>
      <c r="C7" s="854">
        <f>B7/W12</f>
        <v>0</v>
      </c>
      <c r="D7" s="666">
        <f>C7*$H$22</f>
        <v>0</v>
      </c>
      <c r="E7" s="765">
        <f>AC8</f>
        <v>0</v>
      </c>
      <c r="F7" s="654">
        <f>E7*$H$22</f>
        <v>0</v>
      </c>
      <c r="G7" s="666">
        <f>W23</f>
        <v>0.33614983963722367</v>
      </c>
      <c r="H7" s="712">
        <f>Y39</f>
        <v>0.25912128845084442</v>
      </c>
      <c r="J7" s="652" t="s">
        <v>259</v>
      </c>
      <c r="K7" s="654">
        <f>$D$26</f>
        <v>0.32</v>
      </c>
      <c r="L7" s="654">
        <f>K7</f>
        <v>0.32</v>
      </c>
      <c r="M7" s="660">
        <f>L7/K7</f>
        <v>1</v>
      </c>
      <c r="N7" s="652" t="s">
        <v>260</v>
      </c>
      <c r="O7" s="659">
        <f>O2-O4</f>
        <v>-100</v>
      </c>
      <c r="P7" s="659">
        <f>P2-P4</f>
        <v>-100</v>
      </c>
      <c r="Q7" s="660">
        <f t="shared" si="0"/>
        <v>1</v>
      </c>
      <c r="R7" s="652" t="s">
        <v>1300</v>
      </c>
      <c r="S7" s="660">
        <f>2*S6</f>
        <v>3.1415926535897931</v>
      </c>
      <c r="T7" s="660">
        <f>2*T6</f>
        <v>-3.1415926535897931</v>
      </c>
      <c r="U7" s="660">
        <f>2*U6</f>
        <v>6.2831853071795862</v>
      </c>
      <c r="V7" s="660">
        <f>2*V6</f>
        <v>0</v>
      </c>
      <c r="W7" s="668">
        <f>(S5+T5+U5+V5)</f>
        <v>4</v>
      </c>
      <c r="X7" s="661">
        <f>W7*W5+X5</f>
        <v>4</v>
      </c>
      <c r="Y7" s="655">
        <f t="shared" ref="Y7:Y12" si="3">(S15*$S$11+T15*$T$11+U15*$U$11+V15*$V$11)*$W$12/2</f>
        <v>1.8565649603418508E-4</v>
      </c>
      <c r="Z7" s="652"/>
      <c r="AA7" s="656" t="s">
        <v>1301</v>
      </c>
      <c r="AB7" s="656" t="s">
        <v>618</v>
      </c>
      <c r="AC7" s="672" t="s">
        <v>619</v>
      </c>
      <c r="AD7" s="672" t="s">
        <v>620</v>
      </c>
      <c r="AE7" s="656" t="s">
        <v>1303</v>
      </c>
      <c r="AF7" s="656" t="s">
        <v>621</v>
      </c>
      <c r="AG7" s="652" t="s">
        <v>1305</v>
      </c>
      <c r="AH7" s="676">
        <f>(AA13+AA16*$AA$5)/1000</f>
        <v>3148.8901607862435</v>
      </c>
      <c r="AI7" s="676">
        <f>(AB13+AB16*$AB$5)/1000</f>
        <v>4295.0918055903376</v>
      </c>
      <c r="AJ7" s="676">
        <f>(AC13+AC16*$AC$5)/1000</f>
        <v>14977.636555728017</v>
      </c>
      <c r="AK7" s="676">
        <f>(AD13+AD16*$AD$5)/1000</f>
        <v>-5269.8984691373353</v>
      </c>
      <c r="AL7" s="676">
        <f>($T$37+$T$38)/2</f>
        <v>5.1473893585280979E-5</v>
      </c>
    </row>
    <row r="8" spans="1:38">
      <c r="A8" s="652">
        <v>2</v>
      </c>
      <c r="B8" s="853">
        <v>0</v>
      </c>
      <c r="C8" s="854">
        <f>B8/$W$12</f>
        <v>0</v>
      </c>
      <c r="D8" s="666">
        <f>C8*$H$22</f>
        <v>0</v>
      </c>
      <c r="E8" s="765">
        <f>AC9</f>
        <v>0</v>
      </c>
      <c r="F8" s="660">
        <f>E8*$H$22</f>
        <v>0</v>
      </c>
      <c r="G8" s="666">
        <f>W24</f>
        <v>0.33614983963722367</v>
      </c>
      <c r="H8" s="651">
        <f>Y40</f>
        <v>0.33721884969414934</v>
      </c>
      <c r="J8" s="652" t="s">
        <v>261</v>
      </c>
      <c r="K8" s="654">
        <f>$E$26</f>
        <v>3.1E-2</v>
      </c>
      <c r="L8" s="654">
        <f>(1+L18)/(1/L19+L18*2.7/L13)</f>
        <v>3.1E-2</v>
      </c>
      <c r="M8" s="660">
        <f>L8/K8</f>
        <v>1</v>
      </c>
      <c r="N8" s="652"/>
      <c r="O8" s="654"/>
      <c r="P8" s="654"/>
      <c r="Q8" s="654"/>
      <c r="S8" s="671"/>
      <c r="T8" s="671"/>
      <c r="U8" s="671"/>
      <c r="V8" s="671"/>
      <c r="W8" s="656" t="s">
        <v>622</v>
      </c>
      <c r="X8" s="656"/>
      <c r="Y8" s="655">
        <f t="shared" si="3"/>
        <v>1.8565649603418505E-4</v>
      </c>
      <c r="Z8" s="652">
        <v>1</v>
      </c>
      <c r="AA8" s="676">
        <f>$B$7</f>
        <v>0</v>
      </c>
      <c r="AB8" s="676">
        <f>$B$12</f>
        <v>1.156985223870818E-4</v>
      </c>
      <c r="AC8" s="676">
        <f>AA8*S23+AA9*S25+AA10*S27</f>
        <v>0</v>
      </c>
      <c r="AD8" s="676">
        <f>AB8*T23+AB9*T25+AB10*T27</f>
        <v>-42159187753.098671</v>
      </c>
      <c r="AE8" s="669" t="s">
        <v>1306</v>
      </c>
      <c r="AF8" s="676">
        <f>(AC8+AC9)/2</f>
        <v>0</v>
      </c>
      <c r="AG8" s="652" t="s">
        <v>1307</v>
      </c>
      <c r="AH8" s="676">
        <f>(AA14+AA17*$AA$5)/1000</f>
        <v>5726.7890741204528</v>
      </c>
      <c r="AI8" s="676">
        <f>(AB14+AB17*$AB$5)/1000</f>
        <v>2361.6676205896856</v>
      </c>
      <c r="AJ8" s="676">
        <f>(AC14+AC17*$AC$5)/1000</f>
        <v>-10539.796938274669</v>
      </c>
      <c r="AK8" s="676">
        <f>(AD14+AD17*$AD$5)/1000</f>
        <v>7488.8182778640094</v>
      </c>
      <c r="AL8" s="676">
        <f>($T$37-$T$38)/2</f>
        <v>-2.7105054312137611E-20</v>
      </c>
    </row>
    <row r="9" spans="1:38">
      <c r="A9" s="652">
        <v>6</v>
      </c>
      <c r="B9" s="853">
        <v>0</v>
      </c>
      <c r="C9" s="854">
        <f>B9/$W$12</f>
        <v>0</v>
      </c>
      <c r="D9" s="666">
        <f>C9*$H$22</f>
        <v>0</v>
      </c>
      <c r="E9" s="765">
        <f>AC10</f>
        <v>0</v>
      </c>
      <c r="F9" s="660">
        <f>E9*$H$22</f>
        <v>0</v>
      </c>
      <c r="G9" s="666">
        <f>W26</f>
        <v>0.12852389732783098</v>
      </c>
      <c r="H9" s="651">
        <f>Y41</f>
        <v>0.1874081204085814</v>
      </c>
      <c r="J9" s="652" t="s">
        <v>262</v>
      </c>
      <c r="K9" s="659">
        <f>$B$28</f>
        <v>125</v>
      </c>
      <c r="L9" s="659">
        <f>K9/M11</f>
        <v>125</v>
      </c>
      <c r="M9" s="660">
        <f>L9/K9</f>
        <v>1</v>
      </c>
      <c r="N9" s="653" t="s">
        <v>1531</v>
      </c>
      <c r="O9" s="654"/>
      <c r="P9" s="654"/>
      <c r="Q9" s="654"/>
      <c r="R9" s="652" t="s">
        <v>1308</v>
      </c>
      <c r="S9" s="671">
        <v>1</v>
      </c>
      <c r="T9" s="671">
        <f>S10</f>
        <v>0.75</v>
      </c>
      <c r="U9" s="671">
        <f>T10</f>
        <v>0.5</v>
      </c>
      <c r="V9" s="671">
        <f>U10</f>
        <v>0.25</v>
      </c>
      <c r="W9" s="673">
        <f>W7*$L$9/1000000</f>
        <v>5.0000000000000001E-4</v>
      </c>
      <c r="X9" s="656" t="s">
        <v>623</v>
      </c>
      <c r="Y9" s="655">
        <f t="shared" si="3"/>
        <v>5.7132598706354094E-5</v>
      </c>
      <c r="Z9" s="652">
        <v>2</v>
      </c>
      <c r="AA9" s="676">
        <f>$B$8</f>
        <v>0</v>
      </c>
      <c r="AB9" s="676">
        <f>$B$13</f>
        <v>0.99999999330692591</v>
      </c>
      <c r="AC9" s="676">
        <f>AA8*S25+AA9*S24+AA10*S28</f>
        <v>0</v>
      </c>
      <c r="AD9" s="676">
        <f>AB8*T25+AB9*T24+AB10*T28</f>
        <v>59910546222.912064</v>
      </c>
      <c r="AE9" s="669" t="s">
        <v>1309</v>
      </c>
      <c r="AF9" s="676">
        <f>(AC8-AC9)/2</f>
        <v>0</v>
      </c>
      <c r="AG9" s="652" t="s">
        <v>1310</v>
      </c>
      <c r="AH9" s="676">
        <f>(AA15+AA18*$AA$5)/1000</f>
        <v>51034.866988005371</v>
      </c>
      <c r="AI9" s="676">
        <f>(AB15+AB18*$AB$5)/1000</f>
        <v>-38276.150241004027</v>
      </c>
      <c r="AJ9" s="676">
        <f>(AC15+AC18*$AC$5)/1000</f>
        <v>1288.9494566671062</v>
      </c>
      <c r="AK9" s="676">
        <f>(AD15+AD18*$AD$5)/1000</f>
        <v>-644.47472833355152</v>
      </c>
      <c r="AL9" s="676">
        <f>$T$39/2</f>
        <v>-4.24781301804955E-21</v>
      </c>
    </row>
    <row r="10" spans="1:38">
      <c r="C10" s="854"/>
      <c r="H10" s="712">
        <f>Y42</f>
        <v>0.20166682032370417</v>
      </c>
      <c r="J10" s="653" t="s">
        <v>264</v>
      </c>
      <c r="K10" s="654"/>
      <c r="L10" s="654"/>
      <c r="N10" s="652" t="s">
        <v>265</v>
      </c>
      <c r="O10" s="654">
        <f>$A$29</f>
        <v>0.02</v>
      </c>
      <c r="P10" s="654">
        <f>O10</f>
        <v>0.02</v>
      </c>
      <c r="Q10" s="654">
        <f>P10/O10</f>
        <v>1</v>
      </c>
      <c r="R10" s="652" t="s">
        <v>1311</v>
      </c>
      <c r="S10" s="671">
        <f>S9-S5/$X$7</f>
        <v>0.75</v>
      </c>
      <c r="T10" s="671">
        <f>T9-T5/$X$7</f>
        <v>0.5</v>
      </c>
      <c r="U10" s="671">
        <f>U9-U5/$X$7</f>
        <v>0.25</v>
      </c>
      <c r="V10" s="671">
        <f>V9-V5/$X$7</f>
        <v>0</v>
      </c>
      <c r="X10" s="655">
        <f>W12^2/8</f>
        <v>1.2499999999999999E-7</v>
      </c>
      <c r="Y10" s="655">
        <f t="shared" si="3"/>
        <v>6.426194866391549E-5</v>
      </c>
      <c r="Z10" s="652">
        <v>6</v>
      </c>
      <c r="AA10" s="676">
        <f>$B$9</f>
        <v>0</v>
      </c>
      <c r="AB10" s="676">
        <f>$B$14</f>
        <v>0</v>
      </c>
      <c r="AC10" s="676">
        <f>AA8*S27+AA9*S28+AA10*S26</f>
        <v>0</v>
      </c>
      <c r="AD10" s="676">
        <f>AB8*T27+AB9*T28+AB10*T26</f>
        <v>-5155797826.6684122</v>
      </c>
      <c r="AE10" s="669" t="s">
        <v>1312</v>
      </c>
      <c r="AF10" s="676">
        <f>AC10/2</f>
        <v>0</v>
      </c>
      <c r="AG10" s="652" t="s">
        <v>624</v>
      </c>
      <c r="AH10" s="676">
        <f>(AA13-AA16*$AA$5)/1000</f>
        <v>-3148.8901607862435</v>
      </c>
      <c r="AI10" s="676">
        <f>(AB13-AB16*$AB$5)/1000</f>
        <v>-4295.0918055903376</v>
      </c>
      <c r="AJ10" s="676">
        <f>(AC13-AC16*$AC$5)/1000</f>
        <v>-14977.636555728017</v>
      </c>
      <c r="AK10" s="676">
        <f>(AD13-AD16*$AD$5)/1000</f>
        <v>5269.8984691373353</v>
      </c>
      <c r="AL10" s="676"/>
    </row>
    <row r="11" spans="1:38">
      <c r="A11" s="653" t="s">
        <v>625</v>
      </c>
      <c r="B11" s="665"/>
      <c r="C11" s="855" t="s">
        <v>626</v>
      </c>
      <c r="D11" s="852" t="s">
        <v>627</v>
      </c>
      <c r="E11" s="653" t="s">
        <v>628</v>
      </c>
      <c r="F11" s="653" t="s">
        <v>629</v>
      </c>
      <c r="G11" s="852" t="s">
        <v>630</v>
      </c>
      <c r="J11" s="652" t="s">
        <v>1532</v>
      </c>
      <c r="K11" s="654">
        <f>$C$28</f>
        <v>0.55000000000000004</v>
      </c>
      <c r="L11" s="654">
        <f>$D$18</f>
        <v>0.55000000000000004</v>
      </c>
      <c r="M11" s="660">
        <f t="shared" ref="M11:M19" si="4">L11/K11</f>
        <v>1</v>
      </c>
      <c r="N11" s="652" t="s">
        <v>1533</v>
      </c>
      <c r="O11" s="654">
        <f>$B$29</f>
        <v>22.5</v>
      </c>
      <c r="P11" s="654">
        <f>O11*(1-L11)/(1-K11)</f>
        <v>22.5</v>
      </c>
      <c r="Q11" s="654">
        <f>P11/O11</f>
        <v>1</v>
      </c>
      <c r="R11" s="652" t="s">
        <v>1321</v>
      </c>
      <c r="S11" s="671">
        <f>S9-S10</f>
        <v>0.25</v>
      </c>
      <c r="T11" s="671">
        <f>T9-T10</f>
        <v>0.25</v>
      </c>
      <c r="U11" s="671">
        <f>U9-U10</f>
        <v>0.25</v>
      </c>
      <c r="V11" s="671">
        <f>V9-V10</f>
        <v>0.25</v>
      </c>
      <c r="W11" s="656" t="s">
        <v>603</v>
      </c>
      <c r="X11" s="656" t="s">
        <v>422</v>
      </c>
      <c r="Y11" s="655">
        <f t="shared" si="3"/>
        <v>2.0233891311573803E-22</v>
      </c>
      <c r="AA11" s="676"/>
      <c r="AB11" s="676"/>
      <c r="AC11" s="676"/>
      <c r="AD11" s="676"/>
      <c r="AE11" s="669" t="s">
        <v>423</v>
      </c>
      <c r="AF11" s="676">
        <f>(AD8+AD9)/2</f>
        <v>8875679234.9066963</v>
      </c>
      <c r="AG11" s="652" t="s">
        <v>424</v>
      </c>
      <c r="AH11" s="676">
        <f>(AA14-AA17*$AA$5)/1000</f>
        <v>-5726.7890741204528</v>
      </c>
      <c r="AI11" s="676">
        <f>(AB14-AB17*$AB$5)/1000</f>
        <v>-2361.6676205896856</v>
      </c>
      <c r="AJ11" s="676">
        <f>(AC14-AC17*$AC$5)/1000</f>
        <v>10539.796938274669</v>
      </c>
      <c r="AK11" s="676">
        <f>(AD14-AD17*$AD$5)/1000</f>
        <v>-7488.8182778640094</v>
      </c>
      <c r="AL11" s="676"/>
    </row>
    <row r="12" spans="1:38">
      <c r="A12" s="652">
        <v>1</v>
      </c>
      <c r="B12" s="853">
        <f>COS($C$15/57.3)</f>
        <v>1.156985223870818E-4</v>
      </c>
      <c r="C12" s="674">
        <f>B12*0.75/$X$10</f>
        <v>694.19113432249083</v>
      </c>
      <c r="D12" s="666">
        <f>C12*$H$23</f>
        <v>4.4293580133257002E-2</v>
      </c>
      <c r="E12" s="748">
        <f>AD8*$W$12/2</f>
        <v>-21079593.876549337</v>
      </c>
      <c r="F12" s="660">
        <f>E12*$G$22</f>
        <v>-1116.7055275468931</v>
      </c>
      <c r="G12" s="666">
        <f>X23</f>
        <v>0.15143396756926142</v>
      </c>
      <c r="J12" s="652" t="s">
        <v>1534</v>
      </c>
      <c r="K12" s="659">
        <f>K5/K11</f>
        <v>1.5999999999999999</v>
      </c>
      <c r="L12" s="659">
        <f>$F$18*P6^$F$29</f>
        <v>1.5999999999999999</v>
      </c>
      <c r="M12" s="660">
        <f t="shared" si="4"/>
        <v>1</v>
      </c>
      <c r="N12" s="650" t="s">
        <v>1535</v>
      </c>
      <c r="O12" s="654"/>
      <c r="P12" s="654"/>
      <c r="Q12" s="654"/>
      <c r="R12" s="652" t="s">
        <v>425</v>
      </c>
      <c r="S12" s="671">
        <f>S9^2-S10^2</f>
        <v>0.4375</v>
      </c>
      <c r="T12" s="671">
        <f>T9^2-T10^2</f>
        <v>0.3125</v>
      </c>
      <c r="U12" s="671">
        <f>U9^2-U10^2</f>
        <v>0.1875</v>
      </c>
      <c r="V12" s="671">
        <f>V9^2-V10^2</f>
        <v>6.25E-2</v>
      </c>
      <c r="W12" s="655">
        <f>L9*X7*2/1000000</f>
        <v>1E-3</v>
      </c>
      <c r="X12" s="655">
        <f>W12^3/12</f>
        <v>8.3333333333333343E-11</v>
      </c>
      <c r="Y12" s="655">
        <f t="shared" si="3"/>
        <v>6.1764015195086878E-21</v>
      </c>
      <c r="Z12" s="653" t="s">
        <v>1323</v>
      </c>
      <c r="AA12" s="676"/>
      <c r="AB12" s="676"/>
      <c r="AC12" s="676"/>
      <c r="AD12" s="676"/>
      <c r="AE12" s="669" t="s">
        <v>426</v>
      </c>
      <c r="AF12" s="676">
        <f>(AD8-AD9)/2</f>
        <v>-51034866988.005371</v>
      </c>
      <c r="AG12" s="652" t="s">
        <v>427</v>
      </c>
      <c r="AH12" s="676">
        <f>(AA15-AA18*$AA$5)/1000</f>
        <v>-51034.866988005371</v>
      </c>
      <c r="AI12" s="676">
        <f>(AB15-AB18*$AB$5)/1000</f>
        <v>38276.150241004027</v>
      </c>
      <c r="AJ12" s="676">
        <f>(AC15-AC18*$AC$5)/1000</f>
        <v>-1288.9494566671062</v>
      </c>
      <c r="AK12" s="676">
        <f>(AD15-AD18*$AD$5)/1000</f>
        <v>644.47472833355152</v>
      </c>
      <c r="AL12" s="676"/>
    </row>
    <row r="13" spans="1:38">
      <c r="A13" s="652">
        <v>2</v>
      </c>
      <c r="B13" s="853">
        <f>SIN($C$15/57.3)</f>
        <v>0.99999999330692591</v>
      </c>
      <c r="C13" s="681">
        <f>B13*0.75/$X$10</f>
        <v>5999999.9598415559</v>
      </c>
      <c r="D13" s="666">
        <f>C13*$H$23</f>
        <v>382.83617563073</v>
      </c>
      <c r="E13" s="748">
        <f>AD9*$W$12/2</f>
        <v>29955273.111456033</v>
      </c>
      <c r="F13" s="660">
        <f>E13*$G$22</f>
        <v>1586.9005474509468</v>
      </c>
      <c r="G13" s="666">
        <f>X24</f>
        <v>0.20028231314035014</v>
      </c>
      <c r="J13" s="652" t="s">
        <v>1536</v>
      </c>
      <c r="K13" s="654">
        <f>$F$26</f>
        <v>3.4</v>
      </c>
      <c r="L13" s="654">
        <f>$E$18*P6^$F$28</f>
        <v>3.4</v>
      </c>
      <c r="M13" s="660">
        <f t="shared" si="4"/>
        <v>1</v>
      </c>
      <c r="N13" s="652" t="s">
        <v>1537</v>
      </c>
      <c r="O13" s="654">
        <f>$C$29</f>
        <v>0</v>
      </c>
      <c r="P13" s="654">
        <f>O13</f>
        <v>0</v>
      </c>
      <c r="Q13" s="654">
        <v>1</v>
      </c>
      <c r="R13" s="652" t="s">
        <v>428</v>
      </c>
      <c r="S13" s="671">
        <f>S9^3-S10^3</f>
        <v>0.578125</v>
      </c>
      <c r="T13" s="671">
        <f>T9^3-T10^3</f>
        <v>0.296875</v>
      </c>
      <c r="U13" s="671">
        <f>U9^3-U10^3</f>
        <v>0.109375</v>
      </c>
      <c r="V13" s="671">
        <f>V9^3-V10^3</f>
        <v>1.5625E-2</v>
      </c>
      <c r="Z13" s="652" t="s">
        <v>1324</v>
      </c>
      <c r="AA13" s="676">
        <f>$AF$8+$AF$9*COS(AA4)+$AF$10*SIN(AA4)</f>
        <v>0</v>
      </c>
      <c r="AB13" s="676">
        <f>$AF$8+$AF$9*COS(AB4)+$AF$10*SIN(AB4)</f>
        <v>0</v>
      </c>
      <c r="AC13" s="676">
        <f>$AF$8+$AF$9*COS(AC4)+$AF$10*SIN(AC4)</f>
        <v>0</v>
      </c>
      <c r="AD13" s="676">
        <f>$AF$8+$AF$9*COS(AD4)+$AF$10*SIN(AD4)</f>
        <v>0</v>
      </c>
      <c r="AE13" s="669" t="s">
        <v>429</v>
      </c>
      <c r="AF13" s="676">
        <f>AD10/2</f>
        <v>-2577898913.3342061</v>
      </c>
      <c r="AG13" s="653"/>
      <c r="AH13" s="669"/>
      <c r="AI13" s="669"/>
      <c r="AJ13" s="669"/>
      <c r="AK13" s="669"/>
      <c r="AL13" s="676"/>
    </row>
    <row r="14" spans="1:38">
      <c r="A14" s="652">
        <v>6</v>
      </c>
      <c r="B14" s="853">
        <v>0</v>
      </c>
      <c r="C14" s="681">
        <f>B14*0.75/$X$10</f>
        <v>0</v>
      </c>
      <c r="D14" s="666">
        <f>C14*$G$22</f>
        <v>0</v>
      </c>
      <c r="E14" s="748">
        <f>AD10*$W$12/2</f>
        <v>-2577898.9133342062</v>
      </c>
      <c r="F14" s="660">
        <f>E14*$G$22</f>
        <v>-136.56591217252995</v>
      </c>
      <c r="G14" s="666">
        <f>X26</f>
        <v>0.18712365990578167</v>
      </c>
      <c r="J14" s="652" t="s">
        <v>1538</v>
      </c>
      <c r="K14" s="654">
        <f>$E$28</f>
        <v>0.52</v>
      </c>
      <c r="L14" s="654">
        <f>K14*P6^$G$28</f>
        <v>0.52</v>
      </c>
      <c r="M14" s="660">
        <f t="shared" si="4"/>
        <v>1</v>
      </c>
      <c r="N14" s="652" t="s">
        <v>1539</v>
      </c>
      <c r="O14" s="654">
        <f>$D$29</f>
        <v>0.6</v>
      </c>
      <c r="P14" s="654">
        <f>O14*(1-L11)/(1-K11)</f>
        <v>0.6</v>
      </c>
      <c r="Q14" s="654">
        <f>P14/O14</f>
        <v>1</v>
      </c>
      <c r="R14" s="652" t="s">
        <v>1325</v>
      </c>
      <c r="S14" s="656" t="s">
        <v>1326</v>
      </c>
      <c r="T14" s="656" t="s">
        <v>1327</v>
      </c>
      <c r="U14" s="656" t="s">
        <v>1328</v>
      </c>
      <c r="V14" s="656" t="s">
        <v>1329</v>
      </c>
      <c r="W14" s="656" t="s">
        <v>1330</v>
      </c>
      <c r="X14" s="656" t="s">
        <v>430</v>
      </c>
      <c r="Y14" s="652" t="s">
        <v>431</v>
      </c>
      <c r="Z14" s="652" t="s">
        <v>1332</v>
      </c>
      <c r="AA14" s="676">
        <f>2*$AF$8-AA13</f>
        <v>0</v>
      </c>
      <c r="AB14" s="676">
        <f>2*$AF$8-AB13</f>
        <v>0</v>
      </c>
      <c r="AC14" s="676">
        <f>2*$AF$8-AC13</f>
        <v>0</v>
      </c>
      <c r="AD14" s="676">
        <f>2*$AF$8-AD13</f>
        <v>0</v>
      </c>
      <c r="AE14" s="676"/>
      <c r="AF14" s="676"/>
      <c r="AG14" s="652" t="s">
        <v>1333</v>
      </c>
      <c r="AH14" s="676">
        <f>$P$33*AH7^2+2*$P$35*AH7*AH8+$P$34*AH8^2+$P$36*AH9^2</f>
        <v>295843377.44398767</v>
      </c>
      <c r="AI14" s="676">
        <f>$P$33*AI7^2+2*$P$35*AI7*AI8+$P$34*AI8^2+$P$36*AI9^2</f>
        <v>165537470.29474649</v>
      </c>
      <c r="AJ14" s="676">
        <f>$P$33*AJ7^2+2*$P$35*AJ7*AJ8+$P$34*AJ8^2+$P$36*AJ9^2</f>
        <v>54071209.713810697</v>
      </c>
      <c r="AK14" s="676">
        <f>$P$33*AK7^2+2*$P$35*AK7*AK8+$P$34*AK8^2+$P$36*AK9^2</f>
        <v>15441263.511214189</v>
      </c>
      <c r="AL14" s="676"/>
    </row>
    <row r="15" spans="1:38">
      <c r="A15" s="685" t="s">
        <v>1544</v>
      </c>
      <c r="B15" s="874" t="s">
        <v>1545</v>
      </c>
      <c r="C15" s="997">
        <v>90</v>
      </c>
      <c r="D15" s="866" t="s">
        <v>1546</v>
      </c>
      <c r="E15" s="867">
        <f>$Y$42</f>
        <v>0.20166682032370417</v>
      </c>
      <c r="F15" s="867">
        <f>E15+$Y$39</f>
        <v>0.46078810877454857</v>
      </c>
      <c r="G15" s="867">
        <f>F15+$Y$40</f>
        <v>0.79800695846869796</v>
      </c>
      <c r="J15" s="652" t="s">
        <v>1547</v>
      </c>
      <c r="K15" s="654">
        <f>K14*(1-K11)/K11</f>
        <v>0.42545454545454542</v>
      </c>
      <c r="L15" s="654">
        <f>L14*(1-L11)/L11</f>
        <v>0.42545454545454542</v>
      </c>
      <c r="M15" s="660">
        <f t="shared" si="4"/>
        <v>1</v>
      </c>
      <c r="O15" s="654"/>
      <c r="P15" s="654"/>
      <c r="Q15" s="654"/>
      <c r="R15" s="652">
        <v>11</v>
      </c>
      <c r="S15" s="655">
        <f>$L$27+$L$28*COS(S6)+$L$29*COS(S7)</f>
        <v>0.2737890947405392</v>
      </c>
      <c r="T15" s="655">
        <f>$L$27+$L$28*COS(T6)+$L$29*COS(T7)</f>
        <v>0.2737890947405392</v>
      </c>
      <c r="U15" s="655">
        <f>$L$27+$L$28*COS(U6)+$L$29*COS(U7)</f>
        <v>5.2316562765241381E-2</v>
      </c>
      <c r="V15" s="655">
        <f>$L$27+$L$28*COS(V6)+$L$29*COS(V7)</f>
        <v>0.88535721602716078</v>
      </c>
      <c r="W15" s="655">
        <f t="shared" ref="W15:W20" si="5">$W$5*Y7*2</f>
        <v>3.7131299206837016E-4</v>
      </c>
      <c r="X15" s="703">
        <f t="shared" ref="X15:X20" si="6">2*$W$5*(Y23-$W$9*($W$5-1)*Y15+$W$9^2/6*($W$5-1)*(2*$W$5-1)*Y7)</f>
        <v>2.1593440704237038E-11</v>
      </c>
      <c r="Y15" s="656">
        <f t="shared" ref="Y15:Y20" si="7">(S15*$S$12+T15*$T$12+U15*$U$12+V15*$V$12)*$X$10</f>
        <v>3.3810750321948088E-8</v>
      </c>
      <c r="Z15" s="652" t="s">
        <v>1334</v>
      </c>
      <c r="AA15" s="676">
        <f>2*($AF$10*COS(AA4)-$AF$9*SIN(AA4))</f>
        <v>0</v>
      </c>
      <c r="AB15" s="676">
        <f>2*($AF$10*COS(AB4)-$AF$9*SIN(AB4))</f>
        <v>0</v>
      </c>
      <c r="AC15" s="676">
        <f>2*($AF$10*COS(AC4)-$AF$9*SIN(AC4))</f>
        <v>0</v>
      </c>
      <c r="AD15" s="676">
        <f>2*($AF$10*COS(AD4)-$AF$9*SIN(AD4))</f>
        <v>0</v>
      </c>
      <c r="AE15" s="676"/>
      <c r="AF15" s="676"/>
      <c r="AG15" s="652" t="s">
        <v>1335</v>
      </c>
      <c r="AH15" s="676">
        <f>$P$37*AH7+$P$38*AH8</f>
        <v>3204.0913345319786</v>
      </c>
      <c r="AI15" s="676">
        <f>$P$37*AI7+$P$38*AI8</f>
        <v>1363.3584027890395</v>
      </c>
      <c r="AJ15" s="676">
        <f>$P$37*AJ7+$P$38*AJ8</f>
        <v>-5605.5984865191776</v>
      </c>
      <c r="AK15" s="676">
        <f>$P$37*AK7+$P$38*AK8</f>
        <v>4058.2748778222631</v>
      </c>
      <c r="AL15" s="676"/>
    </row>
    <row r="16" spans="1:38">
      <c r="B16" s="653" t="s">
        <v>1336</v>
      </c>
      <c r="C16" s="653" t="s">
        <v>1337</v>
      </c>
      <c r="D16" s="670" t="s">
        <v>1338</v>
      </c>
      <c r="E16" s="653" t="s">
        <v>1339</v>
      </c>
      <c r="F16" s="653" t="s">
        <v>1340</v>
      </c>
      <c r="G16" s="653" t="s">
        <v>1341</v>
      </c>
      <c r="H16" s="653" t="s">
        <v>1342</v>
      </c>
      <c r="I16" s="653" t="s">
        <v>1147</v>
      </c>
      <c r="J16" s="652" t="s">
        <v>1548</v>
      </c>
      <c r="K16" s="654">
        <f>1/((1+K15)/K6-K15/K13)</f>
        <v>3.6646878457785997E-2</v>
      </c>
      <c r="L16" s="654">
        <f>K16*P6^$F$29</f>
        <v>3.6646878457785997E-2</v>
      </c>
      <c r="M16" s="660">
        <f t="shared" si="4"/>
        <v>1</v>
      </c>
      <c r="N16" s="650" t="s">
        <v>1148</v>
      </c>
      <c r="O16" s="654"/>
      <c r="P16" s="654"/>
      <c r="Q16" s="654"/>
      <c r="R16" s="652">
        <v>22</v>
      </c>
      <c r="S16" s="655">
        <f>S15-2*$L$28*COS(S6)</f>
        <v>0.27378909474053914</v>
      </c>
      <c r="T16" s="655">
        <f>T15-2*$L$28*COS(T6)</f>
        <v>0.27378909474053914</v>
      </c>
      <c r="U16" s="655">
        <f>U15-2*$L$28*COS(U6)</f>
        <v>0.88535721602716078</v>
      </c>
      <c r="V16" s="655">
        <f>V15-2*$L$28*COS(V6)</f>
        <v>5.2316562765241326E-2</v>
      </c>
      <c r="W16" s="655">
        <f t="shared" si="5"/>
        <v>3.7131299206837011E-4</v>
      </c>
      <c r="X16" s="703">
        <f t="shared" si="6"/>
        <v>2.810157080784578E-11</v>
      </c>
      <c r="Y16" s="656">
        <f t="shared" si="7"/>
        <v>4.6827010529165573E-8</v>
      </c>
      <c r="Z16" s="652" t="s">
        <v>1149</v>
      </c>
      <c r="AA16" s="676">
        <f>($AF$11+$AF$12*COS(AA4)+$AF$13*SIN(AA4))</f>
        <v>6297780321.5724869</v>
      </c>
      <c r="AB16" s="676">
        <f>($AF$11+$AF$12*COS(AB4)+$AF$13*SIN(AB4))</f>
        <v>11453578148.240898</v>
      </c>
      <c r="AC16" s="676">
        <f>($AF$11+$AF$12*COS(AC4)+$AF$13*SIN(AC4))</f>
        <v>59910546222.912064</v>
      </c>
      <c r="AD16" s="676">
        <f>($AF$11+$AF$12*COS(AD4)+$AF$13*SIN(AD4))</f>
        <v>-42159187753.098679</v>
      </c>
      <c r="AE16" s="676"/>
      <c r="AF16" s="676"/>
      <c r="AG16" s="652" t="s">
        <v>1344</v>
      </c>
      <c r="AH16" s="676">
        <f>AH15/2/AH14</f>
        <v>5.4151817799920377E-6</v>
      </c>
      <c r="AI16" s="676">
        <f>AI15/2/AI14</f>
        <v>4.1179752244658623E-6</v>
      </c>
      <c r="AJ16" s="676">
        <f>AJ15/2/AJ14</f>
        <v>-5.1835334517098972E-5</v>
      </c>
      <c r="AK16" s="676">
        <f>AK15/2/AK14</f>
        <v>1.3141006481998536E-4</v>
      </c>
      <c r="AL16" s="676"/>
    </row>
    <row r="17" spans="1:42">
      <c r="A17" s="653" t="s">
        <v>1150</v>
      </c>
      <c r="B17" s="666">
        <f>G27</f>
        <v>22</v>
      </c>
      <c r="C17" s="671">
        <f>H27</f>
        <v>5.0000000000000001E-3</v>
      </c>
      <c r="D17" s="660">
        <f>C28</f>
        <v>0.55000000000000004</v>
      </c>
      <c r="E17" s="660">
        <f>F26</f>
        <v>3.4</v>
      </c>
      <c r="F17" s="682">
        <f>K12</f>
        <v>1.5999999999999999</v>
      </c>
      <c r="G17" s="666">
        <f>O24</f>
        <v>66</v>
      </c>
      <c r="H17" s="682">
        <f>O23</f>
        <v>4600</v>
      </c>
      <c r="I17" s="660">
        <f>A30</f>
        <v>0.15</v>
      </c>
      <c r="J17" s="652" t="s">
        <v>295</v>
      </c>
      <c r="K17" s="654">
        <f>$E$29</f>
        <v>0.32</v>
      </c>
      <c r="L17" s="654">
        <f>K17*P6^$G$28</f>
        <v>0.32</v>
      </c>
      <c r="M17" s="660">
        <f t="shared" si="4"/>
        <v>1</v>
      </c>
      <c r="N17" s="652" t="s">
        <v>296</v>
      </c>
      <c r="O17" s="659">
        <f>$A$27</f>
        <v>2530</v>
      </c>
      <c r="P17" s="659">
        <f>P23*L11</f>
        <v>2792.9</v>
      </c>
      <c r="Q17" s="654">
        <f t="shared" ref="Q17:Q24" si="8">P17/O17</f>
        <v>1.1039130434782609</v>
      </c>
      <c r="R17" s="652" t="s">
        <v>1345</v>
      </c>
      <c r="S17" s="655">
        <f>$L$30-$L$29*COS(S7)</f>
        <v>0.21178909474053914</v>
      </c>
      <c r="T17" s="655">
        <f>$L$30-$L$29*COS(T7)</f>
        <v>0.21178909474053914</v>
      </c>
      <c r="U17" s="655">
        <f>$L$30-$L$29*COS(U7)</f>
        <v>1.6741300084877217E-2</v>
      </c>
      <c r="V17" s="655">
        <f>$L$30-$L$29*COS(V7)</f>
        <v>1.6741300084877217E-2</v>
      </c>
      <c r="W17" s="655">
        <f t="shared" si="5"/>
        <v>1.1426519741270819E-4</v>
      </c>
      <c r="X17" s="703">
        <f t="shared" si="6"/>
        <v>1.5617343367381785E-11</v>
      </c>
      <c r="Y17" s="656">
        <f t="shared" si="7"/>
        <v>2.0378393259577953E-8</v>
      </c>
      <c r="Z17" s="652" t="s">
        <v>1151</v>
      </c>
      <c r="AA17" s="676">
        <f>2*$AF$11-AA16</f>
        <v>11453578148.240906</v>
      </c>
      <c r="AB17" s="676">
        <f>2*$AF$11-AB16</f>
        <v>6297780321.5724945</v>
      </c>
      <c r="AC17" s="676">
        <f>2*$AF$11-AC16</f>
        <v>-42159187753.098671</v>
      </c>
      <c r="AD17" s="676">
        <f>2*$AF$11-AD16</f>
        <v>59910546222.912071</v>
      </c>
      <c r="AE17" s="676"/>
      <c r="AF17" s="676"/>
      <c r="AG17" s="652" t="s">
        <v>1152</v>
      </c>
      <c r="AH17" s="676">
        <f>$P$33*AH10^2+2*$P$35*AH10*AH11+$P$34*AH11^2+$P$36*AH12^2</f>
        <v>295843377.44398767</v>
      </c>
      <c r="AI17" s="676">
        <f>$P$33*AI10^2+2*$P$35*AI10*AI11+$P$34*AI11^2+$P$36*AI12^2</f>
        <v>165537470.29474649</v>
      </c>
      <c r="AJ17" s="676">
        <f>$P$33*AJ10^2+2*$P$35*AJ10*AJ11+$P$34*AJ11^2+$P$36*AJ12^2</f>
        <v>54071209.713810697</v>
      </c>
      <c r="AK17" s="676">
        <f>$P$33*AK10^2+2*$P$35*AK10*AK11+$P$34*AK11^2+$P$36*AK12^2</f>
        <v>15441263.511214189</v>
      </c>
      <c r="AL17" s="676"/>
    </row>
    <row r="18" spans="1:42">
      <c r="A18" s="653" t="s">
        <v>297</v>
      </c>
      <c r="B18" s="692">
        <f t="shared" ref="B18:G18" si="9">B17</f>
        <v>22</v>
      </c>
      <c r="C18" s="794">
        <f t="shared" si="9"/>
        <v>5.0000000000000001E-3</v>
      </c>
      <c r="D18" s="693">
        <f t="shared" si="9"/>
        <v>0.55000000000000004</v>
      </c>
      <c r="E18" s="693">
        <f t="shared" si="9"/>
        <v>3.4</v>
      </c>
      <c r="F18" s="694">
        <f t="shared" si="9"/>
        <v>1.5999999999999999</v>
      </c>
      <c r="G18" s="692">
        <f t="shared" si="9"/>
        <v>66</v>
      </c>
      <c r="H18" s="694">
        <v>5078</v>
      </c>
      <c r="I18" s="693">
        <v>1</v>
      </c>
      <c r="J18" s="652" t="s">
        <v>301</v>
      </c>
      <c r="K18" s="654">
        <f>K17*(1-K11)/K11</f>
        <v>0.26181818181818178</v>
      </c>
      <c r="L18" s="654">
        <f>L17*(1-L11)/L11</f>
        <v>0.26181818181818178</v>
      </c>
      <c r="M18" s="660">
        <f t="shared" si="4"/>
        <v>1</v>
      </c>
      <c r="N18" s="652" t="s">
        <v>302</v>
      </c>
      <c r="O18" s="659">
        <f>$B$27</f>
        <v>1669</v>
      </c>
      <c r="P18" s="659">
        <f>O18*Q17*M8^E30</f>
        <v>1842.4308695652176</v>
      </c>
      <c r="Q18" s="654">
        <f t="shared" si="8"/>
        <v>1.1039130434782609</v>
      </c>
      <c r="R18" s="652">
        <v>66</v>
      </c>
      <c r="S18" s="655">
        <f>S17-$L$30+$L$31</f>
        <v>0.22604779465566194</v>
      </c>
      <c r="T18" s="655">
        <f>T17-$L$30+$L$31</f>
        <v>0.22604779465566194</v>
      </c>
      <c r="U18" s="655">
        <f>U17-$L$30+$L$31</f>
        <v>3.1000000000000028E-2</v>
      </c>
      <c r="V18" s="655">
        <f>V17-$L$30+$L$31</f>
        <v>3.1000000000000028E-2</v>
      </c>
      <c r="W18" s="655">
        <f t="shared" si="5"/>
        <v>1.2852389732783098E-4</v>
      </c>
      <c r="X18" s="703">
        <f t="shared" si="6"/>
        <v>1.6805568360308684E-11</v>
      </c>
      <c r="Y18" s="656">
        <f t="shared" si="7"/>
        <v>2.2160730748968306E-8</v>
      </c>
      <c r="Z18" s="652" t="s">
        <v>1153</v>
      </c>
      <c r="AA18" s="676">
        <f>2*($AF$13*COS(AA4)-$AF$12*SIN(AA4))</f>
        <v>102069733976.01074</v>
      </c>
      <c r="AB18" s="676">
        <f>2*($AF$13*COS(AB4)-$AF$12*SIN(AB4))</f>
        <v>-102069733976.01074</v>
      </c>
      <c r="AC18" s="676">
        <f>2*($AF$13*COS(AC4)-$AF$12*SIN(AC4))</f>
        <v>5155797826.6684246</v>
      </c>
      <c r="AD18" s="676">
        <f>2*($AF$13*COS(AD4)-$AF$12*SIN(AD4))</f>
        <v>-5155797826.6684122</v>
      </c>
      <c r="AE18" s="676"/>
      <c r="AF18" s="676"/>
      <c r="AG18" s="652" t="s">
        <v>1154</v>
      </c>
      <c r="AH18" s="676">
        <f>$P$37*AH10+$P$38*AH11</f>
        <v>-3204.0913345319786</v>
      </c>
      <c r="AI18" s="676">
        <f>$P$37*AI10+$P$38*AI11</f>
        <v>-1363.3584027890395</v>
      </c>
      <c r="AJ18" s="676">
        <f>$P$37*AJ10+$P$38*AJ11</f>
        <v>5605.5984865191776</v>
      </c>
      <c r="AK18" s="676">
        <f>$P$37*AK10+$P$38*AK11</f>
        <v>-4058.2748778222631</v>
      </c>
      <c r="AL18" s="676"/>
    </row>
    <row r="19" spans="1:42">
      <c r="A19" s="663" t="s">
        <v>303</v>
      </c>
      <c r="B19" s="671">
        <f t="shared" ref="B19:I19" si="10">B18/B17</f>
        <v>1</v>
      </c>
      <c r="C19" s="671">
        <f t="shared" si="10"/>
        <v>1</v>
      </c>
      <c r="D19" s="671">
        <f t="shared" si="10"/>
        <v>1</v>
      </c>
      <c r="E19" s="671">
        <f t="shared" si="10"/>
        <v>1</v>
      </c>
      <c r="F19" s="671">
        <f t="shared" si="10"/>
        <v>1</v>
      </c>
      <c r="G19" s="671">
        <f t="shared" si="10"/>
        <v>1</v>
      </c>
      <c r="H19" s="671">
        <f t="shared" si="10"/>
        <v>1.1039130434782609</v>
      </c>
      <c r="I19" s="671">
        <f t="shared" si="10"/>
        <v>6.666666666666667</v>
      </c>
      <c r="J19" s="652" t="s">
        <v>304</v>
      </c>
      <c r="K19" s="659">
        <f>1/((1+K18)/K8-K18*2.7/K13)</f>
        <v>2.4693859190562818E-2</v>
      </c>
      <c r="L19" s="659">
        <f>K19*P6^$G$29</f>
        <v>2.4693859190562818E-2</v>
      </c>
      <c r="M19" s="660">
        <f t="shared" si="4"/>
        <v>1</v>
      </c>
      <c r="N19" s="652" t="s">
        <v>305</v>
      </c>
      <c r="O19" s="659">
        <f>$C$27</f>
        <v>66</v>
      </c>
      <c r="P19" s="659">
        <f>O19*Q24</f>
        <v>66</v>
      </c>
      <c r="Q19" s="654">
        <f t="shared" si="8"/>
        <v>1</v>
      </c>
      <c r="R19" s="652" t="s">
        <v>1347</v>
      </c>
      <c r="S19" s="655">
        <f>$L$28*SIN(S6)/2+$L$29*SIN(S7)</f>
        <v>0.20826016331547986</v>
      </c>
      <c r="T19" s="655">
        <f>$L$28*SIN(T6)/2+$L$29*SIN(T7)</f>
        <v>-0.20826016331547986</v>
      </c>
      <c r="U19" s="655">
        <f>$L$28*SIN(U6)/2+$L$29*SIN(U7)</f>
        <v>1.6187113049259042E-18</v>
      </c>
      <c r="V19" s="655">
        <f>$L$28*SIN(V6)/2+$L$29*SIN(V7)</f>
        <v>0</v>
      </c>
      <c r="W19" s="655">
        <f t="shared" si="5"/>
        <v>4.0467782623147606E-22</v>
      </c>
      <c r="X19" s="703">
        <f t="shared" si="6"/>
        <v>4.8810975777065597E-12</v>
      </c>
      <c r="Y19" s="656">
        <f t="shared" si="7"/>
        <v>3.2540650518043719E-9</v>
      </c>
      <c r="AA19" s="676"/>
      <c r="AB19" s="676"/>
      <c r="AC19" s="676"/>
      <c r="AD19" s="676"/>
      <c r="AE19" s="676"/>
      <c r="AF19" s="676"/>
      <c r="AG19" s="652" t="s">
        <v>1155</v>
      </c>
      <c r="AH19" s="676">
        <f>AH18/2/AH17</f>
        <v>-5.4151817799920377E-6</v>
      </c>
      <c r="AI19" s="676">
        <f>AI18/2/AI17</f>
        <v>-4.1179752244658623E-6</v>
      </c>
      <c r="AJ19" s="676">
        <f>AJ18/2/AJ17</f>
        <v>5.1835334517098972E-5</v>
      </c>
      <c r="AK19" s="676">
        <f>AK18/2/AK17</f>
        <v>-1.3141006481998536E-4</v>
      </c>
      <c r="AL19" s="677" t="s">
        <v>1156</v>
      </c>
      <c r="AM19" s="654">
        <f>IF(AH3=0,1000000000,AH20)</f>
        <v>5.2975666138862739E-5</v>
      </c>
      <c r="AN19" s="654">
        <f>IF(AI3=0,1000000000,AI20)</f>
        <v>7.3714447880017368E-5</v>
      </c>
      <c r="AO19" s="654">
        <f>IF(AJ3=0,1000000000,AJ20)</f>
        <v>1.9737238218146285E-4</v>
      </c>
      <c r="AP19" s="654">
        <f>IF(AK3=0,1000000000,AK20)</f>
        <v>1.5499898678713648E-4</v>
      </c>
    </row>
    <row r="20" spans="1:42">
      <c r="A20" s="653" t="s">
        <v>1540</v>
      </c>
      <c r="B20" s="666">
        <f>B18-B17</f>
        <v>0</v>
      </c>
      <c r="C20" s="666">
        <f>C18-C17</f>
        <v>0</v>
      </c>
      <c r="D20" s="665" t="s">
        <v>1157</v>
      </c>
      <c r="E20" s="660">
        <f>L13</f>
        <v>3.4</v>
      </c>
      <c r="F20" s="682">
        <f>L12</f>
        <v>1.5999999999999999</v>
      </c>
      <c r="G20" s="666">
        <f>P24</f>
        <v>66</v>
      </c>
      <c r="H20" s="659">
        <f>P23</f>
        <v>5078</v>
      </c>
      <c r="L20" s="654"/>
      <c r="N20" s="652" t="s">
        <v>1542</v>
      </c>
      <c r="O20" s="659">
        <f>$D$27</f>
        <v>220</v>
      </c>
      <c r="P20" s="659">
        <f>O20*Q24</f>
        <v>220</v>
      </c>
      <c r="Q20" s="654">
        <f t="shared" si="8"/>
        <v>1</v>
      </c>
      <c r="R20" s="652" t="s">
        <v>1349</v>
      </c>
      <c r="S20" s="655">
        <f>$L$28*SIN(S6)-S19</f>
        <v>0.20826016331547986</v>
      </c>
      <c r="T20" s="655">
        <f>$L$28*SIN(T6)-T19</f>
        <v>-0.20826016331547986</v>
      </c>
      <c r="U20" s="655">
        <f>$L$28*SIN(U6)-U19</f>
        <v>4.9411212156069503E-17</v>
      </c>
      <c r="V20" s="655">
        <f>$L$28*SIN(V6)-V19</f>
        <v>0</v>
      </c>
      <c r="W20" s="655">
        <f t="shared" si="5"/>
        <v>1.2352803039017376E-20</v>
      </c>
      <c r="X20" s="703">
        <f t="shared" si="6"/>
        <v>4.8810975777065597E-12</v>
      </c>
      <c r="Y20" s="656">
        <f t="shared" si="7"/>
        <v>3.2540650518043731E-9</v>
      </c>
      <c r="Z20" s="650" t="s">
        <v>1158</v>
      </c>
      <c r="AA20" s="676" t="s">
        <v>1159</v>
      </c>
      <c r="AB20" s="676" t="s">
        <v>1160</v>
      </c>
      <c r="AC20" s="676" t="s">
        <v>1161</v>
      </c>
      <c r="AD20" s="676" t="s">
        <v>1162</v>
      </c>
      <c r="AF20" s="676"/>
      <c r="AG20" s="652" t="s">
        <v>1351</v>
      </c>
      <c r="AH20" s="856">
        <f>(AH16^2+1/AH14)^0.5-AH16</f>
        <v>5.2975666138862739E-5</v>
      </c>
      <c r="AI20" s="856">
        <f>(AI16^2+1/AI14)^0.5-AI16</f>
        <v>7.3714447880017368E-5</v>
      </c>
      <c r="AJ20" s="856">
        <f>(AJ16^2+1/AJ14)^0.5-AJ16</f>
        <v>1.9737238218146285E-4</v>
      </c>
      <c r="AK20" s="856">
        <f>(AK16^2+1/AK14)^0.5-AK16</f>
        <v>1.5499898678713648E-4</v>
      </c>
      <c r="AL20" s="856">
        <f>MIN(AM19:AP19,AM20:AP20)</f>
        <v>5.2975666138862739E-5</v>
      </c>
      <c r="AM20" s="654">
        <f>IF(AH3=0,1000000000,AH21)</f>
        <v>6.3806029698846808E-5</v>
      </c>
      <c r="AN20" s="654">
        <f>IF(AI3=0,1000000000,AI21)</f>
        <v>8.1950398328949103E-5</v>
      </c>
      <c r="AO20" s="654">
        <f>IF(AJ3=0,1000000000,AJ21)</f>
        <v>9.3701713147264918E-5</v>
      </c>
      <c r="AP20" s="654">
        <f>IF(AK3=0,1000000000,AK21)</f>
        <v>4.1781911642710721E-4</v>
      </c>
    </row>
    <row r="21" spans="1:42">
      <c r="B21" s="652" t="s">
        <v>1562</v>
      </c>
      <c r="C21" s="652" t="s">
        <v>1563</v>
      </c>
      <c r="D21" s="652" t="s">
        <v>1564</v>
      </c>
      <c r="E21" s="652" t="s">
        <v>1565</v>
      </c>
      <c r="J21" s="650" t="s">
        <v>1163</v>
      </c>
      <c r="N21" s="652" t="s">
        <v>1543</v>
      </c>
      <c r="O21" s="682">
        <f>$E$27</f>
        <v>93</v>
      </c>
      <c r="P21" s="682">
        <f>O21*Q24</f>
        <v>93</v>
      </c>
      <c r="Q21" s="654">
        <f t="shared" si="8"/>
        <v>1</v>
      </c>
      <c r="R21" s="653"/>
      <c r="V21" s="656" t="s">
        <v>1164</v>
      </c>
      <c r="W21" s="655">
        <f>W15*W16*W18+2*W17*W19*W20-W16*W19^2-W18*W17^2-W15*W20^2</f>
        <v>1.6041941940015412E-11</v>
      </c>
      <c r="X21" s="655">
        <f>X15*X16*X18+2*X17*X19*X20-X16*X19^2-X18*X17^2-X15*X20^2</f>
        <v>5.6590590458758301E-33</v>
      </c>
      <c r="Z21" s="652">
        <v>1</v>
      </c>
      <c r="AA21" s="676">
        <f>AA8/$AF$4+AB8/$AF$5</f>
        <v>694.19113432249083</v>
      </c>
      <c r="AB21" s="676">
        <f>AA8/$AF$4-AB8/$AF$5</f>
        <v>-694.19113432249083</v>
      </c>
      <c r="AC21" s="676">
        <f>AC8+AD8*$AF$4/2</f>
        <v>-21079593.876549337</v>
      </c>
      <c r="AD21" s="676">
        <f>AC8-AD8*$AF$4/2</f>
        <v>21079593.876549337</v>
      </c>
      <c r="AF21" s="676"/>
      <c r="AG21" s="652" t="s">
        <v>1165</v>
      </c>
      <c r="AH21" s="856">
        <f>(AH19^2+1/AH17)^0.5-AH19</f>
        <v>6.3806029698846808E-5</v>
      </c>
      <c r="AI21" s="856">
        <f>(AI19^2+1/AI17)^0.5-AI19</f>
        <v>8.1950398328949103E-5</v>
      </c>
      <c r="AJ21" s="856">
        <f>(AJ19^2+1/AJ17)^0.5-AJ19</f>
        <v>9.3701713147264918E-5</v>
      </c>
      <c r="AK21" s="856">
        <f>(AK19^2+1/AK17)^0.5-AK19</f>
        <v>4.1781911642710721E-4</v>
      </c>
      <c r="AL21" s="856"/>
      <c r="AM21" s="654">
        <f>IF(AH3=0,0,AH20)</f>
        <v>5.2975666138862739E-5</v>
      </c>
      <c r="AN21" s="654">
        <f>IF(AI3=0,0,AI20)</f>
        <v>7.3714447880017368E-5</v>
      </c>
      <c r="AO21" s="654">
        <f>IF(AJ3=0,0,AJ20)</f>
        <v>1.9737238218146285E-4</v>
      </c>
      <c r="AP21" s="654">
        <f>IF(AK3=0,0,AK20)</f>
        <v>1.5499898678713648E-4</v>
      </c>
    </row>
    <row r="22" spans="1:42">
      <c r="A22" s="653" t="s">
        <v>1166</v>
      </c>
      <c r="B22" s="856">
        <f t="shared" ref="B22:E23" si="11">AH20</f>
        <v>5.2975666138862739E-5</v>
      </c>
      <c r="C22" s="856">
        <f t="shared" si="11"/>
        <v>7.3714447880017368E-5</v>
      </c>
      <c r="D22" s="856">
        <f t="shared" si="11"/>
        <v>1.9737238218146285E-4</v>
      </c>
      <c r="E22" s="856">
        <f t="shared" si="11"/>
        <v>1.5499898678713648E-4</v>
      </c>
      <c r="F22" s="650" t="s">
        <v>1167</v>
      </c>
      <c r="G22" s="654">
        <f>MIN(B22:E23)</f>
        <v>5.2975666138862739E-5</v>
      </c>
      <c r="H22" s="676">
        <f>MIN(B22:E22)</f>
        <v>5.2975666138862739E-5</v>
      </c>
      <c r="J22" s="652" t="s">
        <v>1354</v>
      </c>
      <c r="K22" s="659">
        <f>K5/(1-K7^2*K6/K5)</f>
        <v>0.88535721602716078</v>
      </c>
      <c r="L22" s="659">
        <f>L5/(1-L7^2*L6/L5)</f>
        <v>0.88535721602716078</v>
      </c>
      <c r="M22" s="660">
        <f>L22/K22</f>
        <v>1</v>
      </c>
      <c r="N22" s="652" t="s">
        <v>1168</v>
      </c>
      <c r="O22" s="660">
        <f>$A$28</f>
        <v>-0.5</v>
      </c>
      <c r="P22" s="660">
        <v>-0.5</v>
      </c>
      <c r="Q22" s="654">
        <f t="shared" si="8"/>
        <v>1</v>
      </c>
      <c r="R22" s="652" t="s">
        <v>1355</v>
      </c>
      <c r="S22" s="656" t="s">
        <v>1169</v>
      </c>
      <c r="T22" s="656" t="s">
        <v>1170</v>
      </c>
      <c r="U22" s="656" t="s">
        <v>1357</v>
      </c>
      <c r="V22" s="656" t="s">
        <v>1171</v>
      </c>
      <c r="W22" s="656" t="s">
        <v>1358</v>
      </c>
      <c r="X22" s="656" t="s">
        <v>1172</v>
      </c>
      <c r="Y22" s="652" t="s">
        <v>1173</v>
      </c>
      <c r="Z22" s="652">
        <v>2</v>
      </c>
      <c r="AA22" s="676">
        <f>AA9/$AF$4+AB9/$AF$5</f>
        <v>5999999.9598415559</v>
      </c>
      <c r="AB22" s="676">
        <f>AA9/$AF$4-AB9/$AF$5</f>
        <v>-5999999.9598415559</v>
      </c>
      <c r="AC22" s="676">
        <f>AC9+AD9*$AF$4/2</f>
        <v>29955273.111456033</v>
      </c>
      <c r="AD22" s="676">
        <f>AC9-AD9*$AF$4/2</f>
        <v>-29955273.111456033</v>
      </c>
      <c r="AF22" s="676"/>
      <c r="AG22" s="685" t="s">
        <v>1360</v>
      </c>
      <c r="AH22" s="856"/>
      <c r="AI22" s="856"/>
      <c r="AJ22" s="856"/>
      <c r="AK22" s="856"/>
      <c r="AM22" s="654">
        <f>IF(AH3=0,0,AH21)</f>
        <v>6.3806029698846808E-5</v>
      </c>
      <c r="AN22" s="654">
        <f>IF(AI3=0,0,AI21)</f>
        <v>8.1950398328949103E-5</v>
      </c>
      <c r="AO22" s="654">
        <f>IF(AJ3=0,0,AJ21)</f>
        <v>9.3701713147264918E-5</v>
      </c>
      <c r="AP22" s="654">
        <f>IF(AK3=0,0,AK21)</f>
        <v>4.1781911642710721E-4</v>
      </c>
    </row>
    <row r="23" spans="1:42">
      <c r="A23" s="653" t="s">
        <v>1174</v>
      </c>
      <c r="B23" s="856">
        <f t="shared" si="11"/>
        <v>6.3806029698846808E-5</v>
      </c>
      <c r="C23" s="856">
        <f t="shared" si="11"/>
        <v>8.1950398328949103E-5</v>
      </c>
      <c r="D23" s="856">
        <f t="shared" si="11"/>
        <v>9.3701713147264918E-5</v>
      </c>
      <c r="E23" s="856">
        <f t="shared" si="11"/>
        <v>4.1781911642710721E-4</v>
      </c>
      <c r="H23" s="676">
        <f>MIN(B23:E23)</f>
        <v>6.3806029698846808E-5</v>
      </c>
      <c r="J23" s="652" t="s">
        <v>1361</v>
      </c>
      <c r="K23" s="654">
        <f>K22*K6/K5</f>
        <v>5.2316562765241312E-2</v>
      </c>
      <c r="L23" s="654">
        <f>L22*L6/L5</f>
        <v>5.2316562765241312E-2</v>
      </c>
      <c r="M23" s="660">
        <f>L23/K23</f>
        <v>1</v>
      </c>
      <c r="N23" s="652" t="s">
        <v>1175</v>
      </c>
      <c r="O23" s="659">
        <f>O17/K11</f>
        <v>4600</v>
      </c>
      <c r="P23" s="659">
        <f>$H$18*P6^$G$29</f>
        <v>5078</v>
      </c>
      <c r="Q23" s="654">
        <f t="shared" si="8"/>
        <v>1.1039130434782609</v>
      </c>
      <c r="R23" s="652">
        <v>11</v>
      </c>
      <c r="S23" s="655">
        <f>(W16*W18-W20^2)/W21</f>
        <v>2974.8638317936134</v>
      </c>
      <c r="T23" s="655">
        <f>(X16*X18-X20^2)/X21</f>
        <v>79242459222.443298</v>
      </c>
      <c r="U23" s="655">
        <f t="shared" ref="U23:U28" si="12">S23*$W$12</f>
        <v>2.9748638317936136</v>
      </c>
      <c r="V23" s="703">
        <f t="shared" ref="V23:V28" si="13">T23*$X$12</f>
        <v>6.6035382685369424</v>
      </c>
      <c r="W23" s="651">
        <f>1/U23</f>
        <v>0.33614983963722367</v>
      </c>
      <c r="X23" s="651">
        <f>1/V23</f>
        <v>0.15143396756926142</v>
      </c>
      <c r="Y23" s="655">
        <f t="shared" ref="Y23:Y28" si="14">(S15*$S$13+T15*$T$13+U15*$U$13+V15*$V$13)*$X$12/2</f>
        <v>1.0796720352118519E-11</v>
      </c>
      <c r="Z23" s="652">
        <v>6</v>
      </c>
      <c r="AA23" s="676">
        <f>AA10/$AF$4+AB10/$AF$5</f>
        <v>0</v>
      </c>
      <c r="AB23" s="676">
        <f>AA10/$AF$4-AB10/$AF$5</f>
        <v>0</v>
      </c>
      <c r="AC23" s="676">
        <f>AC10+AD10*$AF$4/2</f>
        <v>-2577898.9133342062</v>
      </c>
      <c r="AD23" s="676">
        <f>AC10-AD10*$AF$4/2</f>
        <v>2577898.9133342062</v>
      </c>
      <c r="AF23" s="676"/>
      <c r="AG23" s="652" t="s">
        <v>1364</v>
      </c>
      <c r="AH23" s="676">
        <f>$AL$7+$AL$8*COS(AH4)+$AL$9*SIN(AH4)-$V$37</f>
        <v>5.3473893585280973E-5</v>
      </c>
      <c r="AI23" s="676">
        <f>$AL$7+$AL$8*COS(AI4)+$AL$9*SIN(AI4)-$V$37</f>
        <v>5.3473893585280987E-5</v>
      </c>
      <c r="AJ23" s="676">
        <f>$AL$7+$AL$8*COS(AJ4)+$AL$9*SIN(AJ4)-$V$37</f>
        <v>5.3473893585281007E-5</v>
      </c>
      <c r="AK23" s="676">
        <f>$AL$7+$AL$8*COS(AK4)+$AL$9*SIN(AK4)-$V$37</f>
        <v>5.3473893585280953E-5</v>
      </c>
      <c r="AL23" s="676"/>
    </row>
    <row r="24" spans="1:42">
      <c r="E24" s="651">
        <f>$X$42</f>
        <v>0.12852389732783098</v>
      </c>
      <c r="F24" s="651">
        <f>E24+$X$39</f>
        <v>0.49983688939620113</v>
      </c>
      <c r="G24" s="651">
        <f>F24+$X$40</f>
        <v>0.87114988146457129</v>
      </c>
      <c r="J24" s="652" t="s">
        <v>1365</v>
      </c>
      <c r="K24" s="654">
        <f>K23*K7</f>
        <v>1.674130008487722E-2</v>
      </c>
      <c r="L24" s="654">
        <f>L23*L7</f>
        <v>1.674130008487722E-2</v>
      </c>
      <c r="M24" s="660">
        <f>L24/K24</f>
        <v>1</v>
      </c>
      <c r="N24" s="652" t="s">
        <v>1176</v>
      </c>
      <c r="O24" s="659">
        <f>O19</f>
        <v>66</v>
      </c>
      <c r="P24" s="659">
        <f>$G$18*P6^$H$28</f>
        <v>66</v>
      </c>
      <c r="Q24" s="654">
        <f t="shared" si="8"/>
        <v>1</v>
      </c>
      <c r="R24" s="652">
        <v>22</v>
      </c>
      <c r="S24" s="655">
        <f>(W15*W18-W19^2)/W21</f>
        <v>2974.8638317936138</v>
      </c>
      <c r="T24" s="655">
        <f>(X15*X18-X19^2)/X21</f>
        <v>59915425440.442467</v>
      </c>
      <c r="U24" s="655">
        <f t="shared" si="12"/>
        <v>2.974863831793614</v>
      </c>
      <c r="V24" s="703">
        <f t="shared" si="13"/>
        <v>4.9929521200368727</v>
      </c>
      <c r="W24" s="651">
        <f>1/U24</f>
        <v>0.33614983963722367</v>
      </c>
      <c r="X24" s="651">
        <f>1/V24</f>
        <v>0.20028231314035014</v>
      </c>
      <c r="Y24" s="655">
        <f t="shared" si="14"/>
        <v>1.405078540392289E-11</v>
      </c>
      <c r="Z24" s="652" t="s">
        <v>1177</v>
      </c>
      <c r="AA24" s="676">
        <f>(AA21^2-AA21*AA22+AA22^2+3*AA23^2)^0.5</f>
        <v>5999652.8943949705</v>
      </c>
      <c r="AB24" s="676">
        <f>(AB21^2-AB21*AB22+AB22^2+3*AB23^2)^0.5</f>
        <v>5999652.8943949705</v>
      </c>
      <c r="AC24" s="676">
        <f>(AC21^2+AC22^2+AC23^2/2)^0.5</f>
        <v>36674111.394631796</v>
      </c>
      <c r="AD24" s="676">
        <f>(AD21^2+AD22^2+AD23^2/2)^0.5</f>
        <v>36674111.394631796</v>
      </c>
      <c r="AF24" s="676"/>
      <c r="AG24" s="652" t="s">
        <v>1367</v>
      </c>
      <c r="AH24" s="676">
        <f>2*$AL$7-AH23-$V$38-$V$37</f>
        <v>-6.9852610641471915E-4</v>
      </c>
      <c r="AI24" s="676">
        <f>2*$AL$7-AI23-$V$38-$V$37</f>
        <v>-6.9852610641471925E-4</v>
      </c>
      <c r="AJ24" s="676">
        <f>2*$AL$7-AJ23-$V$38-$V$37</f>
        <v>-6.9852610641471925E-4</v>
      </c>
      <c r="AK24" s="676">
        <f>2*$AL$7-AK23-$V$38-$V$37</f>
        <v>-6.9852610641471915E-4</v>
      </c>
      <c r="AL24" s="676"/>
    </row>
    <row r="25" spans="1:42">
      <c r="A25" s="650" t="s">
        <v>1574</v>
      </c>
      <c r="E25" s="651">
        <f>$Y$42</f>
        <v>0.20166682032370417</v>
      </c>
      <c r="F25" s="651">
        <f>E25+$Y$39</f>
        <v>0.46078810877454857</v>
      </c>
      <c r="G25" s="651">
        <f>F25+$Y$40</f>
        <v>0.79800695846869796</v>
      </c>
      <c r="J25" s="652" t="s">
        <v>1370</v>
      </c>
      <c r="K25" s="654">
        <f>K8</f>
        <v>3.1E-2</v>
      </c>
      <c r="L25" s="654">
        <f>L8</f>
        <v>3.1E-2</v>
      </c>
      <c r="M25" s="660">
        <f>L25/K25</f>
        <v>1</v>
      </c>
      <c r="R25" s="652" t="s">
        <v>1345</v>
      </c>
      <c r="S25" s="655">
        <f>(W19*W20-W17*W18)/W21</f>
        <v>-915.463262199111</v>
      </c>
      <c r="T25" s="655">
        <f>(X19*X20-X17*X18)/X21</f>
        <v>-42168356270.776955</v>
      </c>
      <c r="U25" s="655">
        <f t="shared" si="12"/>
        <v>-0.91546326219911101</v>
      </c>
      <c r="V25" s="703">
        <f t="shared" si="13"/>
        <v>-3.5140296892314131</v>
      </c>
      <c r="W25" s="651">
        <f>-U25/U23</f>
        <v>0.30773282878200081</v>
      </c>
      <c r="X25" s="651">
        <f>-V25/V23</f>
        <v>0.53214345799649154</v>
      </c>
      <c r="Y25" s="655">
        <f t="shared" si="14"/>
        <v>7.8086716836908925E-12</v>
      </c>
      <c r="Z25" s="652"/>
      <c r="AA25" s="652" t="s">
        <v>1178</v>
      </c>
      <c r="AB25" s="669">
        <f>MAX(AA24,AB24)</f>
        <v>5999652.8943949705</v>
      </c>
      <c r="AC25" s="669" t="s">
        <v>1179</v>
      </c>
      <c r="AD25" s="676">
        <f>MAX(AD24,AE24)</f>
        <v>36674111.394631796</v>
      </c>
      <c r="AF25" s="676"/>
      <c r="AG25" s="652" t="s">
        <v>1372</v>
      </c>
      <c r="AH25" s="676">
        <f>2*($AL$9*COS(AH4)-$AL$8*SIN(AH4))</f>
        <v>5.4210108624275222E-20</v>
      </c>
      <c r="AI25" s="676">
        <f>2*($AL$9*COS(AI4)-$AL$8*SIN(AI4))</f>
        <v>-5.4210108624275222E-20</v>
      </c>
      <c r="AJ25" s="676">
        <f>2*($AL$9*COS(AJ4)-$AL$8*SIN(AJ4))</f>
        <v>8.495626036099106E-21</v>
      </c>
      <c r="AK25" s="676">
        <f>2*($AL$9*COS(AK4)-$AL$8*SIN(AK4))</f>
        <v>-8.4956260360991E-21</v>
      </c>
      <c r="AL25" s="676"/>
    </row>
    <row r="26" spans="1:42">
      <c r="A26" s="650" t="s">
        <v>1768</v>
      </c>
      <c r="B26" s="650">
        <v>0.88</v>
      </c>
      <c r="C26" s="650">
        <v>5.1999999999999998E-2</v>
      </c>
      <c r="D26" s="650">
        <v>0.32</v>
      </c>
      <c r="E26" s="650">
        <v>3.1E-2</v>
      </c>
      <c r="F26" s="653">
        <v>3.4</v>
      </c>
      <c r="G26" s="653">
        <v>122</v>
      </c>
      <c r="H26" s="653">
        <v>160</v>
      </c>
      <c r="J26" s="650" t="s">
        <v>1180</v>
      </c>
      <c r="K26" s="654"/>
      <c r="L26" s="654"/>
      <c r="N26" s="650" t="s">
        <v>1375</v>
      </c>
      <c r="R26" s="652">
        <v>66</v>
      </c>
      <c r="S26" s="655">
        <f>(W15*W16-W17^2)/W21</f>
        <v>7780.6541879854485</v>
      </c>
      <c r="T26" s="655">
        <f>(X15*X16-X17^2)/X21</f>
        <v>64128715770.320541</v>
      </c>
      <c r="U26" s="655">
        <f t="shared" si="12"/>
        <v>7.7806541879854487</v>
      </c>
      <c r="V26" s="703">
        <f t="shared" si="13"/>
        <v>5.3440596475267128</v>
      </c>
      <c r="W26" s="651">
        <f>1/U26</f>
        <v>0.12852389732783098</v>
      </c>
      <c r="X26" s="651">
        <f>1/V26</f>
        <v>0.18712365990578167</v>
      </c>
      <c r="Y26" s="655">
        <f t="shared" si="14"/>
        <v>8.402784180154342E-12</v>
      </c>
      <c r="AF26" s="676"/>
      <c r="AG26" s="676"/>
      <c r="AH26" s="676"/>
      <c r="AI26" s="676"/>
      <c r="AJ26" s="676"/>
      <c r="AK26" s="676"/>
      <c r="AL26" s="676"/>
    </row>
    <row r="27" spans="1:42">
      <c r="A27" s="650">
        <v>2530</v>
      </c>
      <c r="B27" s="650">
        <v>1669</v>
      </c>
      <c r="C27" s="650">
        <v>66</v>
      </c>
      <c r="D27" s="650">
        <v>220</v>
      </c>
      <c r="E27" s="650">
        <v>93</v>
      </c>
      <c r="F27" s="653">
        <v>1.2</v>
      </c>
      <c r="G27" s="653">
        <v>22</v>
      </c>
      <c r="H27" s="653">
        <v>5.0000000000000001E-3</v>
      </c>
      <c r="J27" s="652" t="s">
        <v>1380</v>
      </c>
      <c r="K27" s="654">
        <f>(3*K22+3*K23+2*K24+4*K25)/8</f>
        <v>0.37131299206837015</v>
      </c>
      <c r="L27" s="664">
        <f>(3*L22+3*L23+2*L24+4*L25)/8</f>
        <v>0.37131299206837015</v>
      </c>
      <c r="M27" s="660">
        <f>L27/K27</f>
        <v>1</v>
      </c>
      <c r="N27" s="652" t="s">
        <v>1381</v>
      </c>
      <c r="O27" s="654">
        <f>1/O17/O18*1000000</f>
        <v>0.23682259855964496</v>
      </c>
      <c r="P27" s="654">
        <f>1/P17/P18*1000000</f>
        <v>0.19433606845933205</v>
      </c>
      <c r="Q27" s="654">
        <f t="shared" ref="Q27:Q38" si="15">P27/O27</f>
        <v>0.82059765259432171</v>
      </c>
      <c r="R27" s="652" t="s">
        <v>1347</v>
      </c>
      <c r="S27" s="655">
        <f>(W17*W20-W16*W19)/W21</f>
        <v>7.8620989160036631E-14</v>
      </c>
      <c r="T27" s="655">
        <f>(X17*X20-X16*X19)/X21</f>
        <v>-10767997263.360525</v>
      </c>
      <c r="U27" s="655">
        <f t="shared" si="12"/>
        <v>7.8620989160036626E-17</v>
      </c>
      <c r="V27" s="703">
        <f t="shared" si="13"/>
        <v>-0.89733310528004384</v>
      </c>
      <c r="W27" s="651">
        <f>U27/U23</f>
        <v>2.6428432898266215E-17</v>
      </c>
      <c r="X27" s="651">
        <f>V27/V23</f>
        <v>-0.13588671236380279</v>
      </c>
      <c r="Y27" s="655">
        <f t="shared" si="14"/>
        <v>2.4405487888532798E-12</v>
      </c>
      <c r="AA27" s="652" t="s">
        <v>1181</v>
      </c>
      <c r="AB27" s="652" t="s">
        <v>1182</v>
      </c>
      <c r="AC27" s="652" t="s">
        <v>1183</v>
      </c>
      <c r="AF27" s="676"/>
      <c r="AG27" s="669" t="s">
        <v>1383</v>
      </c>
      <c r="AH27" s="676">
        <f>$P$33*AH23^2+2*$P$35*AH23*AH24+$P$34*AH24^2+$P$36*AH25^2</f>
        <v>9.2421825816231659E-8</v>
      </c>
      <c r="AI27" s="676">
        <f>$P$33*AI23^2+2*$P$35*AI23*AI24+$P$34*AI24^2+$P$36*AI25^2</f>
        <v>9.2421825816231698E-8</v>
      </c>
      <c r="AJ27" s="676">
        <f>$P$33*AJ23^2+2*$P$35*AJ23*AJ24+$P$34*AJ24^2+$P$36*AJ25^2</f>
        <v>9.2421825816231698E-8</v>
      </c>
      <c r="AK27" s="676">
        <f>$P$33*AK23^2+2*$P$35*AK23*AK24+$P$34*AK24^2+$P$36*AK25^2</f>
        <v>9.2421825816231645E-8</v>
      </c>
      <c r="AL27" s="676"/>
    </row>
    <row r="28" spans="1:42">
      <c r="A28" s="653">
        <v>-0.5</v>
      </c>
      <c r="B28" s="650">
        <v>125</v>
      </c>
      <c r="C28" s="650">
        <v>0.55000000000000004</v>
      </c>
      <c r="D28" s="650">
        <v>1.6</v>
      </c>
      <c r="E28" s="653">
        <v>0.52</v>
      </c>
      <c r="F28" s="653">
        <v>0.5</v>
      </c>
      <c r="G28" s="653">
        <v>0.2</v>
      </c>
      <c r="H28" s="653">
        <v>0.9</v>
      </c>
      <c r="J28" s="652" t="s">
        <v>1384</v>
      </c>
      <c r="K28" s="654">
        <f>(K22-K23)/2</f>
        <v>0.41652032663095973</v>
      </c>
      <c r="L28" s="664">
        <f>(L22-L23)/2</f>
        <v>0.41652032663095973</v>
      </c>
      <c r="M28" s="660">
        <f>L28/K28</f>
        <v>1</v>
      </c>
      <c r="N28" s="652" t="s">
        <v>1385</v>
      </c>
      <c r="O28" s="654">
        <f>1/O19/O20*1000000</f>
        <v>68.870523415977971</v>
      </c>
      <c r="P28" s="654">
        <f>1/P19/P20*1000000</f>
        <v>68.870523415977971</v>
      </c>
      <c r="Q28" s="654">
        <f t="shared" si="15"/>
        <v>1</v>
      </c>
      <c r="R28" s="652" t="s">
        <v>1349</v>
      </c>
      <c r="S28" s="655">
        <f>(W17*W19-W15*W20)/W21</f>
        <v>-2.8304027543074065E-13</v>
      </c>
      <c r="T28" s="655">
        <f>(X17*X19-X15*X20)/X21</f>
        <v>-5154552019.7957716</v>
      </c>
      <c r="U28" s="655">
        <f t="shared" si="12"/>
        <v>-2.8304027543074065E-16</v>
      </c>
      <c r="V28" s="703">
        <f t="shared" si="13"/>
        <v>-0.42954600164964768</v>
      </c>
      <c r="W28" s="651">
        <f>U28/U24</f>
        <v>-9.5143943196919077E-17</v>
      </c>
      <c r="X28" s="651">
        <f>V28/V24</f>
        <v>-8.6030466810580089E-2</v>
      </c>
      <c r="Y28" s="655">
        <f t="shared" si="14"/>
        <v>2.4405487888532798E-12</v>
      </c>
      <c r="Z28" s="652" t="s">
        <v>1184</v>
      </c>
      <c r="AA28" s="659">
        <f>$L$33</f>
        <v>0.33614983963722372</v>
      </c>
      <c r="AB28" s="659">
        <v>69</v>
      </c>
      <c r="AC28" s="659">
        <v>210</v>
      </c>
      <c r="AF28" s="676"/>
      <c r="AG28" s="669" t="s">
        <v>1387</v>
      </c>
      <c r="AH28" s="676">
        <f>$P$37*AH23+$P$38*AH24</f>
        <v>-3.8468302819957828E-4</v>
      </c>
      <c r="AI28" s="676">
        <f>$P$37*AI23+$P$38*AI24</f>
        <v>-3.8468302819957834E-4</v>
      </c>
      <c r="AJ28" s="676">
        <f>$P$37*AJ23+$P$38*AJ24</f>
        <v>-3.8468302819957834E-4</v>
      </c>
      <c r="AK28" s="676">
        <f>$P$37*AK23+$P$38*AK24</f>
        <v>-3.8468302819957828E-4</v>
      </c>
      <c r="AL28" s="676"/>
    </row>
    <row r="29" spans="1:42">
      <c r="A29" s="650">
        <v>0.02</v>
      </c>
      <c r="B29" s="650">
        <v>22.5</v>
      </c>
      <c r="C29" s="650">
        <v>0</v>
      </c>
      <c r="D29" s="650">
        <v>0.6</v>
      </c>
      <c r="E29" s="653">
        <v>0.32</v>
      </c>
      <c r="F29" s="653">
        <v>0</v>
      </c>
      <c r="G29" s="653">
        <v>0</v>
      </c>
      <c r="H29" s="653">
        <v>2000</v>
      </c>
      <c r="J29" s="652" t="s">
        <v>1388</v>
      </c>
      <c r="K29" s="654">
        <f>(K22+K23-2*K24-4*K25)/8</f>
        <v>9.7523897327830955E-2</v>
      </c>
      <c r="L29" s="664">
        <f>(L22+L23-2*L24-4*L25)/8</f>
        <v>9.7523897327830955E-2</v>
      </c>
      <c r="M29" s="660">
        <f>L29/K29</f>
        <v>1</v>
      </c>
      <c r="N29" s="652" t="s">
        <v>1389</v>
      </c>
      <c r="O29" s="654">
        <f>O22*(O27*O28)^0.5</f>
        <v>-2.0192880131085054</v>
      </c>
      <c r="P29" s="654">
        <f>P22*(P27*P28)^0.5</f>
        <v>-1.8292093068726121</v>
      </c>
      <c r="Q29" s="654">
        <f t="shared" si="15"/>
        <v>0.90586845214651435</v>
      </c>
      <c r="U29" s="655"/>
      <c r="V29" s="655"/>
      <c r="W29" s="656"/>
      <c r="Z29" s="652" t="s">
        <v>269</v>
      </c>
      <c r="AA29" s="659">
        <v>325</v>
      </c>
      <c r="AB29" s="659">
        <v>200</v>
      </c>
      <c r="AC29" s="659">
        <v>400</v>
      </c>
      <c r="AF29" s="676"/>
      <c r="AG29" s="669" t="s">
        <v>1390</v>
      </c>
      <c r="AH29" s="676">
        <f>AH27+AH28</f>
        <v>-3.8459060637376205E-4</v>
      </c>
      <c r="AI29" s="676">
        <f>AI27+AI28</f>
        <v>-3.845906063737621E-4</v>
      </c>
      <c r="AJ29" s="676">
        <f>AJ27+AJ28</f>
        <v>-3.845906063737621E-4</v>
      </c>
      <c r="AK29" s="676">
        <f>AK27+AK28</f>
        <v>-3.8459060637376205E-4</v>
      </c>
      <c r="AL29" s="676"/>
    </row>
    <row r="30" spans="1:42">
      <c r="A30" s="653">
        <v>0.15</v>
      </c>
      <c r="B30" s="653">
        <v>0.01</v>
      </c>
      <c r="C30" s="653">
        <v>1</v>
      </c>
      <c r="D30" s="653">
        <v>1</v>
      </c>
      <c r="E30" s="653">
        <v>0</v>
      </c>
      <c r="F30" s="653">
        <v>0.5</v>
      </c>
      <c r="G30" s="653"/>
      <c r="H30" s="653"/>
      <c r="J30" s="652" t="s">
        <v>1391</v>
      </c>
      <c r="K30" s="654">
        <f>(K22+K23+6*K24-4*K25)/8</f>
        <v>0.11426519741270817</v>
      </c>
      <c r="L30" s="664">
        <f>(L22+L23+6*L24-4*L25)/8</f>
        <v>0.11426519741270817</v>
      </c>
      <c r="M30" s="660">
        <f>L30/K30</f>
        <v>1</v>
      </c>
      <c r="N30" s="652" t="s">
        <v>1392</v>
      </c>
      <c r="O30" s="654">
        <f>1/O21^2*1000000</f>
        <v>115.62030292519366</v>
      </c>
      <c r="P30" s="654">
        <f>1/P21^2*1000000</f>
        <v>115.62030292519366</v>
      </c>
      <c r="Q30" s="654">
        <f t="shared" si="15"/>
        <v>1</v>
      </c>
      <c r="R30" s="653" t="s">
        <v>1185</v>
      </c>
      <c r="U30" s="655"/>
      <c r="V30" s="655"/>
      <c r="W30" s="656" t="s">
        <v>1394</v>
      </c>
      <c r="X30" s="655" t="s">
        <v>1331</v>
      </c>
      <c r="Y30" s="652" t="s">
        <v>1186</v>
      </c>
      <c r="Z30" s="652" t="s">
        <v>1187</v>
      </c>
      <c r="AA30" s="664">
        <f>$L$36</f>
        <v>1.5135000000000001</v>
      </c>
      <c r="AB30" s="664">
        <v>2.7</v>
      </c>
      <c r="AC30" s="664">
        <v>7.8</v>
      </c>
      <c r="AF30" s="676"/>
      <c r="AG30" s="669" t="s">
        <v>1395</v>
      </c>
      <c r="AH30" s="676">
        <f>-1+AH29</f>
        <v>-1.0003845906063737</v>
      </c>
      <c r="AI30" s="676">
        <f>-1+AI29</f>
        <v>-1.0003845906063737</v>
      </c>
      <c r="AJ30" s="676">
        <f>-1+AJ29</f>
        <v>-1.0003845906063737</v>
      </c>
      <c r="AK30" s="676">
        <f>-1+AK29</f>
        <v>-1.0003845906063737</v>
      </c>
      <c r="AL30" s="676"/>
    </row>
    <row r="31" spans="1:42">
      <c r="B31" s="664"/>
      <c r="C31" s="659"/>
      <c r="D31" s="655"/>
      <c r="J31" s="652" t="s">
        <v>1396</v>
      </c>
      <c r="K31" s="654">
        <f>(K27-K30)/2</f>
        <v>0.12852389732783098</v>
      </c>
      <c r="L31" s="664">
        <f>(L27-L30)/2</f>
        <v>0.12852389732783098</v>
      </c>
      <c r="M31" s="660">
        <f>L31/K31</f>
        <v>1</v>
      </c>
      <c r="N31" s="652" t="s">
        <v>1397</v>
      </c>
      <c r="O31" s="654">
        <f>(1/O17-1/O18)*1000</f>
        <v>-0.20390425735985432</v>
      </c>
      <c r="P31" s="654">
        <f>(1/P17-1/P18)*1000</f>
        <v>-0.18471043400065565</v>
      </c>
      <c r="Q31" s="654">
        <f t="shared" si="15"/>
        <v>0.9058684521465139</v>
      </c>
      <c r="R31" s="652" t="s">
        <v>1398</v>
      </c>
      <c r="S31" s="654">
        <f>S11*COS(S6)</f>
        <v>1.531435568635775E-17</v>
      </c>
      <c r="T31" s="654">
        <f>T11*COS(T6)</f>
        <v>1.531435568635775E-17</v>
      </c>
      <c r="U31" s="654">
        <f>U11*COS(U6)</f>
        <v>-0.25</v>
      </c>
      <c r="V31" s="654">
        <f>V11*COS(V6)</f>
        <v>0.25</v>
      </c>
      <c r="W31" s="654">
        <f>(S31+T31+U31+V31)*$W$5</f>
        <v>2.7755575615628914E-17</v>
      </c>
      <c r="X31" s="654">
        <f>W15/$W$12</f>
        <v>0.37131299206837015</v>
      </c>
      <c r="Y31" s="856">
        <f t="shared" ref="Y31:Y36" si="16">X15/X$12*1000000000</f>
        <v>259121288.45084444</v>
      </c>
      <c r="Z31" s="652" t="s">
        <v>1188</v>
      </c>
      <c r="AA31" s="659">
        <f>AA29/$AB$25*1000000</f>
        <v>54.16980044022602</v>
      </c>
      <c r="AB31" s="659">
        <f>AB29/$AB$25*1000000</f>
        <v>33.335261809369854</v>
      </c>
      <c r="AC31" s="659">
        <f>AC29/$AB$25*1000000</f>
        <v>66.670523618739708</v>
      </c>
      <c r="AF31" s="676"/>
      <c r="AG31" s="669" t="s">
        <v>1399</v>
      </c>
      <c r="AH31" s="676">
        <f>2*($P$33*AH7*AH23+$P$34*AH8*AH24+$P$35*(AH7*AH24+AH23*AH8)+$P$36*AH9*AH25)</f>
        <v>-1.3599245039992878</v>
      </c>
      <c r="AI31" s="676">
        <f>2*($P$33*AI7*AI23+$P$34*AI8*AI24+$P$35*(AI7*AI24+AI23*AI8)+$P$36*AI9*AI25)</f>
        <v>-0.43093040740353128</v>
      </c>
      <c r="AJ31" s="676">
        <f>2*($P$33*AJ7*AJ23+$P$34*AJ8*AJ24+$P$35*(AJ7*AJ24+AJ23*AJ8)+$P$36*AJ9*AJ25)</f>
        <v>3.4032873978181186</v>
      </c>
      <c r="AK31" s="676">
        <f>2*($P$33*AK7*AK23+$P$34*AK8*AK24+$P$35*(AK7*AK24+AK23*AK8)+$P$36*AK9*AK25)</f>
        <v>-2.1852682940433916</v>
      </c>
      <c r="AL31" s="676"/>
    </row>
    <row r="32" spans="1:42">
      <c r="A32" s="652" t="s">
        <v>1413</v>
      </c>
      <c r="B32" s="652" t="s">
        <v>1577</v>
      </c>
      <c r="C32" s="652" t="s">
        <v>1578</v>
      </c>
      <c r="D32" s="652" t="s">
        <v>266</v>
      </c>
      <c r="E32" s="652" t="s">
        <v>267</v>
      </c>
      <c r="F32" s="652" t="s">
        <v>268</v>
      </c>
      <c r="G32" s="652" t="s">
        <v>1584</v>
      </c>
      <c r="H32" s="652" t="s">
        <v>1585</v>
      </c>
      <c r="J32" s="650" t="s">
        <v>1400</v>
      </c>
      <c r="N32" s="652" t="s">
        <v>1401</v>
      </c>
      <c r="O32" s="654">
        <f>(1/O19-1/O20)*1000</f>
        <v>10.606060606060607</v>
      </c>
      <c r="P32" s="654">
        <f>(1/P19-1/P20)*1000</f>
        <v>10.606060606060607</v>
      </c>
      <c r="Q32" s="654">
        <f t="shared" si="15"/>
        <v>1</v>
      </c>
      <c r="R32" s="652" t="s">
        <v>1402</v>
      </c>
      <c r="S32" s="654">
        <f>S11*SIN(S6)</f>
        <v>0.25</v>
      </c>
      <c r="T32" s="654">
        <f>T11*SIN(T6)</f>
        <v>-0.25</v>
      </c>
      <c r="U32" s="654">
        <f>U11*SIN(U6)</f>
        <v>3.06287113727155E-17</v>
      </c>
      <c r="V32" s="654">
        <f>V11*SIN(V6)</f>
        <v>0</v>
      </c>
      <c r="W32" s="654">
        <f>(S32+T32+U32+V32)*$W$5</f>
        <v>3.06287113727155E-17</v>
      </c>
      <c r="X32" s="654">
        <f>W16/$W$12</f>
        <v>0.3713129920683701</v>
      </c>
      <c r="Y32" s="856">
        <f t="shared" si="16"/>
        <v>337218849.69414932</v>
      </c>
      <c r="Z32" s="652" t="s">
        <v>1189</v>
      </c>
      <c r="AA32" s="659">
        <f>1</f>
        <v>1</v>
      </c>
      <c r="AB32" s="659">
        <f>AB30/AA30</f>
        <v>1.78394449950446</v>
      </c>
      <c r="AC32" s="659">
        <f>AC30/AA30</f>
        <v>5.1536174430128838</v>
      </c>
      <c r="AG32" s="669" t="s">
        <v>1403</v>
      </c>
      <c r="AH32" s="676">
        <f>AH31+AH15</f>
        <v>3202.7314100279796</v>
      </c>
      <c r="AI32" s="676">
        <f>AI31+AI15</f>
        <v>1362.9274723816359</v>
      </c>
      <c r="AJ32" s="676">
        <f>AJ31+AJ15</f>
        <v>-5602.1951991213591</v>
      </c>
      <c r="AK32" s="676">
        <f>AK31+AK15</f>
        <v>4056.0896095282196</v>
      </c>
      <c r="AL32" s="676"/>
    </row>
    <row r="33" spans="1:39">
      <c r="A33" s="652" t="s">
        <v>269</v>
      </c>
      <c r="B33" s="652" t="s">
        <v>270</v>
      </c>
      <c r="C33" s="652" t="s">
        <v>271</v>
      </c>
      <c r="D33" s="652" t="s">
        <v>272</v>
      </c>
      <c r="E33" s="652" t="s">
        <v>273</v>
      </c>
      <c r="F33" s="652" t="s">
        <v>274</v>
      </c>
      <c r="G33" s="652" t="s">
        <v>1588</v>
      </c>
      <c r="H33" s="652" t="s">
        <v>275</v>
      </c>
      <c r="J33" s="652" t="s">
        <v>1404</v>
      </c>
      <c r="K33" s="654">
        <f>(1-(K30/K27)^2)*K27</f>
        <v>0.33614983963722372</v>
      </c>
      <c r="L33" s="654">
        <f>(1-(L30/L27)^2)*L27</f>
        <v>0.33614983963722372</v>
      </c>
      <c r="M33" s="654">
        <f>L33/K33</f>
        <v>1</v>
      </c>
      <c r="N33" s="652" t="s">
        <v>1405</v>
      </c>
      <c r="O33" s="659">
        <f>(O27*K22^2+2*O29*K22*K24+O28*K24^2)</f>
        <v>0.14507766728840435</v>
      </c>
      <c r="P33" s="659">
        <f>(P27*L22^2+2*P29*L22*L24+P28*L24^2)</f>
        <v>0.1174089911602911</v>
      </c>
      <c r="Q33" s="654">
        <f t="shared" si="15"/>
        <v>0.8092836985508608</v>
      </c>
      <c r="R33" s="652"/>
      <c r="S33" s="656" t="s">
        <v>1406</v>
      </c>
      <c r="T33" s="656" t="s">
        <v>1407</v>
      </c>
      <c r="U33" s="656" t="s">
        <v>1408</v>
      </c>
      <c r="V33" s="656" t="s">
        <v>1409</v>
      </c>
      <c r="W33" s="656" t="s">
        <v>1410</v>
      </c>
      <c r="X33" s="656" t="s">
        <v>1411</v>
      </c>
      <c r="Y33" s="856">
        <f t="shared" si="16"/>
        <v>187408120.40858141</v>
      </c>
      <c r="Z33" s="652" t="s">
        <v>1190</v>
      </c>
      <c r="AA33" s="655">
        <f>$AB$25*1.04/AA28/1000000000</f>
        <v>1.8562076414805524E-2</v>
      </c>
      <c r="AB33" s="655">
        <f>$AB$25*1.04/AB28/1000000000</f>
        <v>9.0429550872040147E-5</v>
      </c>
      <c r="AC33" s="655">
        <f>$AB$25*1.04/AC28/1000000000</f>
        <v>2.9712566715098903E-5</v>
      </c>
      <c r="AG33" s="669" t="s">
        <v>1412</v>
      </c>
      <c r="AH33" s="676">
        <f>AH32/2/AH14</f>
        <v>5.4128833940762389E-6</v>
      </c>
      <c r="AI33" s="676">
        <f>AI32/2/AI14</f>
        <v>4.1166736146048553E-6</v>
      </c>
      <c r="AJ33" s="676">
        <f>AJ32/2/AJ14</f>
        <v>-5.1803864096741891E-5</v>
      </c>
      <c r="AK33" s="676">
        <f>AK32/2/AK14</f>
        <v>1.3133930415028835E-4</v>
      </c>
      <c r="AL33" s="676"/>
    </row>
    <row r="34" spans="1:39">
      <c r="A34" s="652" t="s">
        <v>1568</v>
      </c>
      <c r="B34" s="652" t="s">
        <v>276</v>
      </c>
      <c r="C34" s="652" t="s">
        <v>277</v>
      </c>
      <c r="D34" s="652" t="s">
        <v>278</v>
      </c>
      <c r="E34" s="652" t="s">
        <v>279</v>
      </c>
      <c r="F34" s="652" t="s">
        <v>280</v>
      </c>
      <c r="G34" s="652" t="s">
        <v>281</v>
      </c>
      <c r="H34" s="652" t="s">
        <v>282</v>
      </c>
      <c r="J34" s="652" t="s">
        <v>1414</v>
      </c>
      <c r="K34" s="654">
        <f>K30/K27</f>
        <v>0.30773282878200081</v>
      </c>
      <c r="L34" s="654">
        <f>L30/L27</f>
        <v>0.30773282878200081</v>
      </c>
      <c r="M34" s="654">
        <f>L34/K34</f>
        <v>1</v>
      </c>
      <c r="N34" s="652" t="s">
        <v>1415</v>
      </c>
      <c r="O34" s="659">
        <f>(O27*K24^2+2*O29*K24*K23+O28*K23^2)</f>
        <v>0.18502938739838554</v>
      </c>
      <c r="P34" s="659">
        <f>(P27*L24^2+2*P29*L24*L23+P28*L23^2)</f>
        <v>0.18535043948506327</v>
      </c>
      <c r="Q34" s="654">
        <f t="shared" si="15"/>
        <v>1.0017351410561961</v>
      </c>
      <c r="R34" s="652">
        <v>1</v>
      </c>
      <c r="S34" s="655">
        <f>(($L$22+$L$24)/2*$P$10+($L$24+$L$23)/2*$P$11)/1000000*(1-$X$5/$X$7)</f>
        <v>7.8592194222495378E-7</v>
      </c>
      <c r="T34" s="655">
        <f>(($L$22+$L$24)/2*$P$13+($L$24+$L$23)/2*$P$14)*(1-$X$5/$X$7)</f>
        <v>2.0717358855035558E-2</v>
      </c>
      <c r="U34" s="655">
        <f>S34+S35*W31</f>
        <v>7.8592194222495378E-7</v>
      </c>
      <c r="V34" s="655">
        <f>T34+T35*W31</f>
        <v>2.0717358855035558E-2</v>
      </c>
      <c r="W34" s="655">
        <f>(U34*U23+U35*U25+U36*U27)*1000000</f>
        <v>1.6185280954748873</v>
      </c>
      <c r="X34" s="655">
        <f>(V34*U23+V35*U25+V36*U27)</f>
        <v>4.2665340626553937E-2</v>
      </c>
      <c r="Y34" s="856">
        <f t="shared" si="16"/>
        <v>201666820.32370418</v>
      </c>
      <c r="Z34" s="652"/>
      <c r="AG34" s="669" t="s">
        <v>1191</v>
      </c>
      <c r="AH34" s="676">
        <f>2*($P$33*AH10*AH23+$P$34*AH11*AH24+$P$35*(AH10*AH24+AH23*AH11)+$P$36*AH12*AH25)</f>
        <v>1.3599245039992878</v>
      </c>
      <c r="AI34" s="676">
        <f>2*($P$33*AI10*AI23+$P$34*AI11*AI24+$P$35*(AI10*AI24+AI23*AI11)+$P$36*AI12*AI25)</f>
        <v>0.43093040740353128</v>
      </c>
      <c r="AJ34" s="676">
        <f>2*($P$33*AJ10*AJ23+$P$34*AJ11*AJ24+$P$35*(AJ10*AJ24+AJ23*AJ11)+$P$36*AJ12*AJ25)</f>
        <v>-3.4032873978181186</v>
      </c>
      <c r="AK34" s="676">
        <f>2*($P$33*AK10*AK23+$P$34*AK11*AK24+$P$35*(AK10*AK24+AK23*AK11)+$P$36*AK12*AK25)</f>
        <v>2.1852682940433916</v>
      </c>
      <c r="AL34" s="676"/>
    </row>
    <row r="35" spans="1:39">
      <c r="A35" s="653" t="s">
        <v>1591</v>
      </c>
      <c r="B35" s="653" t="s">
        <v>1592</v>
      </c>
      <c r="C35" s="653" t="s">
        <v>1537</v>
      </c>
      <c r="D35" s="653" t="s">
        <v>1539</v>
      </c>
      <c r="E35" s="652" t="s">
        <v>295</v>
      </c>
      <c r="F35" s="652" t="s">
        <v>283</v>
      </c>
      <c r="G35" s="652" t="s">
        <v>284</v>
      </c>
      <c r="H35" s="652" t="s">
        <v>285</v>
      </c>
      <c r="J35" s="652" t="s">
        <v>1718</v>
      </c>
      <c r="K35" s="650">
        <f>K22+K23+2*K25</f>
        <v>0.99967377879240216</v>
      </c>
      <c r="L35" s="650">
        <f>L22+L23+2*L25</f>
        <v>0.99967377879240216</v>
      </c>
      <c r="N35" s="652" t="s">
        <v>1416</v>
      </c>
      <c r="O35" s="659">
        <f>(O27*K22*K24+O29*(K22*K23+K24^2)+O28*K24*K23)</f>
        <v>-3.0266787135296978E-2</v>
      </c>
      <c r="P35" s="659">
        <f>(P27*L22*L24+P29*(L22*L23+L24^2)+P28*L24*L23)</f>
        <v>-2.2039023830226816E-2</v>
      </c>
      <c r="Q35" s="654">
        <f t="shared" si="15"/>
        <v>0.72815868204673151</v>
      </c>
      <c r="R35" s="652">
        <v>2</v>
      </c>
      <c r="S35" s="655">
        <f>(($L$22-$L$24)/2*$P$10+($L$24-$L$23)/2*$P$11)/1000000</f>
        <v>-3.9153554599467324E-7</v>
      </c>
      <c r="T35" s="655">
        <f>(($L$22-$L$24)/2*$P$13+($L$24-$L$23)/2*$P$14)</f>
        <v>-1.0672578804109227E-2</v>
      </c>
      <c r="U35" s="655">
        <f>S34-S35*W31</f>
        <v>7.8592194222495378E-7</v>
      </c>
      <c r="V35" s="655">
        <f>T34-T35*W31</f>
        <v>2.0717358855035558E-2</v>
      </c>
      <c r="W35" s="655">
        <f>(U34*U25+U35*U24+U36*U28)*1000000</f>
        <v>1.6185280954748877</v>
      </c>
      <c r="X35" s="655">
        <f>(V34*U25+V35*U24+V36*U28)</f>
        <v>4.2665340626553951E-2</v>
      </c>
      <c r="Y35" s="856">
        <f t="shared" si="16"/>
        <v>58573170.932478704</v>
      </c>
      <c r="AE35" s="656"/>
      <c r="AG35" s="669" t="s">
        <v>1192</v>
      </c>
      <c r="AH35" s="676">
        <f>AH34+AH18</f>
        <v>-3202.7314100279796</v>
      </c>
      <c r="AI35" s="676">
        <f>AI34+AI18</f>
        <v>-1362.9274723816359</v>
      </c>
      <c r="AJ35" s="676">
        <f>AJ34+AJ18</f>
        <v>5602.1951991213591</v>
      </c>
      <c r="AK35" s="676">
        <f>AK34+AK18</f>
        <v>-4056.0896095282196</v>
      </c>
      <c r="AL35" s="676"/>
    </row>
    <row r="36" spans="1:39">
      <c r="A36" s="653" t="s">
        <v>286</v>
      </c>
      <c r="B36" s="653" t="s">
        <v>287</v>
      </c>
      <c r="C36" s="652" t="s">
        <v>288</v>
      </c>
      <c r="D36" s="652" t="s">
        <v>289</v>
      </c>
      <c r="E36" s="652" t="s">
        <v>290</v>
      </c>
      <c r="J36" s="652" t="s">
        <v>1193</v>
      </c>
      <c r="K36" s="654">
        <f>$D$28</f>
        <v>1.6</v>
      </c>
      <c r="L36" s="654">
        <f>L37*(1-$L$11)+L38*$L$11</f>
        <v>1.5135000000000001</v>
      </c>
      <c r="M36" s="654">
        <f>L36/K36</f>
        <v>0.94593749999999999</v>
      </c>
      <c r="N36" s="652" t="s">
        <v>1418</v>
      </c>
      <c r="O36" s="659">
        <f>O30*K25^2</f>
        <v>0.11111111111111109</v>
      </c>
      <c r="P36" s="659">
        <f>P30*L25^2</f>
        <v>0.11111111111111109</v>
      </c>
      <c r="Q36" s="654">
        <f t="shared" si="15"/>
        <v>1</v>
      </c>
      <c r="R36" s="652">
        <v>6</v>
      </c>
      <c r="S36" s="656" t="s">
        <v>1419</v>
      </c>
      <c r="T36" s="656" t="s">
        <v>1420</v>
      </c>
      <c r="U36" s="655">
        <f>S35*W32</f>
        <v>-1.199222923042942E-23</v>
      </c>
      <c r="V36" s="655">
        <f>T35*W32</f>
        <v>-3.2688733579362271E-19</v>
      </c>
      <c r="W36" s="655">
        <f>(U34*U27+U35*U28+U36*U26)*1000000</f>
        <v>-2.5396499107913271E-16</v>
      </c>
      <c r="X36" s="655">
        <f>(V34*U27+V35*U28+V36*U26)</f>
        <v>-6.7784250288024743E-18</v>
      </c>
      <c r="Y36" s="856">
        <f t="shared" si="16"/>
        <v>58573170.932478704</v>
      </c>
      <c r="AE36" s="655"/>
      <c r="AG36" s="669" t="s">
        <v>1194</v>
      </c>
      <c r="AH36" s="676">
        <f>AH35/2/AH17</f>
        <v>-5.4128833940762389E-6</v>
      </c>
      <c r="AI36" s="676">
        <f>AI35/2/AI17</f>
        <v>-4.1166736146048553E-6</v>
      </c>
      <c r="AJ36" s="676">
        <f>AJ35/2/AJ17</f>
        <v>5.1803864096741891E-5</v>
      </c>
      <c r="AK36" s="676">
        <f>AK35/2/AK17</f>
        <v>-1.3133930415028835E-4</v>
      </c>
    </row>
    <row r="37" spans="1:39">
      <c r="D37" s="652" t="s">
        <v>1330</v>
      </c>
      <c r="E37" s="867">
        <f>$X$42</f>
        <v>0.12852389732783098</v>
      </c>
      <c r="F37" s="867">
        <f>E37+$X$39</f>
        <v>0.49983688939620113</v>
      </c>
      <c r="G37" s="867">
        <f>F37+$X$40</f>
        <v>0.87114988146457129</v>
      </c>
      <c r="J37" s="652" t="s">
        <v>274</v>
      </c>
      <c r="K37" s="654">
        <f>$F$27</f>
        <v>1.2</v>
      </c>
      <c r="L37" s="654">
        <v>1.2</v>
      </c>
      <c r="M37" s="654">
        <f>L37/K37</f>
        <v>1</v>
      </c>
      <c r="N37" s="652" t="s">
        <v>1422</v>
      </c>
      <c r="O37" s="659">
        <f>(O31*K22+O32*K24)</f>
        <v>-2.9688623077509524E-3</v>
      </c>
      <c r="P37" s="659">
        <f>(P31*L22+P32*L24)</f>
        <v>1.4024527706466283E-2</v>
      </c>
      <c r="Q37" s="654">
        <f t="shared" si="15"/>
        <v>-4.7238727339599986</v>
      </c>
      <c r="R37" s="652">
        <v>1</v>
      </c>
      <c r="S37" s="655">
        <f>$P$7*U34+$P$3*V34</f>
        <v>2.4994600052682413E-5</v>
      </c>
      <c r="T37" s="655">
        <f>$P$7*W34/1000000+$P$3*X34</f>
        <v>5.1473893585280952E-5</v>
      </c>
      <c r="U37" s="656" t="s">
        <v>1423</v>
      </c>
      <c r="V37" s="655">
        <f>$P$7*$P$10/1000000+$P$3*$P$13</f>
        <v>-1.9999999999999999E-6</v>
      </c>
      <c r="AG37" s="652" t="s">
        <v>1424</v>
      </c>
      <c r="AH37" s="654">
        <f>(AH33^2-AH30/AH14)^0.5-AH33</f>
        <v>5.298888211055918E-5</v>
      </c>
      <c r="AI37" s="654">
        <f>(AI33^2-AI30/AI14)^0.5-AI33</f>
        <v>7.3730604130468837E-5</v>
      </c>
      <c r="AJ37" s="654">
        <f>(AJ33^2-AJ30/AJ14)^0.5-AJ33</f>
        <v>1.9735414181037134E-4</v>
      </c>
      <c r="AK37" s="654">
        <f>(AK33^2-AK30/AK14)^0.5-AK33</f>
        <v>1.5508077056691023E-4</v>
      </c>
    </row>
    <row r="38" spans="1:39">
      <c r="D38" s="652" t="s">
        <v>430</v>
      </c>
      <c r="E38" s="867">
        <f>$Y$42</f>
        <v>0.20166682032370417</v>
      </c>
      <c r="F38" s="867">
        <f>E38+$Y$39</f>
        <v>0.46078810877454857</v>
      </c>
      <c r="G38" s="867">
        <f>F38+$Y$40</f>
        <v>0.79800695846869796</v>
      </c>
      <c r="J38" s="652" t="s">
        <v>1195</v>
      </c>
      <c r="K38" s="654">
        <f>(K36-K37*(1-$K$11))/$K$11</f>
        <v>1.9272727272727272</v>
      </c>
      <c r="L38" s="654">
        <v>1.77</v>
      </c>
      <c r="M38" s="654">
        <f>L38/K38</f>
        <v>0.91839622641509433</v>
      </c>
      <c r="N38" s="652" t="s">
        <v>1426</v>
      </c>
      <c r="O38" s="659">
        <f>(O31*K24+O32*K23)</f>
        <v>0.5514590130278777</v>
      </c>
      <c r="P38" s="659">
        <f>(P31*L24+P32*L23)</f>
        <v>0.55178034258451014</v>
      </c>
      <c r="Q38" s="654">
        <f t="shared" si="15"/>
        <v>1.0005826898265169</v>
      </c>
      <c r="R38" s="652">
        <v>2</v>
      </c>
      <c r="S38" s="655">
        <f>$P$7*U35+$P$3*V35</f>
        <v>2.4994600052682413E-5</v>
      </c>
      <c r="T38" s="655">
        <f>$P$7*W35/1000000+$P$3*X35</f>
        <v>5.1473893585281006E-5</v>
      </c>
      <c r="U38" s="656" t="s">
        <v>1427</v>
      </c>
      <c r="V38" s="655">
        <f>$P$7*$P$11/1000000+$P$3*$P$14</f>
        <v>7.5000000000000023E-4</v>
      </c>
      <c r="W38" s="656" t="s">
        <v>1325</v>
      </c>
      <c r="X38" s="655" t="s">
        <v>1685</v>
      </c>
      <c r="Y38" s="650" t="s">
        <v>1684</v>
      </c>
      <c r="Z38" s="652" t="s">
        <v>1908</v>
      </c>
      <c r="AA38" s="650" t="s">
        <v>1907</v>
      </c>
      <c r="AG38" s="652" t="s">
        <v>1196</v>
      </c>
      <c r="AH38" s="654">
        <f>(AH36^2-AH30/AH17)^0.5-AH36</f>
        <v>6.3814648898711656E-5</v>
      </c>
      <c r="AI38" s="654">
        <f>(AI36^2-AI30/AI17)^0.5-AI36</f>
        <v>8.1963951359678537E-5</v>
      </c>
      <c r="AJ38" s="654">
        <f>(AJ36^2-AJ30/AJ17)^0.5-AJ36</f>
        <v>9.3746413616887559E-5</v>
      </c>
      <c r="AK38" s="654">
        <f>(AK36^2-AK30/AK17)^0.5-AK36</f>
        <v>4.1775937886748694E-4</v>
      </c>
      <c r="AL38" s="650" t="s">
        <v>1197</v>
      </c>
    </row>
    <row r="39" spans="1:39">
      <c r="B39" s="650" t="s">
        <v>1431</v>
      </c>
      <c r="C39" s="650">
        <v>191</v>
      </c>
      <c r="D39" s="650">
        <v>9.94</v>
      </c>
      <c r="E39" s="650">
        <v>0.35</v>
      </c>
      <c r="F39" s="650">
        <v>7.79</v>
      </c>
      <c r="G39" s="650">
        <v>9.5180923721422594</v>
      </c>
      <c r="I39" s="650">
        <v>1</v>
      </c>
      <c r="J39" s="652" t="s">
        <v>1987</v>
      </c>
      <c r="K39" s="714">
        <f>K22+K23+2*K25</f>
        <v>0.99967377879240216</v>
      </c>
      <c r="L39" s="714">
        <f>L22+L23+2*L25</f>
        <v>0.99967377879240216</v>
      </c>
      <c r="R39" s="652">
        <v>6</v>
      </c>
      <c r="S39" s="655">
        <f>$P$7*U36+$P$3*V36</f>
        <v>-4.3521375592517149E-22</v>
      </c>
      <c r="T39" s="655">
        <f>$P$7*W36/1000000+$P$3*X36</f>
        <v>-8.4956260360991E-21</v>
      </c>
      <c r="U39" s="656" t="s">
        <v>1429</v>
      </c>
      <c r="V39" s="655">
        <f>0</f>
        <v>0</v>
      </c>
      <c r="W39" s="652">
        <v>11</v>
      </c>
      <c r="X39" s="712">
        <f>W15/W12</f>
        <v>0.37131299206837015</v>
      </c>
      <c r="Y39" s="698">
        <f t="shared" ref="Y39:Y44" si="17">Y31/1000000000</f>
        <v>0.25912128845084442</v>
      </c>
      <c r="Z39" s="665">
        <f>3*X39/8+3*X40/8+X41/4+X42/2</f>
        <v>0.3713129920683701</v>
      </c>
      <c r="AA39" s="665">
        <f>3*Y39/8+3*Y40/8+Y41/4+Y42/2</f>
        <v>0.3713129920683701</v>
      </c>
      <c r="AG39" s="652" t="s">
        <v>1198</v>
      </c>
      <c r="AH39" s="654">
        <f>IF(AH3=0,1000000000,AH37)</f>
        <v>5.298888211055918E-5</v>
      </c>
      <c r="AI39" s="654">
        <f>IF(AI3=0,1000000000,AI37)</f>
        <v>7.3730604130468837E-5</v>
      </c>
      <c r="AJ39" s="654">
        <f>IF(AJ3=0,1000000000,AJ37)</f>
        <v>1.9735414181037134E-4</v>
      </c>
      <c r="AK39" s="654">
        <f>IF(AK3=0,1000000000,AK37)</f>
        <v>1.5508077056691023E-4</v>
      </c>
      <c r="AL39" s="669" t="s">
        <v>1199</v>
      </c>
    </row>
    <row r="40" spans="1:39">
      <c r="B40" s="650">
        <v>3250</v>
      </c>
      <c r="C40" s="650">
        <v>3250</v>
      </c>
      <c r="D40" s="650">
        <v>62</v>
      </c>
      <c r="E40" s="650">
        <v>98</v>
      </c>
      <c r="F40" s="650">
        <v>75</v>
      </c>
      <c r="G40" s="650">
        <v>27.8030337915107</v>
      </c>
      <c r="H40" s="650" t="s">
        <v>1014</v>
      </c>
      <c r="I40" s="664">
        <f>B3</f>
        <v>45</v>
      </c>
      <c r="S40" s="650"/>
      <c r="T40" s="650"/>
      <c r="W40" s="652">
        <v>22</v>
      </c>
      <c r="X40" s="712">
        <f>W16/W12</f>
        <v>0.3713129920683701</v>
      </c>
      <c r="Y40" s="698">
        <f t="shared" si="17"/>
        <v>0.33721884969414934</v>
      </c>
      <c r="AG40" s="652" t="s">
        <v>1200</v>
      </c>
      <c r="AH40" s="654">
        <f>IF(AH3=0,1000000000,AH38)</f>
        <v>6.3814648898711656E-5</v>
      </c>
      <c r="AI40" s="654">
        <f>IF(AI3=0,1000000000,AI38)</f>
        <v>8.1963951359678537E-5</v>
      </c>
      <c r="AJ40" s="654">
        <f>IF(AJ3=0,1000000000,AJ38)</f>
        <v>9.3746413616887559E-5</v>
      </c>
      <c r="AK40" s="654">
        <f>IF(AK3=0,1000000000,AK38)</f>
        <v>4.1775937886748694E-4</v>
      </c>
      <c r="AL40" s="654">
        <f>MIN(AH37:AK38)</f>
        <v>5.298888211055918E-5</v>
      </c>
      <c r="AM40" s="654"/>
    </row>
    <row r="41" spans="1:39">
      <c r="B41" s="650">
        <v>0.13750000000000001</v>
      </c>
      <c r="C41" s="650">
        <v>0.65</v>
      </c>
      <c r="D41" s="650">
        <v>1.6</v>
      </c>
      <c r="E41" s="650">
        <v>24</v>
      </c>
      <c r="F41" s="650">
        <v>0</v>
      </c>
      <c r="G41" s="650">
        <v>22.070371066829765</v>
      </c>
      <c r="H41" s="650" t="s">
        <v>1018</v>
      </c>
      <c r="I41" s="664">
        <f>C3</f>
        <v>-45</v>
      </c>
      <c r="J41" s="650">
        <f>1+I39</f>
        <v>2</v>
      </c>
      <c r="K41" s="650">
        <f t="shared" ref="K41:R41" si="18">1+J41</f>
        <v>3</v>
      </c>
      <c r="L41" s="650">
        <f t="shared" si="18"/>
        <v>4</v>
      </c>
      <c r="M41" s="650">
        <f t="shared" si="18"/>
        <v>5</v>
      </c>
      <c r="N41" s="650">
        <f t="shared" si="18"/>
        <v>6</v>
      </c>
      <c r="O41" s="650">
        <f t="shared" si="18"/>
        <v>7</v>
      </c>
      <c r="P41" s="650">
        <f t="shared" si="18"/>
        <v>8</v>
      </c>
      <c r="Q41" s="650">
        <f t="shared" si="18"/>
        <v>9</v>
      </c>
      <c r="R41" s="650">
        <f t="shared" si="18"/>
        <v>10</v>
      </c>
      <c r="S41" s="650">
        <v>12</v>
      </c>
      <c r="T41" s="650"/>
      <c r="W41" s="652" t="s">
        <v>1345</v>
      </c>
      <c r="X41" s="712">
        <f>W17/W12</f>
        <v>0.11426519741270819</v>
      </c>
      <c r="Y41" s="698">
        <f t="shared" si="17"/>
        <v>0.1874081204085814</v>
      </c>
      <c r="AF41" s="650"/>
    </row>
    <row r="42" spans="1:39">
      <c r="B42" s="650">
        <v>-0.9</v>
      </c>
      <c r="C42" s="650">
        <v>22.3</v>
      </c>
      <c r="D42" s="650">
        <v>177</v>
      </c>
      <c r="E42" s="650">
        <v>0</v>
      </c>
      <c r="F42" s="650">
        <v>0.6</v>
      </c>
      <c r="G42" s="650">
        <v>22.059869637996147</v>
      </c>
      <c r="H42" s="650" t="s">
        <v>1022</v>
      </c>
      <c r="I42" s="664">
        <f>D3</f>
        <v>90</v>
      </c>
      <c r="S42" s="650"/>
      <c r="T42" s="650"/>
      <c r="W42" s="652">
        <v>66</v>
      </c>
      <c r="X42" s="712">
        <f>W18/W12</f>
        <v>0.12852389732783098</v>
      </c>
      <c r="Y42" s="698">
        <f t="shared" si="17"/>
        <v>0.20166682032370417</v>
      </c>
      <c r="AF42" s="650"/>
    </row>
    <row r="43" spans="1:39">
      <c r="H43" s="650" t="s">
        <v>1027</v>
      </c>
      <c r="I43" s="664">
        <f>E3</f>
        <v>0</v>
      </c>
      <c r="S43" s="650"/>
      <c r="T43" s="650"/>
      <c r="W43" s="652" t="s">
        <v>1347</v>
      </c>
      <c r="X43" s="712">
        <f>W19/W12</f>
        <v>4.0467782623147606E-19</v>
      </c>
      <c r="Y43" s="698">
        <f t="shared" si="17"/>
        <v>5.8573170932478706E-2</v>
      </c>
      <c r="Z43" s="664">
        <f>Y43+Y44</f>
        <v>0.11714634186495741</v>
      </c>
      <c r="AF43" s="650"/>
    </row>
    <row r="44" spans="1:39">
      <c r="A44" s="651"/>
      <c r="B44" s="651" t="s">
        <v>1435</v>
      </c>
      <c r="C44" s="651"/>
      <c r="D44" s="651"/>
      <c r="E44" s="651"/>
      <c r="F44" s="651"/>
      <c r="G44" s="651"/>
      <c r="H44" s="650" t="s">
        <v>941</v>
      </c>
      <c r="I44" s="654">
        <f>Y39</f>
        <v>0.25912128845084442</v>
      </c>
      <c r="S44" s="650"/>
      <c r="T44" s="650"/>
      <c r="W44" s="652" t="s">
        <v>1349</v>
      </c>
      <c r="X44" s="712">
        <f>W20/W12</f>
        <v>1.2352803039017376E-17</v>
      </c>
      <c r="Y44" s="698">
        <f t="shared" si="17"/>
        <v>5.8573170932478706E-2</v>
      </c>
      <c r="AF44" s="650"/>
    </row>
    <row r="45" spans="1:39">
      <c r="A45" s="651"/>
      <c r="B45" s="651" t="s">
        <v>1413</v>
      </c>
      <c r="C45" s="651" t="s">
        <v>1436</v>
      </c>
      <c r="D45" s="651" t="s">
        <v>1437</v>
      </c>
      <c r="E45" s="651" t="s">
        <v>259</v>
      </c>
      <c r="F45" s="651" t="s">
        <v>1438</v>
      </c>
      <c r="G45" s="651" t="s">
        <v>1439</v>
      </c>
      <c r="H45" s="650" t="s">
        <v>944</v>
      </c>
      <c r="I45" s="654">
        <f>Y40</f>
        <v>0.33721884969414934</v>
      </c>
      <c r="S45" s="650"/>
      <c r="T45" s="650"/>
      <c r="W45" s="650"/>
      <c r="X45" s="712"/>
      <c r="Y45" s="698"/>
      <c r="AF45" s="650"/>
    </row>
    <row r="46" spans="1:39">
      <c r="A46" s="651"/>
      <c r="B46" s="651" t="s">
        <v>1440</v>
      </c>
      <c r="C46" s="651" t="s">
        <v>1441</v>
      </c>
      <c r="D46" s="651" t="s">
        <v>1442</v>
      </c>
      <c r="E46" s="651" t="s">
        <v>1443</v>
      </c>
      <c r="F46" s="651" t="s">
        <v>1444</v>
      </c>
      <c r="G46" s="651" t="s">
        <v>1445</v>
      </c>
      <c r="H46" s="650" t="s">
        <v>950</v>
      </c>
      <c r="I46" s="654">
        <f>Y42</f>
        <v>0.20166682032370417</v>
      </c>
      <c r="S46" s="650"/>
      <c r="T46" s="650"/>
      <c r="W46" s="652" t="s">
        <v>1718</v>
      </c>
      <c r="X46" s="712">
        <f>X39+X40+2*X42</f>
        <v>0.99967377879240216</v>
      </c>
      <c r="Y46" s="698">
        <f>Y39+Y40+2*Y42</f>
        <v>0.99967377879240216</v>
      </c>
      <c r="AF46" s="650"/>
    </row>
    <row r="47" spans="1:39">
      <c r="A47" s="651"/>
      <c r="B47" s="651" t="s">
        <v>1446</v>
      </c>
      <c r="C47" s="651" t="s">
        <v>277</v>
      </c>
      <c r="D47" s="651" t="s">
        <v>278</v>
      </c>
      <c r="E47" s="651" t="s">
        <v>1447</v>
      </c>
      <c r="F47" s="651" t="s">
        <v>1448</v>
      </c>
      <c r="G47" s="651" t="s">
        <v>1449</v>
      </c>
      <c r="H47" s="650" t="s">
        <v>1992</v>
      </c>
      <c r="I47" s="654">
        <f>Y41</f>
        <v>0.1874081204085814</v>
      </c>
      <c r="S47" s="650"/>
      <c r="T47" s="650"/>
      <c r="W47" s="650"/>
      <c r="X47" s="650"/>
      <c r="Y47" s="652"/>
      <c r="Z47" s="652"/>
      <c r="AF47" s="650"/>
    </row>
    <row r="48" spans="1:39">
      <c r="A48" s="651"/>
      <c r="B48" s="651" t="s">
        <v>1450</v>
      </c>
      <c r="C48" s="651" t="s">
        <v>1451</v>
      </c>
      <c r="D48" s="651" t="s">
        <v>1452</v>
      </c>
      <c r="E48" s="651" t="s">
        <v>1453</v>
      </c>
      <c r="F48" s="651" t="s">
        <v>1454</v>
      </c>
      <c r="G48" s="651" t="s">
        <v>1455</v>
      </c>
      <c r="H48" s="650" t="s">
        <v>1961</v>
      </c>
      <c r="I48" s="654">
        <f>Y43</f>
        <v>5.8573170932478706E-2</v>
      </c>
      <c r="S48" s="650"/>
      <c r="T48" s="650"/>
      <c r="W48" s="650"/>
      <c r="X48" s="674"/>
      <c r="Y48" s="664"/>
      <c r="Z48" s="664"/>
      <c r="AF48" s="650"/>
    </row>
    <row r="49" spans="8:32">
      <c r="H49" s="650" t="s">
        <v>1993</v>
      </c>
      <c r="I49" s="654">
        <f>Y44</f>
        <v>5.8573170932478706E-2</v>
      </c>
      <c r="S49" s="650"/>
      <c r="T49" s="650"/>
      <c r="W49" s="650"/>
      <c r="X49" s="650"/>
      <c r="Y49" s="664"/>
      <c r="Z49" s="664"/>
      <c r="AF49" s="650"/>
    </row>
    <row r="50" spans="8:32">
      <c r="I50" s="740">
        <v>1</v>
      </c>
      <c r="J50" s="740">
        <v>2</v>
      </c>
      <c r="K50" s="740">
        <v>3</v>
      </c>
      <c r="L50" s="740">
        <v>4</v>
      </c>
      <c r="M50" s="740">
        <v>5</v>
      </c>
      <c r="N50" s="740">
        <v>6</v>
      </c>
      <c r="O50" s="740">
        <v>7</v>
      </c>
      <c r="P50" s="740">
        <v>8</v>
      </c>
      <c r="Q50" s="740">
        <v>9</v>
      </c>
      <c r="R50" s="740">
        <v>10</v>
      </c>
      <c r="S50" s="740">
        <v>11</v>
      </c>
      <c r="T50" s="740">
        <v>12</v>
      </c>
      <c r="V50" s="650">
        <v>14</v>
      </c>
      <c r="W50" s="650">
        <v>15</v>
      </c>
      <c r="X50" s="650">
        <v>16</v>
      </c>
      <c r="Y50" s="650">
        <v>17</v>
      </c>
      <c r="Z50" s="650">
        <v>18</v>
      </c>
      <c r="AA50" s="650">
        <v>19</v>
      </c>
      <c r="AB50" s="650">
        <v>20</v>
      </c>
      <c r="AC50" s="650">
        <v>21</v>
      </c>
      <c r="AD50" s="650">
        <v>22</v>
      </c>
      <c r="AE50" s="650">
        <v>23</v>
      </c>
      <c r="AF50" s="650">
        <v>24</v>
      </c>
    </row>
    <row r="51" spans="8:32">
      <c r="H51" s="652" t="s">
        <v>1014</v>
      </c>
      <c r="I51" s="873">
        <v>0</v>
      </c>
      <c r="J51" s="874">
        <v>0</v>
      </c>
      <c r="K51" s="1066">
        <v>0</v>
      </c>
      <c r="L51" s="1124">
        <v>90</v>
      </c>
      <c r="M51" s="873">
        <v>45</v>
      </c>
      <c r="N51" s="874">
        <v>45</v>
      </c>
      <c r="O51" s="874">
        <v>45</v>
      </c>
      <c r="P51" s="874">
        <v>45</v>
      </c>
      <c r="Q51" s="874">
        <v>90</v>
      </c>
      <c r="R51" s="874">
        <v>90</v>
      </c>
      <c r="S51" s="874">
        <v>45</v>
      </c>
      <c r="T51" s="874">
        <v>45</v>
      </c>
      <c r="W51" s="650"/>
      <c r="X51" s="650"/>
      <c r="Y51" s="664"/>
      <c r="Z51" s="664"/>
      <c r="AF51" s="650"/>
    </row>
    <row r="52" spans="8:32">
      <c r="H52" s="652" t="s">
        <v>1018</v>
      </c>
      <c r="I52" s="873">
        <v>45</v>
      </c>
      <c r="J52" s="874">
        <v>45</v>
      </c>
      <c r="K52" s="1066">
        <v>90</v>
      </c>
      <c r="L52" s="1124">
        <v>0</v>
      </c>
      <c r="M52" s="873">
        <v>0</v>
      </c>
      <c r="N52" s="874">
        <v>0</v>
      </c>
      <c r="O52" s="874">
        <v>-45</v>
      </c>
      <c r="P52" s="874">
        <v>90</v>
      </c>
      <c r="Q52" s="874">
        <v>45</v>
      </c>
      <c r="R52" s="874">
        <v>45</v>
      </c>
      <c r="S52" s="874">
        <v>90</v>
      </c>
      <c r="T52" s="874">
        <v>-45</v>
      </c>
      <c r="W52" s="650"/>
      <c r="X52" s="650"/>
      <c r="Y52" s="664"/>
      <c r="Z52" s="664"/>
      <c r="AF52" s="650"/>
    </row>
    <row r="53" spans="8:32">
      <c r="H53" s="652" t="s">
        <v>1022</v>
      </c>
      <c r="I53" s="873">
        <v>-45</v>
      </c>
      <c r="J53" s="874">
        <v>90</v>
      </c>
      <c r="K53" s="1066">
        <v>45</v>
      </c>
      <c r="L53" s="1124">
        <v>45</v>
      </c>
      <c r="M53" s="873">
        <v>90</v>
      </c>
      <c r="N53" s="874">
        <v>-45</v>
      </c>
      <c r="O53" s="874">
        <v>0</v>
      </c>
      <c r="P53" s="874">
        <v>0</v>
      </c>
      <c r="Q53" s="874">
        <v>0</v>
      </c>
      <c r="R53" s="874">
        <v>-45</v>
      </c>
      <c r="S53" s="874">
        <v>-45</v>
      </c>
      <c r="T53" s="874">
        <v>90</v>
      </c>
      <c r="W53" s="650"/>
      <c r="X53" s="650"/>
      <c r="Y53" s="664"/>
      <c r="Z53" s="664"/>
      <c r="AF53" s="650"/>
    </row>
    <row r="54" spans="8:32">
      <c r="H54" s="652" t="s">
        <v>1027</v>
      </c>
      <c r="I54" s="873">
        <v>90</v>
      </c>
      <c r="J54" s="874">
        <v>-45</v>
      </c>
      <c r="K54" s="1066">
        <v>-45</v>
      </c>
      <c r="L54" s="1124">
        <v>-45</v>
      </c>
      <c r="M54" s="873">
        <v>-45</v>
      </c>
      <c r="N54" s="874">
        <v>90</v>
      </c>
      <c r="O54" s="874">
        <v>90</v>
      </c>
      <c r="P54" s="874">
        <v>-45</v>
      </c>
      <c r="Q54" s="874">
        <v>-45</v>
      </c>
      <c r="R54" s="874">
        <v>0</v>
      </c>
      <c r="S54" s="874">
        <v>0</v>
      </c>
      <c r="T54" s="874">
        <v>0</v>
      </c>
      <c r="W54" s="650"/>
      <c r="X54" s="650"/>
      <c r="Y54" s="664"/>
      <c r="Z54" s="664"/>
      <c r="AF54" s="650"/>
    </row>
    <row r="55" spans="8:32">
      <c r="H55" s="652"/>
      <c r="I55" s="650">
        <v>3</v>
      </c>
      <c r="J55" s="650">
        <v>7</v>
      </c>
      <c r="K55" s="650">
        <v>1</v>
      </c>
      <c r="L55" s="650">
        <v>2</v>
      </c>
      <c r="M55" s="650">
        <v>11</v>
      </c>
      <c r="N55" s="650">
        <v>9</v>
      </c>
      <c r="O55" s="650">
        <v>5</v>
      </c>
      <c r="P55" s="650">
        <v>12</v>
      </c>
      <c r="Q55" s="650">
        <v>8</v>
      </c>
      <c r="R55" s="650">
        <v>4</v>
      </c>
      <c r="S55" s="650">
        <v>10</v>
      </c>
      <c r="T55" s="650">
        <v>6</v>
      </c>
      <c r="W55" s="650"/>
      <c r="X55" s="650"/>
      <c r="Y55" s="664"/>
      <c r="Z55" s="664"/>
      <c r="AF55" s="650"/>
    </row>
    <row r="56" spans="8:32">
      <c r="H56" s="699" t="s">
        <v>1994</v>
      </c>
      <c r="I56" s="765">
        <v>0.62389140654725328</v>
      </c>
      <c r="J56" s="765">
        <v>0.6031283566745691</v>
      </c>
      <c r="K56" s="765">
        <v>0.56160225692920074</v>
      </c>
      <c r="L56" s="765">
        <v>0.32730957319928594</v>
      </c>
      <c r="M56" s="765">
        <v>0.43112482256270679</v>
      </c>
      <c r="N56" s="765">
        <v>0.45188787243539097</v>
      </c>
      <c r="O56" s="765">
        <v>0.33721884969414939</v>
      </c>
      <c r="P56" s="765">
        <v>0.27492970007609691</v>
      </c>
      <c r="Q56" s="765">
        <v>0.21264055045804439</v>
      </c>
      <c r="R56" s="765">
        <v>0.1553060390874236</v>
      </c>
      <c r="S56" s="765">
        <v>0.21759518870547614</v>
      </c>
      <c r="T56" s="765">
        <v>0.25912128845084442</v>
      </c>
      <c r="U56" s="651"/>
      <c r="W56" s="650"/>
      <c r="X56" s="650"/>
      <c r="Y56" s="664"/>
      <c r="Z56" s="664"/>
      <c r="AF56" s="650"/>
    </row>
    <row r="57" spans="8:32">
      <c r="H57" s="652" t="s">
        <v>1995</v>
      </c>
      <c r="I57" s="654">
        <v>0.15530603908742358</v>
      </c>
      <c r="J57" s="654">
        <v>0.21264055045804436</v>
      </c>
      <c r="K57" s="654">
        <v>0.32730957319928589</v>
      </c>
      <c r="L57" s="654">
        <v>0.56160225692920074</v>
      </c>
      <c r="M57" s="654">
        <v>0.27492970007609685</v>
      </c>
      <c r="N57" s="654">
        <v>0.21759518870547609</v>
      </c>
      <c r="O57" s="654">
        <v>0.25912128845084437</v>
      </c>
      <c r="P57" s="654">
        <v>0.43112482256270673</v>
      </c>
      <c r="Q57" s="654">
        <v>0.6031283566745691</v>
      </c>
      <c r="R57" s="654">
        <v>0.62389140654725328</v>
      </c>
      <c r="S57" s="654">
        <v>0.45188787243539091</v>
      </c>
      <c r="T57" s="654">
        <v>0.33721884969414934</v>
      </c>
      <c r="U57" s="651"/>
      <c r="W57" s="650"/>
      <c r="X57" s="650"/>
      <c r="Y57" s="664"/>
      <c r="Z57" s="664"/>
      <c r="AF57" s="650"/>
    </row>
    <row r="58" spans="8:32">
      <c r="H58" s="699" t="s">
        <v>1996</v>
      </c>
      <c r="I58" s="765">
        <v>0.11023816657886266</v>
      </c>
      <c r="J58" s="765">
        <v>9.1952435829894374E-2</v>
      </c>
      <c r="K58" s="765">
        <v>5.5380974331957766E-2</v>
      </c>
      <c r="L58" s="765">
        <v>5.5380974331957766E-2</v>
      </c>
      <c r="M58" s="765">
        <v>0.14680962807679929</v>
      </c>
      <c r="N58" s="765">
        <v>0.16509535882576756</v>
      </c>
      <c r="O58" s="765">
        <v>0.20166682032370417</v>
      </c>
      <c r="P58" s="765">
        <v>0.14680962807679929</v>
      </c>
      <c r="Q58" s="765">
        <v>9.1952435829894374E-2</v>
      </c>
      <c r="R58" s="765">
        <v>0.11023816657886266</v>
      </c>
      <c r="S58" s="765">
        <v>0.16509535882576756</v>
      </c>
      <c r="T58" s="765">
        <v>0.20166682032370417</v>
      </c>
      <c r="U58" s="651"/>
      <c r="W58" s="650"/>
      <c r="X58" s="650"/>
      <c r="AF58" s="650"/>
    </row>
    <row r="59" spans="8:32">
      <c r="H59" s="652" t="s">
        <v>1997</v>
      </c>
      <c r="I59" s="654">
        <v>9.5979466663739882E-2</v>
      </c>
      <c r="J59" s="654">
        <v>7.7693735914771578E-2</v>
      </c>
      <c r="K59" s="654">
        <v>4.1122274416834956E-2</v>
      </c>
      <c r="L59" s="654">
        <v>4.1122274416834956E-2</v>
      </c>
      <c r="M59" s="654">
        <v>0.13255092816167646</v>
      </c>
      <c r="N59" s="654">
        <v>0.15083665891064477</v>
      </c>
      <c r="O59" s="654">
        <v>0.1874081204085814</v>
      </c>
      <c r="P59" s="654">
        <v>0.13255092816167646</v>
      </c>
      <c r="Q59" s="654">
        <v>7.7693735914771578E-2</v>
      </c>
      <c r="R59" s="654">
        <v>9.5979466663739882E-2</v>
      </c>
      <c r="S59" s="654">
        <v>0.15083665891064477</v>
      </c>
      <c r="T59" s="654">
        <v>0.1874081204085814</v>
      </c>
      <c r="U59" s="651"/>
      <c r="W59" s="650"/>
      <c r="X59" s="650"/>
      <c r="AF59" s="650"/>
    </row>
    <row r="60" spans="8:32">
      <c r="H60" s="995" t="s">
        <v>1998</v>
      </c>
      <c r="I60" s="996">
        <v>3.9048780621652478E-2</v>
      </c>
      <c r="J60" s="996">
        <v>5.8573170932478706E-2</v>
      </c>
      <c r="K60" s="996">
        <v>1.9524390310826235E-2</v>
      </c>
      <c r="L60" s="996">
        <v>1.9524390310826235E-2</v>
      </c>
      <c r="M60" s="996">
        <v>0.11714634186495741</v>
      </c>
      <c r="N60" s="996">
        <v>9.7621951554131184E-2</v>
      </c>
      <c r="O60" s="996">
        <v>5.8573170932478706E-2</v>
      </c>
      <c r="P60" s="996">
        <v>0.11714634186495741</v>
      </c>
      <c r="Q60" s="996">
        <v>5.8573170932478706E-2</v>
      </c>
      <c r="R60" s="996">
        <v>3.9048780621652478E-2</v>
      </c>
      <c r="S60" s="996">
        <v>9.7621951554131184E-2</v>
      </c>
      <c r="T60" s="996">
        <v>5.8573170932478706E-2</v>
      </c>
      <c r="U60" s="651"/>
      <c r="W60" s="650"/>
      <c r="X60" s="650"/>
      <c r="AF60" s="650"/>
    </row>
    <row r="61" spans="8:32">
      <c r="H61" s="652" t="s">
        <v>1999</v>
      </c>
      <c r="I61" s="654">
        <v>3.9048780621652478E-2</v>
      </c>
      <c r="J61" s="654">
        <v>5.857317093247872E-2</v>
      </c>
      <c r="K61" s="654">
        <v>1.9524390310826249E-2</v>
      </c>
      <c r="L61" s="654">
        <v>1.9524390310826263E-2</v>
      </c>
      <c r="M61" s="654">
        <v>0.11714634186495741</v>
      </c>
      <c r="N61" s="654">
        <v>9.7621951554131184E-2</v>
      </c>
      <c r="O61" s="654">
        <v>5.8573170932478706E-2</v>
      </c>
      <c r="P61" s="654">
        <v>0.11714634186495744</v>
      </c>
      <c r="Q61" s="654">
        <v>5.8573170932478741E-2</v>
      </c>
      <c r="R61" s="654">
        <v>3.9048780621652505E-2</v>
      </c>
      <c r="S61" s="654">
        <v>9.7621951554131212E-2</v>
      </c>
      <c r="T61" s="654">
        <v>5.8573170932478706E-2</v>
      </c>
      <c r="U61" s="651"/>
      <c r="W61" s="650"/>
      <c r="X61" s="650"/>
      <c r="AF61" s="650"/>
    </row>
    <row r="62" spans="8:32">
      <c r="H62" s="652"/>
      <c r="S62" s="650"/>
      <c r="T62" s="650"/>
      <c r="W62" s="650"/>
      <c r="X62" s="650"/>
      <c r="AF62" s="650"/>
    </row>
    <row r="63" spans="8:32">
      <c r="H63" s="652"/>
      <c r="I63" s="650">
        <v>1</v>
      </c>
      <c r="J63" s="650">
        <v>2</v>
      </c>
      <c r="K63" s="650">
        <v>3</v>
      </c>
      <c r="L63" s="650">
        <v>4</v>
      </c>
      <c r="M63" s="650">
        <v>5</v>
      </c>
      <c r="N63" s="650">
        <v>6</v>
      </c>
      <c r="O63" s="650">
        <v>7</v>
      </c>
      <c r="P63" s="650">
        <v>8</v>
      </c>
      <c r="Q63" s="650">
        <v>9</v>
      </c>
      <c r="R63" s="650">
        <v>10</v>
      </c>
      <c r="S63" s="650">
        <v>11</v>
      </c>
      <c r="T63" s="650">
        <v>12</v>
      </c>
      <c r="W63" s="650"/>
      <c r="X63" s="650"/>
      <c r="AF63" s="650"/>
    </row>
    <row r="64" spans="8:32">
      <c r="H64" s="652" t="s">
        <v>941</v>
      </c>
      <c r="I64" s="651">
        <f t="shared" ref="I64:T64" si="19">I58</f>
        <v>0.11023816657886266</v>
      </c>
      <c r="J64" s="651">
        <f t="shared" si="19"/>
        <v>9.1952435829894374E-2</v>
      </c>
      <c r="K64" s="651">
        <f t="shared" si="19"/>
        <v>5.5380974331957766E-2</v>
      </c>
      <c r="L64" s="651">
        <f t="shared" si="19"/>
        <v>5.5380974331957766E-2</v>
      </c>
      <c r="M64" s="651">
        <f t="shared" si="19"/>
        <v>0.14680962807679929</v>
      </c>
      <c r="N64" s="651">
        <f t="shared" si="19"/>
        <v>0.16509535882576756</v>
      </c>
      <c r="O64" s="651">
        <f t="shared" si="19"/>
        <v>0.20166682032370417</v>
      </c>
      <c r="P64" s="651">
        <f t="shared" si="19"/>
        <v>0.14680962807679929</v>
      </c>
      <c r="Q64" s="651">
        <f t="shared" si="19"/>
        <v>9.1952435829894374E-2</v>
      </c>
      <c r="R64" s="651">
        <f t="shared" si="19"/>
        <v>0.11023816657886266</v>
      </c>
      <c r="S64" s="651">
        <f t="shared" si="19"/>
        <v>0.16509535882576756</v>
      </c>
      <c r="T64" s="651">
        <f t="shared" si="19"/>
        <v>0.20166682032370417</v>
      </c>
      <c r="W64" s="650"/>
      <c r="X64" s="650"/>
      <c r="AF64" s="650"/>
    </row>
    <row r="65" spans="8:32">
      <c r="H65" s="652" t="s">
        <v>944</v>
      </c>
      <c r="I65" s="651">
        <f t="shared" ref="I65:T66" si="20">I64+I56</f>
        <v>0.73412957312611593</v>
      </c>
      <c r="J65" s="651">
        <f t="shared" si="20"/>
        <v>0.69508079250446353</v>
      </c>
      <c r="K65" s="651">
        <f t="shared" si="20"/>
        <v>0.6169832312611585</v>
      </c>
      <c r="L65" s="651">
        <f t="shared" si="20"/>
        <v>0.38269054753124371</v>
      </c>
      <c r="M65" s="651">
        <f t="shared" si="20"/>
        <v>0.5779344506395061</v>
      </c>
      <c r="N65" s="651">
        <f t="shared" si="20"/>
        <v>0.6169832312611585</v>
      </c>
      <c r="O65" s="651">
        <f t="shared" si="20"/>
        <v>0.53888567001785359</v>
      </c>
      <c r="P65" s="651">
        <f t="shared" si="20"/>
        <v>0.42173932815289616</v>
      </c>
      <c r="Q65" s="651">
        <f t="shared" si="20"/>
        <v>0.30459298628793874</v>
      </c>
      <c r="R65" s="651">
        <f t="shared" si="20"/>
        <v>0.26554420566628628</v>
      </c>
      <c r="S65" s="651">
        <f t="shared" si="20"/>
        <v>0.38269054753124371</v>
      </c>
      <c r="T65" s="651">
        <f t="shared" si="20"/>
        <v>0.46078810877454857</v>
      </c>
      <c r="W65" s="650"/>
      <c r="X65" s="650"/>
      <c r="AF65" s="650"/>
    </row>
    <row r="66" spans="8:32">
      <c r="H66" s="652" t="s">
        <v>950</v>
      </c>
      <c r="I66" s="651">
        <f t="shared" si="20"/>
        <v>0.88943561221353951</v>
      </c>
      <c r="J66" s="651">
        <f t="shared" si="20"/>
        <v>0.90772134296250795</v>
      </c>
      <c r="K66" s="651">
        <f t="shared" si="20"/>
        <v>0.94429280446044439</v>
      </c>
      <c r="L66" s="651">
        <f t="shared" si="20"/>
        <v>0.94429280446044439</v>
      </c>
      <c r="M66" s="651">
        <f t="shared" si="20"/>
        <v>0.85286415071560295</v>
      </c>
      <c r="N66" s="651">
        <f t="shared" si="20"/>
        <v>0.83457841996663462</v>
      </c>
      <c r="O66" s="651">
        <f t="shared" si="20"/>
        <v>0.79800695846869796</v>
      </c>
      <c r="P66" s="651">
        <f t="shared" si="20"/>
        <v>0.85286415071560295</v>
      </c>
      <c r="Q66" s="651">
        <f t="shared" si="20"/>
        <v>0.90772134296250784</v>
      </c>
      <c r="R66" s="651">
        <f t="shared" si="20"/>
        <v>0.88943561221353962</v>
      </c>
      <c r="S66" s="651">
        <f t="shared" si="20"/>
        <v>0.83457841996663462</v>
      </c>
      <c r="T66" s="651">
        <f t="shared" si="20"/>
        <v>0.79800695846869796</v>
      </c>
      <c r="W66" s="650"/>
      <c r="X66" s="650"/>
      <c r="AF66" s="650"/>
    </row>
    <row r="67" spans="8:32">
      <c r="H67" s="652" t="s">
        <v>1987</v>
      </c>
      <c r="I67" s="651">
        <f t="shared" ref="I67:T67" si="21">I66+I64</f>
        <v>0.99967377879240216</v>
      </c>
      <c r="J67" s="651">
        <f t="shared" si="21"/>
        <v>0.99967377879240238</v>
      </c>
      <c r="K67" s="651">
        <f t="shared" si="21"/>
        <v>0.99967377879240216</v>
      </c>
      <c r="L67" s="651">
        <f t="shared" si="21"/>
        <v>0.99967377879240216</v>
      </c>
      <c r="M67" s="651">
        <f t="shared" si="21"/>
        <v>0.99967377879240227</v>
      </c>
      <c r="N67" s="651">
        <f t="shared" si="21"/>
        <v>0.99967377879240216</v>
      </c>
      <c r="O67" s="651">
        <f t="shared" si="21"/>
        <v>0.99967377879240216</v>
      </c>
      <c r="P67" s="651">
        <f t="shared" si="21"/>
        <v>0.99967377879240227</v>
      </c>
      <c r="Q67" s="651">
        <f t="shared" si="21"/>
        <v>0.99967377879240216</v>
      </c>
      <c r="R67" s="651">
        <f t="shared" si="21"/>
        <v>0.99967377879240227</v>
      </c>
      <c r="S67" s="651">
        <f t="shared" si="21"/>
        <v>0.99967377879240216</v>
      </c>
      <c r="T67" s="651">
        <f t="shared" si="21"/>
        <v>0.99967377879240216</v>
      </c>
      <c r="W67" s="650"/>
      <c r="X67" s="650"/>
      <c r="AF67" s="650"/>
    </row>
    <row r="68" spans="8:32">
      <c r="S68" s="650"/>
      <c r="T68" s="650"/>
      <c r="W68" s="650"/>
      <c r="X68" s="650"/>
      <c r="AF68" s="650"/>
    </row>
    <row r="69" spans="8:32">
      <c r="S69" s="650"/>
      <c r="T69" s="650"/>
      <c r="V69" s="685"/>
      <c r="W69" s="650"/>
      <c r="X69" s="650"/>
      <c r="AF69" s="650"/>
    </row>
    <row r="70" spans="8:32">
      <c r="S70" s="650"/>
      <c r="T70" s="650"/>
      <c r="W70" s="650"/>
      <c r="X70" s="650"/>
      <c r="AF70" s="650"/>
    </row>
    <row r="71" spans="8:32">
      <c r="S71" s="650"/>
      <c r="T71" s="650"/>
      <c r="W71" s="650"/>
      <c r="X71" s="650"/>
      <c r="AF71" s="650"/>
    </row>
    <row r="72" spans="8:32">
      <c r="S72" s="650"/>
      <c r="T72" s="650"/>
      <c r="W72" s="650"/>
      <c r="X72" s="650"/>
      <c r="AF72" s="650"/>
    </row>
    <row r="73" spans="8:32">
      <c r="S73" s="650"/>
      <c r="T73" s="650"/>
      <c r="W73" s="650"/>
      <c r="X73" s="650"/>
      <c r="AF73" s="650"/>
    </row>
    <row r="74" spans="8:32">
      <c r="S74" s="650"/>
      <c r="T74" s="650"/>
      <c r="W74" s="650"/>
      <c r="X74" s="650"/>
      <c r="AF74" s="650"/>
    </row>
    <row r="75" spans="8:32">
      <c r="S75" s="650"/>
      <c r="T75" s="650"/>
      <c r="W75" s="650"/>
      <c r="X75" s="650"/>
      <c r="AF75" s="650"/>
    </row>
    <row r="76" spans="8:32">
      <c r="S76" s="650"/>
      <c r="T76" s="650"/>
      <c r="W76" s="650"/>
      <c r="X76" s="650"/>
      <c r="AF76" s="650"/>
    </row>
    <row r="77" spans="8:32">
      <c r="S77" s="650"/>
      <c r="T77" s="650"/>
      <c r="W77" s="650"/>
      <c r="X77" s="650"/>
      <c r="AF77" s="650"/>
    </row>
    <row r="78" spans="8:32">
      <c r="S78" s="650"/>
      <c r="T78" s="650"/>
      <c r="W78" s="650"/>
      <c r="X78" s="650"/>
      <c r="AF78" s="650"/>
    </row>
    <row r="79" spans="8:32">
      <c r="S79" s="650"/>
      <c r="T79" s="650"/>
      <c r="W79" s="650"/>
      <c r="X79" s="650"/>
      <c r="AF79" s="650"/>
    </row>
    <row r="80" spans="8:32">
      <c r="S80" s="650"/>
      <c r="T80" s="650"/>
      <c r="W80" s="650"/>
      <c r="X80" s="650"/>
      <c r="AF80" s="650"/>
    </row>
    <row r="81" spans="8:32">
      <c r="S81" s="650"/>
      <c r="T81" s="650"/>
      <c r="W81" s="650"/>
      <c r="X81" s="650"/>
      <c r="AF81" s="650"/>
    </row>
    <row r="82" spans="8:32">
      <c r="S82" s="650"/>
      <c r="T82" s="650"/>
      <c r="W82" s="650"/>
      <c r="X82" s="650"/>
      <c r="AF82" s="650"/>
    </row>
    <row r="83" spans="8:32">
      <c r="I83" s="650">
        <v>1</v>
      </c>
      <c r="J83" s="650">
        <v>2</v>
      </c>
      <c r="K83" s="650">
        <v>3</v>
      </c>
      <c r="L83" s="650">
        <v>4</v>
      </c>
      <c r="M83" s="650">
        <v>5</v>
      </c>
      <c r="N83" s="650">
        <v>6</v>
      </c>
      <c r="O83" s="650">
        <v>7</v>
      </c>
      <c r="P83" s="650">
        <v>8</v>
      </c>
      <c r="Q83" s="650">
        <v>9</v>
      </c>
      <c r="R83" s="650">
        <v>10</v>
      </c>
      <c r="S83" s="650">
        <v>11</v>
      </c>
      <c r="T83" s="650">
        <v>12</v>
      </c>
      <c r="W83" s="650"/>
      <c r="X83" s="650"/>
      <c r="AF83" s="650"/>
    </row>
    <row r="84" spans="8:32">
      <c r="H84" s="650" t="s">
        <v>1014</v>
      </c>
      <c r="I84" s="650">
        <v>0</v>
      </c>
      <c r="J84" s="650">
        <v>0</v>
      </c>
      <c r="K84" s="650">
        <v>0</v>
      </c>
      <c r="L84" s="650">
        <v>90</v>
      </c>
      <c r="M84" s="650">
        <v>45</v>
      </c>
      <c r="N84" s="650">
        <v>45</v>
      </c>
      <c r="O84" s="650">
        <v>45</v>
      </c>
      <c r="P84" s="650">
        <v>45</v>
      </c>
      <c r="Q84" s="650">
        <v>90</v>
      </c>
      <c r="R84" s="650">
        <v>90</v>
      </c>
      <c r="S84" s="650">
        <v>45</v>
      </c>
      <c r="T84" s="650">
        <v>45</v>
      </c>
      <c r="W84" s="650"/>
      <c r="X84" s="650"/>
      <c r="AF84" s="650"/>
    </row>
    <row r="85" spans="8:32">
      <c r="H85" s="650" t="s">
        <v>1018</v>
      </c>
      <c r="I85" s="650">
        <v>45</v>
      </c>
      <c r="J85" s="650">
        <v>45</v>
      </c>
      <c r="K85" s="650">
        <v>90</v>
      </c>
      <c r="L85" s="650">
        <v>0</v>
      </c>
      <c r="M85" s="650">
        <v>0</v>
      </c>
      <c r="N85" s="650">
        <v>0</v>
      </c>
      <c r="O85" s="650">
        <v>-45</v>
      </c>
      <c r="P85" s="650">
        <v>90</v>
      </c>
      <c r="Q85" s="650">
        <v>45</v>
      </c>
      <c r="R85" s="650">
        <v>45</v>
      </c>
      <c r="S85" s="650">
        <v>90</v>
      </c>
      <c r="T85" s="650">
        <v>-45</v>
      </c>
      <c r="W85" s="650"/>
      <c r="X85" s="650"/>
      <c r="AF85" s="650"/>
    </row>
    <row r="86" spans="8:32">
      <c r="H86" s="650" t="s">
        <v>1022</v>
      </c>
      <c r="I86" s="650">
        <v>-45</v>
      </c>
      <c r="J86" s="650">
        <v>90</v>
      </c>
      <c r="K86" s="650">
        <v>45</v>
      </c>
      <c r="L86" s="650">
        <v>45</v>
      </c>
      <c r="M86" s="650">
        <v>90</v>
      </c>
      <c r="N86" s="650">
        <v>-45</v>
      </c>
      <c r="O86" s="650">
        <v>0</v>
      </c>
      <c r="P86" s="650">
        <v>0</v>
      </c>
      <c r="Q86" s="650">
        <v>0</v>
      </c>
      <c r="R86" s="650">
        <v>-45</v>
      </c>
      <c r="S86" s="650">
        <v>-45</v>
      </c>
      <c r="T86" s="650">
        <v>90</v>
      </c>
      <c r="W86" s="650"/>
      <c r="X86" s="650"/>
      <c r="AF86" s="650"/>
    </row>
    <row r="87" spans="8:32">
      <c r="H87" s="650" t="s">
        <v>1027</v>
      </c>
      <c r="I87" s="650">
        <v>90</v>
      </c>
      <c r="J87" s="650">
        <v>-45</v>
      </c>
      <c r="K87" s="650">
        <v>-45</v>
      </c>
      <c r="L87" s="650">
        <v>-45</v>
      </c>
      <c r="M87" s="650">
        <v>-45</v>
      </c>
      <c r="N87" s="650">
        <v>90</v>
      </c>
      <c r="O87" s="650">
        <v>90</v>
      </c>
      <c r="P87" s="650">
        <v>-45</v>
      </c>
      <c r="Q87" s="650">
        <v>-45</v>
      </c>
      <c r="R87" s="650">
        <v>0</v>
      </c>
      <c r="S87" s="659">
        <v>0</v>
      </c>
      <c r="T87" s="659">
        <v>0</v>
      </c>
      <c r="W87" s="650"/>
      <c r="X87" s="650"/>
      <c r="AF87" s="650"/>
    </row>
    <row r="88" spans="8:32">
      <c r="H88" s="650" t="s">
        <v>941</v>
      </c>
      <c r="I88" s="654">
        <v>0.62389140654725328</v>
      </c>
      <c r="J88" s="654">
        <v>0.6031283566745691</v>
      </c>
      <c r="K88" s="654">
        <v>0.56160225692920074</v>
      </c>
      <c r="L88" s="654">
        <v>0.32730957319928594</v>
      </c>
      <c r="M88" s="654">
        <v>0.43112482256270679</v>
      </c>
      <c r="N88" s="654">
        <v>0.45188787243539097</v>
      </c>
      <c r="O88" s="654">
        <v>0.33721884969414939</v>
      </c>
      <c r="P88" s="654">
        <v>0.27492970007609691</v>
      </c>
      <c r="Q88" s="654">
        <v>0.21264055045804439</v>
      </c>
      <c r="R88" s="654">
        <v>0.1553060390874236</v>
      </c>
      <c r="S88" s="654">
        <v>0.21759518870547614</v>
      </c>
      <c r="T88" s="654">
        <v>0.25912128845084442</v>
      </c>
    </row>
    <row r="89" spans="8:32">
      <c r="H89" s="650" t="s">
        <v>944</v>
      </c>
      <c r="I89" s="654">
        <v>0.15530603908742358</v>
      </c>
      <c r="J89" s="654">
        <v>0.21264055045804436</v>
      </c>
      <c r="K89" s="654">
        <v>0.32730957319928589</v>
      </c>
      <c r="L89" s="654">
        <v>0.56160225692920074</v>
      </c>
      <c r="M89" s="654">
        <v>0.27492970007609685</v>
      </c>
      <c r="N89" s="654">
        <v>0.21759518870547609</v>
      </c>
      <c r="O89" s="654">
        <v>0.25912128845084437</v>
      </c>
      <c r="P89" s="654">
        <v>0.43112482256270673</v>
      </c>
      <c r="Q89" s="654">
        <v>0.6031283566745691</v>
      </c>
      <c r="R89" s="654">
        <v>0.62389140654725328</v>
      </c>
      <c r="S89" s="654">
        <v>0.45188787243539091</v>
      </c>
      <c r="T89" s="654">
        <v>0.33721884969414934</v>
      </c>
    </row>
    <row r="90" spans="8:32">
      <c r="H90" s="650" t="s">
        <v>950</v>
      </c>
      <c r="I90" s="654">
        <v>0.11023816657886266</v>
      </c>
      <c r="J90" s="654">
        <v>9.1952435829894374E-2</v>
      </c>
      <c r="K90" s="654">
        <v>5.5380974331957766E-2</v>
      </c>
      <c r="L90" s="654">
        <v>5.5380974331957766E-2</v>
      </c>
      <c r="M90" s="654">
        <v>0.14680962807679929</v>
      </c>
      <c r="N90" s="654">
        <v>0.16509535882576756</v>
      </c>
      <c r="O90" s="654">
        <v>0.20166682032370417</v>
      </c>
      <c r="P90" s="654">
        <v>0.14680962807679929</v>
      </c>
      <c r="Q90" s="654">
        <v>9.1952435829894374E-2</v>
      </c>
      <c r="R90" s="654">
        <v>0.11023816657886266</v>
      </c>
      <c r="S90" s="654">
        <v>0.16509535882576756</v>
      </c>
      <c r="T90" s="654">
        <v>0.20166682032370417</v>
      </c>
    </row>
    <row r="91" spans="8:32">
      <c r="H91" s="650" t="s">
        <v>1992</v>
      </c>
      <c r="I91" s="654">
        <v>9.5979466663739882E-2</v>
      </c>
      <c r="J91" s="654">
        <v>7.7693735914771578E-2</v>
      </c>
      <c r="K91" s="654">
        <v>4.1122274416834956E-2</v>
      </c>
      <c r="L91" s="654">
        <v>4.1122274416834956E-2</v>
      </c>
      <c r="M91" s="654">
        <v>0.13255092816167646</v>
      </c>
      <c r="N91" s="654">
        <v>0.15083665891064477</v>
      </c>
      <c r="O91" s="654">
        <v>0.1874081204085814</v>
      </c>
      <c r="P91" s="654">
        <v>0.13255092816167646</v>
      </c>
      <c r="Q91" s="654">
        <v>7.7693735914771578E-2</v>
      </c>
      <c r="R91" s="654">
        <v>9.5979466663739882E-2</v>
      </c>
      <c r="S91" s="654">
        <v>0.15083665891064477</v>
      </c>
      <c r="T91" s="654">
        <v>0.1874081204085814</v>
      </c>
    </row>
    <row r="92" spans="8:32">
      <c r="H92" s="650" t="s">
        <v>1961</v>
      </c>
      <c r="I92" s="654">
        <v>3.9048780621652478E-2</v>
      </c>
      <c r="J92" s="654">
        <v>5.8573170932478706E-2</v>
      </c>
      <c r="K92" s="654">
        <v>1.9524390310826235E-2</v>
      </c>
      <c r="L92" s="654">
        <v>1.9524390310826235E-2</v>
      </c>
      <c r="M92" s="654">
        <v>0.11714634186495741</v>
      </c>
      <c r="N92" s="654">
        <v>9.7621951554131184E-2</v>
      </c>
      <c r="O92" s="654">
        <v>5.8573170932478706E-2</v>
      </c>
      <c r="P92" s="654">
        <v>0.11714634186495741</v>
      </c>
      <c r="Q92" s="654">
        <v>5.8573170932478706E-2</v>
      </c>
      <c r="R92" s="654">
        <v>3.9048780621652478E-2</v>
      </c>
      <c r="S92" s="654">
        <v>9.7621951554131184E-2</v>
      </c>
      <c r="T92" s="654">
        <v>5.8573170932478706E-2</v>
      </c>
    </row>
    <row r="93" spans="8:32">
      <c r="H93" s="650" t="s">
        <v>1993</v>
      </c>
      <c r="I93" s="654">
        <v>3.9048780621652478E-2</v>
      </c>
      <c r="J93" s="654">
        <v>5.857317093247872E-2</v>
      </c>
      <c r="K93" s="654">
        <v>1.9524390310826249E-2</v>
      </c>
      <c r="L93" s="654">
        <v>1.9524390310826263E-2</v>
      </c>
      <c r="M93" s="654">
        <v>0.11714634186495741</v>
      </c>
      <c r="N93" s="654">
        <v>9.7621951554131184E-2</v>
      </c>
      <c r="O93" s="654">
        <v>5.8573170932478706E-2</v>
      </c>
      <c r="P93" s="654">
        <v>0.11714634186495744</v>
      </c>
      <c r="Q93" s="654">
        <v>5.8573170932478741E-2</v>
      </c>
      <c r="R93" s="654">
        <v>3.9048780621652505E-2</v>
      </c>
      <c r="S93" s="654">
        <v>9.7621951554131212E-2</v>
      </c>
      <c r="T93" s="654">
        <v>5.8573170932478706E-2</v>
      </c>
    </row>
    <row r="95" spans="8:32">
      <c r="H95" s="650">
        <v>0</v>
      </c>
      <c r="I95" s="650">
        <v>1</v>
      </c>
      <c r="J95" s="650">
        <v>2</v>
      </c>
      <c r="K95" s="650">
        <v>3</v>
      </c>
      <c r="L95" s="650">
        <v>4</v>
      </c>
      <c r="M95" s="650">
        <v>5</v>
      </c>
      <c r="N95" s="650">
        <v>6</v>
      </c>
      <c r="O95" s="650">
        <v>7</v>
      </c>
      <c r="P95" s="650">
        <v>8</v>
      </c>
      <c r="Q95" s="650">
        <v>9</v>
      </c>
      <c r="R95" s="650">
        <v>10</v>
      </c>
      <c r="S95" s="659">
        <v>11</v>
      </c>
      <c r="T95" s="659">
        <v>12</v>
      </c>
    </row>
    <row r="96" spans="8:32">
      <c r="H96" s="650" t="s">
        <v>941</v>
      </c>
      <c r="I96" s="651">
        <v>0.11023816657886266</v>
      </c>
      <c r="J96" s="651">
        <v>9.1952435829894374E-2</v>
      </c>
      <c r="K96" s="651">
        <v>5.5380974331957766E-2</v>
      </c>
      <c r="L96" s="651">
        <v>5.5380974331957766E-2</v>
      </c>
      <c r="M96" s="651">
        <v>0.14680962807679929</v>
      </c>
      <c r="N96" s="651">
        <v>0.16509535882576756</v>
      </c>
      <c r="O96" s="651">
        <v>0.20166682032370417</v>
      </c>
      <c r="P96" s="651">
        <v>0.14680962807679929</v>
      </c>
      <c r="Q96" s="651">
        <v>9.1952435829894374E-2</v>
      </c>
      <c r="R96" s="651">
        <v>0.11023816657886266</v>
      </c>
      <c r="S96" s="651">
        <v>0.16509535882576756</v>
      </c>
      <c r="T96" s="651">
        <v>0.20166682032370417</v>
      </c>
    </row>
    <row r="97" spans="8:20">
      <c r="H97" s="650" t="s">
        <v>944</v>
      </c>
      <c r="I97" s="651">
        <v>0.73412957312611593</v>
      </c>
      <c r="J97" s="651">
        <v>0.69508079250446353</v>
      </c>
      <c r="K97" s="651">
        <v>0.6169832312611585</v>
      </c>
      <c r="L97" s="651">
        <v>0.38269054753124371</v>
      </c>
      <c r="M97" s="651">
        <v>0.5779344506395061</v>
      </c>
      <c r="N97" s="651">
        <v>0.6169832312611585</v>
      </c>
      <c r="O97" s="651">
        <v>0.53888567001785359</v>
      </c>
      <c r="P97" s="651">
        <v>0.42173932815289616</v>
      </c>
      <c r="Q97" s="651">
        <v>0.30459298628793874</v>
      </c>
      <c r="R97" s="651">
        <v>0.26554420566628628</v>
      </c>
      <c r="S97" s="651">
        <v>0.38269054753124371</v>
      </c>
      <c r="T97" s="651">
        <v>0.46078810877454857</v>
      </c>
    </row>
    <row r="98" spans="8:20">
      <c r="H98" s="650" t="s">
        <v>950</v>
      </c>
      <c r="I98" s="651">
        <v>0.88943561221353951</v>
      </c>
      <c r="J98" s="651">
        <v>0.90772134296250795</v>
      </c>
      <c r="K98" s="651">
        <v>0.94429280446044439</v>
      </c>
      <c r="L98" s="651">
        <v>0.94429280446044439</v>
      </c>
      <c r="M98" s="651">
        <v>0.85286415071560295</v>
      </c>
      <c r="N98" s="651">
        <v>0.83457841996663462</v>
      </c>
      <c r="O98" s="651">
        <v>0.79800695846869796</v>
      </c>
      <c r="P98" s="651">
        <v>0.85286415071560295</v>
      </c>
      <c r="Q98" s="651">
        <v>0.90772134296250784</v>
      </c>
      <c r="R98" s="651">
        <v>0.88943561221353962</v>
      </c>
      <c r="S98" s="651">
        <v>0.83457841996663462</v>
      </c>
      <c r="T98" s="651">
        <v>0.79800695846869796</v>
      </c>
    </row>
    <row r="99" spans="8:20">
      <c r="H99" s="650" t="s">
        <v>1987</v>
      </c>
      <c r="I99" s="651">
        <v>0.99967377879240216</v>
      </c>
      <c r="J99" s="651">
        <v>0.99967377879240238</v>
      </c>
      <c r="K99" s="651">
        <v>0.99967377879240216</v>
      </c>
      <c r="L99" s="651">
        <v>0.99967377879240216</v>
      </c>
      <c r="M99" s="651">
        <v>0.99967377879240227</v>
      </c>
      <c r="N99" s="651">
        <v>0.99967377879240216</v>
      </c>
      <c r="O99" s="651">
        <v>0.99967377879240216</v>
      </c>
      <c r="P99" s="651">
        <v>0.99967377879240227</v>
      </c>
      <c r="Q99" s="651">
        <v>0.99967377879240216</v>
      </c>
      <c r="R99" s="651">
        <v>0.99967377879240227</v>
      </c>
      <c r="S99" s="651">
        <v>0.99967377879240216</v>
      </c>
      <c r="T99" s="651">
        <v>0.99967377879240216</v>
      </c>
    </row>
  </sheetData>
  <phoneticPr fontId="0" type="noConversion"/>
  <printOptions headings="1"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  <colBreaks count="4" manualBreakCount="4">
    <brk id="9" max="1048575" man="1"/>
    <brk id="17" max="1048575" man="1"/>
    <brk id="25" max="1048575" man="1"/>
    <brk id="32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Line="0" autoPict="0" macro="[0]!SelectMaterial">
                <anchor moveWithCells="1" sizeWithCells="1">
                  <from>
                    <xdr:col>5</xdr:col>
                    <xdr:colOff>7620</xdr:colOff>
                    <xdr:row>0</xdr:row>
                    <xdr:rowOff>83820</xdr:rowOff>
                  </from>
                  <to>
                    <xdr:col>6</xdr:col>
                    <xdr:colOff>480060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83820</xdr:colOff>
                    <xdr:row>0</xdr:row>
                    <xdr:rowOff>83820</xdr:rowOff>
                  </from>
                  <to>
                    <xdr:col>9</xdr:col>
                    <xdr:colOff>45720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LaunchFinder">
                <anchor moveWithCells="1" sizeWithCells="1">
                  <from>
                    <xdr:col>9</xdr:col>
                    <xdr:colOff>655320</xdr:colOff>
                    <xdr:row>0</xdr:row>
                    <xdr:rowOff>106680</xdr:rowOff>
                  </from>
                  <to>
                    <xdr:col>10</xdr:col>
                    <xdr:colOff>617220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Main">
                <anchor moveWithCells="1" sizeWithCells="1">
                  <from>
                    <xdr:col>11</xdr:col>
                    <xdr:colOff>76200</xdr:colOff>
                    <xdr:row>0</xdr:row>
                    <xdr:rowOff>114300</xdr:rowOff>
                  </from>
                  <to>
                    <xdr:col>12</xdr:col>
                    <xdr:colOff>114300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GetVals">
                <anchor moveWithCells="1" sizeWithCells="1">
                  <from>
                    <xdr:col>14</xdr:col>
                    <xdr:colOff>426720</xdr:colOff>
                    <xdr:row>0</xdr:row>
                    <xdr:rowOff>114300</xdr:rowOff>
                  </from>
                  <to>
                    <xdr:col>15</xdr:col>
                    <xdr:colOff>464820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L94"/>
  <sheetViews>
    <sheetView zoomScale="120" zoomScaleNormal="120" zoomScalePageLayoutView="120" workbookViewId="0">
      <selection activeCell="B31" sqref="B31"/>
    </sheetView>
  </sheetViews>
  <sheetFormatPr defaultColWidth="14" defaultRowHeight="15"/>
  <cols>
    <col min="1" max="1" width="9.08984375" style="2" customWidth="1"/>
    <col min="2" max="3" width="6.6328125" style="2" customWidth="1"/>
    <col min="4" max="4" width="7.08984375" style="2" customWidth="1"/>
    <col min="5" max="5" width="6.6328125" style="2" customWidth="1"/>
    <col min="6" max="6" width="7.08984375" style="2" customWidth="1"/>
    <col min="7" max="8" width="6.6328125" style="2" customWidth="1"/>
    <col min="9" max="9" width="6.453125" style="2" customWidth="1"/>
    <col min="10" max="18" width="7.6328125" style="2" customWidth="1"/>
    <col min="19" max="20" width="7.6328125" style="5" customWidth="1"/>
    <col min="21" max="22" width="7.6328125" style="2" customWidth="1"/>
    <col min="23" max="24" width="7.6328125" style="5" customWidth="1"/>
    <col min="25" max="26" width="7.6328125" style="2" customWidth="1"/>
    <col min="27" max="27" width="10.6328125" style="2" customWidth="1"/>
    <col min="28" max="31" width="7.6328125" style="2" customWidth="1"/>
    <col min="32" max="32" width="7.6328125" style="5" customWidth="1"/>
    <col min="33" max="38" width="7.6328125" style="2" customWidth="1"/>
    <col min="39" max="50" width="16.453125" style="2" customWidth="1"/>
    <col min="51" max="16384" width="14" style="2"/>
  </cols>
  <sheetData>
    <row r="1" spans="1:38" ht="60.75" customHeight="1">
      <c r="A1" s="532" t="s">
        <v>1698</v>
      </c>
      <c r="J1" s="1" t="s">
        <v>1660</v>
      </c>
      <c r="K1" s="3"/>
      <c r="L1" s="3"/>
      <c r="N1" s="2" t="s">
        <v>1551</v>
      </c>
      <c r="P1" s="4"/>
      <c r="R1" s="2" t="s">
        <v>237</v>
      </c>
      <c r="Z1" s="2" t="s">
        <v>529</v>
      </c>
      <c r="AG1" s="2" t="s">
        <v>530</v>
      </c>
    </row>
    <row r="2" spans="1:38">
      <c r="A2" s="2" t="s">
        <v>95</v>
      </c>
      <c r="B2" s="3" t="s">
        <v>1562</v>
      </c>
      <c r="C2" s="3" t="s">
        <v>1563</v>
      </c>
      <c r="D2" s="3" t="s">
        <v>1564</v>
      </c>
      <c r="E2" s="3" t="s">
        <v>1565</v>
      </c>
      <c r="F2" s="2" t="s">
        <v>96</v>
      </c>
      <c r="G2" s="1" t="str">
        <f>J2</f>
        <v>IM7/977[SI]</v>
      </c>
      <c r="H2" s="1" t="s">
        <v>97</v>
      </c>
      <c r="I2" s="1" t="str">
        <f>J41</f>
        <v>Alum[SI]</v>
      </c>
      <c r="J2" s="1" t="str">
        <f>$A$24</f>
        <v>IM7/977[SI]</v>
      </c>
      <c r="K2" s="1"/>
      <c r="L2" s="3"/>
      <c r="N2" s="3" t="s">
        <v>596</v>
      </c>
      <c r="O2" s="7">
        <f>$G$25</f>
        <v>22</v>
      </c>
      <c r="P2" s="7">
        <f>B18</f>
        <v>22</v>
      </c>
      <c r="Q2" s="8">
        <f t="shared" ref="Q2:Q7" si="0">P2/O2</f>
        <v>1</v>
      </c>
      <c r="R2" s="1"/>
      <c r="X2" s="6"/>
      <c r="Z2" s="3" t="s">
        <v>531</v>
      </c>
      <c r="AA2" s="9">
        <f t="shared" ref="AA2:AD3" si="1">S4</f>
        <v>0</v>
      </c>
      <c r="AB2" s="9">
        <f t="shared" si="1"/>
        <v>90</v>
      </c>
      <c r="AC2" s="9">
        <f t="shared" si="1"/>
        <v>60</v>
      </c>
      <c r="AD2" s="9">
        <f t="shared" si="1"/>
        <v>-60</v>
      </c>
      <c r="AE2" s="3" t="s">
        <v>532</v>
      </c>
      <c r="AF2" s="6" t="s">
        <v>533</v>
      </c>
      <c r="AG2" s="3" t="s">
        <v>531</v>
      </c>
      <c r="AH2" s="9">
        <f t="shared" ref="AH2:AK4" si="2">AA2</f>
        <v>0</v>
      </c>
      <c r="AI2" s="9">
        <f t="shared" si="2"/>
        <v>90</v>
      </c>
      <c r="AJ2" s="9">
        <f t="shared" si="2"/>
        <v>60</v>
      </c>
      <c r="AK2" s="9">
        <f t="shared" si="2"/>
        <v>-60</v>
      </c>
    </row>
    <row r="3" spans="1:38" ht="15.6">
      <c r="A3" s="1" t="s">
        <v>98</v>
      </c>
      <c r="B3" s="555">
        <v>0</v>
      </c>
      <c r="C3" s="555">
        <v>90</v>
      </c>
      <c r="D3" s="555">
        <f>C15</f>
        <v>60</v>
      </c>
      <c r="E3" s="555">
        <f>-D3</f>
        <v>-60</v>
      </c>
      <c r="F3" s="1" t="s">
        <v>99</v>
      </c>
      <c r="G3" s="1" t="s">
        <v>100</v>
      </c>
      <c r="H3" s="1" t="s">
        <v>101</v>
      </c>
      <c r="I3" s="1" t="s">
        <v>102</v>
      </c>
      <c r="J3" s="3"/>
      <c r="K3" s="3"/>
      <c r="L3" s="3"/>
      <c r="N3" s="3" t="s">
        <v>600</v>
      </c>
      <c r="O3" s="11">
        <f>$H$25</f>
        <v>5.0000000000000001E-3</v>
      </c>
      <c r="P3" s="11">
        <f>C18</f>
        <v>5.0000000000000001E-3</v>
      </c>
      <c r="Q3" s="8">
        <f t="shared" si="0"/>
        <v>1</v>
      </c>
      <c r="R3" s="3" t="s">
        <v>243</v>
      </c>
      <c r="S3" s="6" t="s">
        <v>1562</v>
      </c>
      <c r="T3" s="6" t="s">
        <v>1563</v>
      </c>
      <c r="U3" s="6" t="s">
        <v>1564</v>
      </c>
      <c r="V3" s="6" t="s">
        <v>1565</v>
      </c>
      <c r="W3" s="6"/>
      <c r="X3" s="6"/>
      <c r="Z3" s="3" t="s">
        <v>536</v>
      </c>
      <c r="AA3" s="9">
        <f t="shared" si="1"/>
        <v>4</v>
      </c>
      <c r="AB3" s="9">
        <f t="shared" si="1"/>
        <v>0</v>
      </c>
      <c r="AC3" s="9">
        <f t="shared" si="1"/>
        <v>1</v>
      </c>
      <c r="AD3" s="9">
        <f t="shared" si="1"/>
        <v>1</v>
      </c>
      <c r="AE3" s="3">
        <f>W5</f>
        <v>1</v>
      </c>
      <c r="AF3" s="9">
        <f>X5</f>
        <v>0</v>
      </c>
      <c r="AG3" s="3" t="s">
        <v>536</v>
      </c>
      <c r="AH3" s="9">
        <f t="shared" si="2"/>
        <v>4</v>
      </c>
      <c r="AI3" s="9">
        <f t="shared" si="2"/>
        <v>0</v>
      </c>
      <c r="AJ3" s="9">
        <f t="shared" si="2"/>
        <v>1</v>
      </c>
      <c r="AK3" s="9">
        <f t="shared" si="2"/>
        <v>1</v>
      </c>
    </row>
    <row r="4" spans="1:38" ht="15.6">
      <c r="A4" s="1" t="s">
        <v>103</v>
      </c>
      <c r="B4" s="555">
        <v>4</v>
      </c>
      <c r="C4" s="556">
        <v>0</v>
      </c>
      <c r="D4" s="555">
        <v>1</v>
      </c>
      <c r="E4" s="555">
        <f>D4</f>
        <v>1</v>
      </c>
      <c r="F4" s="557">
        <v>1</v>
      </c>
      <c r="G4" s="4">
        <f>2*(B4+C4+D4+E4)*F4</f>
        <v>12</v>
      </c>
      <c r="H4" s="4">
        <f>(G4*L9+G6*L48)/1000</f>
        <v>3</v>
      </c>
      <c r="I4" s="641">
        <v>0</v>
      </c>
      <c r="J4" s="3" t="s">
        <v>1553</v>
      </c>
      <c r="K4" s="3" t="s">
        <v>1554</v>
      </c>
      <c r="L4" s="3" t="s">
        <v>1555</v>
      </c>
      <c r="M4" s="13" t="s">
        <v>1556</v>
      </c>
      <c r="N4" s="3" t="s">
        <v>1557</v>
      </c>
      <c r="O4" s="7">
        <f>$G$24</f>
        <v>122</v>
      </c>
      <c r="P4" s="7">
        <f>O4</f>
        <v>122</v>
      </c>
      <c r="Q4" s="8">
        <f t="shared" si="0"/>
        <v>1</v>
      </c>
      <c r="R4" s="3" t="s">
        <v>537</v>
      </c>
      <c r="S4" s="14">
        <f>B3+$H$6+$I$4</f>
        <v>0</v>
      </c>
      <c r="T4" s="14">
        <f>C3+$H$6+$I$4</f>
        <v>90</v>
      </c>
      <c r="U4" s="14">
        <f>D3+$H$6+$I$4</f>
        <v>60</v>
      </c>
      <c r="V4" s="14">
        <f>E3+$H$6+$I$4</f>
        <v>-60</v>
      </c>
      <c r="W4" s="6" t="s">
        <v>538</v>
      </c>
      <c r="X4" s="6"/>
      <c r="Z4" s="3" t="s">
        <v>539</v>
      </c>
      <c r="AA4" s="9">
        <f>S6*AA3/AA3</f>
        <v>0</v>
      </c>
      <c r="AB4" s="9" t="e">
        <f>T6*AB3/AB3</f>
        <v>#DIV/0!</v>
      </c>
      <c r="AC4" s="9">
        <f>U6*AC3/AC3</f>
        <v>2.0943951023931953</v>
      </c>
      <c r="AD4" s="9">
        <f>V6*AD3/AD3</f>
        <v>-2.0943951023931953</v>
      </c>
      <c r="AE4" s="3" t="s">
        <v>540</v>
      </c>
      <c r="AF4" s="5">
        <f>$W$12</f>
        <v>1.5E-3</v>
      </c>
      <c r="AG4" s="3" t="s">
        <v>539</v>
      </c>
      <c r="AH4" s="9">
        <f t="shared" si="2"/>
        <v>0</v>
      </c>
      <c r="AI4" s="9" t="e">
        <f t="shared" si="2"/>
        <v>#DIV/0!</v>
      </c>
      <c r="AJ4" s="9">
        <f t="shared" si="2"/>
        <v>2.0943951023931953</v>
      </c>
      <c r="AK4" s="9">
        <f t="shared" si="2"/>
        <v>-2.0943951023931953</v>
      </c>
    </row>
    <row r="5" spans="1:38" ht="15.6">
      <c r="A5" s="1" t="s">
        <v>104</v>
      </c>
      <c r="B5" s="555">
        <v>0</v>
      </c>
      <c r="C5" s="555">
        <v>90</v>
      </c>
      <c r="D5" s="555">
        <f>D3</f>
        <v>60</v>
      </c>
      <c r="E5" s="555">
        <f>-D5</f>
        <v>-60</v>
      </c>
      <c r="F5" s="1" t="s">
        <v>105</v>
      </c>
      <c r="G5" s="1" t="s">
        <v>106</v>
      </c>
      <c r="H5" s="17" t="s">
        <v>107</v>
      </c>
      <c r="I5" s="2" t="s">
        <v>108</v>
      </c>
      <c r="J5" s="3" t="s">
        <v>298</v>
      </c>
      <c r="K5" s="4">
        <f>$B$24</f>
        <v>191</v>
      </c>
      <c r="L5" s="4">
        <f>L12*L11</f>
        <v>191</v>
      </c>
      <c r="M5" s="8">
        <f>L5/K5</f>
        <v>1</v>
      </c>
      <c r="N5" s="3" t="s">
        <v>299</v>
      </c>
      <c r="O5" s="7">
        <f>$H$24</f>
        <v>160</v>
      </c>
      <c r="P5" s="7">
        <f>O5-$H$27*(P3-O3)</f>
        <v>160</v>
      </c>
      <c r="Q5" s="8">
        <f t="shared" si="0"/>
        <v>1</v>
      </c>
      <c r="R5" s="3" t="s">
        <v>541</v>
      </c>
      <c r="S5" s="14">
        <f>$B$4</f>
        <v>4</v>
      </c>
      <c r="T5" s="14">
        <f>$C$4</f>
        <v>0</v>
      </c>
      <c r="U5" s="14">
        <f>$D$4</f>
        <v>1</v>
      </c>
      <c r="V5" s="14">
        <f>$E$4</f>
        <v>1</v>
      </c>
      <c r="W5" s="15">
        <f>F4</f>
        <v>1</v>
      </c>
      <c r="X5" s="9"/>
      <c r="Z5" s="3"/>
      <c r="AA5" s="5"/>
      <c r="AB5" s="5"/>
      <c r="AC5" s="5"/>
      <c r="AD5" s="5"/>
      <c r="AE5" s="6"/>
      <c r="AL5" s="3" t="s">
        <v>109</v>
      </c>
    </row>
    <row r="6" spans="1:38" ht="15.6">
      <c r="A6" s="1" t="s">
        <v>110</v>
      </c>
      <c r="B6" s="555">
        <f>B4</f>
        <v>4</v>
      </c>
      <c r="C6" s="556">
        <f>C4</f>
        <v>0</v>
      </c>
      <c r="D6" s="555">
        <f>D4</f>
        <v>1</v>
      </c>
      <c r="E6" s="555">
        <f>D6</f>
        <v>1</v>
      </c>
      <c r="F6" s="557">
        <v>1</v>
      </c>
      <c r="G6" s="4">
        <f>2*(B6+C6+D6+E6)*F6</f>
        <v>12</v>
      </c>
      <c r="H6" s="558">
        <v>0</v>
      </c>
      <c r="I6" s="641">
        <v>90</v>
      </c>
      <c r="J6" s="3" t="s">
        <v>1579</v>
      </c>
      <c r="K6" s="4">
        <f>$C$24</f>
        <v>9.94</v>
      </c>
      <c r="L6" s="4">
        <f>(1+L15)/(1/L16+L15/L13)</f>
        <v>9.94</v>
      </c>
      <c r="M6" s="8">
        <f>L6/K6</f>
        <v>1</v>
      </c>
      <c r="N6" s="3" t="s">
        <v>1580</v>
      </c>
      <c r="O6" s="4">
        <f>(O5-O2)/(O5-O2)</f>
        <v>1</v>
      </c>
      <c r="P6" s="4">
        <f>(P5-P2)/(P5-O2)</f>
        <v>1</v>
      </c>
      <c r="Q6" s="8">
        <f t="shared" si="0"/>
        <v>1</v>
      </c>
      <c r="R6" s="3" t="s">
        <v>1295</v>
      </c>
      <c r="S6" s="20">
        <f>S4*PI()/90</f>
        <v>0</v>
      </c>
      <c r="T6" s="20">
        <f>T4*PI()/90</f>
        <v>3.1415926535897931</v>
      </c>
      <c r="U6" s="20">
        <f>U4*PI()/90</f>
        <v>2.0943951023931953</v>
      </c>
      <c r="V6" s="20">
        <f>V4*PI()/90</f>
        <v>-2.0943951023931953</v>
      </c>
      <c r="W6" s="6" t="s">
        <v>1296</v>
      </c>
      <c r="X6" s="16"/>
      <c r="Y6" s="3"/>
      <c r="Z6" s="1" t="s">
        <v>1297</v>
      </c>
      <c r="AA6" s="6"/>
      <c r="AB6" s="6"/>
      <c r="AC6" s="5"/>
      <c r="AD6" s="5"/>
      <c r="AE6" s="5"/>
      <c r="AG6" s="1" t="s">
        <v>1298</v>
      </c>
      <c r="AL6" s="3" t="s">
        <v>1299</v>
      </c>
    </row>
    <row r="7" spans="1:38">
      <c r="J7" s="3" t="s">
        <v>259</v>
      </c>
      <c r="K7" s="4">
        <f>$D$24</f>
        <v>0.35</v>
      </c>
      <c r="L7" s="4">
        <f>K7*I18</f>
        <v>0.35</v>
      </c>
      <c r="M7" s="8">
        <f>L7/K7</f>
        <v>1</v>
      </c>
      <c r="N7" s="3" t="s">
        <v>260</v>
      </c>
      <c r="O7" s="7">
        <f>O2-O4</f>
        <v>-100</v>
      </c>
      <c r="P7" s="7">
        <f>P2-P4</f>
        <v>-100</v>
      </c>
      <c r="Q7" s="8">
        <f t="shared" si="0"/>
        <v>1</v>
      </c>
      <c r="R7" s="3" t="s">
        <v>1300</v>
      </c>
      <c r="S7" s="20">
        <f>2*S6</f>
        <v>0</v>
      </c>
      <c r="T7" s="20">
        <f>2*T6</f>
        <v>6.2831853071795862</v>
      </c>
      <c r="U7" s="20">
        <f>2*U6</f>
        <v>4.1887902047863905</v>
      </c>
      <c r="V7" s="20">
        <f>2*V6</f>
        <v>-4.1887902047863905</v>
      </c>
      <c r="W7" s="15">
        <f>G4/W5/2</f>
        <v>6</v>
      </c>
      <c r="X7" s="9"/>
      <c r="Y7" s="5"/>
      <c r="Z7" s="3"/>
      <c r="AA7" s="6" t="s">
        <v>1301</v>
      </c>
      <c r="AB7" s="6"/>
      <c r="AC7" s="19" t="s">
        <v>619</v>
      </c>
      <c r="AD7" s="19"/>
      <c r="AE7" s="6" t="s">
        <v>1303</v>
      </c>
      <c r="AF7" s="6" t="s">
        <v>1304</v>
      </c>
      <c r="AG7" s="3" t="s">
        <v>1305</v>
      </c>
      <c r="AH7" s="22">
        <f t="shared" ref="AH7:AK9" si="3">AA13</f>
        <v>3.3144439964564532E-3</v>
      </c>
      <c r="AI7" s="22" t="e">
        <f t="shared" si="3"/>
        <v>#DIV/0!</v>
      </c>
      <c r="AJ7" s="22">
        <f t="shared" si="3"/>
        <v>7.9492962415874023E-5</v>
      </c>
      <c r="AK7" s="22">
        <f t="shared" si="3"/>
        <v>7.9492962415873982E-5</v>
      </c>
      <c r="AL7" s="22">
        <f>($Z$37+$Z$38)/2</f>
        <v>2.8481060533545272E-5</v>
      </c>
    </row>
    <row r="8" spans="1:38">
      <c r="A8" s="1" t="s">
        <v>111</v>
      </c>
      <c r="B8" s="8">
        <f>AH38</f>
        <v>5.1575548335567944</v>
      </c>
      <c r="C8" s="8">
        <f>AI38</f>
        <v>1000000000</v>
      </c>
      <c r="D8" s="8">
        <f>AJ38</f>
        <v>1.9649925656260567</v>
      </c>
      <c r="E8" s="8">
        <f>AK38</f>
        <v>1.9649925656260567</v>
      </c>
      <c r="F8" s="10" t="s">
        <v>112</v>
      </c>
      <c r="G8" s="8">
        <f>MIN(B8:E8)</f>
        <v>1.9649925656260567</v>
      </c>
      <c r="H8" s="2" t="s">
        <v>113</v>
      </c>
      <c r="I8" s="4">
        <f>MIN(G8,G9)</f>
        <v>0.90254270271597981</v>
      </c>
      <c r="J8" s="3" t="s">
        <v>261</v>
      </c>
      <c r="K8" s="4">
        <f>$E$24</f>
        <v>7.79</v>
      </c>
      <c r="L8" s="4">
        <f>(1+L18)/(1/L19+L18*2.7/L13)</f>
        <v>7.79</v>
      </c>
      <c r="M8" s="8">
        <f>L8/K8</f>
        <v>1</v>
      </c>
      <c r="N8" s="3"/>
      <c r="O8" s="4"/>
      <c r="P8" s="4"/>
      <c r="Q8" s="4"/>
      <c r="S8" s="20"/>
      <c r="T8" s="20"/>
      <c r="U8" s="20"/>
      <c r="V8" s="21"/>
      <c r="W8" s="6"/>
      <c r="X8" s="6"/>
      <c r="Y8" s="5"/>
      <c r="Z8" s="3">
        <v>1</v>
      </c>
      <c r="AA8" s="22">
        <f>$B$12</f>
        <v>1</v>
      </c>
      <c r="AB8" s="22"/>
      <c r="AC8" s="22">
        <f>AA8*T23+AA9*T25+AA10*T27</f>
        <v>3.3144439964564532</v>
      </c>
      <c r="AD8" s="22"/>
      <c r="AE8" s="16" t="s">
        <v>1306</v>
      </c>
      <c r="AF8" s="22">
        <f>(AC8+AC9)/2</f>
        <v>1.1578099737627334</v>
      </c>
      <c r="AG8" s="3" t="s">
        <v>1307</v>
      </c>
      <c r="AH8" s="22">
        <f t="shared" si="3"/>
        <v>-9.9882404893098615E-4</v>
      </c>
      <c r="AI8" s="22" t="e">
        <f t="shared" si="3"/>
        <v>#DIV/0!</v>
      </c>
      <c r="AJ8" s="22">
        <f t="shared" si="3"/>
        <v>2.236126985109593E-3</v>
      </c>
      <c r="AK8" s="22">
        <f t="shared" si="3"/>
        <v>2.236126985109593E-3</v>
      </c>
      <c r="AL8" s="22">
        <f>($Z$37-$Z$38)/2</f>
        <v>-2.0068709569511714E-5</v>
      </c>
    </row>
    <row r="9" spans="1:38">
      <c r="A9" s="1" t="s">
        <v>114</v>
      </c>
      <c r="B9" s="8">
        <f>AH77</f>
        <v>0.90254270271597981</v>
      </c>
      <c r="C9" s="8">
        <f>AI77</f>
        <v>1000000000</v>
      </c>
      <c r="D9" s="8">
        <f>AJ77</f>
        <v>0.90254270271598058</v>
      </c>
      <c r="E9" s="8">
        <f>AK77</f>
        <v>0.90254270271598058</v>
      </c>
      <c r="F9" s="10" t="s">
        <v>115</v>
      </c>
      <c r="G9" s="8">
        <f>MIN(B9:E9)</f>
        <v>0.90254270271597981</v>
      </c>
      <c r="J9" s="3" t="s">
        <v>262</v>
      </c>
      <c r="K9" s="7">
        <f>$B$26</f>
        <v>125</v>
      </c>
      <c r="L9" s="7">
        <f>K9/M11</f>
        <v>125</v>
      </c>
      <c r="M9" s="8">
        <f>L9/K9</f>
        <v>1</v>
      </c>
      <c r="N9" s="1" t="s">
        <v>1531</v>
      </c>
      <c r="O9" s="4"/>
      <c r="P9" s="4"/>
      <c r="Q9" s="4"/>
      <c r="R9" s="3" t="s">
        <v>1308</v>
      </c>
      <c r="S9" s="20">
        <v>1</v>
      </c>
      <c r="T9" s="20">
        <f>S10</f>
        <v>0.33333333333333337</v>
      </c>
      <c r="U9" s="20">
        <f>T10</f>
        <v>0.33333333333333337</v>
      </c>
      <c r="V9" s="20">
        <f>U10</f>
        <v>0.16666666666666671</v>
      </c>
      <c r="W9" s="20"/>
      <c r="X9" s="6"/>
      <c r="Y9" s="5"/>
      <c r="Z9" s="3">
        <v>2</v>
      </c>
      <c r="AA9" s="22">
        <f>$B$13</f>
        <v>0</v>
      </c>
      <c r="AB9" s="22"/>
      <c r="AC9" s="22">
        <f>AA8*T25+AA9*T24+AA10*T28</f>
        <v>-0.99882404893098642</v>
      </c>
      <c r="AD9" s="22"/>
      <c r="AE9" s="16" t="s">
        <v>1309</v>
      </c>
      <c r="AF9" s="22">
        <f>(AC8-AC9)/2</f>
        <v>2.1566340226937197</v>
      </c>
      <c r="AG9" s="3" t="s">
        <v>1310</v>
      </c>
      <c r="AH9" s="22">
        <f t="shared" si="3"/>
        <v>1.9468108555182271E-20</v>
      </c>
      <c r="AI9" s="22" t="e">
        <f t="shared" si="3"/>
        <v>#DIV/0!</v>
      </c>
      <c r="AJ9" s="22">
        <f t="shared" si="3"/>
        <v>-3.7353997006371736E-3</v>
      </c>
      <c r="AK9" s="22">
        <f t="shared" si="3"/>
        <v>3.7353997006371736E-3</v>
      </c>
      <c r="AL9" s="22">
        <f>$Z$39/2</f>
        <v>3.6988768954408569E-21</v>
      </c>
    </row>
    <row r="10" spans="1:38">
      <c r="J10" s="1" t="s">
        <v>264</v>
      </c>
      <c r="K10" s="4"/>
      <c r="L10" s="4"/>
      <c r="N10" s="3" t="s">
        <v>265</v>
      </c>
      <c r="O10" s="4">
        <f>$A$27</f>
        <v>0.02</v>
      </c>
      <c r="P10" s="4">
        <f>O10</f>
        <v>0.02</v>
      </c>
      <c r="Q10" s="4">
        <f>P10/O10</f>
        <v>1</v>
      </c>
      <c r="R10" s="3" t="s">
        <v>1311</v>
      </c>
      <c r="S10" s="20">
        <f>S9-S5/$W$7</f>
        <v>0.33333333333333337</v>
      </c>
      <c r="T10" s="20">
        <f>T9-T5/$W$7</f>
        <v>0.33333333333333337</v>
      </c>
      <c r="U10" s="20">
        <f>U9-U5/$W$7</f>
        <v>0.16666666666666671</v>
      </c>
      <c r="V10" s="20">
        <f>V9-V5/$W$7</f>
        <v>0</v>
      </c>
      <c r="Y10" s="5"/>
      <c r="Z10" s="3">
        <v>6</v>
      </c>
      <c r="AA10" s="22">
        <f>$B$14</f>
        <v>0</v>
      </c>
      <c r="AB10" s="22"/>
      <c r="AC10" s="22">
        <f>AA8*T27+AA9*T28+AA10*T26</f>
        <v>1.946810855518227E-17</v>
      </c>
      <c r="AD10" s="22"/>
      <c r="AE10" s="16" t="s">
        <v>1312</v>
      </c>
      <c r="AF10" s="22">
        <f>AC10/2</f>
        <v>9.7340542775911351E-18</v>
      </c>
      <c r="AG10" s="3"/>
      <c r="AH10" s="22"/>
      <c r="AI10" s="22"/>
      <c r="AJ10" s="22"/>
      <c r="AK10" s="22"/>
      <c r="AL10" s="22"/>
    </row>
    <row r="11" spans="1:38">
      <c r="A11" s="1" t="s">
        <v>116</v>
      </c>
      <c r="B11" s="16"/>
      <c r="C11" s="23" t="s">
        <v>117</v>
      </c>
      <c r="D11" s="17" t="s">
        <v>118</v>
      </c>
      <c r="E11" s="17" t="s">
        <v>119</v>
      </c>
      <c r="F11" s="17" t="s">
        <v>120</v>
      </c>
      <c r="G11" s="23" t="s">
        <v>121</v>
      </c>
      <c r="H11" s="23" t="s">
        <v>167</v>
      </c>
      <c r="I11" s="1" t="s">
        <v>168</v>
      </c>
      <c r="J11" s="3" t="s">
        <v>1532</v>
      </c>
      <c r="K11" s="4">
        <f>$C$26</f>
        <v>0.64</v>
      </c>
      <c r="L11" s="4">
        <f>$D$18</f>
        <v>0.64</v>
      </c>
      <c r="M11" s="8">
        <f t="shared" ref="M11:M19" si="4">L11/K11</f>
        <v>1</v>
      </c>
      <c r="N11" s="3" t="s">
        <v>1533</v>
      </c>
      <c r="O11" s="4">
        <f>$B$27</f>
        <v>22.5</v>
      </c>
      <c r="P11" s="4">
        <f>O11*(1-L11)/(1-K11)</f>
        <v>22.5</v>
      </c>
      <c r="Q11" s="4">
        <f>P11/O11</f>
        <v>1</v>
      </c>
      <c r="R11" s="3" t="s">
        <v>1321</v>
      </c>
      <c r="S11" s="20">
        <f>S9-S10</f>
        <v>0.66666666666666663</v>
      </c>
      <c r="T11" s="20">
        <f>T9-T10</f>
        <v>0</v>
      </c>
      <c r="U11" s="20">
        <f>U9-U10</f>
        <v>0.16666666666666666</v>
      </c>
      <c r="V11" s="20">
        <f>V9-V10</f>
        <v>0.16666666666666671</v>
      </c>
      <c r="W11" s="6" t="s">
        <v>1322</v>
      </c>
      <c r="X11" s="6" t="s">
        <v>169</v>
      </c>
      <c r="Y11" s="5"/>
      <c r="AA11" s="22"/>
      <c r="AB11" s="22"/>
      <c r="AC11" s="22"/>
      <c r="AD11" s="22"/>
      <c r="AE11" s="16"/>
      <c r="AF11" s="22"/>
      <c r="AG11" s="3"/>
      <c r="AH11" s="22"/>
      <c r="AI11" s="22"/>
      <c r="AJ11" s="22"/>
      <c r="AK11" s="22"/>
      <c r="AL11" s="22"/>
    </row>
    <row r="12" spans="1:38" ht="15.6">
      <c r="A12" s="1" t="s">
        <v>214</v>
      </c>
      <c r="B12" s="559">
        <v>1</v>
      </c>
      <c r="C12" s="14">
        <f>B12/$X$12</f>
        <v>333.33333333333331</v>
      </c>
      <c r="D12" s="14">
        <f>C12*$I$8</f>
        <v>300.84756757199324</v>
      </c>
      <c r="E12" s="8">
        <f>AC8</f>
        <v>3.3144439964564532</v>
      </c>
      <c r="F12" s="8">
        <f>E12*$I$8</f>
        <v>2.9914272425625605</v>
      </c>
      <c r="G12" s="8">
        <f>X23</f>
        <v>100.56990967103607</v>
      </c>
      <c r="H12" s="8">
        <f>$W$23</f>
        <v>71.177441902248802</v>
      </c>
      <c r="I12" s="4">
        <f>AC37</f>
        <v>8.3656270835219129</v>
      </c>
      <c r="J12" s="3" t="s">
        <v>1534</v>
      </c>
      <c r="K12" s="7">
        <f>K5/K11</f>
        <v>298.4375</v>
      </c>
      <c r="L12" s="7">
        <f>$F$18*P6^$F$27</f>
        <v>298.4375</v>
      </c>
      <c r="M12" s="8">
        <f t="shared" si="4"/>
        <v>1</v>
      </c>
      <c r="N12" s="2" t="s">
        <v>1535</v>
      </c>
      <c r="O12" s="4"/>
      <c r="P12" s="4"/>
      <c r="Q12" s="4"/>
      <c r="R12" s="3"/>
      <c r="S12" s="20"/>
      <c r="T12" s="20"/>
      <c r="U12" s="20"/>
      <c r="V12" s="18"/>
      <c r="W12" s="11">
        <f>G4*L9/1000000</f>
        <v>1.5E-3</v>
      </c>
      <c r="X12" s="11">
        <f>W12+W51</f>
        <v>3.0000000000000001E-3</v>
      </c>
      <c r="Y12" s="5"/>
      <c r="Z12" s="1" t="s">
        <v>1323</v>
      </c>
      <c r="AA12" s="22"/>
      <c r="AB12" s="22"/>
      <c r="AC12" s="22"/>
      <c r="AD12" s="22"/>
      <c r="AE12" s="16"/>
      <c r="AF12" s="22"/>
      <c r="AG12" s="3"/>
      <c r="AH12" s="22"/>
      <c r="AI12" s="22"/>
      <c r="AJ12" s="22"/>
      <c r="AK12" s="22"/>
      <c r="AL12" s="22"/>
    </row>
    <row r="13" spans="1:38" ht="15.6">
      <c r="A13" s="1" t="s">
        <v>215</v>
      </c>
      <c r="B13" s="559">
        <v>0</v>
      </c>
      <c r="C13" s="14">
        <f>B13/$X$12</f>
        <v>0</v>
      </c>
      <c r="D13" s="14">
        <f>C13*$I$8</f>
        <v>0</v>
      </c>
      <c r="E13" s="8">
        <f>AC9</f>
        <v>-0.99882404893098642</v>
      </c>
      <c r="F13" s="8">
        <f>E13*$I$8</f>
        <v>-0.90148135665989049</v>
      </c>
      <c r="G13" s="8">
        <f>X24</f>
        <v>57.374688757761383</v>
      </c>
      <c r="H13" s="8">
        <f>$W$23</f>
        <v>71.177441902248802</v>
      </c>
      <c r="I13" s="4">
        <f>AC38</f>
        <v>18.22333410640276</v>
      </c>
      <c r="J13" s="3" t="s">
        <v>1536</v>
      </c>
      <c r="K13" s="4">
        <f>$F$24</f>
        <v>3.4</v>
      </c>
      <c r="L13" s="4">
        <f>$E$18*P6^$F$26*I18</f>
        <v>3.4</v>
      </c>
      <c r="M13" s="8">
        <f t="shared" si="4"/>
        <v>1</v>
      </c>
      <c r="N13" s="3" t="s">
        <v>1537</v>
      </c>
      <c r="O13" s="4">
        <f>$C$27</f>
        <v>0</v>
      </c>
      <c r="P13" s="4">
        <f>O13</f>
        <v>0</v>
      </c>
      <c r="Q13" s="4">
        <v>1</v>
      </c>
      <c r="R13" s="3"/>
      <c r="S13" s="20"/>
      <c r="T13" s="20"/>
      <c r="U13" s="20"/>
      <c r="V13" s="18" t="s">
        <v>170</v>
      </c>
      <c r="W13" s="4">
        <f>W12/X12</f>
        <v>0.5</v>
      </c>
      <c r="X13" s="4">
        <f>1-W13</f>
        <v>0.5</v>
      </c>
      <c r="Z13" s="3" t="s">
        <v>1324</v>
      </c>
      <c r="AA13" s="22">
        <f>($AF$8+$AF$9*COS(AA4)+$AF$10*SIN(AA4))/1000</f>
        <v>3.3144439964564532E-3</v>
      </c>
      <c r="AB13" s="22" t="e">
        <f>($AF$8+$AF$9*COS(AB4)+$AF$10*SIN(AB4))/1000</f>
        <v>#DIV/0!</v>
      </c>
      <c r="AC13" s="22">
        <f>($AF$8+$AF$9*COS(AC4)+$AF$10*SIN(AC4))/1000</f>
        <v>7.9492962415874023E-5</v>
      </c>
      <c r="AD13" s="22">
        <f>($AF$8+$AF$9*COS(AD4)+$AF$10*SIN(AD4))/1000</f>
        <v>7.9492962415873982E-5</v>
      </c>
      <c r="AE13" s="16"/>
      <c r="AF13" s="22"/>
      <c r="AG13" s="1"/>
      <c r="AH13" s="16"/>
      <c r="AI13" s="16"/>
      <c r="AJ13" s="16"/>
      <c r="AK13" s="16"/>
      <c r="AL13" s="22"/>
    </row>
    <row r="14" spans="1:38" ht="15.6">
      <c r="A14" s="1" t="s">
        <v>216</v>
      </c>
      <c r="B14" s="559">
        <v>0</v>
      </c>
      <c r="C14" s="14">
        <f>B14/$X$12</f>
        <v>0</v>
      </c>
      <c r="D14" s="14">
        <f>C14*$I$8</f>
        <v>0</v>
      </c>
      <c r="E14" s="8">
        <f>AC10</f>
        <v>1.946810855518227E-17</v>
      </c>
      <c r="F14" s="8">
        <f>E14*$I$8</f>
        <v>1.7570799312162295E-17</v>
      </c>
      <c r="G14" s="8">
        <f>X26</f>
        <v>22.272081096780081</v>
      </c>
      <c r="H14" s="8">
        <f>$W$26</f>
        <v>27.399162193560155</v>
      </c>
      <c r="I14" s="4">
        <f>AC39</f>
        <v>1.7924585646505798E-15</v>
      </c>
      <c r="J14" s="3" t="s">
        <v>1538</v>
      </c>
      <c r="K14" s="4">
        <f>$E$26</f>
        <v>0.52</v>
      </c>
      <c r="L14" s="4">
        <f>K14*P6^$G$26</f>
        <v>0.52</v>
      </c>
      <c r="M14" s="8">
        <f t="shared" si="4"/>
        <v>1</v>
      </c>
      <c r="N14" s="3" t="s">
        <v>1539</v>
      </c>
      <c r="O14" s="4">
        <f>$D$27</f>
        <v>0.6</v>
      </c>
      <c r="P14" s="4">
        <f>O14*(1-L11)/(1-K11)</f>
        <v>0.6</v>
      </c>
      <c r="Q14" s="4">
        <f>P14/O14</f>
        <v>1</v>
      </c>
      <c r="R14" s="3" t="s">
        <v>1325</v>
      </c>
      <c r="S14" s="6" t="s">
        <v>1326</v>
      </c>
      <c r="T14" s="6" t="s">
        <v>1327</v>
      </c>
      <c r="U14" s="6" t="s">
        <v>1328</v>
      </c>
      <c r="V14" s="6" t="s">
        <v>1329</v>
      </c>
      <c r="W14" s="6" t="s">
        <v>171</v>
      </c>
      <c r="X14" s="6" t="s">
        <v>172</v>
      </c>
      <c r="Y14" s="3" t="s">
        <v>173</v>
      </c>
      <c r="Z14" s="3" t="s">
        <v>1332</v>
      </c>
      <c r="AA14" s="22">
        <f>2*$AF$8/1000-AA13</f>
        <v>-9.9882404893098615E-4</v>
      </c>
      <c r="AB14" s="22" t="e">
        <f>2*$AF$8/1000-AB13</f>
        <v>#DIV/0!</v>
      </c>
      <c r="AC14" s="22">
        <f>2*$AF$8/1000-AC13</f>
        <v>2.236126985109593E-3</v>
      </c>
      <c r="AD14" s="22">
        <f>2*$AF$8/1000-AD13</f>
        <v>2.236126985109593E-3</v>
      </c>
      <c r="AE14" s="22"/>
      <c r="AF14" s="22"/>
      <c r="AG14" s="3" t="s">
        <v>1333</v>
      </c>
      <c r="AH14" s="22">
        <f>$P$33*AH7^2+2*$P$35*AH7*AH8+$P$34*AH8^2+$P$36*AH9^2</f>
        <v>7.188601827912619E-2</v>
      </c>
      <c r="AI14" s="22" t="e">
        <f>$P$33*AI7^2+2*$P$35*AI7*AI8+$P$34*AI8^2+$P$36*AI9^2</f>
        <v>#DIV/0!</v>
      </c>
      <c r="AJ14" s="22">
        <f>$P$33*AJ7^2+2*$P$35*AJ7*AJ8+$P$34*AJ8^2+$P$36*AJ9^2</f>
        <v>0.23210901609917653</v>
      </c>
      <c r="AK14" s="22">
        <f>$P$33*AK7^2+2*$P$35*AK7*AK8+$P$34*AK8^2+$P$36*AK9^2</f>
        <v>0.23210901609917653</v>
      </c>
      <c r="AL14" s="22"/>
    </row>
    <row r="15" spans="1:38">
      <c r="A15" s="2" t="s">
        <v>1544</v>
      </c>
      <c r="B15" s="76" t="s">
        <v>1545</v>
      </c>
      <c r="C15" s="560">
        <v>60</v>
      </c>
      <c r="D15" s="77" t="s">
        <v>1546</v>
      </c>
      <c r="E15" s="24">
        <f>Y23/I15</f>
        <v>0.50239500007050097</v>
      </c>
      <c r="F15" s="24">
        <f>Y26/I15</f>
        <v>0.10549543696356846</v>
      </c>
      <c r="G15" s="583">
        <f>(Y23*Y24)^0.5/I15</f>
        <v>0.37946475969866195</v>
      </c>
      <c r="H15" s="2">
        <f>0.9*I15</f>
        <v>190.00701418037937</v>
      </c>
      <c r="I15" s="2">
        <f>Y23+Y24+2*Y26</f>
        <v>211.11890464486595</v>
      </c>
      <c r="J15" s="3" t="s">
        <v>1547</v>
      </c>
      <c r="K15" s="4">
        <f>K14*(1-K11)/K11</f>
        <v>0.29249999999999998</v>
      </c>
      <c r="L15" s="4">
        <f>L14*(1-L11)/L11</f>
        <v>0.29249999999999998</v>
      </c>
      <c r="M15" s="8">
        <f t="shared" si="4"/>
        <v>1</v>
      </c>
      <c r="O15" s="4"/>
      <c r="P15" s="4"/>
      <c r="Q15" s="4"/>
      <c r="R15" s="3">
        <v>11</v>
      </c>
      <c r="S15" s="4">
        <f>$L$27+$L$28*COS(S6)+$L$29*COS(S7)</f>
        <v>192.22546248373467</v>
      </c>
      <c r="T15" s="4">
        <f>$L$27+$L$28*COS(T6)+$L$29*COS(T7)</f>
        <v>10.003775377425772</v>
      </c>
      <c r="U15" s="4">
        <f>$L$27+$L$28*COS(U6)+$L$29*COS(U7)</f>
        <v>24.79671057332256</v>
      </c>
      <c r="V15" s="4">
        <f>$L$27+$L$28*COS(V6)+$L$29*COS(V7)</f>
        <v>24.79671057332256</v>
      </c>
      <c r="W15" s="5">
        <f t="shared" ref="W15:W20" si="5">($S$11*S15+$T$11*T15+$U$11*U15+$V$11*V15)*$W$12</f>
        <v>0.20462381777039595</v>
      </c>
      <c r="X15" s="5">
        <f t="shared" ref="X15:X20" si="6">IF($W$12=0,0,W15)+IF($W$51=0,0,W54)</f>
        <v>0.31819524634182456</v>
      </c>
      <c r="Y15" s="8">
        <f>$W$13*L27+$X$13*L66</f>
        <v>78.160290128872816</v>
      </c>
      <c r="Z15" s="3" t="s">
        <v>1334</v>
      </c>
      <c r="AA15" s="22">
        <f>(2*($AF$10*COS(AA4)-$AF$9*SIN(AA4)))/1000</f>
        <v>1.9468108555182271E-20</v>
      </c>
      <c r="AB15" s="22" t="e">
        <f>(2*($AF$10*COS(AB4)-$AF$9*SIN(AB4)))/1000</f>
        <v>#DIV/0!</v>
      </c>
      <c r="AC15" s="22">
        <f>(2*($AF$10*COS(AC4)-$AF$9*SIN(AC4)))/1000</f>
        <v>-3.7353997006371736E-3</v>
      </c>
      <c r="AD15" s="22">
        <f>(2*($AF$10*COS(AD4)-$AF$9*SIN(AD4)))/1000</f>
        <v>3.7353997006371736E-3</v>
      </c>
      <c r="AE15" s="22"/>
      <c r="AF15" s="22"/>
      <c r="AG15" s="3" t="s">
        <v>1335</v>
      </c>
      <c r="AH15" s="22">
        <f>$P$37*AH7+$P$38*AH8</f>
        <v>-0.19149707095379823</v>
      </c>
      <c r="AI15" s="22" t="e">
        <f>$P$37*AI7+$P$38*AI8</f>
        <v>#DIV/0!</v>
      </c>
      <c r="AJ15" s="22">
        <f>$P$37*AJ7+$P$38*AJ8</f>
        <v>0.12685556200763198</v>
      </c>
      <c r="AK15" s="22">
        <f>$P$37*AK7+$P$38*AK8</f>
        <v>0.12685556200763198</v>
      </c>
      <c r="AL15" s="22"/>
    </row>
    <row r="16" spans="1:38">
      <c r="A16" s="3"/>
      <c r="B16" s="1" t="s">
        <v>561</v>
      </c>
      <c r="C16" s="1" t="s">
        <v>174</v>
      </c>
      <c r="D16" s="17" t="s">
        <v>563</v>
      </c>
      <c r="E16" s="1" t="s">
        <v>1339</v>
      </c>
      <c r="F16" s="1" t="s">
        <v>564</v>
      </c>
      <c r="G16" s="1" t="s">
        <v>565</v>
      </c>
      <c r="H16" s="1" t="s">
        <v>566</v>
      </c>
      <c r="I16" s="1" t="s">
        <v>175</v>
      </c>
      <c r="J16" s="3" t="s">
        <v>1643</v>
      </c>
      <c r="K16" s="4">
        <f>1/((1+K15)/K6-K15/K13)</f>
        <v>22.726875357250929</v>
      </c>
      <c r="L16" s="4">
        <f>K16*P6^$F$27</f>
        <v>22.726875357250929</v>
      </c>
      <c r="M16" s="8">
        <f t="shared" si="4"/>
        <v>1</v>
      </c>
      <c r="N16" s="2" t="s">
        <v>176</v>
      </c>
      <c r="O16" s="4"/>
      <c r="P16" s="4"/>
      <c r="Q16" s="4"/>
      <c r="R16" s="3">
        <v>22</v>
      </c>
      <c r="S16" s="4">
        <f>S15-2*$L$28*COS(S6)</f>
        <v>10.003775377425768</v>
      </c>
      <c r="T16" s="4">
        <f>T15-2*$L$28*COS(T6)</f>
        <v>192.22546248373467</v>
      </c>
      <c r="U16" s="4">
        <f>U15-2*$L$28*COS(U6)</f>
        <v>115.90755412647697</v>
      </c>
      <c r="V16" s="4">
        <f>V15-2*$L$28*COS(V6)</f>
        <v>115.90755412647697</v>
      </c>
      <c r="W16" s="5">
        <f t="shared" si="5"/>
        <v>6.7957552440664259E-2</v>
      </c>
      <c r="X16" s="5">
        <f t="shared" si="6"/>
        <v>0.1815289810120928</v>
      </c>
      <c r="Y16" s="8">
        <f>Y15</f>
        <v>78.160290128872816</v>
      </c>
      <c r="Z16" s="3"/>
      <c r="AA16" s="22"/>
      <c r="AB16" s="22"/>
      <c r="AC16" s="22"/>
      <c r="AD16" s="22"/>
      <c r="AE16" s="22"/>
      <c r="AF16" s="22"/>
      <c r="AG16" s="3" t="s">
        <v>1344</v>
      </c>
      <c r="AH16" s="22">
        <f>AH15/2/AH14</f>
        <v>-1.3319493521691126</v>
      </c>
      <c r="AI16" s="22" t="e">
        <f>AI15/2/AI14</f>
        <v>#DIV/0!</v>
      </c>
      <c r="AJ16" s="22">
        <f>AJ15/2/AJ14</f>
        <v>0.27326720034311075</v>
      </c>
      <c r="AK16" s="22">
        <f>AK15/2/AK14</f>
        <v>0.27326720034311075</v>
      </c>
      <c r="AL16" s="22"/>
    </row>
    <row r="17" spans="1:38">
      <c r="A17" s="1" t="s">
        <v>177</v>
      </c>
      <c r="B17" s="14">
        <f>O2</f>
        <v>22</v>
      </c>
      <c r="C17" s="18">
        <f>O3</f>
        <v>5.0000000000000001E-3</v>
      </c>
      <c r="D17" s="8">
        <f>K11</f>
        <v>0.64</v>
      </c>
      <c r="E17" s="8">
        <f>K13</f>
        <v>3.4</v>
      </c>
      <c r="F17" s="14">
        <f>K12</f>
        <v>298.4375</v>
      </c>
      <c r="G17" s="14">
        <f>O24</f>
        <v>62</v>
      </c>
      <c r="H17" s="14">
        <f>O23</f>
        <v>5078.125</v>
      </c>
      <c r="I17" s="4">
        <f>A28</f>
        <v>0.15</v>
      </c>
      <c r="J17" s="3" t="s">
        <v>295</v>
      </c>
      <c r="K17" s="4">
        <f>$E$27</f>
        <v>0.32</v>
      </c>
      <c r="L17" s="4">
        <f>K17*P6^$G$26</f>
        <v>0.32</v>
      </c>
      <c r="M17" s="8">
        <f t="shared" si="4"/>
        <v>1</v>
      </c>
      <c r="N17" s="3" t="s">
        <v>296</v>
      </c>
      <c r="O17" s="7">
        <f>$A$25</f>
        <v>3250</v>
      </c>
      <c r="P17" s="7">
        <f>P23*L11</f>
        <v>3250</v>
      </c>
      <c r="Q17" s="4">
        <f t="shared" ref="Q17:Q24" si="7">P17/O17</f>
        <v>1</v>
      </c>
      <c r="R17" s="3" t="s">
        <v>1345</v>
      </c>
      <c r="S17" s="4">
        <f>$L$30-$L$29*COS(S7)</f>
        <v>3.5013213820990217</v>
      </c>
      <c r="T17" s="4">
        <f>$L$30-$L$29*COS(T7)</f>
        <v>3.5013213820990217</v>
      </c>
      <c r="U17" s="4">
        <f>$L$30-$L$29*COS(U7)</f>
        <v>34.263807962779481</v>
      </c>
      <c r="V17" s="4">
        <f>$L$30-$L$29*COS(V7)</f>
        <v>34.263807962779481</v>
      </c>
      <c r="W17" s="5">
        <f t="shared" si="5"/>
        <v>2.0633225363488765E-2</v>
      </c>
      <c r="X17" s="5">
        <f t="shared" si="6"/>
        <v>5.4704653934917351E-2</v>
      </c>
      <c r="Y17" s="8">
        <f>$W$13*L30+$X$13*L69</f>
        <v>23.36196574175252</v>
      </c>
      <c r="Z17" s="3"/>
      <c r="AA17" s="26">
        <f>AA13/AC8</f>
        <v>1E-3</v>
      </c>
      <c r="AB17" s="22"/>
      <c r="AC17" s="22"/>
      <c r="AD17" s="22"/>
      <c r="AE17" s="22"/>
      <c r="AF17" s="22"/>
      <c r="AG17" s="3"/>
      <c r="AH17" s="22"/>
      <c r="AI17" s="22"/>
      <c r="AJ17" s="22"/>
      <c r="AK17" s="22"/>
      <c r="AL17" s="22"/>
    </row>
    <row r="18" spans="1:38" ht="15.6">
      <c r="A18" s="1" t="s">
        <v>178</v>
      </c>
      <c r="B18" s="533">
        <f t="shared" ref="B18:H18" si="8">B17</f>
        <v>22</v>
      </c>
      <c r="C18" s="534">
        <f t="shared" si="8"/>
        <v>5.0000000000000001E-3</v>
      </c>
      <c r="D18" s="535">
        <f>D17</f>
        <v>0.64</v>
      </c>
      <c r="E18" s="535">
        <f t="shared" si="8"/>
        <v>3.4</v>
      </c>
      <c r="F18" s="533">
        <f t="shared" si="8"/>
        <v>298.4375</v>
      </c>
      <c r="G18" s="533">
        <f t="shared" si="8"/>
        <v>62</v>
      </c>
      <c r="H18" s="533">
        <f t="shared" si="8"/>
        <v>5078.125</v>
      </c>
      <c r="I18" s="535">
        <v>1</v>
      </c>
      <c r="J18" s="3" t="s">
        <v>301</v>
      </c>
      <c r="K18" s="4">
        <f>K17*(1-K11)/K11</f>
        <v>0.18</v>
      </c>
      <c r="L18" s="4">
        <f>L17*(1-L11)/L11</f>
        <v>0.18</v>
      </c>
      <c r="M18" s="8">
        <f t="shared" si="4"/>
        <v>1</v>
      </c>
      <c r="N18" s="3" t="s">
        <v>302</v>
      </c>
      <c r="O18" s="7">
        <f>$B$25</f>
        <v>1600</v>
      </c>
      <c r="P18" s="7">
        <f>O18*Q17*M8^E28</f>
        <v>1600</v>
      </c>
      <c r="Q18" s="4">
        <f t="shared" si="7"/>
        <v>1</v>
      </c>
      <c r="R18" s="3">
        <v>66</v>
      </c>
      <c r="S18" s="4">
        <f>S17-$L$30+$L$31</f>
        <v>7.7900000000000027</v>
      </c>
      <c r="T18" s="4">
        <f>T17-$L$30+$L$31</f>
        <v>7.7900000000000027</v>
      </c>
      <c r="U18" s="4">
        <f>U17-$L$30+$L$31</f>
        <v>38.552486580680466</v>
      </c>
      <c r="V18" s="4">
        <f>V17-$L$30+$L$31</f>
        <v>38.552486580680466</v>
      </c>
      <c r="W18" s="5">
        <f t="shared" si="5"/>
        <v>2.7066243290340238E-2</v>
      </c>
      <c r="X18" s="5">
        <f t="shared" si="6"/>
        <v>6.6816243290340235E-2</v>
      </c>
      <c r="Y18" s="8">
        <f>$W$13*L31+$X$13*L70</f>
        <v>27.399162193560151</v>
      </c>
      <c r="Z18" s="3"/>
      <c r="AA18" s="26">
        <f>AA14/AC9</f>
        <v>9.999999999999998E-4</v>
      </c>
      <c r="AB18" s="22"/>
      <c r="AC18" s="22"/>
      <c r="AD18" s="22"/>
      <c r="AE18" s="22"/>
      <c r="AF18" s="22"/>
      <c r="AG18" s="3"/>
      <c r="AH18" s="22"/>
      <c r="AI18" s="11"/>
      <c r="AJ18" s="22"/>
      <c r="AK18" s="22"/>
      <c r="AL18" s="22"/>
    </row>
    <row r="19" spans="1:38">
      <c r="A19" s="1" t="s">
        <v>179</v>
      </c>
      <c r="B19" s="14">
        <f>O41</f>
        <v>22</v>
      </c>
      <c r="C19" s="18">
        <f>O42</f>
        <v>0</v>
      </c>
      <c r="D19" s="8">
        <f>K50</f>
        <v>0.99990000000000001</v>
      </c>
      <c r="E19" s="8">
        <f>K52</f>
        <v>68.900000000000006</v>
      </c>
      <c r="F19" s="14">
        <f>K51</f>
        <v>68.906890689068916</v>
      </c>
      <c r="G19" s="14">
        <f>O63</f>
        <v>206</v>
      </c>
      <c r="H19" s="12">
        <f>O62</f>
        <v>206.02060206020602</v>
      </c>
      <c r="I19" s="4">
        <f>A33</f>
        <v>0.99999990000000005</v>
      </c>
      <c r="J19" s="3" t="s">
        <v>304</v>
      </c>
      <c r="K19" s="4">
        <f>1/((1+K18)/K8-K18*2.7/K13)</f>
        <v>117.16358488896765</v>
      </c>
      <c r="L19" s="4">
        <f>K19*P6^$F$27</f>
        <v>117.16358488896765</v>
      </c>
      <c r="M19" s="8">
        <f t="shared" si="4"/>
        <v>1</v>
      </c>
      <c r="N19" s="3" t="s">
        <v>305</v>
      </c>
      <c r="O19" s="7">
        <f>$C$25</f>
        <v>62</v>
      </c>
      <c r="P19" s="7">
        <f>O19*Q24</f>
        <v>62</v>
      </c>
      <c r="Q19" s="4">
        <f t="shared" si="7"/>
        <v>1</v>
      </c>
      <c r="R19" s="3" t="s">
        <v>1347</v>
      </c>
      <c r="S19" s="4">
        <f>$L$28*SIN(S6)/2+$L$29*SIN(S7)</f>
        <v>0</v>
      </c>
      <c r="T19" s="4">
        <f>$L$28*SIN(T6)/2+$L$29*SIN(T7)</f>
        <v>5.5606707309936756E-16</v>
      </c>
      <c r="U19" s="4">
        <f>$L$28*SIN(U6)/2+$L$29*SIN(U7)</f>
        <v>21.691422630332603</v>
      </c>
      <c r="V19" s="4">
        <f>$L$28*SIN(V6)/2+$L$29*SIN(V7)</f>
        <v>-21.691422630332603</v>
      </c>
      <c r="W19" s="5">
        <f t="shared" si="5"/>
        <v>-1.998401444325282E-18</v>
      </c>
      <c r="X19" s="5">
        <f t="shared" si="6"/>
        <v>-1.9984014443252828E-18</v>
      </c>
      <c r="Y19" s="8">
        <v>0</v>
      </c>
      <c r="AA19" s="26">
        <f>AA15/AC10</f>
        <v>1E-3</v>
      </c>
      <c r="AB19" s="22"/>
      <c r="AC19" s="22"/>
      <c r="AD19" s="22"/>
      <c r="AE19" s="22"/>
      <c r="AF19" s="22"/>
      <c r="AG19" s="3"/>
      <c r="AH19" s="22"/>
      <c r="AI19" s="22"/>
      <c r="AJ19" s="22"/>
      <c r="AK19" s="22"/>
      <c r="AL19" s="16" t="s">
        <v>1348</v>
      </c>
    </row>
    <row r="20" spans="1:38" ht="15.6">
      <c r="A20" s="1" t="s">
        <v>180</v>
      </c>
      <c r="B20" s="533">
        <f t="shared" ref="B20:H20" si="9">B19</f>
        <v>22</v>
      </c>
      <c r="C20" s="534">
        <f t="shared" si="9"/>
        <v>0</v>
      </c>
      <c r="D20" s="535">
        <f t="shared" si="9"/>
        <v>0.99990000000000001</v>
      </c>
      <c r="E20" s="535">
        <f t="shared" si="9"/>
        <v>68.900000000000006</v>
      </c>
      <c r="F20" s="533">
        <f t="shared" si="9"/>
        <v>68.906890689068916</v>
      </c>
      <c r="G20" s="533">
        <f t="shared" si="9"/>
        <v>206</v>
      </c>
      <c r="H20" s="533">
        <f t="shared" si="9"/>
        <v>206.02060206020602</v>
      </c>
      <c r="I20" s="535">
        <v>1</v>
      </c>
      <c r="L20" s="4"/>
      <c r="N20" s="3" t="s">
        <v>1542</v>
      </c>
      <c r="O20" s="7">
        <f>$D$25</f>
        <v>98</v>
      </c>
      <c r="P20" s="7">
        <f>O20*Q24</f>
        <v>98</v>
      </c>
      <c r="Q20" s="4">
        <f t="shared" si="7"/>
        <v>1</v>
      </c>
      <c r="R20" s="3" t="s">
        <v>1349</v>
      </c>
      <c r="S20" s="4">
        <f>$L$28*SIN(S6)-S19</f>
        <v>0</v>
      </c>
      <c r="T20" s="4">
        <f>$L$28*SIN(T6)-T19</f>
        <v>1.060636384735745E-14</v>
      </c>
      <c r="U20" s="4">
        <f>$L$28*SIN(U6)-U19</f>
        <v>57.212882446928809</v>
      </c>
      <c r="V20" s="4">
        <f>$L$28*SIN(V6)-V19</f>
        <v>-57.212882446928809</v>
      </c>
      <c r="W20" s="5">
        <f t="shared" si="5"/>
        <v>-5.3290705182007515E-18</v>
      </c>
      <c r="X20" s="5">
        <f t="shared" si="6"/>
        <v>-5.3290705182007523E-18</v>
      </c>
      <c r="Y20" s="8">
        <v>0</v>
      </c>
      <c r="Z20" s="2" t="s">
        <v>1158</v>
      </c>
      <c r="AA20" s="16" t="s">
        <v>569</v>
      </c>
      <c r="AB20" s="22"/>
      <c r="AC20" s="16" t="s">
        <v>570</v>
      </c>
      <c r="AD20" s="22"/>
      <c r="AF20" s="22"/>
      <c r="AG20" s="3" t="s">
        <v>1351</v>
      </c>
      <c r="AH20" s="11">
        <f>(AH16^2+1/AH14)^0.5-AH16</f>
        <v>5.2923786272610966</v>
      </c>
      <c r="AI20" s="11" t="e">
        <f>(AI16^2+1/AI14)^0.5-AI16</f>
        <v>#DIV/0!</v>
      </c>
      <c r="AJ20" s="11">
        <f>(AJ16^2+1/AJ14)^0.5-AJ16</f>
        <v>1.8202932414990953</v>
      </c>
      <c r="AK20" s="11">
        <f>(AK16^2+1/AK14)^0.5-AK16</f>
        <v>1.8202932414990953</v>
      </c>
      <c r="AL20" s="11">
        <f>MIN(AH21:AK21)</f>
        <v>1.8202932414990953</v>
      </c>
    </row>
    <row r="21" spans="1:38">
      <c r="D21" s="2" t="s">
        <v>1750</v>
      </c>
      <c r="E21" s="2">
        <f>Y23/H15</f>
        <v>0.55821666674500103</v>
      </c>
      <c r="F21" s="115">
        <v>0.23975824852049632</v>
      </c>
      <c r="G21" s="2">
        <v>0.4918019317571391</v>
      </c>
      <c r="H21" s="2">
        <f>Y25/H15</f>
        <v>9.5969534196571948E-2</v>
      </c>
      <c r="J21" s="2" t="s">
        <v>1507</v>
      </c>
      <c r="N21" s="3" t="s">
        <v>1543</v>
      </c>
      <c r="O21" s="25">
        <f>$E$25</f>
        <v>75</v>
      </c>
      <c r="P21" s="25">
        <f>O21*Q24</f>
        <v>75</v>
      </c>
      <c r="Q21" s="4">
        <f t="shared" si="7"/>
        <v>1</v>
      </c>
      <c r="R21" s="1"/>
      <c r="V21" s="6" t="s">
        <v>1353</v>
      </c>
      <c r="W21" s="5">
        <f>W15*W16*W18+2*W17*W19*W20-W16*W19^2-W18*W17^2-W15*W20^2</f>
        <v>3.6485306342970013E-4</v>
      </c>
      <c r="X21" s="5">
        <f>X15*X16*X18+2*X17*X19*X20-X16*X19^2-X18*X17^2-X15*X20^2</f>
        <v>3.6594628156393725E-3</v>
      </c>
      <c r="Y21" s="5">
        <f>Y15*Y16*Y18+2*Y17*Y19*Y20-Y16*Y19^2-Y18*Y17^2-Y15*Y20^2</f>
        <v>152428.37563980898</v>
      </c>
      <c r="Z21" s="3">
        <v>1</v>
      </c>
      <c r="AA21" s="22">
        <f>AA8/$AF$4</f>
        <v>666.66666666666663</v>
      </c>
      <c r="AB21" s="22"/>
      <c r="AC21" s="22">
        <f>AC8+AD8*$AF$4/2</f>
        <v>3.3144439964564532</v>
      </c>
      <c r="AD21" s="22"/>
      <c r="AF21" s="22"/>
      <c r="AG21" s="3"/>
      <c r="AH21" s="11">
        <f>IF(AH3=0,1000000000,AH20)</f>
        <v>5.2923786272610966</v>
      </c>
      <c r="AI21" s="11">
        <f>IF(AI3=0,1000000000,AI20)</f>
        <v>1000000000</v>
      </c>
      <c r="AJ21" s="11">
        <f>IF(AJ3=0,1000000000,AJ20)</f>
        <v>1.8202932414990953</v>
      </c>
      <c r="AK21" s="11">
        <f>IF(AK3=0,1000000000,AK20)</f>
        <v>1.8202932414990953</v>
      </c>
    </row>
    <row r="22" spans="1:38">
      <c r="D22" s="21" t="s">
        <v>1751</v>
      </c>
      <c r="E22" s="2">
        <v>0.31648801851287101</v>
      </c>
      <c r="F22" s="2">
        <v>0.24050655554582495</v>
      </c>
      <c r="G22" s="2">
        <v>0.48499571690458232</v>
      </c>
      <c r="H22" s="2">
        <v>0.11016719294728518</v>
      </c>
      <c r="I22" s="4">
        <f>E15+G15+2*F15</f>
        <v>1.0928506336962998</v>
      </c>
      <c r="J22" s="3" t="s">
        <v>1354</v>
      </c>
      <c r="K22" s="4">
        <f>K5/(1-K7^2*K6/K5)</f>
        <v>192.22546248373467</v>
      </c>
      <c r="L22" s="4">
        <f>L5/(1-L7^2*L6/L5)</f>
        <v>192.22546248373467</v>
      </c>
      <c r="M22" s="8">
        <f>L22/K22</f>
        <v>1</v>
      </c>
      <c r="N22" s="3" t="s">
        <v>1168</v>
      </c>
      <c r="O22" s="8">
        <f>$A$26</f>
        <v>-0.5</v>
      </c>
      <c r="P22" s="8">
        <f>O22*I18</f>
        <v>-0.5</v>
      </c>
      <c r="Q22" s="4">
        <f t="shared" si="7"/>
        <v>1</v>
      </c>
      <c r="R22" s="3" t="s">
        <v>1355</v>
      </c>
      <c r="S22" s="6" t="s">
        <v>181</v>
      </c>
      <c r="T22" s="6" t="s">
        <v>182</v>
      </c>
      <c r="U22" s="6" t="s">
        <v>183</v>
      </c>
      <c r="V22" s="6" t="s">
        <v>184</v>
      </c>
      <c r="W22" s="6" t="s">
        <v>185</v>
      </c>
      <c r="X22" s="6" t="s">
        <v>186</v>
      </c>
      <c r="Y22" s="3" t="s">
        <v>187</v>
      </c>
      <c r="Z22" s="3">
        <v>2</v>
      </c>
      <c r="AA22" s="22">
        <f>AA9/$AF$4</f>
        <v>0</v>
      </c>
      <c r="AB22" s="22"/>
      <c r="AC22" s="22">
        <f>AC9+AD9*$AF$4/2</f>
        <v>-0.99882404893098642</v>
      </c>
      <c r="AD22" s="22"/>
      <c r="AF22" s="22"/>
      <c r="AG22" s="2" t="s">
        <v>1360</v>
      </c>
      <c r="AH22" s="11">
        <f>IF(AH3=0,0,AH20)</f>
        <v>5.2923786272610966</v>
      </c>
      <c r="AI22" s="11">
        <f>IF(AI3=0,0,AI20)</f>
        <v>0</v>
      </c>
      <c r="AJ22" s="11">
        <f>IF(AJ3=0,0,AJ20)</f>
        <v>1.8202932414990953</v>
      </c>
      <c r="AK22" s="11">
        <f>IF(AK3=0,0,AK20)</f>
        <v>1.8202932414990953</v>
      </c>
    </row>
    <row r="23" spans="1:38">
      <c r="A23" s="561" t="s">
        <v>573</v>
      </c>
      <c r="D23" s="21" t="s">
        <v>1752</v>
      </c>
      <c r="E23" s="589">
        <f>E21/E22</f>
        <v>1.7637845166081678</v>
      </c>
      <c r="F23" s="589">
        <f>F21/F22</f>
        <v>0.99688862108714515</v>
      </c>
      <c r="G23" s="589">
        <f>G21/G22</f>
        <v>1.0140335566177707</v>
      </c>
      <c r="H23" s="589">
        <f>H21/H22</f>
        <v>0.87112625482336847</v>
      </c>
      <c r="J23" s="3" t="s">
        <v>1361</v>
      </c>
      <c r="K23" s="4">
        <f>K22*K6/K5</f>
        <v>10.003775377425772</v>
      </c>
      <c r="L23" s="4">
        <f>L22*L6/L5</f>
        <v>10.003775377425772</v>
      </c>
      <c r="M23" s="8">
        <f>L23/K23</f>
        <v>1</v>
      </c>
      <c r="N23" s="3" t="s">
        <v>1175</v>
      </c>
      <c r="O23" s="7">
        <f>O17/K11</f>
        <v>5078.125</v>
      </c>
      <c r="P23" s="7">
        <f>$H$18*P6^$G$27</f>
        <v>5078.125</v>
      </c>
      <c r="Q23" s="4">
        <f t="shared" si="7"/>
        <v>1</v>
      </c>
      <c r="R23" s="3">
        <v>11</v>
      </c>
      <c r="S23" s="5">
        <f>(W16*W18-W20^2)/W21</f>
        <v>5.0413600217159225</v>
      </c>
      <c r="T23" s="5">
        <f>(X16*X18-X20^2)/X21</f>
        <v>3.3144439964564532</v>
      </c>
      <c r="U23" s="5">
        <f>(Y16*Y18-Y20^2)/Y21</f>
        <v>1.4049395050939667E-2</v>
      </c>
      <c r="V23" s="82">
        <f t="shared" ref="V23:V28" si="10">T23*$X$12</f>
        <v>9.9433319893693604E-3</v>
      </c>
      <c r="W23" s="4">
        <f>1/U23</f>
        <v>71.177441902248802</v>
      </c>
      <c r="X23" s="4">
        <f>1/V23</f>
        <v>100.56990967103607</v>
      </c>
      <c r="Y23" s="12">
        <f t="shared" ref="Y23:Y28" si="11">X15/$X$12</f>
        <v>106.06508211394151</v>
      </c>
      <c r="Z23" s="3">
        <v>6</v>
      </c>
      <c r="AA23" s="22">
        <f>AA10/$AF$4</f>
        <v>0</v>
      </c>
      <c r="AB23" s="22"/>
      <c r="AC23" s="22">
        <f>AC10+AD10*$AF$4/2</f>
        <v>1.946810855518227E-17</v>
      </c>
      <c r="AD23" s="22"/>
      <c r="AF23" s="22"/>
      <c r="AG23" s="3" t="s">
        <v>1364</v>
      </c>
      <c r="AH23" s="26">
        <f>$AL$7+$AL$8*COS(AH4)+$AL$9*SIN(AH4)-$V$37</f>
        <v>1.0412350964033558E-5</v>
      </c>
      <c r="AI23" s="22" t="e">
        <f>$AL$7+$AL$8*COS(AI4)+$AL$9*SIN(AI4)-$V$37</f>
        <v>#DIV/0!</v>
      </c>
      <c r="AJ23" s="22">
        <f>$AL$7+$AL$8*COS(AJ4)+$AL$9*SIN(AJ4)-$V$37</f>
        <v>4.0515415318301127E-5</v>
      </c>
      <c r="AK23" s="22">
        <f>$AL$7+$AL$8*COS(AK4)+$AL$9*SIN(AK4)-$V$37</f>
        <v>4.0515415318301127E-5</v>
      </c>
      <c r="AL23" s="22"/>
    </row>
    <row r="24" spans="1:38">
      <c r="A24" s="605" t="s">
        <v>1767</v>
      </c>
      <c r="B24" s="605">
        <v>191</v>
      </c>
      <c r="C24" s="605">
        <v>9.94</v>
      </c>
      <c r="D24" s="636">
        <v>0.35</v>
      </c>
      <c r="E24" s="636">
        <v>7.79</v>
      </c>
      <c r="F24" s="606">
        <v>3.4</v>
      </c>
      <c r="G24" s="606">
        <v>122</v>
      </c>
      <c r="H24" s="606">
        <v>160</v>
      </c>
      <c r="I24" s="609"/>
      <c r="J24" s="3" t="s">
        <v>1365</v>
      </c>
      <c r="K24" s="4">
        <f>K23*K7</f>
        <v>3.5013213820990199</v>
      </c>
      <c r="L24" s="4">
        <f>L23*L7</f>
        <v>3.5013213820990199</v>
      </c>
      <c r="M24" s="8">
        <f>L24/K24</f>
        <v>1</v>
      </c>
      <c r="N24" s="3" t="s">
        <v>1176</v>
      </c>
      <c r="O24" s="7">
        <f>O19</f>
        <v>62</v>
      </c>
      <c r="P24" s="7">
        <f>$G$18*P6^$H$26</f>
        <v>62</v>
      </c>
      <c r="Q24" s="4">
        <f t="shared" si="7"/>
        <v>1</v>
      </c>
      <c r="R24" s="3">
        <v>22</v>
      </c>
      <c r="S24" s="5">
        <f>(W15*W18-W19^2)/W21</f>
        <v>15.179804118155422</v>
      </c>
      <c r="T24" s="5">
        <f>(X15*X18-X19^2)/X21</f>
        <v>5.809762816155434</v>
      </c>
      <c r="U24" s="5">
        <f>(Y15*Y18-Y19^2)/Y21</f>
        <v>1.4049395050939667E-2</v>
      </c>
      <c r="V24" s="5">
        <f t="shared" si="10"/>
        <v>1.7429288448466303E-2</v>
      </c>
      <c r="W24" s="4">
        <f>1/U24</f>
        <v>71.177441902248802</v>
      </c>
      <c r="X24" s="4">
        <f>1/V24</f>
        <v>57.374688757761383</v>
      </c>
      <c r="Y24" s="4">
        <f t="shared" si="11"/>
        <v>60.509660337364267</v>
      </c>
      <c r="Z24" s="3" t="s">
        <v>1177</v>
      </c>
      <c r="AA24" s="22">
        <f>(AA21^2-AA21*AA22+AA22^2+3*AA23^2)^0.5</f>
        <v>666.66666666666663</v>
      </c>
      <c r="AB24" s="22"/>
      <c r="AC24" s="22">
        <f>(AC21^2+AC22^2+AC23^2/2)^0.5</f>
        <v>3.4616742316932587</v>
      </c>
      <c r="AD24" s="22"/>
      <c r="AF24" s="22"/>
      <c r="AG24" s="3" t="s">
        <v>1367</v>
      </c>
      <c r="AH24" s="22">
        <f>2*$AL$7-AH23-$V$38-$V$37</f>
        <v>-7.0145022989694323E-4</v>
      </c>
      <c r="AI24" s="22" t="e">
        <f>2*$AL$7-AI23-$V$38-$V$37</f>
        <v>#DIV/0!</v>
      </c>
      <c r="AJ24" s="22">
        <f>2*$AL$7-AJ23-$V$38-$V$37</f>
        <v>-7.3155329425121077E-4</v>
      </c>
      <c r="AK24" s="22">
        <f>2*$AL$7-AK23-$V$38-$V$37</f>
        <v>-7.3155329425121077E-4</v>
      </c>
      <c r="AL24" s="22"/>
    </row>
    <row r="25" spans="1:38">
      <c r="A25" s="605">
        <v>3250</v>
      </c>
      <c r="B25" s="605">
        <v>1600</v>
      </c>
      <c r="C25" s="605">
        <v>62</v>
      </c>
      <c r="D25" s="636">
        <v>98</v>
      </c>
      <c r="E25" s="636">
        <v>75</v>
      </c>
      <c r="F25" s="606">
        <v>1.2</v>
      </c>
      <c r="G25" s="606">
        <v>22</v>
      </c>
      <c r="H25" s="634">
        <v>5.0000000000000001E-3</v>
      </c>
      <c r="I25" s="35">
        <v>17.015706806282701</v>
      </c>
      <c r="J25" s="3" t="s">
        <v>1370</v>
      </c>
      <c r="K25" s="4">
        <f>K8</f>
        <v>7.79</v>
      </c>
      <c r="L25" s="4">
        <f>L8</f>
        <v>7.79</v>
      </c>
      <c r="M25" s="8">
        <f>L25/K25</f>
        <v>1</v>
      </c>
      <c r="R25" s="3" t="s">
        <v>1345</v>
      </c>
      <c r="S25" s="5">
        <f>(W19*W20-W17*W18)/W21</f>
        <v>-1.5306542647687282</v>
      </c>
      <c r="T25" s="5">
        <f>(X19*X20-X17*X18)/X21</f>
        <v>-0.99882404893098642</v>
      </c>
      <c r="U25" s="5">
        <f>(Y19*Y20-Y17*Y18)/Y21</f>
        <v>-4.1993381208183774E-3</v>
      </c>
      <c r="V25" s="5">
        <f t="shared" si="10"/>
        <v>-2.9964721467929593E-3</v>
      </c>
      <c r="W25" s="4">
        <f>-U25/U23</f>
        <v>0.29889814512244872</v>
      </c>
      <c r="X25" s="4">
        <f>-V25/V23</f>
        <v>0.30135493313474349</v>
      </c>
      <c r="Y25" s="4">
        <f t="shared" si="11"/>
        <v>18.23488464497245</v>
      </c>
      <c r="Z25" s="3"/>
      <c r="AA25" s="3" t="s">
        <v>1178</v>
      </c>
      <c r="AB25" s="16">
        <f>AA24</f>
        <v>666.66666666666663</v>
      </c>
      <c r="AC25" s="16" t="s">
        <v>1179</v>
      </c>
      <c r="AD25" s="22">
        <f>AC24</f>
        <v>3.4616742316932587</v>
      </c>
      <c r="AF25" s="22"/>
      <c r="AG25" s="3" t="s">
        <v>1372</v>
      </c>
      <c r="AH25" s="26">
        <f>2*($AL$9*COS(AH4)-$AL$8*SIN(AH4))</f>
        <v>7.3977537908817137E-21</v>
      </c>
      <c r="AI25" s="22" t="e">
        <f>2*($AL$9*COS(AI4)-$AL$8*SIN(AI4))</f>
        <v>#DIV/0!</v>
      </c>
      <c r="AJ25" s="22">
        <f>2*($AL$9*COS(AJ4)-$AL$8*SIN(AJ4))</f>
        <v>3.4760024616738016E-5</v>
      </c>
      <c r="AK25" s="22">
        <f>2*($AL$9*COS(AK4)-$AL$8*SIN(AK4))</f>
        <v>-3.476002461673803E-5</v>
      </c>
      <c r="AL25" s="22"/>
    </row>
    <row r="26" spans="1:38">
      <c r="A26" s="606">
        <v>-0.5</v>
      </c>
      <c r="B26" s="606">
        <v>125</v>
      </c>
      <c r="C26" s="606">
        <v>0.64</v>
      </c>
      <c r="D26" s="636">
        <v>1.6</v>
      </c>
      <c r="E26" s="636">
        <v>0.52</v>
      </c>
      <c r="F26" s="606">
        <v>0.5</v>
      </c>
      <c r="G26" s="606">
        <v>0.2</v>
      </c>
      <c r="H26" s="606">
        <v>0.9</v>
      </c>
      <c r="I26" s="35">
        <v>8.3769633507853403</v>
      </c>
      <c r="J26" s="2" t="s">
        <v>1510</v>
      </c>
      <c r="K26" s="4"/>
      <c r="L26" s="4"/>
      <c r="N26" s="2" t="s">
        <v>1375</v>
      </c>
      <c r="R26" s="3">
        <v>66</v>
      </c>
      <c r="S26" s="5">
        <f>(W15*W16-W17^2)/W21</f>
        <v>36.94639072267902</v>
      </c>
      <c r="T26" s="5">
        <f>(X15*X16-X17^2)/X21</f>
        <v>14.966420600072437</v>
      </c>
      <c r="U26" s="5">
        <f>(Y15*Y16-Y17^2)/Y21</f>
        <v>3.6497466343516083E-2</v>
      </c>
      <c r="V26" s="5">
        <f t="shared" si="10"/>
        <v>4.4899261800217312E-2</v>
      </c>
      <c r="W26" s="4">
        <f>1/U26</f>
        <v>27.399162193560155</v>
      </c>
      <c r="X26" s="4">
        <f>1/V26</f>
        <v>22.272081096780081</v>
      </c>
      <c r="Y26" s="4">
        <f t="shared" si="11"/>
        <v>22.272081096780077</v>
      </c>
      <c r="AF26" s="22"/>
      <c r="AG26" s="22"/>
      <c r="AH26" s="22"/>
      <c r="AI26" s="22"/>
      <c r="AJ26" s="22"/>
      <c r="AK26" s="22"/>
      <c r="AL26" s="22"/>
    </row>
    <row r="27" spans="1:38">
      <c r="A27" s="606">
        <v>0.02</v>
      </c>
      <c r="B27" s="606">
        <v>22.5</v>
      </c>
      <c r="C27" s="606">
        <v>0</v>
      </c>
      <c r="D27" s="636">
        <v>0.6</v>
      </c>
      <c r="E27" s="636">
        <v>0.32</v>
      </c>
      <c r="F27" s="606">
        <v>0</v>
      </c>
      <c r="G27" s="606">
        <v>0</v>
      </c>
      <c r="H27" s="606">
        <v>2000</v>
      </c>
      <c r="I27" s="35">
        <f>C25/C24</f>
        <v>6.2374245472837027</v>
      </c>
      <c r="J27" s="3" t="s">
        <v>1380</v>
      </c>
      <c r="K27" s="4">
        <f>(3*K22+3*K23+2*K24+4*K25)/8</f>
        <v>80.606294543459924</v>
      </c>
      <c r="L27" s="4">
        <f>(3*L22+3*L23+2*L24+4*L25)/8</f>
        <v>80.606294543459924</v>
      </c>
      <c r="M27" s="8">
        <f>L27/K27</f>
        <v>1</v>
      </c>
      <c r="N27" s="3" t="s">
        <v>1381</v>
      </c>
      <c r="O27" s="4">
        <f>1/O17/O18*1000000</f>
        <v>0.19230769230769232</v>
      </c>
      <c r="P27" s="4">
        <f>1/P17/P18*1000000</f>
        <v>0.19230769230769232</v>
      </c>
      <c r="Q27" s="4">
        <f t="shared" ref="Q27:Q38" si="12">P27/O27</f>
        <v>1</v>
      </c>
      <c r="R27" s="3" t="s">
        <v>1347</v>
      </c>
      <c r="S27" s="5">
        <f>(W17*W20-W16*W19)/W21</f>
        <v>7.0851969083865075E-17</v>
      </c>
      <c r="T27" s="5">
        <f>(X17*X20-X16*X19)/X21</f>
        <v>1.946810855518227E-17</v>
      </c>
      <c r="U27" s="5">
        <f>(Y17*Y20-Y16*Y19)/Y21</f>
        <v>0</v>
      </c>
      <c r="V27" s="5">
        <f t="shared" si="10"/>
        <v>5.8404325665546806E-20</v>
      </c>
      <c r="W27" s="4">
        <f>U27/U23</f>
        <v>0</v>
      </c>
      <c r="X27" s="4">
        <f>V27/V23</f>
        <v>5.8737177565818163E-18</v>
      </c>
      <c r="Y27" s="4">
        <f t="shared" si="11"/>
        <v>-6.6613381477509422E-16</v>
      </c>
      <c r="AF27" s="22"/>
      <c r="AG27" s="16" t="s">
        <v>1383</v>
      </c>
      <c r="AH27" s="26">
        <f>$P$33*AH23^2+2*$P$35*AH23*AH24+$P$34*AH24^2+$P$36*AH25^2</f>
        <v>8.0022836027351142E-3</v>
      </c>
      <c r="AI27" s="22" t="e">
        <f>$P$33*AI23^2+2*$P$35*AI23*AI24+$P$34*AI24^2+$P$36*AI25^2</f>
        <v>#DIV/0!</v>
      </c>
      <c r="AJ27" s="22">
        <f>$P$33*AJ23^2+2*$P$35*AJ23*AJ24+$P$34*AJ24^2+$P$36*AJ25^2</f>
        <v>8.705486571039504E-3</v>
      </c>
      <c r="AK27" s="22">
        <f>$P$33*AK23^2+2*$P$35*AK23*AK24+$P$34*AK24^2+$P$36*AK25^2</f>
        <v>8.705486571039504E-3</v>
      </c>
      <c r="AL27" s="22"/>
    </row>
    <row r="28" spans="1:38">
      <c r="A28" s="606">
        <v>0.15</v>
      </c>
      <c r="B28" s="606">
        <v>0.01</v>
      </c>
      <c r="C28" s="606">
        <v>1</v>
      </c>
      <c r="D28" s="636">
        <v>1</v>
      </c>
      <c r="E28" s="636">
        <v>0</v>
      </c>
      <c r="F28" s="606">
        <v>0.5</v>
      </c>
      <c r="G28" s="606"/>
      <c r="H28" s="606"/>
      <c r="I28" s="35"/>
      <c r="J28" s="3" t="s">
        <v>1384</v>
      </c>
      <c r="K28" s="4">
        <f>(K22-K23)/2</f>
        <v>91.110843553154453</v>
      </c>
      <c r="L28" s="4">
        <f>(L22-L23)/2</f>
        <v>91.110843553154453</v>
      </c>
      <c r="M28" s="8">
        <f>L28/K28</f>
        <v>1</v>
      </c>
      <c r="N28" s="3" t="s">
        <v>1385</v>
      </c>
      <c r="O28" s="4">
        <f>1/O19/O20*1000000</f>
        <v>164.58196181698486</v>
      </c>
      <c r="P28" s="4">
        <f>1/P19/P20*1000000</f>
        <v>164.58196181698486</v>
      </c>
      <c r="Q28" s="4">
        <f t="shared" si="12"/>
        <v>1</v>
      </c>
      <c r="R28" s="3" t="s">
        <v>1349</v>
      </c>
      <c r="S28" s="5">
        <f>(W17*W19-W15*W20)/W21</f>
        <v>2.8757365427372352E-15</v>
      </c>
      <c r="T28" s="5">
        <f>(X17*X19-X15*X20)/X21</f>
        <v>4.3349615142894244E-16</v>
      </c>
      <c r="U28" s="5">
        <f>(Y17*Y19-Y15*Y20)/Y21</f>
        <v>0</v>
      </c>
      <c r="V28" s="5">
        <f t="shared" si="10"/>
        <v>1.3004884542868273E-18</v>
      </c>
      <c r="W28" s="4">
        <f>U28/U23</f>
        <v>0</v>
      </c>
      <c r="X28" s="4">
        <f>V28/V23</f>
        <v>1.3079000637585154E-16</v>
      </c>
      <c r="Y28" s="4">
        <f t="shared" si="11"/>
        <v>-1.7763568394002509E-15</v>
      </c>
      <c r="AF28" s="22"/>
      <c r="AG28" s="16" t="s">
        <v>1387</v>
      </c>
      <c r="AH28" s="26">
        <f>$P$37*AH23+$P$38*AH24</f>
        <v>-4.1216053445535084E-2</v>
      </c>
      <c r="AI28" s="22" t="e">
        <f>$P$37*AI23+$P$38*AI24</f>
        <v>#DIV/0!</v>
      </c>
      <c r="AJ28" s="22">
        <f>$P$37*AJ23+$P$38*AJ24</f>
        <v>-4.4178506260599312E-2</v>
      </c>
      <c r="AK28" s="22">
        <f>$P$37*AK23+$P$38*AK24</f>
        <v>-4.4178506260599312E-2</v>
      </c>
      <c r="AL28" s="22"/>
    </row>
    <row r="29" spans="1:38">
      <c r="A29" s="30" t="s">
        <v>1765</v>
      </c>
      <c r="B29" s="30">
        <v>68.900000000000006</v>
      </c>
      <c r="C29" s="30">
        <v>68.900000000000006</v>
      </c>
      <c r="D29" s="35">
        <v>0.3</v>
      </c>
      <c r="E29" s="35">
        <v>26.5</v>
      </c>
      <c r="F29" s="30">
        <v>68.900000000000006</v>
      </c>
      <c r="G29" s="30">
        <v>22</v>
      </c>
      <c r="H29" s="30"/>
      <c r="I29" s="30"/>
      <c r="J29" s="30"/>
      <c r="K29" s="4">
        <f>(K22+K23-2*K24-4*K25)/8</f>
        <v>20.5083243871203</v>
      </c>
      <c r="L29" s="4">
        <f>(L22+L23-2*L24-4*L25)/8</f>
        <v>20.5083243871203</v>
      </c>
      <c r="M29" s="8">
        <f>L29/K29</f>
        <v>1</v>
      </c>
      <c r="N29" s="3" t="s">
        <v>1389</v>
      </c>
      <c r="O29" s="4">
        <f>O22*(O27*O28)^0.5</f>
        <v>-2.8129334009400706</v>
      </c>
      <c r="P29" s="4">
        <f>P22*(P27*P28)^0.5</f>
        <v>-2.8129334009400706</v>
      </c>
      <c r="Q29" s="4">
        <f t="shared" si="12"/>
        <v>1</v>
      </c>
      <c r="U29" s="5"/>
      <c r="V29" s="5"/>
      <c r="W29" s="6"/>
      <c r="X29" s="6" t="s">
        <v>1380</v>
      </c>
      <c r="Y29" s="2">
        <f>(3*Y23+3*Y24+2*Y25+4*Y26)/8</f>
        <v>78.160290128872816</v>
      </c>
      <c r="AF29" s="22"/>
      <c r="AG29" s="16" t="s">
        <v>1390</v>
      </c>
      <c r="AH29" s="26">
        <f>AH27+AH28</f>
        <v>-3.3213769842799973E-2</v>
      </c>
      <c r="AI29" s="22" t="e">
        <f>AI27+AI28</f>
        <v>#DIV/0!</v>
      </c>
      <c r="AJ29" s="22">
        <f>AJ27+AJ28</f>
        <v>-3.5473019689559807E-2</v>
      </c>
      <c r="AK29" s="22">
        <f>AK27+AK28</f>
        <v>-3.5473019689559807E-2</v>
      </c>
      <c r="AL29" s="22"/>
    </row>
    <row r="30" spans="1:38">
      <c r="A30" s="30">
        <v>206</v>
      </c>
      <c r="B30" s="30">
        <v>206</v>
      </c>
      <c r="C30" s="30">
        <v>206</v>
      </c>
      <c r="D30" s="35">
        <v>206</v>
      </c>
      <c r="E30" s="35">
        <v>118.934155453063</v>
      </c>
      <c r="F30" s="30">
        <v>2.6</v>
      </c>
      <c r="G30" s="30">
        <v>22</v>
      </c>
      <c r="H30" s="30"/>
      <c r="I30" s="33">
        <v>2.9898403483309099</v>
      </c>
      <c r="J30" s="30"/>
      <c r="K30" s="4">
        <f>(K22+K23+6*K24-4*K25)/8</f>
        <v>24.009645769219322</v>
      </c>
      <c r="L30" s="4">
        <f>(L22+L23+6*L24-4*L25)/8</f>
        <v>24.009645769219322</v>
      </c>
      <c r="M30" s="8">
        <f>L30/K30</f>
        <v>1</v>
      </c>
      <c r="N30" s="3" t="s">
        <v>1392</v>
      </c>
      <c r="O30" s="4">
        <f>1/O21^2*1000000</f>
        <v>177.7777777777778</v>
      </c>
      <c r="P30" s="4">
        <f>1/P21^2*1000000</f>
        <v>177.7777777777778</v>
      </c>
      <c r="Q30" s="4">
        <f t="shared" si="12"/>
        <v>1</v>
      </c>
      <c r="R30" s="1" t="s">
        <v>1185</v>
      </c>
      <c r="U30" s="5"/>
      <c r="V30" s="5"/>
      <c r="W30" s="6" t="s">
        <v>1394</v>
      </c>
      <c r="Y30" s="3"/>
      <c r="AF30" s="22"/>
      <c r="AG30" s="16" t="s">
        <v>1395</v>
      </c>
      <c r="AH30" s="22">
        <f>-1+AH29</f>
        <v>-1.0332137698427999</v>
      </c>
      <c r="AI30" s="22" t="e">
        <f>-1+AI29</f>
        <v>#DIV/0!</v>
      </c>
      <c r="AJ30" s="22">
        <f>-1+AJ29</f>
        <v>-1.0354730196895598</v>
      </c>
      <c r="AK30" s="22">
        <f>-1+AK29</f>
        <v>-1.0354730196895598</v>
      </c>
      <c r="AL30" s="22"/>
    </row>
    <row r="31" spans="1:38">
      <c r="A31" s="30">
        <v>-0.5</v>
      </c>
      <c r="B31" s="30">
        <v>125</v>
      </c>
      <c r="C31" s="30">
        <v>0.99990000000000001</v>
      </c>
      <c r="D31" s="35">
        <v>2.6</v>
      </c>
      <c r="E31" s="35">
        <v>1</v>
      </c>
      <c r="F31" s="30">
        <v>1</v>
      </c>
      <c r="G31" s="30">
        <v>1</v>
      </c>
      <c r="H31" s="30"/>
      <c r="I31" s="33">
        <v>2.9898403483309099</v>
      </c>
      <c r="J31" s="30"/>
      <c r="K31" s="4">
        <f>(K27-K30)/2</f>
        <v>28.298324387120303</v>
      </c>
      <c r="L31" s="4">
        <f>(L27-L30)/2</f>
        <v>28.298324387120303</v>
      </c>
      <c r="M31" s="8">
        <f>L31/K31</f>
        <v>1</v>
      </c>
      <c r="N31" s="3" t="s">
        <v>1397</v>
      </c>
      <c r="O31" s="4">
        <f>(1/O17-1/O18)*1000</f>
        <v>-0.31730769230769229</v>
      </c>
      <c r="P31" s="4">
        <f>(1/P17-1/P18)*1000</f>
        <v>-0.31730769230769229</v>
      </c>
      <c r="Q31" s="4">
        <f t="shared" si="12"/>
        <v>1</v>
      </c>
      <c r="R31" s="3" t="s">
        <v>1398</v>
      </c>
      <c r="S31" s="5">
        <f>S11*COS(S6)</f>
        <v>0.66666666666666663</v>
      </c>
      <c r="T31" s="5">
        <f>T11*COS(T6)</f>
        <v>0</v>
      </c>
      <c r="U31" s="5">
        <f>U11*COS(U6)</f>
        <v>-8.3333333333333287E-2</v>
      </c>
      <c r="V31" s="5">
        <f>V11*COS(V6)</f>
        <v>-8.3333333333333315E-2</v>
      </c>
      <c r="W31" s="5">
        <f>(S31+T31+U31+V31)</f>
        <v>0.5</v>
      </c>
      <c r="Y31" s="5"/>
      <c r="AF31" s="22"/>
      <c r="AG31" s="16" t="s">
        <v>1399</v>
      </c>
      <c r="AH31" s="22">
        <f>2*($P$33*AH7*AH23+$P$34*AH8*AH24+$P$35*(AH7*AH24+AH23*AH8)+$P$36*AH9*AH25)</f>
        <v>2.1071146971355998E-2</v>
      </c>
      <c r="AI31" s="22" t="e">
        <f>2*($P$33*AI7*AI23+$P$34*AI8*AI24+$P$35*(AI7*AI24+AI23*AI8)+$P$36*AI9*AI25)</f>
        <v>#DIV/0!</v>
      </c>
      <c r="AJ31" s="22">
        <f>2*($P$33*AJ7*AJ23+$P$34*AJ8*AJ24+$P$35*(AJ7*AJ24+AJ23*AJ8)+$P$36*AJ9*AJ25)</f>
        <v>-5.5987779617452514E-2</v>
      </c>
      <c r="AK31" s="22">
        <f>2*($P$33*AK7*AK23+$P$34*AK8*AK24+$P$35*(AK7*AK24+AK23*AK8)+$P$36*AK9*AK25)</f>
        <v>-5.5987779617452514E-2</v>
      </c>
      <c r="AL31" s="22"/>
    </row>
    <row r="32" spans="1:38">
      <c r="A32" s="30">
        <v>23.58</v>
      </c>
      <c r="B32" s="30">
        <v>23.58</v>
      </c>
      <c r="C32" s="30">
        <v>1</v>
      </c>
      <c r="D32" s="35">
        <v>1</v>
      </c>
      <c r="E32" s="35">
        <v>1</v>
      </c>
      <c r="F32" s="30">
        <v>1</v>
      </c>
      <c r="G32" s="30">
        <v>1</v>
      </c>
      <c r="H32" s="30"/>
      <c r="I32" s="35"/>
      <c r="J32" s="33" t="e">
        <f>#REF!</f>
        <v>#REF!</v>
      </c>
      <c r="N32" s="3" t="s">
        <v>1401</v>
      </c>
      <c r="O32" s="4">
        <f>(1/O19-1/O20)*1000</f>
        <v>5.924950625411455</v>
      </c>
      <c r="P32" s="4">
        <f>(1/P19-1/P20)*1000</f>
        <v>5.924950625411455</v>
      </c>
      <c r="Q32" s="4">
        <f t="shared" si="12"/>
        <v>1</v>
      </c>
      <c r="R32" s="3" t="s">
        <v>1402</v>
      </c>
      <c r="S32" s="5">
        <f>S11*SIN(S6)</f>
        <v>0</v>
      </c>
      <c r="T32" s="5">
        <f>T11*SIN(T6)</f>
        <v>0</v>
      </c>
      <c r="U32" s="5">
        <f>U11*SIN(U6)</f>
        <v>0.14433756729740643</v>
      </c>
      <c r="V32" s="5">
        <f>V11*SIN(V6)</f>
        <v>-0.14433756729740649</v>
      </c>
      <c r="W32" s="5">
        <f>(S32+T32+U32+V32)</f>
        <v>-5.5511151231257827E-17</v>
      </c>
      <c r="Y32" s="5"/>
      <c r="AG32" s="16" t="s">
        <v>1403</v>
      </c>
      <c r="AH32" s="26">
        <f>AH31+AH15</f>
        <v>-0.17042592398244222</v>
      </c>
      <c r="AI32" s="22" t="e">
        <f>AI31+AI15</f>
        <v>#DIV/0!</v>
      </c>
      <c r="AJ32" s="22">
        <f>AJ31+AJ15</f>
        <v>7.0867782390179462E-2</v>
      </c>
      <c r="AK32" s="22">
        <f>AK31+AK15</f>
        <v>7.0867782390179462E-2</v>
      </c>
      <c r="AL32" s="22"/>
    </row>
    <row r="33" spans="1:38">
      <c r="A33" s="30">
        <v>0.99999990000000005</v>
      </c>
      <c r="B33" s="30">
        <v>1E-3</v>
      </c>
      <c r="C33" s="30">
        <v>1</v>
      </c>
      <c r="D33" s="35">
        <v>1</v>
      </c>
      <c r="E33" s="35">
        <v>0</v>
      </c>
      <c r="F33" s="30">
        <v>0.3</v>
      </c>
      <c r="G33" s="30"/>
      <c r="H33" s="30"/>
      <c r="I33" s="30"/>
      <c r="J33" s="30"/>
      <c r="K33" s="4">
        <f>(1-(K30/K27)^2)*K27</f>
        <v>73.454705536318755</v>
      </c>
      <c r="L33" s="4">
        <f>(1-(L30/L27)^2)*L27</f>
        <v>73.454705536318755</v>
      </c>
      <c r="M33" s="4">
        <f>L33/K33</f>
        <v>1</v>
      </c>
      <c r="N33" s="3" t="s">
        <v>1405</v>
      </c>
      <c r="O33" s="7">
        <f>(O27*K22^2+2*O29*K22*K24+O28*K24^2)</f>
        <v>5337.0907751947643</v>
      </c>
      <c r="P33" s="7">
        <f>(P27*L22^2+2*P29*L22*L24+P28*L24^2)</f>
        <v>5337.0907751947643</v>
      </c>
      <c r="Q33" s="4">
        <f t="shared" si="12"/>
        <v>1</v>
      </c>
      <c r="R33" s="3"/>
      <c r="S33" s="6" t="s">
        <v>1406</v>
      </c>
      <c r="T33" s="6" t="s">
        <v>1407</v>
      </c>
      <c r="U33" s="6" t="s">
        <v>1408</v>
      </c>
      <c r="V33" s="6" t="s">
        <v>1409</v>
      </c>
      <c r="W33" s="6" t="s">
        <v>1410</v>
      </c>
      <c r="X33" s="6" t="s">
        <v>1411</v>
      </c>
      <c r="Y33" s="5"/>
      <c r="AG33" s="16" t="s">
        <v>1412</v>
      </c>
      <c r="AH33" s="26">
        <f>AH32/2/AH14</f>
        <v>-1.1853899274313362</v>
      </c>
      <c r="AI33" s="22" t="e">
        <f>AI32/2/AI14</f>
        <v>#DIV/0!</v>
      </c>
      <c r="AJ33" s="22">
        <f>AJ32/2/AJ14</f>
        <v>0.15266055490041536</v>
      </c>
      <c r="AK33" s="22">
        <f>AK32/2/AK14</f>
        <v>0.15266055490041536</v>
      </c>
      <c r="AL33" s="22"/>
    </row>
    <row r="34" spans="1:38">
      <c r="B34" s="2">
        <f>B29/B24</f>
        <v>0.36073298429319373</v>
      </c>
      <c r="C34" s="2">
        <f>C29/C24</f>
        <v>6.9315895372233411</v>
      </c>
      <c r="D34" s="2">
        <f>D29/D24</f>
        <v>0.85714285714285721</v>
      </c>
      <c r="E34" s="2">
        <f>E29/E24</f>
        <v>3.4017971758664953</v>
      </c>
      <c r="J34" s="3" t="s">
        <v>1414</v>
      </c>
      <c r="K34" s="4">
        <f>K30/K27</f>
        <v>0.29786316199256885</v>
      </c>
      <c r="L34" s="4">
        <f>L30/L27</f>
        <v>0.29786316199256885</v>
      </c>
      <c r="M34" s="4">
        <f>L34/K34</f>
        <v>1</v>
      </c>
      <c r="N34" s="3" t="s">
        <v>1415</v>
      </c>
      <c r="O34" s="7">
        <f>(O27*K24^2+2*O29*K24*K23+O28*K23^2)</f>
        <v>16275.929211854793</v>
      </c>
      <c r="P34" s="7">
        <f>(P27*L24^2+2*P29*L24*L23+P28*L23^2)</f>
        <v>16275.929211854793</v>
      </c>
      <c r="Q34" s="4">
        <f t="shared" si="12"/>
        <v>1</v>
      </c>
      <c r="R34" s="3">
        <v>1</v>
      </c>
      <c r="S34" s="5">
        <f>(($L$22+$L$24)/2*$P$10+($L$24+$L$23)/2*$P$11)/1000000</f>
        <v>1.5388960638331223E-4</v>
      </c>
      <c r="T34" s="5">
        <f>(($L$22+$L$24)/2*$P$13+($L$24+$L$23)/2*$P$14)</f>
        <v>4.0515290278574376</v>
      </c>
      <c r="U34" s="26">
        <f>S34+S35*W31</f>
        <v>1.1825692336510744E-4</v>
      </c>
      <c r="V34" s="11">
        <f>T34+T35*W31</f>
        <v>3.076160928558425</v>
      </c>
      <c r="W34" s="11">
        <f>(U34*S23+U35*S25+U36*S27)*$W$12*1000000</f>
        <v>0.45912393780421651</v>
      </c>
      <c r="X34" s="11">
        <f>(V34*S23+V35*S25+V36*S27)*$W$12</f>
        <v>1.1720389799044927E-2</v>
      </c>
      <c r="Y34" s="5"/>
      <c r="Z34" s="3"/>
      <c r="AG34" s="16"/>
      <c r="AH34" s="26"/>
      <c r="AI34" s="22"/>
      <c r="AJ34" s="22"/>
      <c r="AK34" s="22"/>
      <c r="AL34" s="22"/>
    </row>
    <row r="35" spans="1:38">
      <c r="A35" s="3" t="s">
        <v>1413</v>
      </c>
      <c r="B35" s="3" t="s">
        <v>1577</v>
      </c>
      <c r="C35" s="3" t="s">
        <v>1578</v>
      </c>
      <c r="D35" s="3" t="s">
        <v>266</v>
      </c>
      <c r="E35" s="3" t="s">
        <v>267</v>
      </c>
      <c r="F35" s="3" t="s">
        <v>268</v>
      </c>
      <c r="G35" s="3" t="s">
        <v>1584</v>
      </c>
      <c r="H35" s="3" t="s">
        <v>1585</v>
      </c>
      <c r="J35" s="3" t="s">
        <v>1718</v>
      </c>
      <c r="K35" s="4">
        <f>K22+K23+2*K25</f>
        <v>217.80923786116045</v>
      </c>
      <c r="L35" s="4">
        <f>L22+L23+2*L25</f>
        <v>217.80923786116045</v>
      </c>
      <c r="N35" s="3" t="s">
        <v>1416</v>
      </c>
      <c r="O35" s="7">
        <f>(O27*K22*K24+O29*(K22*K23+K24^2)+O28*K24*K23)</f>
        <v>450.45025795721722</v>
      </c>
      <c r="P35" s="7">
        <f>(P27*L22*L24+P29*(L22*L23+L24^2)+P28*L24*L23)</f>
        <v>450.45025795721722</v>
      </c>
      <c r="Q35" s="4">
        <f t="shared" si="12"/>
        <v>1</v>
      </c>
      <c r="R35" s="3">
        <v>2</v>
      </c>
      <c r="S35" s="5">
        <f>(($L$22-$L$24)/2*$P$10+($L$24-$L$23)/2*$P$11)/1000000</f>
        <v>-7.1265366036409587E-5</v>
      </c>
      <c r="T35" s="5">
        <f>(($L$22-$L$24)/2*$P$13+($L$24-$L$23)/2*$P$14)</f>
        <v>-1.9507361985980254</v>
      </c>
      <c r="U35" s="26">
        <f>S34-S35*W31</f>
        <v>1.8952228940151704E-4</v>
      </c>
      <c r="V35" s="11">
        <f>T34-T35*W31</f>
        <v>5.0268971271564507</v>
      </c>
      <c r="W35" s="11">
        <f>(U34*S25+U35*S24+U36*S28)*$W$12*1000000</f>
        <v>4.0438511475782422</v>
      </c>
      <c r="X35" s="11">
        <f>(V34*S25+V35*S24+V36*S28)*$W$12</f>
        <v>0.1073981623019104</v>
      </c>
      <c r="Y35" s="5"/>
      <c r="AA35" s="2" t="s">
        <v>188</v>
      </c>
      <c r="AE35" s="6"/>
      <c r="AG35" s="16"/>
      <c r="AH35" s="26"/>
      <c r="AI35" s="22"/>
      <c r="AJ35" s="22"/>
      <c r="AK35" s="22"/>
      <c r="AL35" s="22"/>
    </row>
    <row r="36" spans="1:38">
      <c r="A36" s="3" t="s">
        <v>269</v>
      </c>
      <c r="B36" s="3" t="s">
        <v>270</v>
      </c>
      <c r="C36" s="3" t="s">
        <v>271</v>
      </c>
      <c r="D36" s="3" t="s">
        <v>272</v>
      </c>
      <c r="E36" s="3" t="s">
        <v>273</v>
      </c>
      <c r="F36" s="3" t="s">
        <v>274</v>
      </c>
      <c r="G36" s="3" t="s">
        <v>1588</v>
      </c>
      <c r="H36" s="3" t="s">
        <v>275</v>
      </c>
      <c r="J36" s="3" t="s">
        <v>1193</v>
      </c>
      <c r="K36" s="4">
        <f>$D$26</f>
        <v>1.6</v>
      </c>
      <c r="L36" s="4">
        <f>L37*(1-$L$11)+L38*$L$11</f>
        <v>1.5648</v>
      </c>
      <c r="M36" s="4">
        <f>L36/K36</f>
        <v>0.97799999999999998</v>
      </c>
      <c r="N36" s="3" t="s">
        <v>1418</v>
      </c>
      <c r="O36" s="7">
        <f>O30*K25^2</f>
        <v>10788.284444444445</v>
      </c>
      <c r="P36" s="7">
        <f>P30*L25^2</f>
        <v>10788.284444444445</v>
      </c>
      <c r="Q36" s="4">
        <f t="shared" si="12"/>
        <v>1</v>
      </c>
      <c r="R36" s="3">
        <v>6</v>
      </c>
      <c r="S36" s="6" t="s">
        <v>1419</v>
      </c>
      <c r="T36" s="6" t="s">
        <v>1420</v>
      </c>
      <c r="U36" s="26">
        <f>S35*W32</f>
        <v>3.9560225115980778E-21</v>
      </c>
      <c r="V36" s="11">
        <f>T35*W32</f>
        <v>1.0828761213266399E-16</v>
      </c>
      <c r="W36" s="11">
        <f>(U34*S27+U35*S28+U36*S26)*$W$12*1000000</f>
        <v>1.0493334938918979E-15</v>
      </c>
      <c r="X36" s="11">
        <f>(V34*S27+V35*S28+V36*S26)*$W$12</f>
        <v>2.8012230378646754E-17</v>
      </c>
      <c r="Y36" s="6" t="s">
        <v>189</v>
      </c>
      <c r="Z36" s="3" t="s">
        <v>190</v>
      </c>
      <c r="AA36" s="3" t="s">
        <v>189</v>
      </c>
      <c r="AB36" s="3" t="s">
        <v>191</v>
      </c>
      <c r="AC36" s="3" t="s">
        <v>192</v>
      </c>
      <c r="AD36" s="3" t="s">
        <v>193</v>
      </c>
      <c r="AE36" s="5"/>
      <c r="AG36" s="16"/>
      <c r="AH36" s="26"/>
      <c r="AI36" s="22"/>
      <c r="AJ36" s="22"/>
      <c r="AK36" s="22"/>
      <c r="AL36" s="16" t="s">
        <v>1421</v>
      </c>
    </row>
    <row r="37" spans="1:38">
      <c r="A37" s="3" t="s">
        <v>1568</v>
      </c>
      <c r="B37" s="3" t="s">
        <v>276</v>
      </c>
      <c r="C37" s="3" t="s">
        <v>277</v>
      </c>
      <c r="D37" s="3" t="s">
        <v>278</v>
      </c>
      <c r="E37" s="3" t="s">
        <v>279</v>
      </c>
      <c r="F37" s="3" t="s">
        <v>280</v>
      </c>
      <c r="G37" s="3" t="s">
        <v>281</v>
      </c>
      <c r="H37" s="3" t="s">
        <v>282</v>
      </c>
      <c r="J37" s="3" t="s">
        <v>274</v>
      </c>
      <c r="K37" s="4">
        <f>$F$25</f>
        <v>1.2</v>
      </c>
      <c r="L37" s="4">
        <v>1.2</v>
      </c>
      <c r="M37" s="4">
        <f>L37/K37</f>
        <v>1</v>
      </c>
      <c r="N37" s="3" t="s">
        <v>1422</v>
      </c>
      <c r="O37" s="7">
        <f>(O31*K22+O32*K24)</f>
        <v>-40.249461590858644</v>
      </c>
      <c r="P37" s="7">
        <f>(P31*L22+P32*L24)</f>
        <v>-40.249461590858644</v>
      </c>
      <c r="Q37" s="4">
        <f t="shared" si="12"/>
        <v>1</v>
      </c>
      <c r="R37" s="3">
        <v>1</v>
      </c>
      <c r="S37" s="5">
        <f>$P$7*U34+$P$3*V34</f>
        <v>3.5551123062813814E-3</v>
      </c>
      <c r="T37" s="5">
        <f>$P$7*W34/1000000+$P$3*X34</f>
        <v>1.2689555214802986E-5</v>
      </c>
      <c r="U37" s="6" t="s">
        <v>1423</v>
      </c>
      <c r="V37" s="5">
        <f>$P$7*$P$10/1000000+$P$3*$P$13</f>
        <v>-1.9999999999999999E-6</v>
      </c>
      <c r="Y37" s="5">
        <f>IF($W$13=0,0,$W$13*S37)+IF($X$13=0,0,$X$13*S76)</f>
        <v>1.7775561531406907E-3</v>
      </c>
      <c r="Z37" s="5">
        <f>Y37*V23+Y38*V25+Y39*V27</f>
        <v>8.41235096403356E-6</v>
      </c>
      <c r="AA37" s="26">
        <f t="shared" ref="AA37:AB39" si="13">IF($W$13=0,0,$W$13*U34)+IF($X$13=0,0,$X$13*U73)</f>
        <v>1.219601318825411E-3</v>
      </c>
      <c r="AB37" s="11">
        <f t="shared" si="13"/>
        <v>50.752366178564934</v>
      </c>
      <c r="AC37" s="115">
        <f>(AA37*V23+AA38*V25+AA39*V27)*1000000</f>
        <v>8.3656270835219129</v>
      </c>
      <c r="AD37" s="115">
        <f>AB37*V23+V25*AB38+AB39*V27</f>
        <v>0.34964691117918556</v>
      </c>
      <c r="AG37" s="3" t="s">
        <v>1424</v>
      </c>
      <c r="AH37" s="26">
        <f>(AH33^2-AH30/AH14)^0.5-AH33</f>
        <v>5.1575548335567944</v>
      </c>
      <c r="AI37" s="11" t="e">
        <f>(AI33^2-AI30/AI14)^0.5-AI33</f>
        <v>#DIV/0!</v>
      </c>
      <c r="AJ37" s="11">
        <f>(AJ33^2-AJ30/AJ14)^0.5-AJ33</f>
        <v>1.9649925656260567</v>
      </c>
      <c r="AK37" s="11">
        <f>(AK33^2-AK30/AK14)^0.5-AK33</f>
        <v>1.9649925656260567</v>
      </c>
      <c r="AL37" s="82">
        <f>MIN(AH38:AK38)</f>
        <v>1.9649925656260567</v>
      </c>
    </row>
    <row r="38" spans="1:38">
      <c r="A38" s="1" t="s">
        <v>1591</v>
      </c>
      <c r="B38" s="1" t="s">
        <v>1592</v>
      </c>
      <c r="C38" s="1" t="s">
        <v>1537</v>
      </c>
      <c r="D38" s="1" t="s">
        <v>1539</v>
      </c>
      <c r="E38" s="3" t="s">
        <v>295</v>
      </c>
      <c r="F38" s="3" t="s">
        <v>283</v>
      </c>
      <c r="G38" s="3" t="s">
        <v>284</v>
      </c>
      <c r="H38" s="3" t="s">
        <v>285</v>
      </c>
      <c r="J38" s="3" t="s">
        <v>1195</v>
      </c>
      <c r="K38" s="4">
        <f>(K36-K37*(1-$K$11))/$K$11</f>
        <v>1.8250000000000002</v>
      </c>
      <c r="L38" s="4">
        <v>1.77</v>
      </c>
      <c r="M38" s="4">
        <f>L38/K38</f>
        <v>0.96986301369863004</v>
      </c>
      <c r="N38" s="3" t="s">
        <v>1426</v>
      </c>
      <c r="O38" s="7">
        <f>(O31*K24+O32*K23)</f>
        <v>58.160878971173119</v>
      </c>
      <c r="P38" s="7">
        <f>(P31*L24+P32*L23)</f>
        <v>58.160878971173119</v>
      </c>
      <c r="Q38" s="4">
        <f t="shared" si="12"/>
        <v>1</v>
      </c>
      <c r="R38" s="3">
        <v>2</v>
      </c>
      <c r="S38" s="5">
        <f>$P$7*U35+$P$3*V35</f>
        <v>6.1822566956305502E-3</v>
      </c>
      <c r="T38" s="5">
        <f>$P$7*W35/1000000+$P$3*X35</f>
        <v>1.3260569675172781E-4</v>
      </c>
      <c r="U38" s="6" t="s">
        <v>1427</v>
      </c>
      <c r="V38" s="5">
        <f>$P$7*$P$11/1000000+$P$3*$P$14</f>
        <v>7.5000000000000023E-4</v>
      </c>
      <c r="Y38" s="5">
        <f>IF($W$13=0,0,$W$13*S38)+IF($X$13=0,0,$X$13*S77)</f>
        <v>3.0911283478152751E-3</v>
      </c>
      <c r="Z38" s="5">
        <f>Y37*V25+Y38*V24+Y39*V28</f>
        <v>4.8549770103056986E-5</v>
      </c>
      <c r="AA38" s="26">
        <f t="shared" si="13"/>
        <v>1.2552340018436158E-3</v>
      </c>
      <c r="AB38" s="11">
        <f t="shared" si="13"/>
        <v>51.727734277863945</v>
      </c>
      <c r="AC38" s="115">
        <f>(AA37*V25+AA38*V24+AA39*V28)*1000000</f>
        <v>18.22333410640276</v>
      </c>
      <c r="AD38" s="115">
        <f>AB37*V25+V24*AB38+AB39*V28</f>
        <v>0.74949954987660161</v>
      </c>
      <c r="AG38" s="3" t="s">
        <v>194</v>
      </c>
      <c r="AH38" s="82">
        <f>IF(AH3=0,1000000000,AH37)</f>
        <v>5.1575548335567944</v>
      </c>
      <c r="AI38" s="82">
        <f>IF(AI3=0,1000000000,AI37)</f>
        <v>1000000000</v>
      </c>
      <c r="AJ38" s="82">
        <f>IF(AJ3=0,1000000000,AJ37)</f>
        <v>1.9649925656260567</v>
      </c>
      <c r="AK38" s="82">
        <f>IF(AK3=0,1000000000,AK37)</f>
        <v>1.9649925656260567</v>
      </c>
    </row>
    <row r="39" spans="1:38">
      <c r="A39" s="1" t="s">
        <v>286</v>
      </c>
      <c r="B39" s="1" t="s">
        <v>287</v>
      </c>
      <c r="C39" s="3" t="s">
        <v>288</v>
      </c>
      <c r="D39" s="3" t="s">
        <v>289</v>
      </c>
      <c r="E39" s="3" t="s">
        <v>290</v>
      </c>
      <c r="L39" s="2" t="s">
        <v>234</v>
      </c>
      <c r="R39" s="3">
        <v>6</v>
      </c>
      <c r="S39" s="5">
        <f>$P$7*U36+$P$3*V36</f>
        <v>1.4583580950351216E-19</v>
      </c>
      <c r="T39" s="5">
        <f>$P$7*W36/1000000+$P$3*X36</f>
        <v>3.5127802504043973E-20</v>
      </c>
      <c r="U39" s="6" t="s">
        <v>1429</v>
      </c>
      <c r="V39" s="5">
        <f>0</f>
        <v>0</v>
      </c>
      <c r="Y39" s="5">
        <f>IF($W$13=0,0,$W$13*S39)+IF($X$13=0,0,$X$13*S78)</f>
        <v>7.291790475175608E-20</v>
      </c>
      <c r="Z39" s="5">
        <f>Y37*V27+Y38*V28+Y39*V26</f>
        <v>7.3977537908817137E-21</v>
      </c>
      <c r="AA39" s="26">
        <f t="shared" si="13"/>
        <v>1.9780112557990325E-21</v>
      </c>
      <c r="AB39" s="11">
        <f t="shared" si="13"/>
        <v>5.41438060663316E-17</v>
      </c>
      <c r="AC39" s="115">
        <f>(AA37*V27+V28*AA38+AA39*V26)*1000000</f>
        <v>1.7924585646505798E-15</v>
      </c>
      <c r="AD39" s="115">
        <f>AB37*T27+T28*AB38+AB39*V26</f>
        <v>2.3414257322713103E-14</v>
      </c>
      <c r="AG39" s="3" t="s">
        <v>194</v>
      </c>
      <c r="AH39" s="11">
        <f>IF(AH3=0,0,AH37)</f>
        <v>5.1575548335567944</v>
      </c>
      <c r="AI39" s="11">
        <f>IF(AI3=0,0,AI37)</f>
        <v>0</v>
      </c>
      <c r="AJ39" s="11">
        <f>IF(AJ3=0,0,AJ37)</f>
        <v>1.9649925656260567</v>
      </c>
      <c r="AK39" s="11">
        <f>IF(AK3=0,0,AK37)</f>
        <v>1.9649925656260567</v>
      </c>
    </row>
    <row r="40" spans="1:38">
      <c r="A40" s="2" t="s">
        <v>1734</v>
      </c>
      <c r="B40" s="2" t="s">
        <v>1735</v>
      </c>
      <c r="C40" s="2" t="s">
        <v>1736</v>
      </c>
      <c r="D40" s="2" t="s">
        <v>1011</v>
      </c>
      <c r="E40" s="2" t="s">
        <v>1737</v>
      </c>
      <c r="F40" s="2" t="s">
        <v>1738</v>
      </c>
      <c r="G40" s="2" t="s">
        <v>1732</v>
      </c>
      <c r="H40" s="2" t="s">
        <v>1731</v>
      </c>
      <c r="J40" s="1" t="s">
        <v>43</v>
      </c>
      <c r="K40" s="3"/>
      <c r="L40" s="3"/>
      <c r="N40" s="2" t="s">
        <v>1551</v>
      </c>
      <c r="P40" s="4"/>
      <c r="R40" s="2" t="s">
        <v>44</v>
      </c>
      <c r="Z40" s="2" t="s">
        <v>529</v>
      </c>
      <c r="AG40" s="2" t="s">
        <v>530</v>
      </c>
    </row>
    <row r="41" spans="1:38">
      <c r="A41" s="582">
        <v>1.7369543008758946E-2</v>
      </c>
      <c r="B41" s="582">
        <v>5.7898476695863128E-2</v>
      </c>
      <c r="C41" s="583">
        <v>3.381294964028779E-2</v>
      </c>
      <c r="D41" s="2" t="s">
        <v>1713</v>
      </c>
      <c r="E41" s="582">
        <v>0.87571446002492981</v>
      </c>
      <c r="F41" s="582">
        <v>0.93361293672079282</v>
      </c>
      <c r="G41" s="119">
        <v>1.0012388360013684</v>
      </c>
      <c r="H41" s="2">
        <v>139</v>
      </c>
      <c r="J41" s="3" t="str">
        <f>$A$29</f>
        <v>Alum[SI]</v>
      </c>
      <c r="K41" s="1"/>
      <c r="L41" s="3"/>
      <c r="N41" s="3" t="s">
        <v>596</v>
      </c>
      <c r="O41" s="7">
        <f>$G$30</f>
        <v>22</v>
      </c>
      <c r="P41" s="7">
        <f>B20</f>
        <v>22</v>
      </c>
      <c r="Q41" s="8">
        <f t="shared" ref="Q41:Q46" si="14">P41/O41</f>
        <v>1</v>
      </c>
      <c r="R41" s="1"/>
      <c r="X41" s="6"/>
      <c r="Z41" s="3" t="s">
        <v>531</v>
      </c>
      <c r="AA41" s="9">
        <f t="shared" ref="AA41:AD42" si="15">S43</f>
        <v>90</v>
      </c>
      <c r="AB41" s="9">
        <f t="shared" si="15"/>
        <v>180</v>
      </c>
      <c r="AC41" s="9">
        <f t="shared" si="15"/>
        <v>150</v>
      </c>
      <c r="AD41" s="9">
        <f t="shared" si="15"/>
        <v>30</v>
      </c>
      <c r="AE41" s="3" t="s">
        <v>532</v>
      </c>
      <c r="AF41" s="6" t="s">
        <v>533</v>
      </c>
      <c r="AG41" s="3" t="s">
        <v>531</v>
      </c>
      <c r="AH41" s="9">
        <f t="shared" ref="AH41:AK43" si="16">AA41</f>
        <v>90</v>
      </c>
      <c r="AI41" s="9">
        <f t="shared" si="16"/>
        <v>180</v>
      </c>
      <c r="AJ41" s="9">
        <f t="shared" si="16"/>
        <v>150</v>
      </c>
      <c r="AK41" s="9">
        <f t="shared" si="16"/>
        <v>30</v>
      </c>
    </row>
    <row r="42" spans="1:38">
      <c r="A42" s="11">
        <v>1.7261535623879064E-2</v>
      </c>
      <c r="B42" s="11">
        <v>5.7538452079596888E-2</v>
      </c>
      <c r="C42" s="11">
        <v>3.5582822085889566E-2</v>
      </c>
      <c r="D42" s="2" t="s">
        <v>1769</v>
      </c>
      <c r="E42" s="2">
        <v>0.86896935820330101</v>
      </c>
      <c r="F42" s="2">
        <v>0.92636577177780877</v>
      </c>
      <c r="G42" s="4">
        <v>0.99753141594958783</v>
      </c>
      <c r="H42" s="2">
        <v>163</v>
      </c>
      <c r="J42" s="3"/>
      <c r="K42" s="3"/>
      <c r="L42" s="3"/>
      <c r="N42" s="3" t="s">
        <v>600</v>
      </c>
      <c r="O42" s="11">
        <f>$H$30</f>
        <v>0</v>
      </c>
      <c r="P42" s="11">
        <f>C20</f>
        <v>0</v>
      </c>
      <c r="Q42" s="8" t="e">
        <f t="shared" si="14"/>
        <v>#DIV/0!</v>
      </c>
      <c r="R42" s="3" t="s">
        <v>45</v>
      </c>
      <c r="S42" s="6" t="s">
        <v>1562</v>
      </c>
      <c r="T42" s="6" t="s">
        <v>1563</v>
      </c>
      <c r="U42" s="6" t="s">
        <v>1564</v>
      </c>
      <c r="V42" s="6" t="s">
        <v>1565</v>
      </c>
      <c r="W42" s="6"/>
      <c r="X42" s="6"/>
      <c r="Z42" s="3" t="s">
        <v>536</v>
      </c>
      <c r="AA42" s="9">
        <f t="shared" si="15"/>
        <v>4</v>
      </c>
      <c r="AB42" s="9">
        <f t="shared" si="15"/>
        <v>0</v>
      </c>
      <c r="AC42" s="9">
        <f t="shared" si="15"/>
        <v>1</v>
      </c>
      <c r="AD42" s="9">
        <f t="shared" si="15"/>
        <v>1</v>
      </c>
      <c r="AE42" s="3">
        <f>W44</f>
        <v>1</v>
      </c>
      <c r="AF42" s="9">
        <f>X44</f>
        <v>0</v>
      </c>
      <c r="AG42" s="3" t="s">
        <v>536</v>
      </c>
      <c r="AH42" s="9">
        <f t="shared" si="16"/>
        <v>4</v>
      </c>
      <c r="AI42" s="9">
        <f t="shared" si="16"/>
        <v>0</v>
      </c>
      <c r="AJ42" s="9">
        <f t="shared" si="16"/>
        <v>1</v>
      </c>
      <c r="AK42" s="9">
        <f t="shared" si="16"/>
        <v>1</v>
      </c>
    </row>
    <row r="43" spans="1:38">
      <c r="A43" s="11">
        <v>1.6690120951544232E-2</v>
      </c>
      <c r="B43" s="11">
        <v>5.5633736505147399E-2</v>
      </c>
      <c r="C43" s="11">
        <v>4.3827160493827171E-2</v>
      </c>
      <c r="D43" s="2" t="s">
        <v>1723</v>
      </c>
      <c r="E43" s="11">
        <v>0.85685888813731514</v>
      </c>
      <c r="F43" s="11">
        <v>0.91249262464246261</v>
      </c>
      <c r="G43" s="119">
        <f t="shared" ref="G43:G50" si="17">F43+2*C43</f>
        <v>1.0001469456301169</v>
      </c>
      <c r="H43" s="2">
        <v>162</v>
      </c>
      <c r="J43" s="3" t="s">
        <v>1553</v>
      </c>
      <c r="K43" s="3" t="s">
        <v>1554</v>
      </c>
      <c r="L43" s="3" t="s">
        <v>1555</v>
      </c>
      <c r="M43" s="13" t="s">
        <v>1556</v>
      </c>
      <c r="N43" s="3" t="s">
        <v>1557</v>
      </c>
      <c r="O43" s="7">
        <f>$G$29</f>
        <v>22</v>
      </c>
      <c r="P43" s="7">
        <f>O43</f>
        <v>22</v>
      </c>
      <c r="Q43" s="8">
        <f t="shared" si="14"/>
        <v>1</v>
      </c>
      <c r="R43" s="3" t="s">
        <v>537</v>
      </c>
      <c r="S43" s="14">
        <f>B5+$H$6+$I$6</f>
        <v>90</v>
      </c>
      <c r="T43" s="14">
        <f>C5+$H$6+$I$6</f>
        <v>180</v>
      </c>
      <c r="U43" s="14">
        <f>D5+$H$6+$I$6</f>
        <v>150</v>
      </c>
      <c r="V43" s="14">
        <f>E5+$H$6+$I$6</f>
        <v>30</v>
      </c>
      <c r="W43" s="6" t="s">
        <v>46</v>
      </c>
      <c r="X43" s="6"/>
      <c r="Z43" s="3" t="s">
        <v>539</v>
      </c>
      <c r="AA43" s="9">
        <f>S45*AA42/AA42</f>
        <v>3.1415926535897931</v>
      </c>
      <c r="AB43" s="9" t="e">
        <f>T45*AB42/AB42</f>
        <v>#DIV/0!</v>
      </c>
      <c r="AC43" s="9">
        <f>U45*AC42/AC42</f>
        <v>5.2359877559829888</v>
      </c>
      <c r="AD43" s="9">
        <f>V45*AD42/AD42</f>
        <v>1.0471975511965976</v>
      </c>
      <c r="AE43" s="3" t="s">
        <v>540</v>
      </c>
      <c r="AF43" s="5">
        <f>$W$12</f>
        <v>1.5E-3</v>
      </c>
      <c r="AG43" s="3" t="s">
        <v>539</v>
      </c>
      <c r="AH43" s="9">
        <f t="shared" si="16"/>
        <v>3.1415926535897931</v>
      </c>
      <c r="AI43" s="9" t="e">
        <f t="shared" si="16"/>
        <v>#DIV/0!</v>
      </c>
      <c r="AJ43" s="9">
        <f t="shared" si="16"/>
        <v>5.2359877559829888</v>
      </c>
      <c r="AK43" s="9">
        <f t="shared" si="16"/>
        <v>1.0471975511965976</v>
      </c>
    </row>
    <row r="44" spans="1:38">
      <c r="A44" s="11">
        <v>1.553604918269284E-2</v>
      </c>
      <c r="B44" s="11">
        <v>4.8550153695915137E-2</v>
      </c>
      <c r="C44" s="11">
        <v>3.6206896551724099E-2</v>
      </c>
      <c r="D44" s="2" t="s">
        <v>440</v>
      </c>
      <c r="E44" s="582">
        <v>0.87997153573846165</v>
      </c>
      <c r="F44" s="582">
        <v>0.92852168943437685</v>
      </c>
      <c r="G44" s="119">
        <f t="shared" si="17"/>
        <v>1.0009354825378249</v>
      </c>
      <c r="H44" s="2">
        <v>232</v>
      </c>
      <c r="J44" s="3" t="s">
        <v>298</v>
      </c>
      <c r="K44" s="4">
        <f>$B$29</f>
        <v>68.900000000000006</v>
      </c>
      <c r="L44" s="4">
        <f>L51*L50</f>
        <v>68.900000000000006</v>
      </c>
      <c r="M44" s="8">
        <f>L44/K44</f>
        <v>1</v>
      </c>
      <c r="N44" s="3" t="s">
        <v>299</v>
      </c>
      <c r="O44" s="7">
        <f>$H$29</f>
        <v>0</v>
      </c>
      <c r="P44" s="7">
        <f>O44-$H$32*(P42-O42)</f>
        <v>0</v>
      </c>
      <c r="Q44" s="8" t="e">
        <f t="shared" si="14"/>
        <v>#DIV/0!</v>
      </c>
      <c r="R44" s="3" t="s">
        <v>541</v>
      </c>
      <c r="S44" s="14">
        <f>B6</f>
        <v>4</v>
      </c>
      <c r="T44" s="14">
        <f>C6</f>
        <v>0</v>
      </c>
      <c r="U44" s="14">
        <f>D6</f>
        <v>1</v>
      </c>
      <c r="V44" s="14">
        <f>E6</f>
        <v>1</v>
      </c>
      <c r="W44" s="15">
        <f>F6</f>
        <v>1</v>
      </c>
      <c r="X44" s="9"/>
      <c r="Z44" s="3"/>
      <c r="AA44" s="5"/>
      <c r="AB44" s="5"/>
      <c r="AC44" s="5"/>
      <c r="AD44" s="5"/>
      <c r="AE44" s="6"/>
    </row>
    <row r="45" spans="1:38">
      <c r="A45" s="11">
        <v>1.7333862176740805E-2</v>
      </c>
      <c r="B45" s="11">
        <v>5.7779540589136064E-2</v>
      </c>
      <c r="C45" s="11">
        <v>2.7083333333333317E-2</v>
      </c>
      <c r="D45" s="2" t="s">
        <v>1724</v>
      </c>
      <c r="E45" s="11">
        <v>0.88615253960540319</v>
      </c>
      <c r="F45" s="11">
        <v>0.94393208019453922</v>
      </c>
      <c r="G45" s="119">
        <f t="shared" si="17"/>
        <v>0.99809874686120581</v>
      </c>
      <c r="H45" s="2">
        <v>168</v>
      </c>
      <c r="J45" s="3" t="s">
        <v>1579</v>
      </c>
      <c r="K45" s="4">
        <f>$C$29</f>
        <v>68.900000000000006</v>
      </c>
      <c r="L45" s="4">
        <f>(1+L54)/(1/L55+L54/L52)</f>
        <v>68.90000000000002</v>
      </c>
      <c r="M45" s="8">
        <f>L45/K45</f>
        <v>1.0000000000000002</v>
      </c>
      <c r="N45" s="3" t="s">
        <v>1580</v>
      </c>
      <c r="O45" s="4">
        <f>(O44-O41)/(O44-O41)</f>
        <v>1</v>
      </c>
      <c r="P45" s="4">
        <f>(P44-P41)/(P44-O41)</f>
        <v>1</v>
      </c>
      <c r="Q45" s="8">
        <f t="shared" si="14"/>
        <v>1</v>
      </c>
      <c r="R45" s="3" t="s">
        <v>1295</v>
      </c>
      <c r="S45" s="20">
        <f>S43*PI()/90</f>
        <v>3.1415926535897931</v>
      </c>
      <c r="T45" s="20">
        <f>T43*PI()/90</f>
        <v>6.2831853071795862</v>
      </c>
      <c r="U45" s="20">
        <f>U43*PI()/90</f>
        <v>5.2359877559829888</v>
      </c>
      <c r="V45" s="20">
        <f>V43*PI()/90</f>
        <v>1.0471975511965976</v>
      </c>
      <c r="W45" s="6" t="s">
        <v>1433</v>
      </c>
      <c r="X45" s="16"/>
      <c r="Y45" s="3"/>
      <c r="Z45" s="1" t="s">
        <v>1434</v>
      </c>
      <c r="AA45" s="6"/>
      <c r="AB45" s="6"/>
      <c r="AC45" s="5"/>
      <c r="AD45" s="5"/>
      <c r="AE45" s="5"/>
      <c r="AG45" s="1" t="s">
        <v>1298</v>
      </c>
      <c r="AL45" s="3" t="s">
        <v>1299</v>
      </c>
    </row>
    <row r="46" spans="1:38">
      <c r="A46" s="11">
        <v>1.4062740021115206E-2</v>
      </c>
      <c r="B46" s="11">
        <v>5.0224071503982878E-2</v>
      </c>
      <c r="C46" s="11">
        <v>3.4805825242718469E-2</v>
      </c>
      <c r="D46" s="2" t="s">
        <v>444</v>
      </c>
      <c r="E46" s="11">
        <v>0.87831468040781613</v>
      </c>
      <c r="F46" s="11">
        <v>0.92829612354704549</v>
      </c>
      <c r="G46" s="119">
        <f t="shared" si="17"/>
        <v>0.99790777403248243</v>
      </c>
      <c r="H46" s="2">
        <v>207</v>
      </c>
      <c r="J46" s="3" t="s">
        <v>259</v>
      </c>
      <c r="K46" s="4">
        <f>$D$29</f>
        <v>0.3</v>
      </c>
      <c r="L46" s="4">
        <f>K46*I20</f>
        <v>0.3</v>
      </c>
      <c r="M46" s="8">
        <f>L46/K46</f>
        <v>1</v>
      </c>
      <c r="N46" s="3" t="s">
        <v>260</v>
      </c>
      <c r="O46" s="7">
        <f>O41-O43</f>
        <v>0</v>
      </c>
      <c r="P46" s="7">
        <f>P41-P43</f>
        <v>0</v>
      </c>
      <c r="Q46" s="8" t="e">
        <f t="shared" si="14"/>
        <v>#DIV/0!</v>
      </c>
      <c r="R46" s="3" t="s">
        <v>1300</v>
      </c>
      <c r="S46" s="20">
        <f>2*S45</f>
        <v>6.2831853071795862</v>
      </c>
      <c r="T46" s="20">
        <f>2*T45</f>
        <v>12.566370614359172</v>
      </c>
      <c r="U46" s="20">
        <f>2*U45</f>
        <v>10.471975511965978</v>
      </c>
      <c r="V46" s="8">
        <f>2*V45</f>
        <v>2.0943951023931953</v>
      </c>
      <c r="W46" s="9">
        <f>G6/W44/2</f>
        <v>6</v>
      </c>
      <c r="X46" s="9"/>
      <c r="Y46" s="5"/>
      <c r="Z46" s="3"/>
      <c r="AA46" s="6" t="s">
        <v>1301</v>
      </c>
      <c r="AB46" s="6"/>
      <c r="AC46" s="19" t="s">
        <v>619</v>
      </c>
      <c r="AD46" s="19"/>
      <c r="AE46" s="6" t="s">
        <v>1303</v>
      </c>
      <c r="AF46" s="6" t="s">
        <v>1304</v>
      </c>
      <c r="AG46" s="3" t="s">
        <v>1305</v>
      </c>
      <c r="AH46" s="22">
        <f t="shared" ref="AH46:AK48" si="18">AA52</f>
        <v>-9.9882404893098637E-4</v>
      </c>
      <c r="AI46" s="22" t="e">
        <f t="shared" si="18"/>
        <v>#DIV/0!</v>
      </c>
      <c r="AJ46" s="22">
        <f t="shared" si="18"/>
        <v>2.2361269851095935E-3</v>
      </c>
      <c r="AK46" s="22">
        <f t="shared" si="18"/>
        <v>2.2361269851095935E-3</v>
      </c>
      <c r="AL46" s="22">
        <f>($Z$37+$Z$38)/2</f>
        <v>2.8481060533545272E-5</v>
      </c>
    </row>
    <row r="47" spans="1:38">
      <c r="A47" s="11">
        <v>1.6266520625337087E-2</v>
      </c>
      <c r="B47" s="11">
        <v>5.809471651906109E-2</v>
      </c>
      <c r="C47" s="11">
        <v>3.3116883116883128E-2</v>
      </c>
      <c r="D47" s="2" t="s">
        <v>1725</v>
      </c>
      <c r="E47" s="11">
        <v>0.87468449590496455</v>
      </c>
      <c r="F47" s="11">
        <v>0.93277921242402573</v>
      </c>
      <c r="G47" s="119">
        <f t="shared" si="17"/>
        <v>0.99901297865779193</v>
      </c>
      <c r="H47" s="2">
        <v>154</v>
      </c>
      <c r="J47" s="3" t="s">
        <v>261</v>
      </c>
      <c r="K47" s="4">
        <f>$E$29</f>
        <v>26.5</v>
      </c>
      <c r="L47" s="4">
        <f>(1+L57)/(1/L58+L57*2.7/L52)</f>
        <v>26.5</v>
      </c>
      <c r="M47" s="8">
        <f>L47/K47</f>
        <v>1</v>
      </c>
      <c r="N47" s="3"/>
      <c r="O47" s="4"/>
      <c r="P47" s="4"/>
      <c r="Q47" s="4"/>
      <c r="S47" s="20"/>
      <c r="T47" s="20"/>
      <c r="U47" s="20"/>
      <c r="V47" s="21"/>
      <c r="W47" s="6"/>
      <c r="X47" s="6"/>
      <c r="Y47" s="5"/>
      <c r="Z47" s="3">
        <v>1</v>
      </c>
      <c r="AA47" s="22">
        <f>$C$12</f>
        <v>333.33333333333331</v>
      </c>
      <c r="AB47" s="22"/>
      <c r="AC47" s="22">
        <f>AC8</f>
        <v>3.3144439964564532</v>
      </c>
      <c r="AD47" s="22"/>
      <c r="AE47" s="16" t="s">
        <v>1306</v>
      </c>
      <c r="AF47" s="22">
        <f>(AC47+AC48)/2</f>
        <v>1.1578099737627334</v>
      </c>
      <c r="AG47" s="3" t="s">
        <v>1307</v>
      </c>
      <c r="AH47" s="22">
        <f t="shared" si="18"/>
        <v>3.3144439964564532E-3</v>
      </c>
      <c r="AI47" s="22" t="e">
        <f t="shared" si="18"/>
        <v>#DIV/0!</v>
      </c>
      <c r="AJ47" s="22">
        <f t="shared" si="18"/>
        <v>7.9492962415873576E-5</v>
      </c>
      <c r="AK47" s="22">
        <f t="shared" si="18"/>
        <v>7.9492962415873576E-5</v>
      </c>
      <c r="AL47" s="22">
        <f>($Z$37-$Z$38)/2</f>
        <v>-2.0068709569511714E-5</v>
      </c>
    </row>
    <row r="48" spans="1:38">
      <c r="A48" s="586">
        <v>2.1725530012128999E-2</v>
      </c>
      <c r="B48" s="586">
        <v>6.3898617682732292E-2</v>
      </c>
      <c r="C48" s="586">
        <v>2.6497695852534552E-2</v>
      </c>
      <c r="D48" s="585" t="s">
        <v>441</v>
      </c>
      <c r="E48" s="586">
        <v>0.88296271707048324</v>
      </c>
      <c r="F48" s="586">
        <v>0.94686133475321554</v>
      </c>
      <c r="G48" s="119">
        <f t="shared" si="17"/>
        <v>0.99985672645828461</v>
      </c>
      <c r="H48" s="2">
        <v>86.8</v>
      </c>
      <c r="J48" s="3" t="s">
        <v>262</v>
      </c>
      <c r="K48" s="2">
        <f>$B$31</f>
        <v>125</v>
      </c>
      <c r="L48" s="7">
        <f>K48/M50</f>
        <v>125</v>
      </c>
      <c r="M48" s="8">
        <f>L48/K48</f>
        <v>1</v>
      </c>
      <c r="N48" s="1" t="s">
        <v>1531</v>
      </c>
      <c r="O48" s="4"/>
      <c r="P48" s="4"/>
      <c r="Q48" s="4"/>
      <c r="R48" s="3" t="s">
        <v>1308</v>
      </c>
      <c r="S48" s="20">
        <v>1</v>
      </c>
      <c r="T48" s="20">
        <f>S49</f>
        <v>0.33333333333333337</v>
      </c>
      <c r="U48" s="20">
        <f>T49</f>
        <v>0.33333333333333337</v>
      </c>
      <c r="V48" s="18">
        <f>U49</f>
        <v>0.16666666666666671</v>
      </c>
      <c r="W48" s="20"/>
      <c r="X48" s="6"/>
      <c r="Y48" s="5"/>
      <c r="Z48" s="3">
        <v>2</v>
      </c>
      <c r="AA48" s="22">
        <f>$C$13</f>
        <v>0</v>
      </c>
      <c r="AB48" s="22"/>
      <c r="AC48" s="22">
        <f>AC9</f>
        <v>-0.99882404893098642</v>
      </c>
      <c r="AD48" s="22"/>
      <c r="AE48" s="16" t="s">
        <v>1309</v>
      </c>
      <c r="AF48" s="22">
        <f>(AC47-AC48)/2</f>
        <v>2.1566340226937197</v>
      </c>
      <c r="AG48" s="3" t="s">
        <v>1310</v>
      </c>
      <c r="AH48" s="22">
        <f t="shared" si="18"/>
        <v>-5.4790747669649678E-19</v>
      </c>
      <c r="AI48" s="22" t="e">
        <f t="shared" si="18"/>
        <v>#DIV/0!</v>
      </c>
      <c r="AJ48" s="22">
        <f t="shared" si="18"/>
        <v>3.7353997006371732E-3</v>
      </c>
      <c r="AK48" s="22">
        <f t="shared" si="18"/>
        <v>-3.7353997006371732E-3</v>
      </c>
      <c r="AL48" s="22">
        <f>$Z$39/2</f>
        <v>3.6988768954408569E-21</v>
      </c>
    </row>
    <row r="49" spans="1:38">
      <c r="A49" s="586">
        <v>1.8193663512037397E-2</v>
      </c>
      <c r="B49" s="586">
        <v>7.9102884834945153E-2</v>
      </c>
      <c r="C49" s="586">
        <v>2.3787234042553146E-2</v>
      </c>
      <c r="D49" s="585" t="s">
        <v>1726</v>
      </c>
      <c r="E49" s="586">
        <v>0.87226964899074722</v>
      </c>
      <c r="F49" s="586">
        <v>0.95137253382569231</v>
      </c>
      <c r="G49" s="119">
        <f t="shared" si="17"/>
        <v>0.99894700191079866</v>
      </c>
      <c r="H49" s="585">
        <v>235</v>
      </c>
      <c r="J49" s="1" t="s">
        <v>264</v>
      </c>
      <c r="L49" s="4"/>
      <c r="N49" s="3" t="s">
        <v>265</v>
      </c>
      <c r="O49" s="4">
        <f>$A$32</f>
        <v>23.58</v>
      </c>
      <c r="P49" s="4">
        <f>O49</f>
        <v>23.58</v>
      </c>
      <c r="Q49" s="4">
        <f>P49/O49</f>
        <v>1</v>
      </c>
      <c r="R49" s="3" t="s">
        <v>1311</v>
      </c>
      <c r="S49" s="20">
        <f>S48-S44/$W$46</f>
        <v>0.33333333333333337</v>
      </c>
      <c r="T49" s="20">
        <f>T48-T44/$W$46</f>
        <v>0.33333333333333337</v>
      </c>
      <c r="U49" s="20">
        <f>U48-U44/$W$46</f>
        <v>0.16666666666666671</v>
      </c>
      <c r="V49" s="20">
        <f>V48-V44/$W$46</f>
        <v>0</v>
      </c>
      <c r="Y49" s="5"/>
      <c r="Z49" s="3">
        <v>6</v>
      </c>
      <c r="AA49" s="22">
        <f>$C$14</f>
        <v>0</v>
      </c>
      <c r="AB49" s="22"/>
      <c r="AC49" s="22">
        <f>AC10</f>
        <v>1.946810855518227E-17</v>
      </c>
      <c r="AD49" s="22"/>
      <c r="AE49" s="16" t="s">
        <v>1312</v>
      </c>
      <c r="AF49" s="22">
        <f>AC49/2</f>
        <v>9.7340542775911351E-18</v>
      </c>
      <c r="AG49" s="3"/>
      <c r="AH49" s="22"/>
      <c r="AI49" s="22"/>
      <c r="AJ49" s="22"/>
      <c r="AK49" s="22"/>
      <c r="AL49" s="22"/>
    </row>
    <row r="50" spans="1:38">
      <c r="A50" s="586">
        <v>3.9100348837719894E-2</v>
      </c>
      <c r="B50" s="586">
        <v>0.15038595706815341</v>
      </c>
      <c r="C50" s="586">
        <v>7.4193548387096755E-2</v>
      </c>
      <c r="D50" s="585" t="s">
        <v>1727</v>
      </c>
      <c r="E50" s="586">
        <v>0.70192236309924094</v>
      </c>
      <c r="F50" s="586">
        <v>0.85230832016739422</v>
      </c>
      <c r="G50" s="119">
        <f t="shared" si="17"/>
        <v>1.0006954169415878</v>
      </c>
      <c r="H50" s="585">
        <v>55.8</v>
      </c>
      <c r="J50" s="3" t="s">
        <v>1532</v>
      </c>
      <c r="K50" s="2">
        <f>$C$31</f>
        <v>0.99990000000000001</v>
      </c>
      <c r="L50" s="4">
        <f>$D$20</f>
        <v>0.99990000000000001</v>
      </c>
      <c r="M50" s="8">
        <f t="shared" ref="M50:M58" si="19">L50/K50</f>
        <v>1</v>
      </c>
      <c r="N50" s="3" t="s">
        <v>1533</v>
      </c>
      <c r="O50" s="4">
        <f>$B$32</f>
        <v>23.58</v>
      </c>
      <c r="P50" s="4">
        <f>O50*(1-L50)/(1-K50)</f>
        <v>23.58</v>
      </c>
      <c r="Q50" s="4">
        <f>P50/O50</f>
        <v>1</v>
      </c>
      <c r="R50" s="3" t="s">
        <v>1321</v>
      </c>
      <c r="S50" s="20">
        <f>S48-S49</f>
        <v>0.66666666666666663</v>
      </c>
      <c r="T50" s="20">
        <f>T48-T49</f>
        <v>0</v>
      </c>
      <c r="U50" s="20">
        <f>U48-U49</f>
        <v>0.16666666666666666</v>
      </c>
      <c r="V50" s="18">
        <f>V48-V49</f>
        <v>0.16666666666666671</v>
      </c>
      <c r="W50" s="6" t="s">
        <v>195</v>
      </c>
      <c r="X50" s="6"/>
      <c r="Y50" s="5"/>
      <c r="AA50" s="22"/>
      <c r="AB50" s="22"/>
      <c r="AC50" s="22"/>
      <c r="AD50" s="22"/>
      <c r="AE50" s="16"/>
      <c r="AF50" s="22"/>
      <c r="AG50" s="3"/>
      <c r="AH50" s="22"/>
      <c r="AI50" s="22"/>
      <c r="AJ50" s="22"/>
      <c r="AK50" s="22"/>
      <c r="AL50" s="22"/>
    </row>
    <row r="51" spans="1:38">
      <c r="A51" s="591">
        <f>MEDIAN(A41:A47)</f>
        <v>1.6690120951544232E-2</v>
      </c>
      <c r="B51" s="591">
        <f>MEDIAN(B41:B47)</f>
        <v>5.7538452079596888E-2</v>
      </c>
      <c r="C51" s="591">
        <f>MEDIAN(C41:C47)</f>
        <v>3.4805825242718469E-2</v>
      </c>
      <c r="D51" s="590" t="s">
        <v>1728</v>
      </c>
      <c r="E51" s="591">
        <f>MEDIAN(E41:E47)</f>
        <v>0.87571446002492981</v>
      </c>
      <c r="F51" s="591">
        <f>MEDIAN(F41:F47)</f>
        <v>0.92852168943437685</v>
      </c>
      <c r="G51" s="604">
        <f>MEDIAN(G41:G47)</f>
        <v>0.99901297865779193</v>
      </c>
      <c r="H51" s="587"/>
      <c r="J51" s="3" t="s">
        <v>1534</v>
      </c>
      <c r="K51" s="7">
        <f>K44/K50</f>
        <v>68.906890689068916</v>
      </c>
      <c r="L51" s="7">
        <f>$F$20*P45^$F$32</f>
        <v>68.906890689068916</v>
      </c>
      <c r="M51" s="8">
        <f t="shared" si="19"/>
        <v>1</v>
      </c>
      <c r="N51" s="2" t="s">
        <v>1535</v>
      </c>
      <c r="O51" s="4"/>
      <c r="P51" s="4"/>
      <c r="Q51" s="4"/>
      <c r="R51" s="3"/>
      <c r="S51" s="20"/>
      <c r="T51" s="20"/>
      <c r="U51" s="20"/>
      <c r="V51" s="18"/>
      <c r="W51" s="5">
        <f>G6*L48/1000000</f>
        <v>1.5E-3</v>
      </c>
      <c r="Y51" s="5"/>
      <c r="Z51" s="1" t="s">
        <v>1323</v>
      </c>
      <c r="AA51" s="22"/>
      <c r="AB51" s="22"/>
      <c r="AC51" s="22"/>
      <c r="AD51" s="22"/>
      <c r="AE51" s="16"/>
      <c r="AF51" s="22"/>
      <c r="AG51" s="3"/>
      <c r="AH51" s="22"/>
      <c r="AI51" s="22"/>
      <c r="AJ51" s="22"/>
      <c r="AK51" s="22"/>
      <c r="AL51" s="22"/>
    </row>
    <row r="52" spans="1:38">
      <c r="A52" s="584">
        <f>_xlfn.STDEV.P(A41:A47)</f>
        <v>1.124682030193459E-3</v>
      </c>
      <c r="B52" s="584">
        <f>_xlfn.STDEV.P(B41:B47)</f>
        <v>3.7203258833206909E-3</v>
      </c>
      <c r="C52" s="584">
        <f>_xlfn.STDEV.P(C41:C47)</f>
        <v>4.5878116911129896E-3</v>
      </c>
      <c r="D52" s="2" t="s">
        <v>1729</v>
      </c>
      <c r="E52" s="584">
        <f>_xlfn.STDEV.P(E41:E47)</f>
        <v>8.6476881500777286E-3</v>
      </c>
      <c r="F52" s="584">
        <f>_xlfn.STDEV.P(F41:F47)</f>
        <v>8.761925610883228E-3</v>
      </c>
      <c r="G52" s="584">
        <f>_xlfn.STDEV.P(G41:G47)</f>
        <v>1.4007836341731253E-3</v>
      </c>
      <c r="J52" s="3" t="s">
        <v>1536</v>
      </c>
      <c r="K52" s="4">
        <f>$F$29</f>
        <v>68.900000000000006</v>
      </c>
      <c r="L52" s="4">
        <f>$E$20*P45^$F$31*I20</f>
        <v>68.900000000000006</v>
      </c>
      <c r="M52" s="8">
        <f t="shared" si="19"/>
        <v>1</v>
      </c>
      <c r="N52" s="3" t="s">
        <v>1537</v>
      </c>
      <c r="O52" s="4">
        <f>$C$32</f>
        <v>1</v>
      </c>
      <c r="P52" s="4">
        <f>O52</f>
        <v>1</v>
      </c>
      <c r="Q52" s="4">
        <v>1</v>
      </c>
      <c r="R52" s="3"/>
      <c r="S52" s="20"/>
      <c r="T52" s="20"/>
      <c r="U52" s="20"/>
      <c r="V52" s="18"/>
      <c r="Z52" s="3" t="s">
        <v>1324</v>
      </c>
      <c r="AA52" s="22">
        <f>($AF$47+$AF$48*COS(AA43)+$AF$49*SIN(AA43))/1000</f>
        <v>-9.9882404893098637E-4</v>
      </c>
      <c r="AB52" s="22" t="e">
        <f>($AF$47+$AF$48*COS(AB43)+$AF$49*SIN(AB43))/1000</f>
        <v>#DIV/0!</v>
      </c>
      <c r="AC52" s="22">
        <f>($AF$47+$AF$48*COS(AC43)+$AF$49*SIN(AC43))/1000</f>
        <v>2.2361269851095935E-3</v>
      </c>
      <c r="AD52" s="22">
        <f>($AF$47+$AF$48*COS(AD43)+$AF$49*SIN(AD43))/1000</f>
        <v>2.2361269851095935E-3</v>
      </c>
      <c r="AE52" s="16"/>
      <c r="AF52" s="22"/>
      <c r="AG52" s="1"/>
      <c r="AH52" s="16"/>
      <c r="AI52" s="16"/>
      <c r="AJ52" s="16"/>
      <c r="AK52" s="16"/>
      <c r="AL52" s="22"/>
    </row>
    <row r="53" spans="1:38">
      <c r="D53" s="585" t="s">
        <v>1730</v>
      </c>
      <c r="J53" s="3" t="s">
        <v>1538</v>
      </c>
      <c r="K53" s="4">
        <f>$E$31</f>
        <v>1</v>
      </c>
      <c r="L53" s="4">
        <f>K53*P45^$G$31</f>
        <v>1</v>
      </c>
      <c r="M53" s="8">
        <f t="shared" si="19"/>
        <v>1</v>
      </c>
      <c r="N53" s="3" t="s">
        <v>1539</v>
      </c>
      <c r="O53" s="4">
        <f>$D$32</f>
        <v>1</v>
      </c>
      <c r="P53" s="4">
        <f>O53*(1-L50)/(1-K50)</f>
        <v>1</v>
      </c>
      <c r="Q53" s="4">
        <f>P53/O53</f>
        <v>1</v>
      </c>
      <c r="R53" s="3" t="s">
        <v>1325</v>
      </c>
      <c r="S53" s="6" t="s">
        <v>1326</v>
      </c>
      <c r="T53" s="6" t="s">
        <v>1327</v>
      </c>
      <c r="U53" s="6" t="s">
        <v>1328</v>
      </c>
      <c r="V53" s="6" t="s">
        <v>1329</v>
      </c>
      <c r="W53" s="6" t="s">
        <v>1330</v>
      </c>
      <c r="X53" s="6" t="s">
        <v>1331</v>
      </c>
      <c r="Y53" s="3"/>
      <c r="Z53" s="3" t="s">
        <v>1332</v>
      </c>
      <c r="AA53" s="22">
        <f>2*$AF$47/1000-AA52</f>
        <v>3.3144439964564532E-3</v>
      </c>
      <c r="AB53" s="22" t="e">
        <f>2*$AF$47/1000-AB52</f>
        <v>#DIV/0!</v>
      </c>
      <c r="AC53" s="22">
        <f>2*$AF$47/1000-AC52</f>
        <v>7.9492962415873576E-5</v>
      </c>
      <c r="AD53" s="22">
        <f>2*$AF$47/1000-AD52</f>
        <v>7.9492962415873576E-5</v>
      </c>
      <c r="AE53" s="22"/>
      <c r="AF53" s="22"/>
      <c r="AG53" s="3" t="s">
        <v>1333</v>
      </c>
      <c r="AH53" s="22">
        <f>$P$72*AH46^2+2*$P$74*AH46*AH47+$P$73*AH47^2+$P$75*AH48^2</f>
        <v>1.2296590533619489</v>
      </c>
      <c r="AI53" s="22" t="e">
        <f>$P$72*AI46^2+2*$P$74*AI46*AI47+$P$73*AI47^2+$P$75*AI48^2</f>
        <v>#DIV/0!</v>
      </c>
      <c r="AJ53" s="22">
        <f>$P$72*AJ46^2+2*$P$74*AJ46*AJ47+$P$73*AJ47^2+$P$75*AJ48^2</f>
        <v>1.2296590533619469</v>
      </c>
      <c r="AK53" s="22">
        <f>$P$72*AK46^2+2*$P$74*AK46*AK47+$P$73*AK47^2+$P$75*AK48^2</f>
        <v>1.2296590533619469</v>
      </c>
      <c r="AL53" s="22"/>
    </row>
    <row r="54" spans="1:38">
      <c r="D54" s="2" t="s">
        <v>1733</v>
      </c>
      <c r="J54" s="3" t="s">
        <v>1547</v>
      </c>
      <c r="K54" s="4">
        <f>K53*(1-K50)/K50</f>
        <v>1.00010001000089E-4</v>
      </c>
      <c r="L54" s="4">
        <f>L53*(1-L50)/L50</f>
        <v>1.00010001000089E-4</v>
      </c>
      <c r="M54" s="8">
        <f t="shared" si="19"/>
        <v>1</v>
      </c>
      <c r="P54" s="4"/>
      <c r="Q54" s="4"/>
      <c r="R54" s="3">
        <v>11</v>
      </c>
      <c r="S54" s="4">
        <f>$L$66+$L$67*COS(S45)+$L$68*COS(S46)</f>
        <v>75.714285714285722</v>
      </c>
      <c r="T54" s="4">
        <f>$L$66+$L$67*COS(T45)+$L$68*COS(T46)</f>
        <v>75.714285714285722</v>
      </c>
      <c r="U54" s="4">
        <f>$L$66+$L$67*COS(U45)+$L$68*COS(U46)</f>
        <v>75.714285714285722</v>
      </c>
      <c r="V54" s="4">
        <f>$L$66+$L$67*COS(V45)+$L$68*COS(V46)</f>
        <v>75.714285714285722</v>
      </c>
      <c r="W54" s="5">
        <f t="shared" ref="W54:W59" si="20">($S$50*S54+$T$50*T54+$U$50*U54+$V$50*V54)*$W$51</f>
        <v>0.11357142857142859</v>
      </c>
      <c r="X54" s="4">
        <f t="shared" ref="X54:X59" si="21">W54/$W$51/1000000000</f>
        <v>7.5714285714285719E-8</v>
      </c>
      <c r="Y54" s="6"/>
      <c r="Z54" s="3" t="s">
        <v>1334</v>
      </c>
      <c r="AA54" s="22">
        <f>(2*($AF$49*COS(AA43)-$AF$48*SIN(AA43)))/1000</f>
        <v>-5.4790747669649678E-19</v>
      </c>
      <c r="AB54" s="22" t="e">
        <f>(2*($AF$49*COS(AB43)-$AF$48*SIN(AB43)))/1000</f>
        <v>#DIV/0!</v>
      </c>
      <c r="AC54" s="22">
        <f>(2*($AF$49*COS(AC43)-$AF$48*SIN(AC43)))/1000</f>
        <v>3.7353997006371732E-3</v>
      </c>
      <c r="AD54" s="22">
        <f>(2*($AF$49*COS(AD43)-$AF$48*SIN(AD43)))/1000</f>
        <v>-3.7353997006371732E-3</v>
      </c>
      <c r="AE54" s="22"/>
      <c r="AF54" s="22"/>
      <c r="AG54" s="3" t="s">
        <v>1335</v>
      </c>
      <c r="AH54" s="22">
        <f>$P$76*AH46+$P$77*AH47</f>
        <v>0</v>
      </c>
      <c r="AI54" s="22" t="e">
        <f>$P$76*AI46+$P$77*AI47</f>
        <v>#DIV/0!</v>
      </c>
      <c r="AJ54" s="22">
        <f>$P$76*AJ46+$P$77*AJ47</f>
        <v>0</v>
      </c>
      <c r="AK54" s="22">
        <f>$P$76*AK46+$P$77*AK47</f>
        <v>0</v>
      </c>
      <c r="AL54" s="22"/>
    </row>
    <row r="55" spans="1:38">
      <c r="D55" s="21" t="s">
        <v>1739</v>
      </c>
      <c r="E55" s="12">
        <f>E51/B51</f>
        <v>15.219638839319034</v>
      </c>
      <c r="J55" s="3" t="s">
        <v>1548</v>
      </c>
      <c r="K55" s="4">
        <f>1/((1+K54)/K45-K54/K52)</f>
        <v>68.90000000000002</v>
      </c>
      <c r="L55" s="4">
        <f>K55*P45^$F$32</f>
        <v>68.90000000000002</v>
      </c>
      <c r="M55" s="8">
        <f t="shared" si="19"/>
        <v>1</v>
      </c>
      <c r="N55" s="2" t="s">
        <v>1148</v>
      </c>
      <c r="P55" s="4"/>
      <c r="Q55" s="4"/>
      <c r="R55" s="3">
        <v>22</v>
      </c>
      <c r="S55" s="4">
        <f>S54-2*$L$67*COS(S45)</f>
        <v>75.714285714285708</v>
      </c>
      <c r="T55" s="4">
        <f>T54-2*$L$67*COS(T45)</f>
        <v>75.714285714285737</v>
      </c>
      <c r="U55" s="4">
        <f>U54-2*$L$67*COS(U45)</f>
        <v>75.714285714285722</v>
      </c>
      <c r="V55" s="4">
        <f>V54-2*$L$67*COS(V45)</f>
        <v>75.714285714285722</v>
      </c>
      <c r="W55" s="5">
        <f t="shared" si="20"/>
        <v>0.11357142857142856</v>
      </c>
      <c r="X55" s="4">
        <f t="shared" si="21"/>
        <v>7.5714285714285706E-8</v>
      </c>
      <c r="Y55" s="6"/>
      <c r="Z55" s="3"/>
      <c r="AA55" s="22"/>
      <c r="AB55" s="22"/>
      <c r="AC55" s="22"/>
      <c r="AD55" s="22"/>
      <c r="AE55" s="22"/>
      <c r="AF55" s="22"/>
      <c r="AG55" s="3" t="s">
        <v>1344</v>
      </c>
      <c r="AH55" s="22">
        <f>AH54/2/AH53</f>
        <v>0</v>
      </c>
      <c r="AI55" s="22" t="e">
        <f>AI54/2/AI53</f>
        <v>#DIV/0!</v>
      </c>
      <c r="AJ55" s="22">
        <f>AJ54/2/AJ53</f>
        <v>0</v>
      </c>
      <c r="AK55" s="22">
        <f>AK54/2/AK53</f>
        <v>0</v>
      </c>
      <c r="AL55" s="22"/>
    </row>
    <row r="56" spans="1:38">
      <c r="D56" s="21" t="s">
        <v>1740</v>
      </c>
      <c r="E56" s="12">
        <f>E51/C51</f>
        <v>25.159997038373142</v>
      </c>
      <c r="J56" s="3" t="s">
        <v>295</v>
      </c>
      <c r="K56" s="4">
        <f>$E$32</f>
        <v>1</v>
      </c>
      <c r="L56" s="4">
        <f>K56*P45^$G$31</f>
        <v>1</v>
      </c>
      <c r="M56" s="8">
        <f t="shared" si="19"/>
        <v>1</v>
      </c>
      <c r="N56" s="3" t="s">
        <v>296</v>
      </c>
      <c r="O56" s="2">
        <f>$A$30</f>
        <v>206</v>
      </c>
      <c r="P56" s="7">
        <f>P62*L50</f>
        <v>206</v>
      </c>
      <c r="Q56" s="4">
        <f t="shared" ref="Q56:Q63" si="22">P56/O56</f>
        <v>1</v>
      </c>
      <c r="R56" s="3" t="s">
        <v>1345</v>
      </c>
      <c r="S56" s="4">
        <f>$L$69-$L$68*COS(S46)</f>
        <v>22.714285714285722</v>
      </c>
      <c r="T56" s="4">
        <f>$L$69-$L$68*COS(T46)</f>
        <v>22.714285714285722</v>
      </c>
      <c r="U56" s="4">
        <f>$L$69-$L$68*COS(U46)</f>
        <v>22.714285714285722</v>
      </c>
      <c r="V56" s="4">
        <f>$L$69-$L$68*COS(V46)</f>
        <v>22.714285714285722</v>
      </c>
      <c r="W56" s="5">
        <f t="shared" si="20"/>
        <v>3.4071428571428586E-2</v>
      </c>
      <c r="X56" s="4">
        <f t="shared" si="21"/>
        <v>2.2714285714285721E-8</v>
      </c>
      <c r="Y56" s="6"/>
      <c r="Z56" s="3"/>
      <c r="AA56" s="22"/>
      <c r="AB56" s="22"/>
      <c r="AC56" s="22"/>
      <c r="AD56" s="22"/>
      <c r="AE56" s="22"/>
      <c r="AF56" s="22"/>
      <c r="AG56" s="3"/>
      <c r="AH56" s="22"/>
      <c r="AI56" s="22"/>
      <c r="AJ56" s="22"/>
      <c r="AK56" s="22"/>
      <c r="AL56" s="22"/>
    </row>
    <row r="57" spans="1:38">
      <c r="D57" s="21" t="s">
        <v>1741</v>
      </c>
      <c r="E57" s="12">
        <f>E51/A51</f>
        <v>52.469030186620998</v>
      </c>
      <c r="G57" s="4"/>
      <c r="J57" s="3" t="s">
        <v>301</v>
      </c>
      <c r="K57" s="4">
        <f>K56*(1-K50)/K50</f>
        <v>1.00010001000089E-4</v>
      </c>
      <c r="L57" s="4">
        <f>L56*(1-L50)/L50</f>
        <v>1.00010001000089E-4</v>
      </c>
      <c r="M57" s="8">
        <f t="shared" si="19"/>
        <v>1</v>
      </c>
      <c r="N57" s="3" t="s">
        <v>302</v>
      </c>
      <c r="O57" s="2">
        <f>$B$30</f>
        <v>206</v>
      </c>
      <c r="P57" s="7">
        <f>O57*Q56*M47^E33</f>
        <v>206</v>
      </c>
      <c r="Q57" s="4">
        <f t="shared" si="22"/>
        <v>1</v>
      </c>
      <c r="R57" s="3">
        <v>66</v>
      </c>
      <c r="S57" s="4">
        <f>S56-$L$69+$L$70</f>
        <v>26.5</v>
      </c>
      <c r="T57" s="4">
        <f>T56-$L$69+$L$70</f>
        <v>26.5</v>
      </c>
      <c r="U57" s="4">
        <f>U56-$L$69+$L$70</f>
        <v>26.5</v>
      </c>
      <c r="V57" s="4">
        <f>V56-$L$69+$L$70</f>
        <v>26.5</v>
      </c>
      <c r="W57" s="5">
        <f t="shared" si="20"/>
        <v>3.9749999999999994E-2</v>
      </c>
      <c r="X57" s="4">
        <f t="shared" si="21"/>
        <v>2.6499999999999996E-8</v>
      </c>
      <c r="Y57" s="6"/>
      <c r="Z57" s="3"/>
      <c r="AA57" s="22"/>
      <c r="AB57" s="22"/>
      <c r="AC57" s="22"/>
      <c r="AD57" s="22"/>
      <c r="AE57" s="22"/>
      <c r="AF57" s="22"/>
      <c r="AG57" s="3"/>
      <c r="AH57" s="22"/>
      <c r="AI57" s="22"/>
      <c r="AJ57" s="22"/>
      <c r="AK57" s="22"/>
      <c r="AL57" s="22"/>
    </row>
    <row r="58" spans="1:38">
      <c r="D58" s="21" t="s">
        <v>1742</v>
      </c>
      <c r="E58" s="12">
        <f>B51/C51</f>
        <v>1.6531270750902303</v>
      </c>
      <c r="J58" s="3" t="s">
        <v>304</v>
      </c>
      <c r="K58" s="4">
        <f>1/((1+K57)/K47-K57*2.7/K52)</f>
        <v>26.500101933662343</v>
      </c>
      <c r="L58" s="4">
        <f>K58*P45^$F$32</f>
        <v>26.500101933662343</v>
      </c>
      <c r="M58" s="8">
        <f t="shared" si="19"/>
        <v>1</v>
      </c>
      <c r="N58" s="3" t="s">
        <v>305</v>
      </c>
      <c r="O58" s="2">
        <f>$C$30</f>
        <v>206</v>
      </c>
      <c r="P58" s="7">
        <f>O58*Q63</f>
        <v>206</v>
      </c>
      <c r="Q58" s="4">
        <f t="shared" si="22"/>
        <v>1</v>
      </c>
      <c r="R58" s="3" t="s">
        <v>1347</v>
      </c>
      <c r="S58" s="4">
        <f>$L$67*SIN(S45)/2+$L$68*SIN(S46)</f>
        <v>-4.352601674315153E-31</v>
      </c>
      <c r="T58" s="4">
        <f>$L$67*SIN(T45)/2+$L$68*SIN(T46)</f>
        <v>8.7052033486303061E-31</v>
      </c>
      <c r="U58" s="4">
        <f>$L$67*SIN(U45)/2+$L$68*SIN(U46)</f>
        <v>3.0767402982137021E-15</v>
      </c>
      <c r="V58" s="4">
        <f>$L$67*SIN(V45)/2+$L$68*SIN(V46)</f>
        <v>-3.0767402982137021E-15</v>
      </c>
      <c r="W58" s="5">
        <f t="shared" si="20"/>
        <v>-5.9164567891575887E-34</v>
      </c>
      <c r="X58" s="4">
        <f t="shared" si="21"/>
        <v>-3.9443045261050593E-40</v>
      </c>
      <c r="Y58" s="6"/>
      <c r="AA58" s="22"/>
      <c r="AB58" s="22"/>
      <c r="AC58" s="22"/>
      <c r="AD58" s="22"/>
      <c r="AE58" s="22"/>
      <c r="AF58" s="22"/>
      <c r="AG58" s="3"/>
      <c r="AH58" s="22"/>
      <c r="AI58" s="22"/>
      <c r="AJ58" s="22"/>
      <c r="AK58" s="22"/>
      <c r="AL58" s="16" t="s">
        <v>574</v>
      </c>
    </row>
    <row r="59" spans="1:38">
      <c r="D59" s="21" t="s">
        <v>1743</v>
      </c>
      <c r="E59" s="12">
        <f>B51/A51</f>
        <v>3.4474556683349391</v>
      </c>
      <c r="F59" s="2" t="s">
        <v>1745</v>
      </c>
      <c r="G59" s="4">
        <f>1/E59</f>
        <v>0.2900689947038485</v>
      </c>
      <c r="L59" s="4"/>
      <c r="N59" s="3" t="s">
        <v>1542</v>
      </c>
      <c r="O59" s="2">
        <f>$D$30</f>
        <v>206</v>
      </c>
      <c r="P59" s="7">
        <f>O59*Q63</f>
        <v>206</v>
      </c>
      <c r="Q59" s="4">
        <f t="shared" si="22"/>
        <v>1</v>
      </c>
      <c r="R59" s="3" t="s">
        <v>1349</v>
      </c>
      <c r="S59" s="4">
        <f>$L$67*SIN(S45)-S58</f>
        <v>-4.352601674315153E-31</v>
      </c>
      <c r="T59" s="4">
        <f>$L$67*SIN(T45)-T58</f>
        <v>8.7052033486303061E-31</v>
      </c>
      <c r="U59" s="4">
        <f>$L$67*SIN(U45)-U58</f>
        <v>3.0767402982137021E-15</v>
      </c>
      <c r="V59" s="4">
        <f>$L$67*SIN(V45)-V58</f>
        <v>-3.0767402982137021E-15</v>
      </c>
      <c r="W59" s="5">
        <f t="shared" si="20"/>
        <v>-5.9164567891575887E-34</v>
      </c>
      <c r="X59" s="4">
        <f t="shared" si="21"/>
        <v>-3.9443045261050593E-40</v>
      </c>
      <c r="Y59" s="6"/>
      <c r="Z59" s="2" t="s">
        <v>1158</v>
      </c>
      <c r="AA59" s="16" t="s">
        <v>569</v>
      </c>
      <c r="AB59" s="22"/>
      <c r="AC59" s="16" t="s">
        <v>570</v>
      </c>
      <c r="AD59" s="22"/>
      <c r="AF59" s="22"/>
      <c r="AG59" s="3" t="s">
        <v>1351</v>
      </c>
      <c r="AH59" s="11">
        <f>(AH55^2+1/AH53)^0.5-AH55</f>
        <v>0.90179462863347226</v>
      </c>
      <c r="AI59" s="11" t="e">
        <f>(AI55^2+1/AI53)^0.5-AI55</f>
        <v>#DIV/0!</v>
      </c>
      <c r="AJ59" s="11">
        <f>(AJ55^2+1/AJ53)^0.5-AJ55</f>
        <v>0.90179462863347293</v>
      </c>
      <c r="AK59" s="11">
        <f>(AK55^2+1/AK53)^0.5-AK55</f>
        <v>0.90179462863347293</v>
      </c>
      <c r="AL59" s="11">
        <f>MIN(AH60:AK60)</f>
        <v>0.90179462863347226</v>
      </c>
    </row>
    <row r="60" spans="1:38">
      <c r="D60" s="21" t="s">
        <v>1744</v>
      </c>
      <c r="E60" s="12">
        <f>C51/A51</f>
        <v>2.0854147997949712</v>
      </c>
      <c r="J60" s="2" t="s">
        <v>1507</v>
      </c>
      <c r="N60" s="3" t="s">
        <v>1543</v>
      </c>
      <c r="O60" s="2">
        <f>$E$30</f>
        <v>118.934155453063</v>
      </c>
      <c r="P60" s="25">
        <f>O60*Q63</f>
        <v>118.934155453063</v>
      </c>
      <c r="Q60" s="4">
        <f t="shared" si="22"/>
        <v>1</v>
      </c>
      <c r="R60" s="1"/>
      <c r="V60" s="6" t="s">
        <v>1353</v>
      </c>
      <c r="W60" s="5">
        <f>W54*W55*W57+2*W56*W58*W59-W55*W58^2-W57*W56^2-W54*W59^2</f>
        <v>4.6656988392857141E-4</v>
      </c>
      <c r="Z60" s="3">
        <v>1</v>
      </c>
      <c r="AA60" s="22">
        <f>AA47/$AF$4</f>
        <v>222222.22222222222</v>
      </c>
      <c r="AB60" s="22"/>
      <c r="AC60" s="22">
        <f>AC47+AD47*$AF$4/2</f>
        <v>3.3144439964564532</v>
      </c>
      <c r="AD60" s="22"/>
      <c r="AF60" s="22"/>
      <c r="AG60" s="3"/>
      <c r="AH60" s="11">
        <f>IF(AH42=0,1000000000,AH59)</f>
        <v>0.90179462863347226</v>
      </c>
      <c r="AI60" s="11">
        <f>IF(AI42=0,1000000000,AI59)</f>
        <v>1000000000</v>
      </c>
      <c r="AJ60" s="11">
        <f>IF(AJ42=0,1000000000,AJ59)</f>
        <v>0.90179462863347293</v>
      </c>
      <c r="AK60" s="11">
        <f>IF(AK42=0,1000000000,AK59)</f>
        <v>0.90179462863347293</v>
      </c>
    </row>
    <row r="61" spans="1:38">
      <c r="J61" s="3" t="s">
        <v>1354</v>
      </c>
      <c r="K61" s="4">
        <f>K44/(1-K46^2*K45/K44)</f>
        <v>75.714285714285722</v>
      </c>
      <c r="L61" s="4">
        <f>L44/(1-L46^2*L45/L44)</f>
        <v>75.714285714285722</v>
      </c>
      <c r="M61" s="8">
        <f>L61/K61</f>
        <v>1</v>
      </c>
      <c r="N61" s="3" t="s">
        <v>1168</v>
      </c>
      <c r="O61" s="8">
        <f>$A$31</f>
        <v>-0.5</v>
      </c>
      <c r="P61" s="8">
        <f>O61*I20</f>
        <v>-0.5</v>
      </c>
      <c r="Q61" s="4">
        <f t="shared" si="22"/>
        <v>1</v>
      </c>
      <c r="R61" s="3" t="s">
        <v>1355</v>
      </c>
      <c r="S61" s="6" t="s">
        <v>1169</v>
      </c>
      <c r="T61" s="6"/>
      <c r="U61" s="6" t="s">
        <v>196</v>
      </c>
      <c r="V61" s="6"/>
      <c r="W61" s="6" t="s">
        <v>1358</v>
      </c>
      <c r="X61" s="6"/>
      <c r="Y61" s="3"/>
      <c r="Z61" s="3">
        <v>2</v>
      </c>
      <c r="AA61" s="22">
        <f>AA48/$AF$4</f>
        <v>0</v>
      </c>
      <c r="AB61" s="22"/>
      <c r="AC61" s="22">
        <f>AC48+AD48*$AF$4/2</f>
        <v>-0.99882404893098642</v>
      </c>
      <c r="AD61" s="22"/>
      <c r="AF61" s="22"/>
      <c r="AG61" s="2" t="s">
        <v>1360</v>
      </c>
      <c r="AH61" s="11">
        <f>IF(AH42=0,0,AH59)</f>
        <v>0.90179462863347226</v>
      </c>
      <c r="AI61" s="11">
        <f>IF(AI42=0,0,AI59)</f>
        <v>0</v>
      </c>
      <c r="AJ61" s="11">
        <f>IF(AJ42=0,0,AJ59)</f>
        <v>0.90179462863347293</v>
      </c>
      <c r="AK61" s="11">
        <f>IF(AK42=0,0,AK59)</f>
        <v>0.90179462863347293</v>
      </c>
    </row>
    <row r="62" spans="1:38">
      <c r="A62" s="10" t="s">
        <v>1748</v>
      </c>
      <c r="B62" s="4">
        <v>160.80000000000001</v>
      </c>
      <c r="C62" s="4">
        <v>9.15</v>
      </c>
      <c r="D62" s="4">
        <v>0.28999999999999998</v>
      </c>
      <c r="E62" s="4">
        <v>6.37</v>
      </c>
      <c r="F62" s="4">
        <v>3.4</v>
      </c>
      <c r="G62" s="4">
        <v>122</v>
      </c>
      <c r="H62" s="4">
        <v>160</v>
      </c>
      <c r="J62" s="3" t="s">
        <v>1361</v>
      </c>
      <c r="K62" s="4">
        <f>K61*K45/K44</f>
        <v>75.714285714285722</v>
      </c>
      <c r="L62" s="4">
        <f>L61*L45/L44</f>
        <v>75.714285714285737</v>
      </c>
      <c r="M62" s="8">
        <f>L62/K62</f>
        <v>1.0000000000000002</v>
      </c>
      <c r="N62" s="3" t="s">
        <v>1175</v>
      </c>
      <c r="O62" s="7">
        <f>O56/K50</f>
        <v>206.02060206020602</v>
      </c>
      <c r="P62" s="7">
        <f>$H$20*P45^$G$32</f>
        <v>206.02060206020602</v>
      </c>
      <c r="Q62" s="4">
        <f t="shared" si="22"/>
        <v>1</v>
      </c>
      <c r="R62" s="3">
        <v>11</v>
      </c>
      <c r="S62" s="5">
        <f>(W55*W57-W59^2)/W60</f>
        <v>9.6758587324625047</v>
      </c>
      <c r="U62" s="5">
        <f t="shared" ref="U62:U67" si="23">S62*$W$51</f>
        <v>1.4513788098693758E-2</v>
      </c>
      <c r="V62" s="5"/>
      <c r="W62" s="4">
        <f>1/U62</f>
        <v>68.900000000000006</v>
      </c>
      <c r="Y62" s="5"/>
      <c r="Z62" s="3">
        <v>6</v>
      </c>
      <c r="AA62" s="22">
        <f>AA49/$AF$4</f>
        <v>0</v>
      </c>
      <c r="AB62" s="22"/>
      <c r="AC62" s="22">
        <f>AC49+AD49*$AF$4/2</f>
        <v>1.946810855518227E-17</v>
      </c>
      <c r="AD62" s="22"/>
      <c r="AF62" s="22"/>
      <c r="AG62" s="3" t="s">
        <v>1364</v>
      </c>
      <c r="AH62" s="26">
        <f>$AL$46+$AL$47*COS(AH43)+$AL$48*SIN(AH43)-$V$76</f>
        <v>4.8549770103056986E-5</v>
      </c>
      <c r="AI62" s="22" t="e">
        <f>$AL$46+$AL$47*COS(AI43)+$AL$48*SIN(AI43)-$V$76</f>
        <v>#DIV/0!</v>
      </c>
      <c r="AJ62" s="26">
        <f>$AL$46+$AL$47*COS(AJ43)+$AL$48*SIN(AJ43)-$V$76</f>
        <v>1.8446705748789408E-5</v>
      </c>
      <c r="AK62" s="26">
        <f>$AL$46+$AL$47*COS(AK43)+$AL$48*SIN(AK43)-$V$76</f>
        <v>1.8446705748789415E-5</v>
      </c>
      <c r="AL62" s="22"/>
    </row>
    <row r="63" spans="1:38">
      <c r="A63" s="4">
        <v>2530</v>
      </c>
      <c r="B63" s="4">
        <v>1669</v>
      </c>
      <c r="C63" s="4">
        <v>66</v>
      </c>
      <c r="D63" s="4">
        <v>220</v>
      </c>
      <c r="E63" s="4">
        <v>93</v>
      </c>
      <c r="F63" s="4">
        <v>1.2</v>
      </c>
      <c r="G63" s="4">
        <v>22</v>
      </c>
      <c r="H63" s="4">
        <v>5.0000000000000001E-3</v>
      </c>
      <c r="J63" s="3" t="s">
        <v>1365</v>
      </c>
      <c r="K63" s="4">
        <f>K62*K46</f>
        <v>22.714285714285715</v>
      </c>
      <c r="L63" s="4">
        <f>L62*L46</f>
        <v>22.714285714285719</v>
      </c>
      <c r="M63" s="8">
        <f>L63/K63</f>
        <v>1.0000000000000002</v>
      </c>
      <c r="N63" s="3" t="s">
        <v>1176</v>
      </c>
      <c r="O63" s="7">
        <f>O58</f>
        <v>206</v>
      </c>
      <c r="P63" s="7">
        <f>$G$20*P45^$H$31</f>
        <v>206</v>
      </c>
      <c r="Q63" s="4">
        <f t="shared" si="22"/>
        <v>1</v>
      </c>
      <c r="R63" s="3">
        <v>22</v>
      </c>
      <c r="S63" s="5">
        <f>(W54*W57-W58^2)/W60</f>
        <v>9.6758587324625065</v>
      </c>
      <c r="U63" s="5">
        <f t="shared" si="23"/>
        <v>1.4513788098693759E-2</v>
      </c>
      <c r="V63" s="5"/>
      <c r="W63" s="4">
        <f>1/U63</f>
        <v>68.899999999999991</v>
      </c>
      <c r="Y63" s="5"/>
      <c r="Z63" s="3" t="s">
        <v>1177</v>
      </c>
      <c r="AA63" s="22">
        <f>(AA60^2-AA60*AA61+AA61^2+3*AA62^2)^0.5</f>
        <v>222222.22222222222</v>
      </c>
      <c r="AB63" s="22"/>
      <c r="AC63" s="22">
        <f>(AC60^2+AC61^2+AC62^2/2)^0.5</f>
        <v>3.4616742316932587</v>
      </c>
      <c r="AD63" s="22"/>
      <c r="AF63" s="22"/>
      <c r="AG63" s="3" t="s">
        <v>1367</v>
      </c>
      <c r="AH63" s="22">
        <f>2*$AL$46-AH62-$V$77-$V$76</f>
        <v>8.4123509640335583E-6</v>
      </c>
      <c r="AI63" s="22" t="e">
        <f>2*$AL$46-AI62-$V$77-$V$76</f>
        <v>#DIV/0!</v>
      </c>
      <c r="AJ63" s="22">
        <f>2*$AL$46-AJ62-$V$77-$V$76</f>
        <v>3.8515415318301133E-5</v>
      </c>
      <c r="AK63" s="22">
        <f>2*$AL$46-AK62-$V$77-$V$76</f>
        <v>3.8515415318301133E-5</v>
      </c>
      <c r="AL63" s="22"/>
    </row>
    <row r="64" spans="1:38">
      <c r="A64" s="4">
        <v>-0.5</v>
      </c>
      <c r="B64" s="4">
        <v>125</v>
      </c>
      <c r="C64" s="4">
        <v>0.55000000000000004</v>
      </c>
      <c r="D64" s="4">
        <v>1.6</v>
      </c>
      <c r="E64" s="4">
        <v>0.51600000000000001</v>
      </c>
      <c r="F64" s="4">
        <v>0.5</v>
      </c>
      <c r="G64" s="4">
        <v>0.2</v>
      </c>
      <c r="H64" s="4">
        <v>0.9</v>
      </c>
      <c r="J64" s="3" t="s">
        <v>1370</v>
      </c>
      <c r="K64" s="4">
        <f>K47</f>
        <v>26.5</v>
      </c>
      <c r="L64" s="4">
        <f>L47</f>
        <v>26.5</v>
      </c>
      <c r="M64" s="8">
        <f>L64/K64</f>
        <v>1</v>
      </c>
      <c r="R64" s="3" t="s">
        <v>1345</v>
      </c>
      <c r="S64" s="5">
        <f>(W58*W59-W56*W57)/W60</f>
        <v>-2.9027576197387526</v>
      </c>
      <c r="U64" s="5">
        <f t="shared" si="23"/>
        <v>-4.3541364296081292E-3</v>
      </c>
      <c r="V64" s="5"/>
      <c r="W64" s="4">
        <f>-U64/U62</f>
        <v>0.30000000000000016</v>
      </c>
      <c r="Y64" s="5"/>
      <c r="Z64" s="3"/>
      <c r="AA64" s="3" t="s">
        <v>1178</v>
      </c>
      <c r="AB64" s="16">
        <f>AA63</f>
        <v>222222.22222222222</v>
      </c>
      <c r="AC64" s="16" t="s">
        <v>1179</v>
      </c>
      <c r="AD64" s="22">
        <f>AC63</f>
        <v>3.4616742316932587</v>
      </c>
      <c r="AF64" s="22"/>
      <c r="AG64" s="3" t="s">
        <v>1372</v>
      </c>
      <c r="AH64" s="26">
        <f>2*($AL$48*COS(AH43)-$AL$47*SIN(AH43))</f>
        <v>-2.480324086662291E-21</v>
      </c>
      <c r="AI64" s="22" t="e">
        <f>2*($AL$48*COS(AI43)-$AL$47*SIN(AI43))</f>
        <v>#DIV/0!</v>
      </c>
      <c r="AJ64" s="26">
        <f>2*($AL$48*COS(AJ43)-$AL$47*SIN(AJ43))</f>
        <v>-3.4760024616738009E-5</v>
      </c>
      <c r="AK64" s="26">
        <f>2*($AL$48*COS(AK43)-$AL$47*SIN(AK43))</f>
        <v>3.4760024616738023E-5</v>
      </c>
      <c r="AL64" s="22"/>
    </row>
    <row r="65" spans="1:38">
      <c r="A65" s="4">
        <v>0.02</v>
      </c>
      <c r="B65" s="4">
        <v>22.5</v>
      </c>
      <c r="C65" s="4">
        <v>0</v>
      </c>
      <c r="D65" s="4">
        <v>0.6</v>
      </c>
      <c r="E65" s="4">
        <v>0.316</v>
      </c>
      <c r="F65" s="4">
        <v>4.0000000000000001E-3</v>
      </c>
      <c r="G65" s="4">
        <v>4.0000000000000001E-3</v>
      </c>
      <c r="H65" s="4">
        <v>2000</v>
      </c>
      <c r="J65" s="2" t="s">
        <v>1510</v>
      </c>
      <c r="K65" s="4"/>
      <c r="L65" s="4"/>
      <c r="N65" s="2" t="s">
        <v>1375</v>
      </c>
      <c r="R65" s="3">
        <v>66</v>
      </c>
      <c r="S65" s="5">
        <f>(W54*W55-W56^2)/W60</f>
        <v>25.157232704402517</v>
      </c>
      <c r="U65" s="5">
        <f t="shared" si="23"/>
        <v>3.7735849056603779E-2</v>
      </c>
      <c r="V65" s="5"/>
      <c r="W65" s="4">
        <f>1/U65</f>
        <v>26.499999999999996</v>
      </c>
      <c r="Y65" s="5"/>
      <c r="AF65" s="22"/>
      <c r="AG65" s="22"/>
      <c r="AH65" s="22"/>
      <c r="AI65" s="22"/>
      <c r="AJ65" s="22"/>
      <c r="AK65" s="22"/>
      <c r="AL65" s="22"/>
    </row>
    <row r="66" spans="1:38">
      <c r="A66" s="4">
        <v>0.15</v>
      </c>
      <c r="B66" s="4">
        <v>0.01</v>
      </c>
      <c r="C66" s="4">
        <v>1</v>
      </c>
      <c r="D66" s="4">
        <v>1</v>
      </c>
      <c r="E66" s="4">
        <v>0.1</v>
      </c>
      <c r="F66" s="4">
        <v>0.5</v>
      </c>
      <c r="G66" s="4"/>
      <c r="H66" s="4"/>
      <c r="J66" s="3" t="s">
        <v>1380</v>
      </c>
      <c r="K66" s="4">
        <f>(3*K61+3*K62+2*K63+4*K64)/8</f>
        <v>75.714285714285722</v>
      </c>
      <c r="L66" s="4">
        <f>(3*L61+3*L62+2*L63+4*L64)/8</f>
        <v>75.714285714285722</v>
      </c>
      <c r="M66" s="8">
        <f>L66/K66</f>
        <v>1</v>
      </c>
      <c r="N66" s="3" t="s">
        <v>1381</v>
      </c>
      <c r="O66" s="4">
        <f>1/O56/O57*1000000</f>
        <v>23.564897728343855</v>
      </c>
      <c r="P66" s="4">
        <f>1/P56/P57*1000000</f>
        <v>23.564897728343855</v>
      </c>
      <c r="Q66" s="4">
        <f t="shared" ref="Q66:Q77" si="24">P66/O66</f>
        <v>1</v>
      </c>
      <c r="R66" s="3" t="s">
        <v>1347</v>
      </c>
      <c r="S66" s="5">
        <f>(W56*W59-W55*W58)/W60</f>
        <v>1.0081197499880568E-31</v>
      </c>
      <c r="U66" s="5">
        <f t="shared" si="23"/>
        <v>1.5121796249820851E-34</v>
      </c>
      <c r="V66" s="5"/>
      <c r="W66" s="4">
        <f>U66/U62</f>
        <v>1.0418917616126567E-32</v>
      </c>
      <c r="Y66" s="5"/>
      <c r="AA66" s="3" t="s">
        <v>1181</v>
      </c>
      <c r="AB66" s="3" t="s">
        <v>1182</v>
      </c>
      <c r="AC66" s="3" t="s">
        <v>1183</v>
      </c>
      <c r="AF66" s="22"/>
      <c r="AG66" s="16" t="s">
        <v>1383</v>
      </c>
      <c r="AH66" s="26">
        <f>$P$72*AH62^2+2*$P$74*AH62*AH63+$P$73*AH63^2+$P$75*AH64^2</f>
        <v>2.6517042593239489E-4</v>
      </c>
      <c r="AI66" s="22" t="e">
        <f>$P$72*AI62^2+2*$P$74*AI62*AI63+$P$73*AI63^2+$P$75*AI64^2</f>
        <v>#DIV/0!</v>
      </c>
      <c r="AJ66" s="26">
        <f>$P$72*AJ62^2+2*$P$74*AJ62*AJ63+$P$73*AJ63^2+$P$75*AJ64^2</f>
        <v>2.6517042593239489E-4</v>
      </c>
      <c r="AK66" s="26">
        <f>$P$72*AK62^2+2*$P$74*AK62*AK63+$P$73*AK63^2+$P$75*AK64^2</f>
        <v>2.6517042593239494E-4</v>
      </c>
      <c r="AL66" s="22"/>
    </row>
    <row r="67" spans="1:38">
      <c r="J67" s="3" t="s">
        <v>1384</v>
      </c>
      <c r="K67" s="4">
        <f>(K61-K62)/2</f>
        <v>0</v>
      </c>
      <c r="L67" s="4">
        <f>(L61-L62)/2</f>
        <v>-7.1054273576010019E-15</v>
      </c>
      <c r="M67" s="8" t="e">
        <f>L67/K67</f>
        <v>#DIV/0!</v>
      </c>
      <c r="N67" s="3" t="s">
        <v>1385</v>
      </c>
      <c r="O67" s="4">
        <f>1/O58/O59*1000000</f>
        <v>23.564897728343855</v>
      </c>
      <c r="P67" s="4">
        <f>1/P58/P59*1000000</f>
        <v>23.564897728343855</v>
      </c>
      <c r="Q67" s="4">
        <f t="shared" si="24"/>
        <v>1</v>
      </c>
      <c r="R67" s="3" t="s">
        <v>1349</v>
      </c>
      <c r="S67" s="5">
        <f>(W56*W58-W54*W59)/W60</f>
        <v>1.0081197499880572E-31</v>
      </c>
      <c r="U67" s="5">
        <f t="shared" si="23"/>
        <v>1.5121796249820857E-34</v>
      </c>
      <c r="V67" s="5"/>
      <c r="W67" s="4">
        <f>U67/U63</f>
        <v>1.041891761612657E-32</v>
      </c>
      <c r="Y67" s="5"/>
      <c r="Z67" s="3" t="s">
        <v>41</v>
      </c>
      <c r="AA67" s="7">
        <v>18.96</v>
      </c>
      <c r="AB67" s="7">
        <v>69</v>
      </c>
      <c r="AC67" s="7">
        <v>210</v>
      </c>
      <c r="AF67" s="22"/>
      <c r="AG67" s="16" t="s">
        <v>1387</v>
      </c>
      <c r="AH67" s="26">
        <f>$P$76*AH62+$P$77*AH63</f>
        <v>0</v>
      </c>
      <c r="AI67" s="22" t="e">
        <f>$P$76*AI62+$P$77*AI63</f>
        <v>#DIV/0!</v>
      </c>
      <c r="AJ67" s="26">
        <f>$P$76*AJ62+$P$77*AJ63</f>
        <v>0</v>
      </c>
      <c r="AK67" s="26">
        <f>$P$76*AK62+$P$77*AK63</f>
        <v>0</v>
      </c>
      <c r="AL67" s="22"/>
    </row>
    <row r="68" spans="1:38">
      <c r="A68" s="2" t="s">
        <v>1431</v>
      </c>
      <c r="B68" s="2">
        <v>191</v>
      </c>
      <c r="C68" s="2">
        <v>9.94</v>
      </c>
      <c r="D68" s="2">
        <v>0.35</v>
      </c>
      <c r="E68" s="2">
        <v>7.79</v>
      </c>
      <c r="F68" s="2">
        <v>9.5180923721422594</v>
      </c>
      <c r="J68" s="3" t="s">
        <v>1388</v>
      </c>
      <c r="K68" s="4">
        <f>(K61+K62-2*K63-4*K64)/8</f>
        <v>1.7763568394002505E-15</v>
      </c>
      <c r="L68" s="4">
        <f>(L61+L62-2*L63-4*L64)/8</f>
        <v>0</v>
      </c>
      <c r="M68" s="8">
        <f>L68/K68</f>
        <v>0</v>
      </c>
      <c r="N68" s="3" t="s">
        <v>1389</v>
      </c>
      <c r="O68" s="4">
        <f>O61*(O66*O67)^0.5</f>
        <v>-11.782448864171927</v>
      </c>
      <c r="P68" s="4">
        <f>P61*(P66*P67)^0.5</f>
        <v>-11.782448864171927</v>
      </c>
      <c r="Q68" s="4">
        <f t="shared" si="24"/>
        <v>1</v>
      </c>
      <c r="U68" s="5"/>
      <c r="V68" s="5"/>
      <c r="W68" s="6"/>
      <c r="Z68" s="3" t="s">
        <v>296</v>
      </c>
      <c r="AA68" s="7">
        <v>98</v>
      </c>
      <c r="AB68" s="7">
        <v>200</v>
      </c>
      <c r="AC68" s="7">
        <v>400</v>
      </c>
      <c r="AF68" s="22"/>
      <c r="AG68" s="16" t="s">
        <v>1390</v>
      </c>
      <c r="AH68" s="26">
        <f>AH66+AH67</f>
        <v>2.6517042593239489E-4</v>
      </c>
      <c r="AI68" s="22" t="e">
        <f>AI66+AI67</f>
        <v>#DIV/0!</v>
      </c>
      <c r="AJ68" s="26">
        <f>AJ66+AJ67</f>
        <v>2.6517042593239489E-4</v>
      </c>
      <c r="AK68" s="26">
        <f>AK66+AK67</f>
        <v>2.6517042593239494E-4</v>
      </c>
      <c r="AL68" s="22"/>
    </row>
    <row r="69" spans="1:38">
      <c r="A69" s="2">
        <v>3250</v>
      </c>
      <c r="B69" s="2">
        <v>3250</v>
      </c>
      <c r="C69" s="2">
        <v>62</v>
      </c>
      <c r="D69" s="2">
        <v>98</v>
      </c>
      <c r="E69" s="2">
        <v>75</v>
      </c>
      <c r="F69" s="2">
        <v>27.8030337915107</v>
      </c>
      <c r="J69" s="3" t="s">
        <v>1391</v>
      </c>
      <c r="K69" s="4">
        <f>(K61+K62+6*K63-4*K64)/8</f>
        <v>22.714285714285715</v>
      </c>
      <c r="L69" s="4">
        <f>(L61+L62+6*L63-4*L64)/8</f>
        <v>22.714285714285722</v>
      </c>
      <c r="M69" s="8">
        <f>L69/K69</f>
        <v>1.0000000000000002</v>
      </c>
      <c r="N69" s="3" t="s">
        <v>1392</v>
      </c>
      <c r="O69" s="4">
        <f>1/O60^2*1000000</f>
        <v>70.694693185031468</v>
      </c>
      <c r="P69" s="4">
        <f>1/P60^2*1000000</f>
        <v>70.694693185031468</v>
      </c>
      <c r="Q69" s="4">
        <f t="shared" si="24"/>
        <v>1</v>
      </c>
      <c r="R69" s="1" t="s">
        <v>1185</v>
      </c>
      <c r="U69" s="5"/>
      <c r="V69" s="5"/>
      <c r="W69" s="6" t="s">
        <v>1394</v>
      </c>
      <c r="Y69" s="3"/>
      <c r="Z69" s="3" t="s">
        <v>1187</v>
      </c>
      <c r="AA69" s="12">
        <v>1.8</v>
      </c>
      <c r="AB69" s="12">
        <v>2.7</v>
      </c>
      <c r="AC69" s="12">
        <v>7.8</v>
      </c>
      <c r="AF69" s="22"/>
      <c r="AG69" s="16" t="s">
        <v>1395</v>
      </c>
      <c r="AH69" s="22">
        <f>-1+AH68</f>
        <v>-0.99973482957406756</v>
      </c>
      <c r="AI69" s="22" t="e">
        <f>-1+AI68</f>
        <v>#DIV/0!</v>
      </c>
      <c r="AJ69" s="22">
        <f>-1+AJ68</f>
        <v>-0.99973482957406756</v>
      </c>
      <c r="AK69" s="22">
        <f>-1+AK68</f>
        <v>-0.99973482957406756</v>
      </c>
      <c r="AL69" s="22"/>
    </row>
    <row r="70" spans="1:38">
      <c r="A70" s="2">
        <v>0.13750000000000001</v>
      </c>
      <c r="B70" s="2">
        <v>0.65</v>
      </c>
      <c r="C70" s="2">
        <v>1.6</v>
      </c>
      <c r="D70" s="2">
        <v>24</v>
      </c>
      <c r="E70" s="2">
        <v>0</v>
      </c>
      <c r="F70" s="2">
        <v>22.070371066829765</v>
      </c>
      <c r="J70" s="3" t="s">
        <v>1396</v>
      </c>
      <c r="K70" s="4">
        <f>(K66-K69)/2</f>
        <v>26.500000000000004</v>
      </c>
      <c r="L70" s="4">
        <f>(L66-L69)/2</f>
        <v>26.5</v>
      </c>
      <c r="M70" s="8">
        <f>L70/K70</f>
        <v>0.99999999999999989</v>
      </c>
      <c r="N70" s="3" t="s">
        <v>1397</v>
      </c>
      <c r="O70" s="4">
        <f>(1/O56-1/O57)*1000</f>
        <v>0</v>
      </c>
      <c r="P70" s="4">
        <f>(1/P56-1/P57)*1000</f>
        <v>0</v>
      </c>
      <c r="Q70" s="4" t="e">
        <f t="shared" si="24"/>
        <v>#DIV/0!</v>
      </c>
      <c r="R70" s="3" t="s">
        <v>1398</v>
      </c>
      <c r="S70" s="11">
        <f>S50*COS(S45)</f>
        <v>-0.66666666666666663</v>
      </c>
      <c r="T70" s="11">
        <f>T50*COS(T45)</f>
        <v>0</v>
      </c>
      <c r="U70" s="11">
        <f>U50*COS(U45)</f>
        <v>8.3333333333333343E-2</v>
      </c>
      <c r="V70" s="11">
        <f>V50*COS(V45)</f>
        <v>8.333333333333337E-2</v>
      </c>
      <c r="W70" s="11">
        <f>(S70+T70+U70+V70)</f>
        <v>-0.49999999999999989</v>
      </c>
      <c r="Y70" s="5"/>
      <c r="Z70" s="3" t="s">
        <v>1188</v>
      </c>
      <c r="AA70" s="7">
        <f>AA68/$AB$25*1000000</f>
        <v>147000.00000000003</v>
      </c>
      <c r="AB70" s="7">
        <f>AB68/$AB$25*1000000</f>
        <v>300000.00000000006</v>
      </c>
      <c r="AC70" s="7">
        <f>AC68/$AB$25*1000000</f>
        <v>600000.00000000012</v>
      </c>
      <c r="AF70" s="22"/>
      <c r="AG70" s="16" t="s">
        <v>1399</v>
      </c>
      <c r="AH70" s="22">
        <f>2*($P$72*AH46*AH62+$P$73*AH47*AH63+$P$74*(AH46*AH63+AH62*AH47)+$P$75*AH48*AH64)</f>
        <v>-2.1327934402455033E-3</v>
      </c>
      <c r="AI70" s="22" t="e">
        <f>2*($P$72*AI46*AI62+$P$73*AI47*AI63+$P$74*(AI46*AI63+AI62*AI47)+$P$75*AI48*AI64)</f>
        <v>#DIV/0!</v>
      </c>
      <c r="AJ70" s="22">
        <f>2*($P$72*AJ46*AJ62+$P$73*AJ47*AJ63+$P$74*(AJ46*AJ63+AJ62*AJ47)+$P$75*AJ48*AJ64)</f>
        <v>-2.1327934402454781E-3</v>
      </c>
      <c r="AK70" s="22">
        <f>2*($P$72*AK46*AK62+$P$73*AK47*AK63+$P$74*(AK46*AK63+AK62*AK47)+$P$75*AK48*AK64)</f>
        <v>-2.1327934402454798E-3</v>
      </c>
      <c r="AL70" s="22"/>
    </row>
    <row r="71" spans="1:38">
      <c r="A71" s="2">
        <v>-0.9</v>
      </c>
      <c r="B71" s="2">
        <v>22.3</v>
      </c>
      <c r="C71" s="2">
        <v>177</v>
      </c>
      <c r="D71" s="2">
        <v>0</v>
      </c>
      <c r="E71" s="2">
        <v>0.6</v>
      </c>
      <c r="F71" s="2">
        <v>22.059869637996147</v>
      </c>
      <c r="J71" s="2" t="s">
        <v>1400</v>
      </c>
      <c r="N71" s="3" t="s">
        <v>1401</v>
      </c>
      <c r="O71" s="4">
        <f>(1/O58-1/O59)*1000</f>
        <v>0</v>
      </c>
      <c r="P71" s="4">
        <f>(1/P58-1/P59)*1000</f>
        <v>0</v>
      </c>
      <c r="Q71" s="4" t="e">
        <f t="shared" si="24"/>
        <v>#DIV/0!</v>
      </c>
      <c r="R71" s="3" t="s">
        <v>1402</v>
      </c>
      <c r="S71" s="11">
        <f>S50*SIN(S45)</f>
        <v>8.1676563660574659E-17</v>
      </c>
      <c r="T71" s="11">
        <f>T50*SIN(T45)</f>
        <v>0</v>
      </c>
      <c r="U71" s="11">
        <f>U50*SIN(U45)</f>
        <v>-0.14433756729740643</v>
      </c>
      <c r="V71" s="11">
        <f>V50*SIN(V45)</f>
        <v>0.14433756729740646</v>
      </c>
      <c r="W71" s="11">
        <f>(S71+T71+U71+V71)</f>
        <v>1.1102230246251565E-16</v>
      </c>
      <c r="Y71" s="5"/>
      <c r="Z71" s="3" t="s">
        <v>1189</v>
      </c>
      <c r="AA71" s="7">
        <f>1</f>
        <v>1</v>
      </c>
      <c r="AB71" s="7">
        <f>AB69/AA69</f>
        <v>1.5</v>
      </c>
      <c r="AC71" s="7">
        <f>AC69/AA69</f>
        <v>4.333333333333333</v>
      </c>
      <c r="AG71" s="16" t="s">
        <v>1403</v>
      </c>
      <c r="AH71" s="26">
        <f>AH70+AH54</f>
        <v>-2.1327934402455033E-3</v>
      </c>
      <c r="AI71" s="22" t="e">
        <f>AI70+AI54</f>
        <v>#DIV/0!</v>
      </c>
      <c r="AJ71" s="26">
        <f>AJ70+AJ54</f>
        <v>-2.1327934402454781E-3</v>
      </c>
      <c r="AK71" s="26">
        <f>AK70+AK54</f>
        <v>-2.1327934402454798E-3</v>
      </c>
      <c r="AL71" s="22"/>
    </row>
    <row r="72" spans="1:38">
      <c r="J72" s="3" t="s">
        <v>1404</v>
      </c>
      <c r="K72" s="4">
        <f>(1-(K69/K66)^2)*K66</f>
        <v>68.900000000000006</v>
      </c>
      <c r="L72" s="4">
        <f>(1-(L69/L66)^2)*L66</f>
        <v>68.900000000000006</v>
      </c>
      <c r="M72" s="4">
        <f>L72/K72</f>
        <v>1</v>
      </c>
      <c r="N72" s="3" t="s">
        <v>1405</v>
      </c>
      <c r="O72" s="7">
        <f>(O66*K61^2+2*O68*K61*K63+O67*K63^2)</f>
        <v>106720.61264886764</v>
      </c>
      <c r="P72" s="7">
        <f>(P66*L61^2+2*P68*L61*L63+P67*L63^2)</f>
        <v>106720.61264886765</v>
      </c>
      <c r="Q72" s="4">
        <f t="shared" si="24"/>
        <v>1.0000000000000002</v>
      </c>
      <c r="R72" s="3"/>
      <c r="S72" s="6" t="s">
        <v>1406</v>
      </c>
      <c r="T72" s="6" t="s">
        <v>1407</v>
      </c>
      <c r="U72" s="6" t="s">
        <v>1408</v>
      </c>
      <c r="V72" s="6" t="s">
        <v>1409</v>
      </c>
      <c r="W72" s="6" t="s">
        <v>1410</v>
      </c>
      <c r="X72" s="6" t="s">
        <v>1411</v>
      </c>
      <c r="Y72" s="5"/>
      <c r="Z72" s="3" t="s">
        <v>1190</v>
      </c>
      <c r="AA72" s="5">
        <f>$AB$64*1.04/AA67/1000000000</f>
        <v>1.2189404594467885E-5</v>
      </c>
      <c r="AB72" s="5">
        <f>$AB$64*1.04/AB67/1000000000</f>
        <v>3.3494363929146541E-6</v>
      </c>
      <c r="AC72" s="5">
        <f>$AB$64*1.04/AC67/1000000000</f>
        <v>1.1005291005291006E-6</v>
      </c>
      <c r="AG72" s="16" t="s">
        <v>1412</v>
      </c>
      <c r="AH72" s="26">
        <f>AH71/2/AH53</f>
        <v>-8.672295927941733E-4</v>
      </c>
      <c r="AI72" s="22" t="e">
        <f>AI71/2/AI53</f>
        <v>#DIV/0!</v>
      </c>
      <c r="AJ72" s="26">
        <f>AJ71/2/AJ53</f>
        <v>-8.6722959279416452E-4</v>
      </c>
      <c r="AK72" s="26">
        <f>AK71/2/AK53</f>
        <v>-8.6722959279416528E-4</v>
      </c>
      <c r="AL72" s="22"/>
    </row>
    <row r="73" spans="1:38">
      <c r="A73" s="10" t="s">
        <v>1754</v>
      </c>
      <c r="B73" s="4">
        <v>162</v>
      </c>
      <c r="C73" s="4">
        <v>9</v>
      </c>
      <c r="D73" s="4">
        <v>0.4</v>
      </c>
      <c r="E73" s="4">
        <v>5</v>
      </c>
      <c r="F73" s="4">
        <v>3.4</v>
      </c>
      <c r="G73" s="4">
        <v>122</v>
      </c>
      <c r="H73" s="4">
        <v>160</v>
      </c>
      <c r="J73" s="3" t="s">
        <v>1414</v>
      </c>
      <c r="K73" s="4">
        <f>K69/K66</f>
        <v>0.3</v>
      </c>
      <c r="L73" s="4">
        <f>L69/L66</f>
        <v>0.3000000000000001</v>
      </c>
      <c r="M73" s="4">
        <f>L73/K73</f>
        <v>1.0000000000000004</v>
      </c>
      <c r="N73" s="3" t="s">
        <v>1415</v>
      </c>
      <c r="O73" s="7">
        <f>(O66*K63^2+2*O68*K63*K62+O67*K62^2)</f>
        <v>106720.61264886764</v>
      </c>
      <c r="P73" s="7">
        <f>(P66*L63^2+2*P68*L63*L62+P67*L62^2)</f>
        <v>106720.6126488677</v>
      </c>
      <c r="Q73" s="4">
        <f t="shared" si="24"/>
        <v>1.0000000000000004</v>
      </c>
      <c r="R73" s="3">
        <v>1</v>
      </c>
      <c r="S73" s="5">
        <f>(($L$61+$L$63)/2*$P$49+($L$63+$L$62)/2*$P$50)/1000000</f>
        <v>2.3209457142857144E-3</v>
      </c>
      <c r="T73" s="5">
        <f>(($L$61+$L$63)/2*$P$52+($L$63+$L$62)/2*$P$53)</f>
        <v>98.428571428571445</v>
      </c>
      <c r="U73" s="26">
        <f>S73+S74*W70</f>
        <v>2.3209457142857144E-3</v>
      </c>
      <c r="V73" s="11">
        <f>T73+T74*W70</f>
        <v>98.428571428571445</v>
      </c>
      <c r="W73" s="5">
        <f>(U73*U62+U74*U64+U75*U66)*1000000</f>
        <v>23.579999999999995</v>
      </c>
      <c r="X73" s="5">
        <f>(V73*U62+V74*U64+V75*U66)</f>
        <v>0.99999999999999978</v>
      </c>
      <c r="Y73" s="5"/>
      <c r="Z73" s="3"/>
      <c r="AG73" s="16"/>
      <c r="AH73" s="26"/>
      <c r="AI73" s="22"/>
      <c r="AJ73" s="22"/>
      <c r="AK73" s="22"/>
      <c r="AL73" s="22"/>
    </row>
    <row r="74" spans="1:38">
      <c r="A74" s="4">
        <v>3768</v>
      </c>
      <c r="B74" s="4">
        <v>1656</v>
      </c>
      <c r="C74" s="4">
        <v>56</v>
      </c>
      <c r="D74" s="4">
        <v>150</v>
      </c>
      <c r="E74" s="4">
        <v>98</v>
      </c>
      <c r="F74" s="4">
        <v>1.2</v>
      </c>
      <c r="G74" s="4">
        <v>22</v>
      </c>
      <c r="H74" s="4">
        <v>5.0000000000000001E-3</v>
      </c>
      <c r="N74" s="3" t="s">
        <v>1416</v>
      </c>
      <c r="O74" s="7">
        <f>(O66*K61*K63+O68*(K61*K62+K63^2)+O67*K63*K62)</f>
        <v>7429.9160704907845</v>
      </c>
      <c r="P74" s="7">
        <f>(P66*L61*L63+P68*(L61*L62+L63^2)+P67*L63*L62)</f>
        <v>7429.9160704907772</v>
      </c>
      <c r="Q74" s="4">
        <f t="shared" si="24"/>
        <v>0.999999999999999</v>
      </c>
      <c r="R74" s="3">
        <v>2</v>
      </c>
      <c r="S74" s="5">
        <f>(($L$61-$L$63)/2*$P$49+($L$63-$L$62)/2*$P$50)/1000000</f>
        <v>-1.1368683772161602E-19</v>
      </c>
      <c r="T74" s="5">
        <f>(($L$61-$L$63)/2*$P$52+($L$63-$L$62)/2*$P$53)</f>
        <v>-7.1054273576010019E-15</v>
      </c>
      <c r="U74" s="26">
        <f>S73-S74*W70</f>
        <v>2.3209457142857144E-3</v>
      </c>
      <c r="V74" s="11">
        <f>T73-T74*W70</f>
        <v>98.428571428571445</v>
      </c>
      <c r="W74" s="5">
        <f>(U73*U64+U74*U63+U75*U67)*1000000</f>
        <v>23.580000000000002</v>
      </c>
      <c r="X74" s="5">
        <f>(V73*U64+V74*U63+V75*U67)</f>
        <v>1</v>
      </c>
      <c r="Y74" s="5"/>
      <c r="AE74" s="6"/>
      <c r="AG74" s="16"/>
      <c r="AH74" s="26"/>
      <c r="AI74" s="22"/>
      <c r="AJ74" s="22"/>
      <c r="AK74" s="22"/>
      <c r="AL74" s="22"/>
    </row>
    <row r="75" spans="1:38">
      <c r="A75" s="4">
        <v>-0.5</v>
      </c>
      <c r="B75" s="4">
        <v>125</v>
      </c>
      <c r="C75" s="4">
        <v>0.64</v>
      </c>
      <c r="D75" s="4">
        <v>1.6</v>
      </c>
      <c r="E75" s="4">
        <v>0.51600000000000001</v>
      </c>
      <c r="F75" s="4">
        <v>0.5</v>
      </c>
      <c r="G75" s="4">
        <v>0.2</v>
      </c>
      <c r="H75" s="4">
        <v>0.9</v>
      </c>
      <c r="J75" s="3" t="s">
        <v>1193</v>
      </c>
      <c r="K75" s="4">
        <f>$D$31</f>
        <v>2.6</v>
      </c>
      <c r="L75" s="4">
        <f>L76*(1-$L$50)+L77*$L$50</f>
        <v>2.5298669999999999</v>
      </c>
      <c r="M75" s="4">
        <f>L75/K75</f>
        <v>0.97302576923076911</v>
      </c>
      <c r="N75" s="3" t="s">
        <v>1418</v>
      </c>
      <c r="O75" s="7">
        <f>O69*K64^2</f>
        <v>49645.348289188347</v>
      </c>
      <c r="P75" s="7">
        <f>P69*L64^2</f>
        <v>49645.348289188347</v>
      </c>
      <c r="Q75" s="4">
        <f t="shared" si="24"/>
        <v>1</v>
      </c>
      <c r="R75" s="3">
        <v>6</v>
      </c>
      <c r="S75" s="6" t="s">
        <v>1419</v>
      </c>
      <c r="T75" s="6" t="s">
        <v>1420</v>
      </c>
      <c r="U75" s="26">
        <f>S74*W71</f>
        <v>-1.2621774483536188E-35</v>
      </c>
      <c r="V75" s="11">
        <f>T74*W71</f>
        <v>-7.8886090522101181E-31</v>
      </c>
      <c r="W75" s="5">
        <f>(U73*U66+U74*U67+U75*U65)*1000000</f>
        <v>2.2564398722925529E-31</v>
      </c>
      <c r="X75" s="5">
        <f>(V73*U66+V74*U67+V75*U65)</f>
        <v>-5.4738221262688167E-48</v>
      </c>
      <c r="Y75" s="5"/>
      <c r="AE75" s="5"/>
      <c r="AG75" s="16"/>
      <c r="AH75" s="26"/>
      <c r="AI75" s="22"/>
      <c r="AJ75" s="22"/>
      <c r="AK75" s="22"/>
      <c r="AL75" s="16" t="s">
        <v>583</v>
      </c>
    </row>
    <row r="76" spans="1:38">
      <c r="A76" s="4">
        <v>0.02</v>
      </c>
      <c r="B76" s="4">
        <v>22.5</v>
      </c>
      <c r="C76" s="4">
        <v>0</v>
      </c>
      <c r="D76" s="4">
        <v>0.6</v>
      </c>
      <c r="E76" s="4">
        <v>0.316</v>
      </c>
      <c r="F76" s="4">
        <v>4.0000000000000001E-3</v>
      </c>
      <c r="G76" s="4">
        <v>4.0000000000000001E-3</v>
      </c>
      <c r="H76" s="4">
        <v>2000</v>
      </c>
      <c r="J76" s="3" t="s">
        <v>274</v>
      </c>
      <c r="K76" s="4">
        <f>$F$30</f>
        <v>2.6</v>
      </c>
      <c r="L76" s="4">
        <v>1.2</v>
      </c>
      <c r="M76" s="4">
        <f>L76/K76</f>
        <v>0.46153846153846151</v>
      </c>
      <c r="N76" s="3" t="s">
        <v>1422</v>
      </c>
      <c r="O76" s="7">
        <f>(O70*K61+O71*K63)</f>
        <v>0</v>
      </c>
      <c r="P76" s="7">
        <f>(P70*L61+P71*L63)</f>
        <v>0</v>
      </c>
      <c r="Q76" s="4" t="e">
        <f t="shared" si="24"/>
        <v>#DIV/0!</v>
      </c>
      <c r="R76" s="3">
        <v>1</v>
      </c>
      <c r="S76" s="5">
        <f>$P$46*U73+$P$42*V73</f>
        <v>0</v>
      </c>
      <c r="T76" s="5">
        <f>$P$46*W73/1000000+$P$42*X73</f>
        <v>0</v>
      </c>
      <c r="U76" s="6" t="s">
        <v>1423</v>
      </c>
      <c r="V76" s="5">
        <f>$P$46*$P$49/1000000+$P$42*$P$52</f>
        <v>0</v>
      </c>
      <c r="AG76" s="3" t="s">
        <v>1424</v>
      </c>
      <c r="AH76" s="11">
        <f>(AH72^2-AH69/AH53)^0.5-AH72</f>
        <v>0.90254270271597981</v>
      </c>
      <c r="AI76" s="11" t="e">
        <f>(AI72^2-AI69/AI53)^0.5-AI72</f>
        <v>#DIV/0!</v>
      </c>
      <c r="AJ76" s="11">
        <f>(AJ72^2-AJ69/AJ53)^0.5-AJ72</f>
        <v>0.90254270271598058</v>
      </c>
      <c r="AK76" s="11">
        <f>(AK72^2-AK69/AK53)^0.5-AK72</f>
        <v>0.90254270271598058</v>
      </c>
      <c r="AL76" s="11">
        <f>MIN(AH77:AK77)</f>
        <v>0.90254270271597981</v>
      </c>
    </row>
    <row r="77" spans="1:38">
      <c r="A77" s="4">
        <v>0.15</v>
      </c>
      <c r="B77" s="4">
        <v>0.01</v>
      </c>
      <c r="C77" s="4">
        <v>1</v>
      </c>
      <c r="D77" s="4">
        <v>1</v>
      </c>
      <c r="E77" s="4">
        <v>0.1</v>
      </c>
      <c r="F77" s="4">
        <v>0.5</v>
      </c>
      <c r="G77" s="4"/>
      <c r="H77" s="4"/>
      <c r="J77" s="3" t="s">
        <v>1195</v>
      </c>
      <c r="K77" s="4">
        <f>(K75-K76*(1-$K$50))/$K$50</f>
        <v>2.6</v>
      </c>
      <c r="L77" s="4">
        <v>2.5299999999999998</v>
      </c>
      <c r="M77" s="4">
        <f>L77/K77</f>
        <v>0.97307692307692295</v>
      </c>
      <c r="N77" s="3" t="s">
        <v>1426</v>
      </c>
      <c r="O77" s="7">
        <f>(O70*K63+O71*K62)</f>
        <v>0</v>
      </c>
      <c r="P77" s="7">
        <f>(P70*L63+P71*L62)</f>
        <v>0</v>
      </c>
      <c r="Q77" s="4" t="e">
        <f t="shared" si="24"/>
        <v>#DIV/0!</v>
      </c>
      <c r="R77" s="3">
        <v>2</v>
      </c>
      <c r="S77" s="5">
        <f>$P$46*U74+$P$42*V74</f>
        <v>0</v>
      </c>
      <c r="T77" s="5">
        <f>$P$46*W74/1000000+$P$42*X74</f>
        <v>0</v>
      </c>
      <c r="U77" s="6" t="s">
        <v>1427</v>
      </c>
      <c r="V77" s="5">
        <f>$P$46*$P$50/1000000+$P$42*$P$53</f>
        <v>0</v>
      </c>
      <c r="AG77" s="3"/>
      <c r="AH77" s="11">
        <f>IF(AH42=0,1000000000,AH76)</f>
        <v>0.90254270271597981</v>
      </c>
      <c r="AI77" s="11">
        <f>IF(AI42=0,1000000000,AI76)</f>
        <v>1000000000</v>
      </c>
      <c r="AJ77" s="11">
        <f>IF(AJ42=0,1000000000,AJ76)</f>
        <v>0.90254270271598058</v>
      </c>
      <c r="AK77" s="11">
        <f>IF(AK42=0,1000000000,AK76)</f>
        <v>0.90254270271598058</v>
      </c>
    </row>
    <row r="78" spans="1:38">
      <c r="R78" s="3">
        <v>6</v>
      </c>
      <c r="S78" s="5">
        <f>$P$46*U75+$P$42*V75</f>
        <v>0</v>
      </c>
      <c r="T78" s="5">
        <f>$P$46*W75/1000000+$P$42*X75</f>
        <v>0</v>
      </c>
      <c r="U78" s="6" t="s">
        <v>1429</v>
      </c>
      <c r="V78" s="5">
        <f>0</f>
        <v>0</v>
      </c>
      <c r="AH78" s="11">
        <f>IF(AH42=0,0,AH76)</f>
        <v>0.90254270271597981</v>
      </c>
      <c r="AI78" s="11">
        <f>IF(AI42=0,0,AI76)</f>
        <v>0</v>
      </c>
      <c r="AJ78" s="11">
        <f>IF(AJ42=0,0,AJ76)</f>
        <v>0.90254270271598058</v>
      </c>
      <c r="AK78" s="11">
        <f>IF(AK42=0,0,AK76)</f>
        <v>0.90254270271598058</v>
      </c>
    </row>
    <row r="79" spans="1:38" ht="18">
      <c r="A79" s="594" t="s">
        <v>1757</v>
      </c>
      <c r="B79" s="594" t="s">
        <v>1758</v>
      </c>
      <c r="C79" s="594" t="s">
        <v>1759</v>
      </c>
      <c r="D79" s="594" t="s">
        <v>1760</v>
      </c>
      <c r="E79" s="2" t="s">
        <v>1770</v>
      </c>
      <c r="F79" s="594" t="s">
        <v>1746</v>
      </c>
      <c r="G79" s="594" t="s">
        <v>1732</v>
      </c>
      <c r="H79" s="594" t="s">
        <v>1739</v>
      </c>
      <c r="I79" s="594" t="s">
        <v>1740</v>
      </c>
      <c r="R79" s="5"/>
      <c r="T79" s="2"/>
      <c r="V79" s="5"/>
      <c r="X79" s="2"/>
      <c r="AE79" s="5"/>
      <c r="AF79" s="2"/>
    </row>
    <row r="80" spans="1:38" ht="18">
      <c r="A80" s="594" t="s">
        <v>1755</v>
      </c>
      <c r="B80" s="4">
        <v>0.31625932525884404</v>
      </c>
      <c r="C80" s="4">
        <v>0.23993341487985181</v>
      </c>
      <c r="D80" s="4">
        <v>0.48463981845802734</v>
      </c>
      <c r="E80" s="4">
        <f>C80/B80</f>
        <v>0.75866036419156058</v>
      </c>
      <c r="F80" s="595">
        <v>217.8</v>
      </c>
      <c r="G80" s="610">
        <f t="shared" ref="G80:G87" si="25">B80+C80+2*D80</f>
        <v>1.5254723770547507</v>
      </c>
      <c r="H80" s="610">
        <f t="shared" ref="H80:H87" si="26">B80/C80</f>
        <v>1.3181128831814148</v>
      </c>
      <c r="I80" s="610">
        <f t="shared" ref="I80:I90" si="27">B80/D80</f>
        <v>0.65256570594030539</v>
      </c>
      <c r="R80" s="5"/>
      <c r="T80" s="2"/>
      <c r="V80" s="5"/>
      <c r="X80" s="2"/>
      <c r="AE80" s="5"/>
      <c r="AF80" s="2"/>
    </row>
    <row r="81" spans="1:32" ht="18">
      <c r="A81" s="594" t="s">
        <v>1753</v>
      </c>
      <c r="B81" s="4">
        <v>0.30843247224747478</v>
      </c>
      <c r="C81" s="4">
        <v>0.23353140629245078</v>
      </c>
      <c r="D81" s="4">
        <v>0.52064845223953615</v>
      </c>
      <c r="E81" s="4">
        <f t="shared" ref="E81:E90" si="28">C81/B81</f>
        <v>0.7571557060472992</v>
      </c>
      <c r="F81" s="595">
        <v>182.5</v>
      </c>
      <c r="G81" s="610">
        <f t="shared" si="25"/>
        <v>1.5832607830189978</v>
      </c>
      <c r="H81" s="610">
        <f t="shared" si="26"/>
        <v>1.3207323038222345</v>
      </c>
      <c r="I81" s="610">
        <f t="shared" si="27"/>
        <v>0.59240063217468941</v>
      </c>
      <c r="R81" s="5"/>
      <c r="T81" s="2"/>
      <c r="V81" s="5"/>
      <c r="X81" s="2"/>
      <c r="AE81" s="5"/>
      <c r="AF81" s="2"/>
    </row>
    <row r="82" spans="1:32" ht="18">
      <c r="A82" s="594" t="s">
        <v>1713</v>
      </c>
      <c r="B82" s="4">
        <v>0.31383617276468079</v>
      </c>
      <c r="C82" s="4">
        <v>0.23975824852049632</v>
      </c>
      <c r="D82" s="4">
        <v>0.4918019317571391</v>
      </c>
      <c r="E82" s="4">
        <f t="shared" si="28"/>
        <v>0.76395989158416977</v>
      </c>
      <c r="F82" s="594">
        <v>139</v>
      </c>
      <c r="G82" s="610">
        <f t="shared" si="25"/>
        <v>1.5371982847994552</v>
      </c>
      <c r="H82" s="610">
        <f t="shared" si="26"/>
        <v>1.3089692417312255</v>
      </c>
      <c r="I82" s="610">
        <f t="shared" si="27"/>
        <v>0.63813529898792443</v>
      </c>
      <c r="R82" s="5"/>
      <c r="T82" s="2"/>
      <c r="V82" s="5"/>
      <c r="X82" s="2"/>
      <c r="AE82" s="5"/>
      <c r="AF82" s="2"/>
    </row>
    <row r="83" spans="1:32" ht="18">
      <c r="A83" s="594" t="s">
        <v>1769</v>
      </c>
      <c r="B83" s="4">
        <v>0.31440955247162133</v>
      </c>
      <c r="C83" s="4">
        <v>0.24044911381483072</v>
      </c>
      <c r="D83" s="4">
        <v>0.48489007391658989</v>
      </c>
      <c r="E83" s="4">
        <f t="shared" si="28"/>
        <v>0.76476402171824509</v>
      </c>
      <c r="F83" s="594">
        <v>163</v>
      </c>
      <c r="G83" s="610">
        <f t="shared" si="25"/>
        <v>1.5246388141196319</v>
      </c>
      <c r="H83" s="610">
        <f t="shared" si="26"/>
        <v>1.3075928934957413</v>
      </c>
      <c r="I83" s="610">
        <f t="shared" si="27"/>
        <v>0.64841408266424039</v>
      </c>
      <c r="R83" s="5"/>
      <c r="T83" s="2"/>
      <c r="V83" s="5"/>
      <c r="X83" s="2"/>
      <c r="AE83" s="5"/>
      <c r="AF83" s="2"/>
    </row>
    <row r="84" spans="1:32" ht="18">
      <c r="A84" s="594" t="s">
        <v>1723</v>
      </c>
      <c r="B84" s="4">
        <v>0.32248164715008976</v>
      </c>
      <c r="C84" s="4">
        <v>0.24761316272593559</v>
      </c>
      <c r="D84" s="4">
        <v>0.45508031470352306</v>
      </c>
      <c r="E84" s="4">
        <f t="shared" si="28"/>
        <v>0.76783644872258794</v>
      </c>
      <c r="F84" s="594">
        <v>162</v>
      </c>
      <c r="G84" s="610">
        <f t="shared" si="25"/>
        <v>1.4802554392830714</v>
      </c>
      <c r="H84" s="610">
        <f t="shared" si="26"/>
        <v>1.3023606806679355</v>
      </c>
      <c r="I84" s="610">
        <f t="shared" si="27"/>
        <v>0.70862578918664276</v>
      </c>
      <c r="R84" s="5"/>
      <c r="T84" s="2"/>
      <c r="V84" s="5"/>
      <c r="X84" s="2"/>
      <c r="AE84" s="5"/>
      <c r="AF84" s="2"/>
    </row>
    <row r="85" spans="1:32" ht="18">
      <c r="A85" s="594" t="s">
        <v>1772</v>
      </c>
      <c r="B85" s="4">
        <v>0.31710172784788015</v>
      </c>
      <c r="C85" s="4">
        <v>0.241016410567536</v>
      </c>
      <c r="D85" s="4">
        <v>0.48173883478049467</v>
      </c>
      <c r="E85" s="4">
        <f t="shared" si="28"/>
        <v>0.76006022484732805</v>
      </c>
      <c r="F85" s="594">
        <v>232</v>
      </c>
      <c r="G85" s="610">
        <f t="shared" si="25"/>
        <v>1.5215958079764054</v>
      </c>
      <c r="H85" s="610">
        <f t="shared" si="26"/>
        <v>1.3156852145510816</v>
      </c>
      <c r="I85" s="610">
        <f t="shared" si="27"/>
        <v>0.65824406286939319</v>
      </c>
      <c r="R85" s="5"/>
      <c r="T85" s="2"/>
      <c r="V85" s="5"/>
      <c r="X85" s="2"/>
      <c r="AE85" s="5"/>
      <c r="AF85" s="2"/>
    </row>
    <row r="86" spans="1:32" ht="18">
      <c r="A86" s="594" t="s">
        <v>1724</v>
      </c>
      <c r="B86" s="4">
        <v>0.30671793348323506</v>
      </c>
      <c r="C86" s="4">
        <v>0.23329559417167345</v>
      </c>
      <c r="D86" s="4">
        <v>0.51570816139718922</v>
      </c>
      <c r="E86" s="4">
        <f t="shared" si="28"/>
        <v>0.76061934664940345</v>
      </c>
      <c r="F86" s="594">
        <v>168</v>
      </c>
      <c r="G86" s="610">
        <f t="shared" si="25"/>
        <v>1.571429850449287</v>
      </c>
      <c r="H86" s="610">
        <f t="shared" si="26"/>
        <v>1.314718070747332</v>
      </c>
      <c r="I86" s="610">
        <f t="shared" si="27"/>
        <v>0.59475097825145018</v>
      </c>
      <c r="R86" s="5"/>
      <c r="T86" s="2"/>
      <c r="V86" s="5"/>
      <c r="X86" s="2"/>
      <c r="AE86" s="5"/>
      <c r="AF86" s="2"/>
    </row>
    <row r="87" spans="1:32" ht="18">
      <c r="A87" s="594" t="s">
        <v>1771</v>
      </c>
      <c r="B87" s="4">
        <v>0.31650107140307138</v>
      </c>
      <c r="C87" s="4">
        <v>0.24048524592340906</v>
      </c>
      <c r="D87" s="4">
        <v>0.48409513840437718</v>
      </c>
      <c r="E87" s="4">
        <f t="shared" si="28"/>
        <v>0.75982442921068527</v>
      </c>
      <c r="F87" s="594">
        <v>206</v>
      </c>
      <c r="G87" s="610">
        <f t="shared" si="25"/>
        <v>1.5251765941352349</v>
      </c>
      <c r="H87" s="610">
        <f t="shared" si="26"/>
        <v>1.3160935099688911</v>
      </c>
      <c r="I87" s="610">
        <f t="shared" si="27"/>
        <v>0.65379931813876191</v>
      </c>
      <c r="R87" s="5"/>
      <c r="T87" s="2"/>
      <c r="V87" s="5"/>
      <c r="X87" s="2"/>
      <c r="AE87" s="5"/>
      <c r="AF87" s="2"/>
    </row>
    <row r="88" spans="1:32" ht="18">
      <c r="A88" s="594" t="s">
        <v>1777</v>
      </c>
      <c r="B88" s="4">
        <v>0.30914373441427645</v>
      </c>
      <c r="C88" s="4">
        <v>0.23300000000000001</v>
      </c>
      <c r="D88" s="4">
        <v>0.5226864321338387</v>
      </c>
      <c r="E88" s="4"/>
      <c r="F88" s="594">
        <v>192</v>
      </c>
      <c r="G88" s="610"/>
      <c r="H88" s="610"/>
      <c r="I88" s="610"/>
      <c r="R88" s="5"/>
      <c r="T88" s="2"/>
      <c r="V88" s="5"/>
      <c r="X88" s="2"/>
      <c r="AE88" s="5"/>
      <c r="AF88" s="2"/>
    </row>
    <row r="89" spans="1:32" ht="18">
      <c r="A89" s="594" t="s">
        <v>1774</v>
      </c>
      <c r="B89" s="4">
        <v>0.31047442634740247</v>
      </c>
      <c r="C89" s="4">
        <v>0.23363317058309527</v>
      </c>
      <c r="D89" s="4">
        <v>0.52184854490451704</v>
      </c>
      <c r="E89" s="4"/>
      <c r="F89" s="594">
        <v>195</v>
      </c>
      <c r="G89" s="610"/>
      <c r="H89" s="610"/>
      <c r="I89" s="610"/>
      <c r="R89" s="5"/>
      <c r="T89" s="2"/>
      <c r="V89" s="5"/>
      <c r="X89" s="2"/>
      <c r="AE89" s="5"/>
      <c r="AF89" s="2"/>
    </row>
    <row r="90" spans="1:32" ht="18">
      <c r="A90" s="596" t="s">
        <v>1756</v>
      </c>
      <c r="B90" s="598">
        <f>MEDIAN(B80:B87)</f>
        <v>0.31533443886523271</v>
      </c>
      <c r="C90" s="603">
        <f>MEDIAN(C80:C87)</f>
        <v>0.24019126434734128</v>
      </c>
      <c r="D90" s="598">
        <f>MEDIAN(D80:D87)</f>
        <v>0.48476494618730859</v>
      </c>
      <c r="E90" s="591">
        <f t="shared" si="28"/>
        <v>0.76170324183967097</v>
      </c>
      <c r="F90" s="597">
        <f>MEDIAN(F80:F87)</f>
        <v>175.25</v>
      </c>
      <c r="G90" s="598">
        <f>MEDIAN(G80:G87)</f>
        <v>1.5253244855949928</v>
      </c>
      <c r="H90" s="611">
        <f>MEDIAN(H80:H87)</f>
        <v>1.3152016426492068</v>
      </c>
      <c r="I90" s="611">
        <f t="shared" si="27"/>
        <v>0.65048935849291067</v>
      </c>
      <c r="R90" s="5"/>
      <c r="T90" s="2"/>
      <c r="V90" s="5"/>
      <c r="X90" s="2"/>
      <c r="AE90" s="5"/>
      <c r="AF90" s="2"/>
    </row>
    <row r="91" spans="1:32" ht="18">
      <c r="A91" s="594" t="s">
        <v>1775</v>
      </c>
      <c r="B91" s="612">
        <f>STDEVA(B80:B89)</f>
        <v>4.8419190513421346E-3</v>
      </c>
      <c r="C91" s="612">
        <f>STDEVA(C80:C89)</f>
        <v>4.7836200938372424E-3</v>
      </c>
      <c r="D91" s="612">
        <f>STDEVA(D80:D89)</f>
        <v>2.276674330481392E-2</v>
      </c>
      <c r="E91" s="612">
        <f>STDEVA(E80:E89)</f>
        <v>3.5727351122501198E-3</v>
      </c>
      <c r="F91" s="601"/>
      <c r="G91" s="600">
        <f>_xlfn.STDEV.S(G80:G87)</f>
        <v>3.1886606617561937E-2</v>
      </c>
      <c r="H91" s="602"/>
      <c r="I91" s="594"/>
      <c r="R91" s="5"/>
      <c r="T91" s="2"/>
      <c r="V91" s="5"/>
      <c r="X91" s="2"/>
      <c r="AE91" s="5"/>
      <c r="AF91" s="2"/>
    </row>
    <row r="92" spans="1:32">
      <c r="A92" s="2" t="s">
        <v>1776</v>
      </c>
      <c r="B92" s="588">
        <f>B91/B90</f>
        <v>1.5354869162931705E-2</v>
      </c>
      <c r="C92" s="588">
        <f>C91/C90</f>
        <v>1.9915878734538969E-2</v>
      </c>
      <c r="D92" s="588">
        <f>D91/D90</f>
        <v>4.6964499978546438E-2</v>
      </c>
      <c r="E92" s="588">
        <f>E91/E90</f>
        <v>4.6904554372398689E-3</v>
      </c>
      <c r="R92" s="5"/>
      <c r="T92" s="2"/>
      <c r="V92" s="5"/>
      <c r="X92" s="2"/>
      <c r="AE92" s="5"/>
      <c r="AF92" s="2"/>
    </row>
    <row r="93" spans="1:32" ht="18">
      <c r="A93" s="596" t="s">
        <v>1756</v>
      </c>
      <c r="B93" s="2">
        <v>0.31648801851287101</v>
      </c>
      <c r="C93" s="2">
        <v>0.24050655554582495</v>
      </c>
      <c r="D93" s="2">
        <v>0.48499571690458232</v>
      </c>
      <c r="E93" s="594">
        <v>0.11016719294728518</v>
      </c>
      <c r="F93" s="598">
        <f>MEDIAN(F84:F92)</f>
        <v>192</v>
      </c>
      <c r="G93" s="599">
        <f>MEDIAN(G84:G92)</f>
        <v>1.5233862010558201</v>
      </c>
      <c r="H93" s="599">
        <f>B93/D93</f>
        <v>0.65255837831478547</v>
      </c>
      <c r="R93" s="5"/>
      <c r="T93" s="2"/>
      <c r="V93" s="5"/>
      <c r="X93" s="2"/>
      <c r="AE93" s="5"/>
      <c r="AF93" s="2"/>
    </row>
    <row r="94" spans="1:32">
      <c r="O94" s="5"/>
      <c r="P94" s="5"/>
      <c r="W94" s="2"/>
      <c r="X94" s="2"/>
      <c r="AB94" s="5"/>
      <c r="AF94" s="2"/>
    </row>
  </sheetData>
  <phoneticPr fontId="5" type="noConversion"/>
  <printOptions headings="1"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  <rowBreaks count="3" manualBreakCount="3">
    <brk id="39" max="65535" man="1"/>
    <brk id="59" max="65535" man="1"/>
    <brk id="78" max="65535" man="1"/>
  </rowBreaks>
  <colBreaks count="4" manualBreakCount="4">
    <brk id="9" max="1048575" man="1"/>
    <brk id="17" max="1048575" man="1"/>
    <brk id="25" max="1048575" man="1"/>
    <brk id="32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20" r:id="rId3" name="Button 46080">
              <controlPr defaultSize="0" print="0" autoFill="0" autoLine="0" autoPict="0" macro="[0]!SelectMaterial2">
                <anchor moveWithCells="1" sizeWithCells="1">
                  <from>
                    <xdr:col>5</xdr:col>
                    <xdr:colOff>487680</xdr:colOff>
                    <xdr:row>0</xdr:row>
                    <xdr:rowOff>83820</xdr:rowOff>
                  </from>
                  <to>
                    <xdr:col>7</xdr:col>
                    <xdr:colOff>426720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21" r:id="rId4" name="Button 46081">
              <controlPr defaultSize="0" print="0" autoFill="0" autoLine="0" autoPict="0" macro="[0]!ChartQ">
                <anchor moveWithCells="1" sizeWithCells="1">
                  <from>
                    <xdr:col>8</xdr:col>
                    <xdr:colOff>7620</xdr:colOff>
                    <xdr:row>0</xdr:row>
                    <xdr:rowOff>83820</xdr:rowOff>
                  </from>
                  <to>
                    <xdr:col>9</xdr:col>
                    <xdr:colOff>601980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22" r:id="rId5" name="Button 46082">
              <controlPr defaultSize="0" print="0" autoFill="0" autoPict="0" macro="[0]!Main">
                <anchor moveWithCells="1" sizeWithCells="1">
                  <from>
                    <xdr:col>12</xdr:col>
                    <xdr:colOff>228600</xdr:colOff>
                    <xdr:row>0</xdr:row>
                    <xdr:rowOff>106680</xdr:rowOff>
                  </from>
                  <to>
                    <xdr:col>13</xdr:col>
                    <xdr:colOff>312420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23" r:id="rId6" name="Button 46083">
              <controlPr defaultSize="0" print="0" autoFill="0" autoPict="0" macro="[0]!LaunchFinder">
                <anchor moveWithCells="1" sizeWithCells="1">
                  <from>
                    <xdr:col>10</xdr:col>
                    <xdr:colOff>632460</xdr:colOff>
                    <xdr:row>0</xdr:row>
                    <xdr:rowOff>114300</xdr:rowOff>
                  </from>
                  <to>
                    <xdr:col>12</xdr:col>
                    <xdr:colOff>60960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24" r:id="rId7" name="Button 46084">
              <controlPr defaultSize="0" print="0" autoFill="0" autoPict="0" macro="[0]!GetVals">
                <anchor moveWithCells="1" sizeWithCells="1">
                  <from>
                    <xdr:col>15</xdr:col>
                    <xdr:colOff>495300</xdr:colOff>
                    <xdr:row>0</xdr:row>
                    <xdr:rowOff>114300</xdr:rowOff>
                  </from>
                  <to>
                    <xdr:col>16</xdr:col>
                    <xdr:colOff>579120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K83"/>
  <sheetViews>
    <sheetView workbookViewId="0">
      <selection activeCell="H3" sqref="H3"/>
    </sheetView>
  </sheetViews>
  <sheetFormatPr defaultColWidth="11" defaultRowHeight="15"/>
  <cols>
    <col min="1" max="1" width="8" style="2" customWidth="1"/>
    <col min="2" max="2" width="6.6328125" style="2" customWidth="1"/>
    <col min="3" max="3" width="7.90625" style="2" customWidth="1"/>
    <col min="4" max="4" width="6.6328125" style="2" customWidth="1"/>
    <col min="5" max="5" width="7.453125" style="2" customWidth="1"/>
    <col min="6" max="6" width="6.6328125" style="2" customWidth="1"/>
    <col min="7" max="7" width="7.08984375" style="2" customWidth="1"/>
    <col min="8" max="8" width="7.453125" style="2" customWidth="1"/>
    <col min="9" max="9" width="6.36328125" style="2" customWidth="1"/>
    <col min="10" max="13" width="8.453125" style="2" customWidth="1"/>
    <col min="14" max="14" width="9.08984375" style="2" customWidth="1"/>
    <col min="15" max="15" width="8.453125" style="2" customWidth="1"/>
    <col min="16" max="16" width="9.08984375" style="2" customWidth="1"/>
    <col min="17" max="17" width="8.453125" style="2" customWidth="1"/>
    <col min="18" max="18" width="9.6328125" style="2" customWidth="1"/>
    <col min="19" max="20" width="9.6328125" style="5" customWidth="1"/>
    <col min="21" max="22" width="9.6328125" style="2" customWidth="1"/>
    <col min="23" max="24" width="9.6328125" style="5" customWidth="1"/>
    <col min="25" max="30" width="9.6328125" style="2" customWidth="1"/>
    <col min="31" max="31" width="9.6328125" style="5" customWidth="1"/>
    <col min="32" max="37" width="11.6328125" style="2" customWidth="1"/>
    <col min="38" max="38" width="0.6328125" style="2" customWidth="1"/>
    <col min="39" max="52" width="16.6328125" style="2" customWidth="1"/>
    <col min="53" max="16384" width="11" style="2"/>
  </cols>
  <sheetData>
    <row r="1" spans="1:37" ht="60" customHeight="1">
      <c r="A1" s="531" t="s">
        <v>48</v>
      </c>
      <c r="F1" s="1"/>
      <c r="G1" s="1"/>
      <c r="H1" s="3"/>
      <c r="J1" s="1" t="s">
        <v>1550</v>
      </c>
      <c r="K1" s="3"/>
      <c r="L1" s="3"/>
      <c r="N1" s="2" t="s">
        <v>1616</v>
      </c>
      <c r="P1" s="4"/>
      <c r="R1" s="2" t="s">
        <v>528</v>
      </c>
      <c r="Y1" s="2" t="s">
        <v>529</v>
      </c>
      <c r="AF1" s="2" t="s">
        <v>530</v>
      </c>
    </row>
    <row r="2" spans="1:37">
      <c r="A2" s="2" t="s">
        <v>49</v>
      </c>
      <c r="B2" s="21" t="s">
        <v>50</v>
      </c>
      <c r="C2" s="21" t="s">
        <v>51</v>
      </c>
      <c r="D2" s="21" t="s">
        <v>52</v>
      </c>
      <c r="E2" s="21" t="s">
        <v>53</v>
      </c>
      <c r="F2"/>
      <c r="G2" s="1" t="s">
        <v>1566</v>
      </c>
      <c r="H2" s="1" t="str">
        <f>J2</f>
        <v>T3/N52[SI]</v>
      </c>
      <c r="I2"/>
      <c r="J2" s="1" t="str">
        <f>$A$26</f>
        <v>T3/N52[SI]</v>
      </c>
      <c r="K2" s="1"/>
      <c r="L2" s="3"/>
      <c r="N2" s="3" t="s">
        <v>596</v>
      </c>
      <c r="O2" s="7">
        <f>$G$27</f>
        <v>22</v>
      </c>
      <c r="P2" s="7">
        <f>B19</f>
        <v>22</v>
      </c>
      <c r="Q2" s="8">
        <f t="shared" ref="Q2:Q7" si="0">P2/O2</f>
        <v>1</v>
      </c>
      <c r="R2" s="1"/>
      <c r="X2" s="6"/>
      <c r="Y2" s="3" t="s">
        <v>531</v>
      </c>
      <c r="Z2" s="9">
        <f t="shared" ref="Z2:AC3" si="1">S4</f>
        <v>0</v>
      </c>
      <c r="AA2" s="9">
        <f t="shared" si="1"/>
        <v>90</v>
      </c>
      <c r="AB2" s="9">
        <f t="shared" si="1"/>
        <v>45</v>
      </c>
      <c r="AC2" s="9">
        <f t="shared" si="1"/>
        <v>-45</v>
      </c>
      <c r="AD2" s="3" t="s">
        <v>532</v>
      </c>
      <c r="AE2" s="6" t="s">
        <v>533</v>
      </c>
      <c r="AF2" s="3" t="s">
        <v>531</v>
      </c>
      <c r="AG2" s="9">
        <f t="shared" ref="AG2:AJ4" si="2">Z2</f>
        <v>0</v>
      </c>
      <c r="AH2" s="9">
        <f t="shared" si="2"/>
        <v>90</v>
      </c>
      <c r="AI2" s="9">
        <f t="shared" si="2"/>
        <v>45</v>
      </c>
      <c r="AJ2" s="9">
        <f t="shared" si="2"/>
        <v>-45</v>
      </c>
    </row>
    <row r="3" spans="1:37" ht="15.6">
      <c r="A3" s="1" t="s">
        <v>206</v>
      </c>
      <c r="B3" s="538">
        <v>0</v>
      </c>
      <c r="C3" s="538">
        <v>90</v>
      </c>
      <c r="D3" s="538">
        <v>45</v>
      </c>
      <c r="E3" s="538">
        <v>-45</v>
      </c>
      <c r="F3" s="1" t="s">
        <v>1570</v>
      </c>
      <c r="G3" s="1" t="s">
        <v>534</v>
      </c>
      <c r="H3" s="1" t="s">
        <v>54</v>
      </c>
      <c r="I3" s="10" t="s">
        <v>1572</v>
      </c>
      <c r="J3" s="3"/>
      <c r="K3" s="3"/>
      <c r="L3" s="3"/>
      <c r="N3" s="3" t="s">
        <v>600</v>
      </c>
      <c r="O3" s="11">
        <f>$H$27</f>
        <v>5.0000000000000001E-3</v>
      </c>
      <c r="P3" s="11">
        <f>C19</f>
        <v>5.0000000000000001E-3</v>
      </c>
      <c r="Q3" s="8">
        <f t="shared" si="0"/>
        <v>1</v>
      </c>
      <c r="R3" s="3" t="s">
        <v>535</v>
      </c>
      <c r="S3" s="6" t="s">
        <v>1562</v>
      </c>
      <c r="T3" s="6" t="s">
        <v>1563</v>
      </c>
      <c r="U3" s="6" t="s">
        <v>1564</v>
      </c>
      <c r="V3" s="6" t="s">
        <v>1565</v>
      </c>
      <c r="W3" s="6"/>
      <c r="X3" s="6"/>
      <c r="Y3" s="3" t="s">
        <v>536</v>
      </c>
      <c r="Z3" s="9">
        <f t="shared" si="1"/>
        <v>1</v>
      </c>
      <c r="AA3" s="9">
        <f t="shared" si="1"/>
        <v>1</v>
      </c>
      <c r="AB3" s="9">
        <f t="shared" si="1"/>
        <v>1</v>
      </c>
      <c r="AC3" s="9">
        <f t="shared" si="1"/>
        <v>1</v>
      </c>
      <c r="AD3" s="3">
        <f>W5</f>
        <v>6</v>
      </c>
      <c r="AE3" s="9">
        <f>X5</f>
        <v>0</v>
      </c>
      <c r="AF3" s="3" t="s">
        <v>536</v>
      </c>
      <c r="AG3" s="9">
        <f t="shared" si="2"/>
        <v>1</v>
      </c>
      <c r="AH3" s="9">
        <f t="shared" si="2"/>
        <v>1</v>
      </c>
      <c r="AI3" s="9">
        <f t="shared" si="2"/>
        <v>1</v>
      </c>
      <c r="AJ3" s="9">
        <f t="shared" si="2"/>
        <v>1</v>
      </c>
    </row>
    <row r="4" spans="1:37" ht="15.6">
      <c r="A4" s="1" t="s">
        <v>55</v>
      </c>
      <c r="B4" s="539">
        <v>1</v>
      </c>
      <c r="C4" s="539">
        <v>1</v>
      </c>
      <c r="D4" s="539">
        <v>1</v>
      </c>
      <c r="E4" s="539">
        <v>1</v>
      </c>
      <c r="F4" s="538">
        <v>6</v>
      </c>
      <c r="G4" s="12">
        <f>(B4+C4+D4+E4)*F4*2</f>
        <v>48</v>
      </c>
      <c r="H4" s="12">
        <f>G4*L9/1000</f>
        <v>6</v>
      </c>
      <c r="I4" s="541">
        <v>0</v>
      </c>
      <c r="J4" s="3" t="s">
        <v>1553</v>
      </c>
      <c r="K4" s="3" t="s">
        <v>1554</v>
      </c>
      <c r="L4" s="3" t="s">
        <v>1555</v>
      </c>
      <c r="M4" s="13" t="s">
        <v>1556</v>
      </c>
      <c r="N4" s="3" t="s">
        <v>1557</v>
      </c>
      <c r="O4" s="7">
        <f>$G$26</f>
        <v>122</v>
      </c>
      <c r="P4" s="7">
        <f>O4</f>
        <v>122</v>
      </c>
      <c r="Q4" s="8">
        <f t="shared" si="0"/>
        <v>1</v>
      </c>
      <c r="R4" s="3" t="s">
        <v>537</v>
      </c>
      <c r="S4" s="14">
        <f>B3+$I$4</f>
        <v>0</v>
      </c>
      <c r="T4" s="14">
        <f>C3+$I$4</f>
        <v>90</v>
      </c>
      <c r="U4" s="14">
        <f>D3+$I$4</f>
        <v>45</v>
      </c>
      <c r="V4" s="14">
        <f>E3+$I$4</f>
        <v>-45</v>
      </c>
      <c r="W4" s="6" t="s">
        <v>1432</v>
      </c>
      <c r="X4" s="6"/>
      <c r="Y4" s="3" t="s">
        <v>539</v>
      </c>
      <c r="Z4" s="9">
        <f>S6*Z3/Z3</f>
        <v>0</v>
      </c>
      <c r="AA4" s="9">
        <f>T6*AA3/AA3</f>
        <v>3.1415926535897931</v>
      </c>
      <c r="AB4" s="9">
        <f>U6*AB3/AB3</f>
        <v>1.5707963267948966</v>
      </c>
      <c r="AC4" s="9">
        <f>V6*AC3/AC3</f>
        <v>-1.5707963267948966</v>
      </c>
      <c r="AD4" s="3" t="s">
        <v>603</v>
      </c>
      <c r="AE4" s="5">
        <f>$W$12</f>
        <v>6.0000000000000001E-3</v>
      </c>
      <c r="AF4" s="3" t="s">
        <v>539</v>
      </c>
      <c r="AG4" s="9">
        <f t="shared" si="2"/>
        <v>0</v>
      </c>
      <c r="AH4" s="9">
        <f t="shared" si="2"/>
        <v>3.1415926535897931</v>
      </c>
      <c r="AI4" s="9">
        <f t="shared" si="2"/>
        <v>1.5707963267948966</v>
      </c>
      <c r="AJ4" s="9">
        <f t="shared" si="2"/>
        <v>-1.5707963267948966</v>
      </c>
    </row>
    <row r="5" spans="1:37" ht="15.6">
      <c r="A5"/>
      <c r="B5"/>
      <c r="C5"/>
      <c r="D5"/>
      <c r="E5"/>
      <c r="F5"/>
      <c r="G5"/>
      <c r="H5" s="1" t="s">
        <v>1575</v>
      </c>
      <c r="I5" s="541">
        <v>1</v>
      </c>
      <c r="J5" s="3" t="s">
        <v>1577</v>
      </c>
      <c r="K5" s="4">
        <f>$B$26</f>
        <v>181</v>
      </c>
      <c r="L5" s="4">
        <f>L12*L11</f>
        <v>181.00000000000003</v>
      </c>
      <c r="M5" s="8">
        <f>L5/K5</f>
        <v>1.0000000000000002</v>
      </c>
      <c r="N5" s="3" t="s">
        <v>299</v>
      </c>
      <c r="O5" s="7">
        <f>$H$26</f>
        <v>160</v>
      </c>
      <c r="P5" s="7">
        <f>O5-$H$29*(P3-O3)</f>
        <v>160</v>
      </c>
      <c r="Q5" s="8">
        <f t="shared" si="0"/>
        <v>1</v>
      </c>
      <c r="R5" s="3" t="s">
        <v>541</v>
      </c>
      <c r="S5" s="14">
        <f>$B$4</f>
        <v>1</v>
      </c>
      <c r="T5" s="14">
        <f>$C$4</f>
        <v>1</v>
      </c>
      <c r="U5" s="14">
        <f>$D$4</f>
        <v>1</v>
      </c>
      <c r="V5" s="14">
        <f>$E$4</f>
        <v>1</v>
      </c>
      <c r="W5" s="15">
        <f>F4</f>
        <v>6</v>
      </c>
      <c r="X5" s="9"/>
      <c r="Y5" s="3"/>
      <c r="Z5" s="5"/>
      <c r="AA5" s="5"/>
      <c r="AB5" s="5"/>
      <c r="AC5" s="5"/>
      <c r="AD5" s="6"/>
    </row>
    <row r="6" spans="1:37" ht="15.6">
      <c r="A6" s="1" t="s">
        <v>56</v>
      </c>
      <c r="B6" s="541">
        <v>100</v>
      </c>
      <c r="C6" s="1" t="s">
        <v>57</v>
      </c>
      <c r="D6" s="2" t="s">
        <v>58</v>
      </c>
      <c r="E6" s="115">
        <f>H4/1000*PI()*(B7+B8)/2</f>
        <v>1.8849555921538759E-2</v>
      </c>
      <c r="F6" s="2" t="s">
        <v>59</v>
      </c>
      <c r="G6" s="4">
        <f>B7/B8</f>
        <v>1</v>
      </c>
      <c r="H6" s="1" t="s">
        <v>60</v>
      </c>
      <c r="I6" s="2">
        <f>H4/1000/B7</f>
        <v>6.0000000000000001E-3</v>
      </c>
      <c r="J6" s="3" t="s">
        <v>1578</v>
      </c>
      <c r="K6" s="4">
        <f>$C$26</f>
        <v>10.3</v>
      </c>
      <c r="L6" s="4">
        <f>(1+L15)/(1/L16+L15/L13)</f>
        <v>10.3</v>
      </c>
      <c r="M6" s="8">
        <f>L6/K6</f>
        <v>1</v>
      </c>
      <c r="N6" s="3" t="s">
        <v>1580</v>
      </c>
      <c r="O6" s="4">
        <f>(O5-O2)/(O5-O2)</f>
        <v>1</v>
      </c>
      <c r="P6" s="4">
        <f>(P5-P2)/(P5-O2)</f>
        <v>1</v>
      </c>
      <c r="Q6" s="8">
        <f t="shared" si="0"/>
        <v>1</v>
      </c>
      <c r="R6" s="3" t="s">
        <v>1295</v>
      </c>
      <c r="S6" s="8">
        <f>S4*PI()/90</f>
        <v>0</v>
      </c>
      <c r="T6" s="8">
        <f>T4*PI()/90</f>
        <v>3.1415926535897931</v>
      </c>
      <c r="U6" s="8">
        <f>U4*PI()/90</f>
        <v>1.5707963267948966</v>
      </c>
      <c r="V6" s="8">
        <f>V4*PI()/90</f>
        <v>-1.5707963267948966</v>
      </c>
      <c r="W6" s="6" t="s">
        <v>1463</v>
      </c>
      <c r="X6" s="16"/>
      <c r="Y6" s="1" t="s">
        <v>1297</v>
      </c>
      <c r="Z6" s="6"/>
      <c r="AA6" s="6"/>
      <c r="AB6" s="5"/>
      <c r="AC6" s="5"/>
      <c r="AD6" s="5"/>
      <c r="AF6" s="1" t="s">
        <v>1298</v>
      </c>
      <c r="AK6" s="3" t="s">
        <v>1299</v>
      </c>
    </row>
    <row r="7" spans="1:37" ht="15.6">
      <c r="A7" s="1" t="s">
        <v>61</v>
      </c>
      <c r="B7" s="541">
        <v>1</v>
      </c>
      <c r="C7" s="11">
        <f>(3*B7^2*B8+$B$7^3)*PI()*$H$4/1000/32</f>
        <v>2.3561944901923449E-3</v>
      </c>
      <c r="E7" s="23" t="s">
        <v>1621</v>
      </c>
      <c r="F7" s="17" t="s">
        <v>62</v>
      </c>
      <c r="G7" s="17" t="s">
        <v>63</v>
      </c>
      <c r="H7" s="17" t="s">
        <v>1318</v>
      </c>
      <c r="I7" s="1" t="s">
        <v>64</v>
      </c>
      <c r="J7" s="3" t="s">
        <v>259</v>
      </c>
      <c r="K7" s="4">
        <f>$D$26</f>
        <v>0.28000000000000003</v>
      </c>
      <c r="L7" s="4">
        <f>K7</f>
        <v>0.28000000000000003</v>
      </c>
      <c r="M7" s="8">
        <f>L7/K7</f>
        <v>1</v>
      </c>
      <c r="N7" s="3" t="s">
        <v>260</v>
      </c>
      <c r="O7" s="7">
        <f>O2-O4</f>
        <v>-100</v>
      </c>
      <c r="P7" s="7">
        <f>P2-P4</f>
        <v>-100</v>
      </c>
      <c r="Q7" s="8">
        <f t="shared" si="0"/>
        <v>1</v>
      </c>
      <c r="R7" s="3" t="s">
        <v>1300</v>
      </c>
      <c r="S7" s="8">
        <f>2*S6</f>
        <v>0</v>
      </c>
      <c r="T7" s="8">
        <f>2*T6</f>
        <v>6.2831853071795862</v>
      </c>
      <c r="U7" s="8">
        <f>2*U6</f>
        <v>3.1415926535897931</v>
      </c>
      <c r="V7" s="8">
        <f>2*V6</f>
        <v>-3.1415926535897931</v>
      </c>
      <c r="W7" s="9">
        <f>G4/W5/2</f>
        <v>4</v>
      </c>
      <c r="X7" s="9"/>
      <c r="Y7" s="3"/>
      <c r="Z7" s="17" t="s">
        <v>1626</v>
      </c>
      <c r="AA7" s="6" t="s">
        <v>65</v>
      </c>
      <c r="AB7" s="19" t="s">
        <v>1302</v>
      </c>
      <c r="AC7" s="19" t="s">
        <v>66</v>
      </c>
      <c r="AD7" s="6" t="s">
        <v>1303</v>
      </c>
      <c r="AE7" s="6" t="s">
        <v>1304</v>
      </c>
      <c r="AF7" s="3" t="s">
        <v>1305</v>
      </c>
      <c r="AG7" s="22">
        <f t="shared" ref="AG7:AJ9" si="3">Z13/1000</f>
        <v>0.30456309182711488</v>
      </c>
      <c r="AH7" s="22">
        <f t="shared" si="3"/>
        <v>-9.0160099390872633E-2</v>
      </c>
      <c r="AI7" s="22">
        <f t="shared" si="3"/>
        <v>0.10720149621812114</v>
      </c>
      <c r="AJ7" s="22">
        <f t="shared" si="3"/>
        <v>0.10720149621812114</v>
      </c>
      <c r="AK7" s="22">
        <f>($T$37+$T$38)/2</f>
        <v>4.8309375444009149E-5</v>
      </c>
    </row>
    <row r="8" spans="1:37" ht="15.6">
      <c r="A8" s="1" t="s">
        <v>67</v>
      </c>
      <c r="B8" s="541">
        <v>1</v>
      </c>
      <c r="C8" s="23" t="s">
        <v>68</v>
      </c>
      <c r="D8" s="3">
        <v>1</v>
      </c>
      <c r="E8" s="12">
        <f>AC8</f>
        <v>21220.659078919372</v>
      </c>
      <c r="F8" s="550">
        <f>E8*$G$15</f>
        <v>325.23286297077112</v>
      </c>
      <c r="G8" s="8">
        <f>AB8</f>
        <v>304.56309182711487</v>
      </c>
      <c r="H8" s="8">
        <f>G8*$G$23</f>
        <v>0</v>
      </c>
      <c r="I8" s="12">
        <f>$W$23</f>
        <v>69.675740916648152</v>
      </c>
      <c r="J8" s="3" t="s">
        <v>267</v>
      </c>
      <c r="K8" s="4">
        <f>$E$26</f>
        <v>7.17</v>
      </c>
      <c r="L8" s="4">
        <f>(1+L18)/(1/L19+L18*2.7/L13)</f>
        <v>7.17</v>
      </c>
      <c r="M8" s="8">
        <f>L8/K8</f>
        <v>1</v>
      </c>
      <c r="N8" s="3"/>
      <c r="O8" s="4"/>
      <c r="P8" s="4"/>
      <c r="Q8" s="4"/>
      <c r="S8" s="8"/>
      <c r="T8" s="8"/>
      <c r="U8" s="8"/>
      <c r="V8" s="8"/>
      <c r="W8" s="6"/>
      <c r="X8" s="6"/>
      <c r="Y8" s="3" t="s">
        <v>69</v>
      </c>
      <c r="Z8" s="4">
        <f>(B12+B13*B6/2)*B6</f>
        <v>100</v>
      </c>
      <c r="AA8" s="4">
        <f>$Z$8/$W$23/$C$7</f>
        <v>609.12618365422975</v>
      </c>
      <c r="AB8" s="11">
        <f>Z11*S23+$AA$8*$B$7/2+$Z$10*$S$27</f>
        <v>304.56309182711487</v>
      </c>
      <c r="AC8" s="12">
        <f>AB8*X15+X17*AB9+AB10*X19</f>
        <v>21220.659078919372</v>
      </c>
      <c r="AD8" s="16" t="s">
        <v>1306</v>
      </c>
      <c r="AE8" s="115">
        <f>(AB8+AB9)/2</f>
        <v>107.20149621812112</v>
      </c>
      <c r="AF8" s="3" t="s">
        <v>1307</v>
      </c>
      <c r="AG8" s="22">
        <f t="shared" si="3"/>
        <v>-9.0160099390872633E-2</v>
      </c>
      <c r="AH8" s="22">
        <f t="shared" si="3"/>
        <v>0.30456309182711488</v>
      </c>
      <c r="AI8" s="22">
        <f t="shared" si="3"/>
        <v>0.10720149621812111</v>
      </c>
      <c r="AJ8" s="22">
        <f t="shared" si="3"/>
        <v>0.10720149621812111</v>
      </c>
      <c r="AK8" s="22">
        <f>($T$37-$T$38)/2</f>
        <v>0</v>
      </c>
    </row>
    <row r="9" spans="1:37">
      <c r="A9" s="1" t="s">
        <v>70</v>
      </c>
      <c r="C9" s="7">
        <f>(B12*B6^3/3+B13*B6^4/8)/I8/C7</f>
        <v>2030420.612180766</v>
      </c>
      <c r="D9" s="3">
        <v>2</v>
      </c>
      <c r="E9" s="12">
        <f>AC9</f>
        <v>9.0949470177292824E-13</v>
      </c>
      <c r="F9" s="550">
        <f>E9*$G$15</f>
        <v>1.3939131890969531E-14</v>
      </c>
      <c r="G9" s="8">
        <f>AB9</f>
        <v>-90.160099390872645</v>
      </c>
      <c r="H9" s="8">
        <f>G9*$G$23</f>
        <v>0</v>
      </c>
      <c r="I9" s="12">
        <f>$W$24</f>
        <v>69.675740916648152</v>
      </c>
      <c r="J9" s="3" t="s">
        <v>276</v>
      </c>
      <c r="K9" s="7">
        <f>$B$28</f>
        <v>125</v>
      </c>
      <c r="L9" s="7">
        <f>K9/M11</f>
        <v>125</v>
      </c>
      <c r="M9" s="8">
        <f>L9/K9</f>
        <v>1</v>
      </c>
      <c r="N9" s="1" t="s">
        <v>1629</v>
      </c>
      <c r="O9" s="4"/>
      <c r="P9" s="4"/>
      <c r="Q9" s="4"/>
      <c r="R9" s="3" t="s">
        <v>1308</v>
      </c>
      <c r="S9" s="8">
        <v>1</v>
      </c>
      <c r="T9" s="8">
        <f>S10</f>
        <v>0.75</v>
      </c>
      <c r="U9" s="8">
        <f>T10</f>
        <v>0.5</v>
      </c>
      <c r="V9" s="8">
        <f>U10</f>
        <v>0.25</v>
      </c>
      <c r="W9" s="20"/>
      <c r="X9" s="6"/>
      <c r="Y9" s="3" t="s">
        <v>71</v>
      </c>
      <c r="Z9" s="4">
        <v>0</v>
      </c>
      <c r="AA9" s="4"/>
      <c r="AB9" s="11">
        <f>-$AB$8*$W$25+$Z$10*$S$28</f>
        <v>-90.160099390872645</v>
      </c>
      <c r="AC9" s="12">
        <f>AB8*X17+X16*AB9+AB10*X20</f>
        <v>9.0949470177292824E-13</v>
      </c>
      <c r="AD9" s="16" t="s">
        <v>1309</v>
      </c>
      <c r="AE9" s="115">
        <f>(AB8-AB9)/2</f>
        <v>197.36159560899375</v>
      </c>
      <c r="AF9" s="3" t="s">
        <v>1310</v>
      </c>
      <c r="AG9" s="22">
        <f t="shared" si="3"/>
        <v>5.9581079143938814E-18</v>
      </c>
      <c r="AH9" s="22">
        <f t="shared" si="3"/>
        <v>-5.43175586981256E-17</v>
      </c>
      <c r="AI9" s="22">
        <f t="shared" si="3"/>
        <v>-0.39472319121798749</v>
      </c>
      <c r="AJ9" s="22">
        <f t="shared" si="3"/>
        <v>0.39472319121798749</v>
      </c>
      <c r="AK9" s="22">
        <f>$T$39/2</f>
        <v>-4.665378352884637E-21</v>
      </c>
    </row>
    <row r="10" spans="1:37">
      <c r="A10" s="2" t="s">
        <v>72</v>
      </c>
      <c r="B10" s="2">
        <f>3.14159*(B7*B8/4)</f>
        <v>0.78539749999999997</v>
      </c>
      <c r="C10" s="5">
        <f>2*B6/B7*(AB10/1000+B21*W36/1000000+X36*C21)*180/PI()</f>
        <v>6.8274887475652511E-14</v>
      </c>
      <c r="D10" s="3">
        <v>6</v>
      </c>
      <c r="E10" s="12">
        <f>AC10</f>
        <v>0</v>
      </c>
      <c r="F10" s="550">
        <f>E10*$G$15</f>
        <v>0</v>
      </c>
      <c r="G10" s="8">
        <f>AB10</f>
        <v>5.9581079143938816E-15</v>
      </c>
      <c r="H10" s="8">
        <f>G10*$G$23</f>
        <v>0</v>
      </c>
      <c r="I10" s="12">
        <f>$W$26</f>
        <v>26.880431085692372</v>
      </c>
      <c r="J10" s="1" t="s">
        <v>264</v>
      </c>
      <c r="K10" s="4"/>
      <c r="L10" s="4"/>
      <c r="N10" s="3" t="s">
        <v>265</v>
      </c>
      <c r="O10" s="4">
        <f>$A$29</f>
        <v>0.02</v>
      </c>
      <c r="P10" s="4">
        <f>O10</f>
        <v>0.02</v>
      </c>
      <c r="Q10" s="4">
        <f>P10/O10</f>
        <v>1</v>
      </c>
      <c r="R10" s="3" t="s">
        <v>1311</v>
      </c>
      <c r="S10" s="8">
        <f>S9-S5/$W$7</f>
        <v>0.75</v>
      </c>
      <c r="T10" s="8">
        <f>T9-T5/$W$7</f>
        <v>0.5</v>
      </c>
      <c r="U10" s="8">
        <f>U9-U5/$W$7</f>
        <v>0.25</v>
      </c>
      <c r="V10" s="8">
        <f>V9-V5/$W$7</f>
        <v>0</v>
      </c>
      <c r="Y10" s="3" t="s">
        <v>73</v>
      </c>
      <c r="Z10" s="4">
        <f>E12/2/B10</f>
        <v>0</v>
      </c>
      <c r="AA10" s="4"/>
      <c r="AB10" s="11">
        <f>$AB$8*$W$27+$Z$10*$S$26</f>
        <v>5.9581079143938816E-15</v>
      </c>
      <c r="AC10" s="12">
        <f>AB8*X19+X20*AB9+AB10*X18</f>
        <v>0</v>
      </c>
      <c r="AD10" s="16" t="s">
        <v>1312</v>
      </c>
      <c r="AE10" s="115">
        <f>AB10/2</f>
        <v>2.9790539571969408E-15</v>
      </c>
      <c r="AF10" s="3"/>
      <c r="AG10" s="22"/>
      <c r="AH10" s="22"/>
      <c r="AI10" s="22"/>
      <c r="AJ10" s="22"/>
      <c r="AK10" s="22"/>
    </row>
    <row r="11" spans="1:37">
      <c r="A11" s="6"/>
      <c r="B11" s="17" t="s">
        <v>74</v>
      </c>
      <c r="C11" s="1" t="s">
        <v>75</v>
      </c>
      <c r="D11" s="17" t="s">
        <v>76</v>
      </c>
      <c r="E11" s="1" t="s">
        <v>75</v>
      </c>
      <c r="G11" s="1" t="s">
        <v>1696</v>
      </c>
      <c r="H11">
        <f>IF((RIGHT(A26,4)="[SI]"),(((PI()/B6)*(PI()/B6))*(1/(2*PI()))*SQRT((I8*1000000000)*C7/(D28*(1/1000)*E6))),IF((RIGHT(A26,4)="Eng]"),(((PI()/B6)*(PI()/B6))*(1/(2*PI()))*SQRT(386*(I8*1000000)*C7/(D28* 0.0361273*E6))),"UNIT NOT SET"))</f>
        <v>366.48456631046821</v>
      </c>
      <c r="I11"/>
      <c r="J11" s="3" t="s">
        <v>1532</v>
      </c>
      <c r="K11" s="4">
        <f>$C$28</f>
        <v>0.7</v>
      </c>
      <c r="L11" s="4">
        <f>$D$19</f>
        <v>0.7</v>
      </c>
      <c r="M11" s="8">
        <f t="shared" ref="M11:M19" si="4">L11/K11</f>
        <v>1</v>
      </c>
      <c r="N11" s="3" t="s">
        <v>1533</v>
      </c>
      <c r="O11" s="4">
        <f>$B$29</f>
        <v>22.5</v>
      </c>
      <c r="P11" s="4">
        <f>O11*(1-L11)/(1-K11)</f>
        <v>22.5</v>
      </c>
      <c r="Q11" s="4">
        <f>P11/O11</f>
        <v>1</v>
      </c>
      <c r="R11" s="3" t="s">
        <v>1321</v>
      </c>
      <c r="S11" s="8">
        <f>S9-S10</f>
        <v>0.25</v>
      </c>
      <c r="T11" s="8">
        <f>T9-T10</f>
        <v>0.25</v>
      </c>
      <c r="U11" s="8">
        <f>U9-U10</f>
        <v>0.25</v>
      </c>
      <c r="V11" s="8">
        <f>V9-V10</f>
        <v>0.25</v>
      </c>
      <c r="W11" s="6" t="s">
        <v>603</v>
      </c>
      <c r="X11" s="6"/>
      <c r="Y11" s="3" t="s">
        <v>77</v>
      </c>
      <c r="Z11" s="115">
        <f>E13/3.1416/((B7+B8)/2)</f>
        <v>0</v>
      </c>
      <c r="AA11" s="115">
        <f>E13/E6</f>
        <v>0</v>
      </c>
      <c r="AB11" s="22"/>
      <c r="AC11" s="115" t="e">
        <f>AC8/AA11</f>
        <v>#DIV/0!</v>
      </c>
      <c r="AD11" s="16"/>
      <c r="AE11" s="22"/>
      <c r="AF11" s="3"/>
      <c r="AG11" s="22"/>
      <c r="AH11" s="22"/>
      <c r="AI11" s="22"/>
      <c r="AJ11" s="22"/>
      <c r="AK11" s="22"/>
    </row>
    <row r="12" spans="1:37" ht="15.6">
      <c r="A12" s="1" t="s">
        <v>734</v>
      </c>
      <c r="B12" s="541">
        <v>1</v>
      </c>
      <c r="C12" s="8">
        <f>B12*G23</f>
        <v>0</v>
      </c>
      <c r="D12" s="81" t="s">
        <v>78</v>
      </c>
      <c r="E12" s="541">
        <v>0</v>
      </c>
      <c r="F12" s="114">
        <f>E12*G23</f>
        <v>0</v>
      </c>
      <c r="G12"/>
      <c r="H12"/>
      <c r="I12"/>
      <c r="J12" s="3" t="s">
        <v>1534</v>
      </c>
      <c r="K12" s="7">
        <f>K5/K11</f>
        <v>258.57142857142861</v>
      </c>
      <c r="L12" s="7">
        <f>$F$19*P6^$F$29</f>
        <v>258.57142857142861</v>
      </c>
      <c r="M12" s="8">
        <f t="shared" si="4"/>
        <v>1</v>
      </c>
      <c r="N12" s="2" t="s">
        <v>1535</v>
      </c>
      <c r="O12" s="4"/>
      <c r="P12" s="4"/>
      <c r="Q12" s="4"/>
      <c r="R12" s="3"/>
      <c r="S12" s="20"/>
      <c r="T12" s="20"/>
      <c r="U12" s="20"/>
      <c r="V12" s="18"/>
      <c r="W12" s="11">
        <f>H4/1000</f>
        <v>6.0000000000000001E-3</v>
      </c>
      <c r="Y12" s="1" t="s">
        <v>1639</v>
      </c>
      <c r="Z12" s="22"/>
      <c r="AA12" s="22"/>
      <c r="AB12" s="22"/>
      <c r="AC12" s="22"/>
      <c r="AD12" s="16"/>
      <c r="AE12" s="22"/>
      <c r="AF12" s="3"/>
      <c r="AG12" s="22"/>
      <c r="AH12" s="22"/>
      <c r="AI12" s="22"/>
      <c r="AJ12" s="22"/>
      <c r="AK12" s="22"/>
    </row>
    <row r="13" spans="1:37" ht="15.6">
      <c r="A13" s="81" t="s">
        <v>1482</v>
      </c>
      <c r="B13" s="541">
        <v>0</v>
      </c>
      <c r="C13" s="8">
        <f>B13*G23</f>
        <v>0</v>
      </c>
      <c r="D13" s="81" t="s">
        <v>79</v>
      </c>
      <c r="E13" s="541">
        <v>0</v>
      </c>
      <c r="F13" s="114">
        <f>E13*G23</f>
        <v>0</v>
      </c>
      <c r="G13"/>
      <c r="H13"/>
      <c r="I13"/>
      <c r="J13" s="3" t="s">
        <v>1536</v>
      </c>
      <c r="K13" s="4">
        <f>$F$26</f>
        <v>3.4</v>
      </c>
      <c r="L13" s="4">
        <f>$E$19*P6^$F$28</f>
        <v>3.4</v>
      </c>
      <c r="M13" s="8">
        <f t="shared" si="4"/>
        <v>1</v>
      </c>
      <c r="N13" s="3" t="s">
        <v>1537</v>
      </c>
      <c r="O13" s="4">
        <f>$C$29</f>
        <v>0</v>
      </c>
      <c r="P13" s="4">
        <f>O13</f>
        <v>0</v>
      </c>
      <c r="Q13" s="4">
        <v>1</v>
      </c>
      <c r="R13" s="3"/>
      <c r="S13" s="20"/>
      <c r="T13" s="20"/>
      <c r="U13" s="20"/>
      <c r="V13" s="18"/>
      <c r="Y13" s="3" t="s">
        <v>1324</v>
      </c>
      <c r="Z13" s="115">
        <f>$AE$8+$AE$9*COS(Z4)+$AE$10*SIN(Z4)</f>
        <v>304.56309182711487</v>
      </c>
      <c r="AA13" s="115">
        <f>$AE$8+$AE$9*COS(AA4)+$AE$10*SIN(AA4)</f>
        <v>-90.160099390872631</v>
      </c>
      <c r="AB13" s="115">
        <f>$AE$8+$AE$9*COS(AB4)+$AE$10*SIN(AB4)</f>
        <v>107.20149621812114</v>
      </c>
      <c r="AC13" s="115">
        <f>$AE$8+$AE$9*COS(AC4)+$AE$10*SIN(AC4)</f>
        <v>107.20149621812114</v>
      </c>
      <c r="AD13" s="16"/>
      <c r="AE13" s="22"/>
      <c r="AF13" s="1"/>
      <c r="AG13" s="16"/>
      <c r="AH13" s="16"/>
      <c r="AI13" s="16"/>
      <c r="AJ13" s="16"/>
      <c r="AK13" s="22"/>
    </row>
    <row r="14" spans="1:37">
      <c r="A14"/>
      <c r="B14"/>
      <c r="C14"/>
      <c r="D14" s="3"/>
      <c r="E14"/>
      <c r="F14"/>
      <c r="G14"/>
      <c r="H14"/>
      <c r="I14"/>
      <c r="J14" s="3" t="s">
        <v>1538</v>
      </c>
      <c r="K14" s="4">
        <f>$E$28</f>
        <v>0.51600000000000001</v>
      </c>
      <c r="L14" s="4">
        <f>K14*P6^$G$28</f>
        <v>0.51600000000000001</v>
      </c>
      <c r="M14" s="8">
        <f t="shared" si="4"/>
        <v>1</v>
      </c>
      <c r="N14" s="3" t="s">
        <v>1539</v>
      </c>
      <c r="O14" s="4">
        <f>$D$29</f>
        <v>0.6</v>
      </c>
      <c r="P14" s="4">
        <f>O14*(1-L11)/(1-K11)</f>
        <v>0.6</v>
      </c>
      <c r="Q14" s="4">
        <f>P14/O14</f>
        <v>1</v>
      </c>
      <c r="R14" s="3" t="s">
        <v>1325</v>
      </c>
      <c r="S14" s="6" t="s">
        <v>1326</v>
      </c>
      <c r="T14" s="6" t="s">
        <v>1327</v>
      </c>
      <c r="U14" s="6" t="s">
        <v>1328</v>
      </c>
      <c r="V14" s="6" t="s">
        <v>1329</v>
      </c>
      <c r="W14" s="6" t="s">
        <v>1330</v>
      </c>
      <c r="X14" s="6" t="s">
        <v>1331</v>
      </c>
      <c r="Y14" s="3" t="s">
        <v>1332</v>
      </c>
      <c r="Z14" s="115">
        <f>2*$AE$8-Z13</f>
        <v>-90.160099390872631</v>
      </c>
      <c r="AA14" s="115">
        <f>2*$AE$8-AA13</f>
        <v>304.56309182711487</v>
      </c>
      <c r="AB14" s="115">
        <f>2*$AE$8-AB13</f>
        <v>107.20149621812111</v>
      </c>
      <c r="AC14" s="115">
        <f>2*$AE$8-AC13</f>
        <v>107.20149621812111</v>
      </c>
      <c r="AD14" s="22"/>
      <c r="AE14" s="22"/>
      <c r="AF14" s="3" t="s">
        <v>1333</v>
      </c>
      <c r="AG14" s="22">
        <f>$P$33*AG7^2+2*$P$35*AG7*AG8+$P$34*AG8^2+$P$36*AG9^2</f>
        <v>1368.8837845932098</v>
      </c>
      <c r="AH14" s="22">
        <f>$P$33*AH7^2+2*$P$35*AH7*AH8+$P$34*AH8^2+$P$36*AH9^2</f>
        <v>1256.8566063427911</v>
      </c>
      <c r="AI14" s="22">
        <f>$P$33*AI7^2+2*$P$35*AI7*AI8+$P$34*AI8^2+$P$36*AI9^2</f>
        <v>1922.3896855288242</v>
      </c>
      <c r="AJ14" s="22">
        <f>$P$33*AJ7^2+2*$P$35*AJ7*AJ8+$P$34*AJ8^2+$P$36*AJ9^2</f>
        <v>1922.3896855288242</v>
      </c>
      <c r="AK14" s="22"/>
    </row>
    <row r="15" spans="1:37">
      <c r="A15" s="1" t="s">
        <v>1569</v>
      </c>
      <c r="B15" s="114">
        <f>AG38</f>
        <v>2.8179742996149167E-2</v>
      </c>
      <c r="C15" s="114">
        <f>AH38</f>
        <v>1.5326237595224262E-2</v>
      </c>
      <c r="D15" s="114">
        <f>AI38</f>
        <v>1.8045661769800637E-2</v>
      </c>
      <c r="E15" s="114">
        <f>AJ38</f>
        <v>1.8045661769800637E-2</v>
      </c>
      <c r="F15" s="2" t="s">
        <v>1528</v>
      </c>
      <c r="G15" s="114">
        <f>MIN(B15:E15)</f>
        <v>1.5326237595224262E-2</v>
      </c>
      <c r="H15"/>
      <c r="I15"/>
      <c r="J15" s="3" t="s">
        <v>1547</v>
      </c>
      <c r="K15" s="4">
        <f>K14*(1-K11)/K11</f>
        <v>0.2211428571428572</v>
      </c>
      <c r="L15" s="4">
        <f>L14*(1-L11)/L11</f>
        <v>0.2211428571428572</v>
      </c>
      <c r="M15" s="8">
        <f t="shared" si="4"/>
        <v>1</v>
      </c>
      <c r="O15" s="4"/>
      <c r="P15" s="4"/>
      <c r="Q15" s="4"/>
      <c r="R15" s="3">
        <v>11</v>
      </c>
      <c r="S15" s="4">
        <f>$L$27+$L$28*COS(S6)+$L$29*COS(S7)</f>
        <v>181.81113884441794</v>
      </c>
      <c r="T15" s="4">
        <f>$L$27+$L$28*COS(T6)+$L$29*COS(T7)</f>
        <v>10.346158729820477</v>
      </c>
      <c r="U15" s="4">
        <f>$L$27+$L$28*COS(U6)+$L$29*COS(U7)</f>
        <v>56.65778661573448</v>
      </c>
      <c r="V15" s="4">
        <f>$L$27+$L$28*COS(V6)+$L$29*COS(V7)</f>
        <v>56.65778661573448</v>
      </c>
      <c r="W15" s="5">
        <f t="shared" ref="W15:W20" si="5">($S$11*S15+$T$11*T15+$U$11*U15+$V$11*V15)*$W$12</f>
        <v>0.4582093062085611</v>
      </c>
      <c r="X15" s="4">
        <f t="shared" ref="X15:X20" si="6">W15/$W$12</f>
        <v>76.368217701426843</v>
      </c>
      <c r="Y15" s="3" t="s">
        <v>1334</v>
      </c>
      <c r="Z15" s="115">
        <f>2*($AE$10*COS(Z4)-$AE$9*SIN(Z4))</f>
        <v>5.9581079143938816E-15</v>
      </c>
      <c r="AA15" s="115">
        <f>2*($AE$10*COS(AA4)-$AE$9*SIN(AA4))</f>
        <v>-5.43175586981256E-14</v>
      </c>
      <c r="AB15" s="115">
        <f>2*($AE$10*COS(AB4)-$AE$9*SIN(AB4))</f>
        <v>-394.72319121798751</v>
      </c>
      <c r="AC15" s="115">
        <f>2*($AE$10*COS(AC4)-$AE$9*SIN(AC4))</f>
        <v>394.72319121798751</v>
      </c>
      <c r="AD15" s="22"/>
      <c r="AE15" s="22"/>
      <c r="AF15" s="3" t="s">
        <v>1335</v>
      </c>
      <c r="AG15" s="22">
        <f>$P$37*AG7+$P$38*AG8</f>
        <v>-1.0575176188753375</v>
      </c>
      <c r="AH15" s="22">
        <f>$P$37*AH7+$P$38*AH8</f>
        <v>60.499333908974201</v>
      </c>
      <c r="AI15" s="22">
        <f>$P$37*AI7+$P$38*AI8</f>
        <v>29.720908145049432</v>
      </c>
      <c r="AJ15" s="22">
        <f>$P$37*AJ7+$P$38*AJ8</f>
        <v>29.720908145049432</v>
      </c>
      <c r="AK15" s="22"/>
    </row>
    <row r="16" spans="1:37" ht="15.6">
      <c r="A16" s="553" t="s">
        <v>1544</v>
      </c>
      <c r="B16" s="554" t="s">
        <v>1545</v>
      </c>
      <c r="C16" s="551">
        <v>90</v>
      </c>
      <c r="D16" s="77" t="s">
        <v>1546</v>
      </c>
      <c r="E16" s="551">
        <f>F8</f>
        <v>325.23286297077112</v>
      </c>
      <c r="F16" s="551">
        <f>F9</f>
        <v>1.3939131890969531E-14</v>
      </c>
      <c r="G16" s="552">
        <f>F10</f>
        <v>0</v>
      </c>
      <c r="J16" s="3" t="s">
        <v>1643</v>
      </c>
      <c r="K16" s="4">
        <f>1/((1+K15)/K6-K15/K13)</f>
        <v>18.686160319541436</v>
      </c>
      <c r="L16" s="4">
        <f>K16*P6^$F$29</f>
        <v>18.686160319541436</v>
      </c>
      <c r="M16" s="8">
        <f t="shared" si="4"/>
        <v>1</v>
      </c>
      <c r="N16" s="2" t="s">
        <v>1644</v>
      </c>
      <c r="O16" s="4"/>
      <c r="P16" s="4"/>
      <c r="Q16" s="4"/>
      <c r="R16" s="3">
        <v>22</v>
      </c>
      <c r="S16" s="4">
        <f>S15-2*$L$28*COS(S6)</f>
        <v>10.346158729820473</v>
      </c>
      <c r="T16" s="4">
        <f>T15-2*$L$28*COS(T6)</f>
        <v>181.81113884441794</v>
      </c>
      <c r="U16" s="4">
        <f>U15-2*$L$28*COS(U6)</f>
        <v>56.657786615734473</v>
      </c>
      <c r="V16" s="4">
        <f>V15-2*$L$28*COS(V6)</f>
        <v>56.657786615734473</v>
      </c>
      <c r="W16" s="5">
        <f t="shared" si="5"/>
        <v>0.4582093062085611</v>
      </c>
      <c r="X16" s="4">
        <f t="shared" si="6"/>
        <v>76.368217701426843</v>
      </c>
      <c r="Y16" s="3"/>
      <c r="Z16" s="22"/>
      <c r="AA16" s="22"/>
      <c r="AB16" s="22"/>
      <c r="AC16" s="22"/>
      <c r="AD16" s="22"/>
      <c r="AE16" s="22"/>
      <c r="AF16" s="3" t="s">
        <v>1344</v>
      </c>
      <c r="AG16" s="22">
        <f>AG15/2/AG14</f>
        <v>-3.8627005110941512E-4</v>
      </c>
      <c r="AH16" s="22">
        <f>AH15/2/AH14</f>
        <v>2.4067715284170534E-2</v>
      </c>
      <c r="AI16" s="22">
        <f>AI15/2/AI14</f>
        <v>7.7301986087367084E-3</v>
      </c>
      <c r="AJ16" s="22">
        <f>AJ15/2/AJ14</f>
        <v>7.7301986087367084E-3</v>
      </c>
      <c r="AK16" s="22"/>
    </row>
    <row r="17" spans="1:37">
      <c r="B17" s="1" t="s">
        <v>1336</v>
      </c>
      <c r="C17" s="1" t="s">
        <v>1337</v>
      </c>
      <c r="D17" s="17" t="s">
        <v>1338</v>
      </c>
      <c r="E17" s="1" t="s">
        <v>1339</v>
      </c>
      <c r="F17" s="1" t="s">
        <v>1340</v>
      </c>
      <c r="G17" s="1" t="s">
        <v>1341</v>
      </c>
      <c r="H17" s="1" t="s">
        <v>1342</v>
      </c>
      <c r="I17"/>
      <c r="J17" s="3" t="s">
        <v>295</v>
      </c>
      <c r="K17" s="4">
        <f>$E$29</f>
        <v>0.316</v>
      </c>
      <c r="L17" s="4">
        <f>K17*P6^$G$28</f>
        <v>0.316</v>
      </c>
      <c r="M17" s="8">
        <f t="shared" si="4"/>
        <v>1</v>
      </c>
      <c r="N17" s="3" t="s">
        <v>296</v>
      </c>
      <c r="O17" s="7">
        <f>$A$27</f>
        <v>1500</v>
      </c>
      <c r="P17" s="7">
        <f>P23*L11</f>
        <v>1500</v>
      </c>
      <c r="Q17" s="4">
        <f t="shared" ref="Q17:Q24" si="7">P17/O17</f>
        <v>1</v>
      </c>
      <c r="R17" s="3" t="s">
        <v>1345</v>
      </c>
      <c r="S17" s="4">
        <f>$L$30-$L$29*COS(S7)</f>
        <v>2.8969244443497324</v>
      </c>
      <c r="T17" s="4">
        <f>$L$30-$L$29*COS(T7)</f>
        <v>2.8969244443497324</v>
      </c>
      <c r="U17" s="4">
        <f>$L$30-$L$29*COS(U7)</f>
        <v>42.317786615734462</v>
      </c>
      <c r="V17" s="4">
        <f>$L$30-$L$29*COS(V7)</f>
        <v>42.317786615734462</v>
      </c>
      <c r="W17" s="5">
        <f t="shared" si="5"/>
        <v>0.13564413318025259</v>
      </c>
      <c r="X17" s="4">
        <f t="shared" si="6"/>
        <v>22.607355530042099</v>
      </c>
      <c r="Y17" s="3"/>
      <c r="Z17" s="22"/>
      <c r="AA17" s="22"/>
      <c r="AB17" s="22"/>
      <c r="AC17" s="22"/>
      <c r="AD17" s="22"/>
      <c r="AE17" s="22"/>
      <c r="AF17" s="3"/>
      <c r="AG17" s="22"/>
      <c r="AH17" s="22"/>
      <c r="AI17" s="22"/>
      <c r="AJ17" s="22"/>
      <c r="AK17" s="22"/>
    </row>
    <row r="18" spans="1:37">
      <c r="A18" s="1" t="s">
        <v>223</v>
      </c>
      <c r="B18" s="14">
        <f>O2</f>
        <v>22</v>
      </c>
      <c r="C18" s="18">
        <f>O3</f>
        <v>5.0000000000000001E-3</v>
      </c>
      <c r="D18" s="8">
        <f>K11</f>
        <v>0.7</v>
      </c>
      <c r="E18" s="8">
        <f>K13</f>
        <v>3.4</v>
      </c>
      <c r="F18" s="25">
        <f>K12</f>
        <v>258.57142857142861</v>
      </c>
      <c r="G18" s="14">
        <f>O24</f>
        <v>40</v>
      </c>
      <c r="H18" s="25">
        <f>O23</f>
        <v>2142.8571428571431</v>
      </c>
      <c r="I18"/>
      <c r="J18" s="3" t="s">
        <v>301</v>
      </c>
      <c r="K18" s="4">
        <f>K17*(1-K11)/K11</f>
        <v>0.13542857142857145</v>
      </c>
      <c r="L18" s="4">
        <f>L17*(1-L11)/L11</f>
        <v>0.13542857142857145</v>
      </c>
      <c r="M18" s="8">
        <f t="shared" si="4"/>
        <v>1</v>
      </c>
      <c r="N18" s="3" t="s">
        <v>302</v>
      </c>
      <c r="O18" s="7">
        <f>$B$27</f>
        <v>1500</v>
      </c>
      <c r="P18" s="7">
        <f>O18*Q17*M8^E30</f>
        <v>1500</v>
      </c>
      <c r="Q18" s="4">
        <f t="shared" si="7"/>
        <v>1</v>
      </c>
      <c r="R18" s="3">
        <v>66</v>
      </c>
      <c r="S18" s="4">
        <f>S17-$L$30+$L$31</f>
        <v>7.1700000000000053</v>
      </c>
      <c r="T18" s="4">
        <f>T17-$L$30+$L$31</f>
        <v>7.1700000000000053</v>
      </c>
      <c r="U18" s="4">
        <f>U17-$L$30+$L$31</f>
        <v>46.590862171384735</v>
      </c>
      <c r="V18" s="4">
        <f>V17-$L$30+$L$31</f>
        <v>46.590862171384735</v>
      </c>
      <c r="W18" s="5">
        <f t="shared" si="5"/>
        <v>0.16128258651415422</v>
      </c>
      <c r="X18" s="4">
        <f t="shared" si="6"/>
        <v>26.880431085692368</v>
      </c>
      <c r="Y18" s="3"/>
      <c r="Z18" s="22"/>
      <c r="AA18" s="22"/>
      <c r="AB18" s="22"/>
      <c r="AC18" s="22"/>
      <c r="AD18" s="22"/>
      <c r="AE18" s="22"/>
      <c r="AF18" s="3"/>
      <c r="AG18" s="22"/>
      <c r="AH18" s="11"/>
      <c r="AI18" s="22"/>
      <c r="AJ18" s="22"/>
      <c r="AK18" s="22"/>
    </row>
    <row r="19" spans="1:37" ht="15.6">
      <c r="A19" s="1" t="s">
        <v>297</v>
      </c>
      <c r="B19" s="533">
        <f t="shared" ref="B19:H19" si="8">B18</f>
        <v>22</v>
      </c>
      <c r="C19" s="534">
        <f t="shared" si="8"/>
        <v>5.0000000000000001E-3</v>
      </c>
      <c r="D19" s="535">
        <f t="shared" si="8"/>
        <v>0.7</v>
      </c>
      <c r="E19" s="535">
        <f t="shared" si="8"/>
        <v>3.4</v>
      </c>
      <c r="F19" s="536">
        <f t="shared" si="8"/>
        <v>258.57142857142861</v>
      </c>
      <c r="G19" s="533">
        <f t="shared" si="8"/>
        <v>40</v>
      </c>
      <c r="H19" s="537">
        <f t="shared" si="8"/>
        <v>2142.8571428571431</v>
      </c>
      <c r="I19"/>
      <c r="J19" s="3" t="s">
        <v>1646</v>
      </c>
      <c r="K19" s="4">
        <f>1/((1+K18)/K8-K18*2.7/K13)</f>
        <v>19.680382632972858</v>
      </c>
      <c r="L19" s="4">
        <f>K19*P6^$F$29</f>
        <v>19.680382632972858</v>
      </c>
      <c r="M19" s="8">
        <f t="shared" si="4"/>
        <v>1</v>
      </c>
      <c r="N19" s="3" t="s">
        <v>305</v>
      </c>
      <c r="O19" s="7">
        <f>$C$27</f>
        <v>40</v>
      </c>
      <c r="P19" s="7">
        <f>O19*Q24</f>
        <v>40</v>
      </c>
      <c r="Q19" s="4">
        <f t="shared" si="7"/>
        <v>1</v>
      </c>
      <c r="R19" s="3" t="s">
        <v>1347</v>
      </c>
      <c r="S19" s="4">
        <f>$L$28*SIN(S6)/2+$L$29*SIN(S7)</f>
        <v>0</v>
      </c>
      <c r="T19" s="4">
        <f>$L$28*SIN(T6)/2+$L$29*SIN(T7)</f>
        <v>4.221105484146412E-16</v>
      </c>
      <c r="U19" s="4">
        <f>$L$28*SIN(U6)/2+$L$29*SIN(U7)</f>
        <v>42.866245028649367</v>
      </c>
      <c r="V19" s="4">
        <f>$L$28*SIN(V6)/2+$L$29*SIN(V7)</f>
        <v>-42.866245028649367</v>
      </c>
      <c r="W19" s="5">
        <f t="shared" si="5"/>
        <v>0</v>
      </c>
      <c r="X19" s="4">
        <f t="shared" si="6"/>
        <v>0</v>
      </c>
      <c r="Z19" s="22"/>
      <c r="AA19" s="22"/>
      <c r="AB19" s="22"/>
      <c r="AC19" s="22"/>
      <c r="AD19" s="22"/>
      <c r="AE19" s="22"/>
      <c r="AF19" s="3"/>
      <c r="AG19" s="22"/>
      <c r="AH19" s="22"/>
      <c r="AI19" s="22"/>
      <c r="AJ19" s="22"/>
      <c r="AK19" s="16" t="s">
        <v>1348</v>
      </c>
    </row>
    <row r="20" spans="1:37">
      <c r="A20" s="10" t="s">
        <v>756</v>
      </c>
      <c r="B20" s="18">
        <f t="shared" ref="B20:H20" si="9">B19/B18</f>
        <v>1</v>
      </c>
      <c r="C20" s="18">
        <f t="shared" si="9"/>
        <v>1</v>
      </c>
      <c r="D20" s="18">
        <f t="shared" si="9"/>
        <v>1</v>
      </c>
      <c r="E20" s="18">
        <f t="shared" si="9"/>
        <v>1</v>
      </c>
      <c r="F20" s="18">
        <f t="shared" si="9"/>
        <v>1</v>
      </c>
      <c r="G20" s="18">
        <f t="shared" si="9"/>
        <v>1</v>
      </c>
      <c r="H20" s="11">
        <f t="shared" si="9"/>
        <v>1</v>
      </c>
      <c r="I20"/>
      <c r="L20" s="4"/>
      <c r="N20" s="3" t="s">
        <v>1542</v>
      </c>
      <c r="O20" s="7">
        <f>$D$27</f>
        <v>246</v>
      </c>
      <c r="P20" s="7">
        <f>O20*Q24</f>
        <v>246</v>
      </c>
      <c r="Q20" s="4">
        <f t="shared" si="7"/>
        <v>1</v>
      </c>
      <c r="R20" s="3" t="s">
        <v>1349</v>
      </c>
      <c r="S20" s="4">
        <f>$L$28*SIN(S6)-S19</f>
        <v>0</v>
      </c>
      <c r="T20" s="4">
        <f>$L$28*SIN(T6)-T19</f>
        <v>1.0081392224502176E-14</v>
      </c>
      <c r="U20" s="4">
        <f>$L$28*SIN(U6)-U19</f>
        <v>42.866245028649367</v>
      </c>
      <c r="V20" s="4">
        <f>$L$28*SIN(V6)-V19</f>
        <v>-42.866245028649367</v>
      </c>
      <c r="W20" s="5">
        <f t="shared" si="5"/>
        <v>1.0658141036401503E-17</v>
      </c>
      <c r="X20" s="4">
        <f t="shared" si="6"/>
        <v>1.7763568394002505E-15</v>
      </c>
      <c r="Y20" s="2" t="s">
        <v>1158</v>
      </c>
      <c r="Z20" s="16" t="s">
        <v>569</v>
      </c>
      <c r="AA20" s="22" t="s">
        <v>80</v>
      </c>
      <c r="AB20" s="16" t="s">
        <v>570</v>
      </c>
      <c r="AC20" s="22"/>
      <c r="AE20" s="22"/>
      <c r="AF20" s="3" t="s">
        <v>1351</v>
      </c>
      <c r="AG20" s="11">
        <f>(AG16^2+1/AG14)^0.5-AG16</f>
        <v>2.7417204349314436E-2</v>
      </c>
      <c r="AH20" s="11">
        <f>(AH16^2+1/AH14)^0.5-AH16</f>
        <v>1.3011802381356481E-2</v>
      </c>
      <c r="AI20" s="11">
        <f>(AI16^2+1/AI14)^0.5-AI16</f>
        <v>1.635178357703404E-2</v>
      </c>
      <c r="AJ20" s="11">
        <f>(AJ16^2+1/AJ14)^0.5-AJ16</f>
        <v>1.635178357703404E-2</v>
      </c>
      <c r="AK20" s="11">
        <f>MIN(AG21:AJ21)</f>
        <v>1.3011802381356481E-2</v>
      </c>
    </row>
    <row r="21" spans="1:37">
      <c r="A21" s="1" t="s">
        <v>1504</v>
      </c>
      <c r="B21" s="14">
        <f>B19-B18</f>
        <v>0</v>
      </c>
      <c r="C21" s="18">
        <f>C19-C18</f>
        <v>0</v>
      </c>
      <c r="D21" s="13" t="s">
        <v>1157</v>
      </c>
      <c r="E21" s="8">
        <f>L13</f>
        <v>3.4</v>
      </c>
      <c r="F21" s="25">
        <f>L12</f>
        <v>258.57142857142861</v>
      </c>
      <c r="G21" s="14">
        <f>P24</f>
        <v>40</v>
      </c>
      <c r="H21" s="7">
        <f>P23</f>
        <v>2142.8571428571431</v>
      </c>
      <c r="J21" s="2" t="s">
        <v>1648</v>
      </c>
      <c r="N21" s="3" t="s">
        <v>1543</v>
      </c>
      <c r="O21" s="25">
        <f>$E$27</f>
        <v>68</v>
      </c>
      <c r="P21" s="25">
        <f>O21*Q24</f>
        <v>68</v>
      </c>
      <c r="Q21" s="4">
        <f t="shared" si="7"/>
        <v>1</v>
      </c>
      <c r="R21" s="1"/>
      <c r="V21" s="6" t="s">
        <v>1353</v>
      </c>
      <c r="W21" s="5">
        <f>W15*W16*W18+2*W17*W19*W20-W16*W19^2-W18*W17^2-W15*W20^2</f>
        <v>3.0894717692132437E-2</v>
      </c>
      <c r="Y21" s="3">
        <v>1</v>
      </c>
      <c r="Z21" s="22">
        <f>Z8/$AE$4</f>
        <v>16666.666666666668</v>
      </c>
      <c r="AA21" s="22">
        <f>(Z21+Z22)/2</f>
        <v>8333.3333333333339</v>
      </c>
      <c r="AB21" s="22">
        <f>AB8</f>
        <v>304.56309182711487</v>
      </c>
      <c r="AC21" s="22"/>
      <c r="AE21" s="22"/>
      <c r="AF21" s="3"/>
      <c r="AG21" s="11">
        <f>IF(AG3=0,1000000000,AG20)</f>
        <v>2.7417204349314436E-2</v>
      </c>
      <c r="AH21" s="11">
        <f>IF(AH3=0,1000000000,AH20)</f>
        <v>1.3011802381356481E-2</v>
      </c>
      <c r="AI21" s="11">
        <f>IF(AI3=0,1000000000,AI20)</f>
        <v>1.635178357703404E-2</v>
      </c>
      <c r="AJ21" s="11">
        <f>IF(AJ3=0,1000000000,AJ20)</f>
        <v>1.635178357703404E-2</v>
      </c>
    </row>
    <row r="22" spans="1:37">
      <c r="J22" s="3" t="s">
        <v>1354</v>
      </c>
      <c r="K22" s="4">
        <f>K5/(1-K7^2*K6/K5)</f>
        <v>181.81113884441791</v>
      </c>
      <c r="L22" s="4">
        <f>L5/(1-L7^2*L6/L5)</f>
        <v>181.81113884441794</v>
      </c>
      <c r="M22" s="8">
        <f>L22/K22</f>
        <v>1.0000000000000002</v>
      </c>
      <c r="N22" s="3" t="s">
        <v>1168</v>
      </c>
      <c r="O22" s="8">
        <f>$A$28</f>
        <v>-0.5</v>
      </c>
      <c r="P22" s="8">
        <v>-0.5</v>
      </c>
      <c r="Q22" s="4">
        <f t="shared" si="7"/>
        <v>1</v>
      </c>
      <c r="R22" s="3" t="s">
        <v>1355</v>
      </c>
      <c r="S22" s="6" t="s">
        <v>1169</v>
      </c>
      <c r="T22" s="6"/>
      <c r="U22" s="6" t="s">
        <v>1357</v>
      </c>
      <c r="V22" s="6"/>
      <c r="W22" s="6" t="s">
        <v>1358</v>
      </c>
      <c r="X22" s="6"/>
      <c r="Y22" s="3">
        <v>2</v>
      </c>
      <c r="Z22" s="22">
        <f>Z9/$AE$4</f>
        <v>0</v>
      </c>
      <c r="AA22" s="22">
        <f>(Z21-Z22)/2</f>
        <v>8333.3333333333339</v>
      </c>
      <c r="AB22" s="22">
        <f>AB9</f>
        <v>-90.160099390872645</v>
      </c>
      <c r="AC22" s="22"/>
      <c r="AE22" s="22"/>
      <c r="AF22" s="2" t="s">
        <v>1360</v>
      </c>
      <c r="AG22" s="11">
        <f>IF(AG3=0,0,AG20)</f>
        <v>2.7417204349314436E-2</v>
      </c>
      <c r="AH22" s="11">
        <f>IF(AH3=0,0,AH20)</f>
        <v>1.3011802381356481E-2</v>
      </c>
      <c r="AI22" s="11">
        <f>IF(AI3=0,0,AI20)</f>
        <v>1.635178357703404E-2</v>
      </c>
      <c r="AJ22" s="11">
        <f>IF(AJ3=0,0,AJ20)</f>
        <v>1.635178357703404E-2</v>
      </c>
    </row>
    <row r="23" spans="1:37">
      <c r="A23"/>
      <c r="B23"/>
      <c r="C23"/>
      <c r="D23"/>
      <c r="E23"/>
      <c r="F23"/>
      <c r="G23"/>
      <c r="J23" s="3" t="s">
        <v>1361</v>
      </c>
      <c r="K23" s="4">
        <f>K22*K6/K5</f>
        <v>10.346158729820468</v>
      </c>
      <c r="L23" s="4">
        <f>L22*L6/L5</f>
        <v>10.346158729820468</v>
      </c>
      <c r="M23" s="8">
        <f>L23/K23</f>
        <v>1</v>
      </c>
      <c r="N23" s="3" t="s">
        <v>1175</v>
      </c>
      <c r="O23" s="7">
        <f>O17/K11</f>
        <v>2142.8571428571431</v>
      </c>
      <c r="P23" s="7">
        <f>$H$19*P6^$G$29</f>
        <v>2142.8571428571431</v>
      </c>
      <c r="Q23" s="4">
        <f t="shared" si="7"/>
        <v>1</v>
      </c>
      <c r="R23" s="3">
        <v>11</v>
      </c>
      <c r="S23" s="5">
        <f>(W16*W18-W20^2)/W21</f>
        <v>2.3920329295966445</v>
      </c>
      <c r="U23" s="5">
        <f t="shared" ref="U23:U28" si="10">S23*$W$12</f>
        <v>1.4352197577579866E-2</v>
      </c>
      <c r="V23" s="5"/>
      <c r="W23" s="4">
        <f>1/U23</f>
        <v>69.675740916648152</v>
      </c>
      <c r="X23" s="7"/>
      <c r="Y23" s="3">
        <v>6</v>
      </c>
      <c r="Z23" s="22">
        <f>Z10/$AE$4</f>
        <v>0</v>
      </c>
      <c r="AA23" s="22">
        <f>Z23</f>
        <v>0</v>
      </c>
      <c r="AB23" s="22">
        <f>AB10</f>
        <v>5.9581079143938816E-15</v>
      </c>
      <c r="AC23" s="22"/>
      <c r="AE23" s="22"/>
      <c r="AF23" s="3" t="s">
        <v>1364</v>
      </c>
      <c r="AG23" s="26">
        <f>$AK$7+$AK$8*COS(AG4)+$AK$9*SIN(AG4)-$V$37</f>
        <v>5.030937544400915E-5</v>
      </c>
      <c r="AH23" s="22">
        <f>$AK$7+$AK$8*COS(AH4)+$AK$9*SIN(AH4)-$V$37</f>
        <v>5.030937544400915E-5</v>
      </c>
      <c r="AI23" s="22">
        <f>$AK$7+$AK$8*COS(AI4)+$AK$9*SIN(AI4)-$V$37</f>
        <v>5.0309375444009143E-5</v>
      </c>
      <c r="AJ23" s="22">
        <f>$AK$7+$AK$8*COS(AJ4)+$AK$9*SIN(AJ4)-$V$37</f>
        <v>5.0309375444009157E-5</v>
      </c>
      <c r="AK23" s="22"/>
    </row>
    <row r="24" spans="1:37">
      <c r="A24" s="1"/>
      <c r="B24" s="4"/>
      <c r="C24" s="4"/>
      <c r="D24" s="4"/>
      <c r="E24" s="4"/>
      <c r="G24" s="4"/>
      <c r="J24" s="3" t="s">
        <v>1365</v>
      </c>
      <c r="K24" s="4">
        <f>K23*K7</f>
        <v>2.8969244443497315</v>
      </c>
      <c r="L24" s="4">
        <f>L23*L7</f>
        <v>2.8969244443497315</v>
      </c>
      <c r="M24" s="8">
        <f>L24/K24</f>
        <v>1</v>
      </c>
      <c r="N24" s="3" t="s">
        <v>1176</v>
      </c>
      <c r="O24" s="7">
        <f>O19</f>
        <v>40</v>
      </c>
      <c r="P24" s="7">
        <f>$G$19*P6^$H$28</f>
        <v>40</v>
      </c>
      <c r="Q24" s="4">
        <f t="shared" si="7"/>
        <v>1</v>
      </c>
      <c r="R24" s="3">
        <v>22</v>
      </c>
      <c r="S24" s="5">
        <f>(W15*W18-W19^2)/W21</f>
        <v>2.3920329295966445</v>
      </c>
      <c r="U24" s="5">
        <f t="shared" si="10"/>
        <v>1.4352197577579866E-2</v>
      </c>
      <c r="V24" s="5"/>
      <c r="W24" s="4">
        <f>1/U24</f>
        <v>69.675740916648152</v>
      </c>
      <c r="Y24" s="3" t="s">
        <v>1177</v>
      </c>
      <c r="Z24" s="22">
        <f>(Z21^2-Z21*Z22+Z22^2+3*Z23^2)^0.5</f>
        <v>16666.666666666668</v>
      </c>
      <c r="AA24" s="22">
        <f>(AA22^2+AA23^2)^0.5</f>
        <v>8333.3333333333339</v>
      </c>
      <c r="AB24" s="22">
        <f>(AB21^2+AB22^2+AB23^2/2)^0.5</f>
        <v>317.62795913688649</v>
      </c>
      <c r="AC24" s="22"/>
      <c r="AE24" s="22"/>
      <c r="AF24" s="3" t="s">
        <v>1367</v>
      </c>
      <c r="AG24" s="22">
        <f>2*$AK$7-AG23-$V$38-$V$37</f>
        <v>-7.0169062455599106E-4</v>
      </c>
      <c r="AH24" s="22">
        <f>2*$AK$7-AH23-$V$38-$V$37</f>
        <v>-7.0169062455599106E-4</v>
      </c>
      <c r="AI24" s="22">
        <f>2*$AK$7-AI23-$V$38-$V$37</f>
        <v>-7.0169062455599106E-4</v>
      </c>
      <c r="AJ24" s="22">
        <f>2*$AK$7-AJ23-$V$38-$V$37</f>
        <v>-7.0169062455599106E-4</v>
      </c>
      <c r="AK24" s="22"/>
    </row>
    <row r="25" spans="1:37">
      <c r="A25" s="1" t="s">
        <v>81</v>
      </c>
      <c r="J25" s="3" t="s">
        <v>1370</v>
      </c>
      <c r="K25" s="4">
        <f>K8</f>
        <v>7.17</v>
      </c>
      <c r="L25" s="4">
        <f>L8</f>
        <v>7.17</v>
      </c>
      <c r="M25" s="8">
        <f>L25/K25</f>
        <v>1</v>
      </c>
      <c r="R25" s="3" t="s">
        <v>1345</v>
      </c>
      <c r="S25" s="5">
        <f>(W19*W20-W17*W18)/W21</f>
        <v>-0.7081157647332279</v>
      </c>
      <c r="U25" s="5">
        <f t="shared" si="10"/>
        <v>-4.2486945883993673E-3</v>
      </c>
      <c r="V25" s="5"/>
      <c r="W25" s="4">
        <f>-U25/U23</f>
        <v>0.29603094337527935</v>
      </c>
      <c r="Y25" s="3"/>
      <c r="Z25" s="3" t="s">
        <v>1178</v>
      </c>
      <c r="AA25" s="16">
        <f>Z24</f>
        <v>16666.666666666668</v>
      </c>
      <c r="AB25" s="16" t="s">
        <v>1179</v>
      </c>
      <c r="AC25" s="22">
        <f>AB24</f>
        <v>317.62795913688649</v>
      </c>
      <c r="AD25" s="2" t="s">
        <v>82</v>
      </c>
      <c r="AE25" s="22"/>
      <c r="AF25" s="3" t="s">
        <v>1372</v>
      </c>
      <c r="AG25" s="26">
        <f>2*($AK$9*COS(AG4)-$AK$8*SIN(AG4))</f>
        <v>-9.330756705769274E-21</v>
      </c>
      <c r="AH25" s="22">
        <f>2*($AK$9*COS(AH4)-$AK$8*SIN(AH4))</f>
        <v>9.330756705769274E-21</v>
      </c>
      <c r="AI25" s="22">
        <f>2*($AK$9*COS(AI4)-$AK$8*SIN(AI4))</f>
        <v>-5.7157810806007354E-37</v>
      </c>
      <c r="AJ25" s="22">
        <f>2*($AK$9*COS(AJ4)-$AK$8*SIN(AJ4))</f>
        <v>-5.7157810806007354E-37</v>
      </c>
      <c r="AK25" s="22"/>
    </row>
    <row r="26" spans="1:37">
      <c r="A26" s="4" t="s">
        <v>1582</v>
      </c>
      <c r="B26" s="4">
        <v>181</v>
      </c>
      <c r="C26" s="4">
        <v>10.3</v>
      </c>
      <c r="D26" s="4">
        <v>0.28000000000000003</v>
      </c>
      <c r="E26" s="4">
        <v>7.17</v>
      </c>
      <c r="F26" s="4">
        <v>3.4</v>
      </c>
      <c r="G26" s="4">
        <v>122</v>
      </c>
      <c r="H26" s="4">
        <v>160</v>
      </c>
      <c r="J26" s="2" t="s">
        <v>1651</v>
      </c>
      <c r="K26" s="4"/>
      <c r="L26" s="4"/>
      <c r="N26" s="2" t="s">
        <v>1652</v>
      </c>
      <c r="R26" s="3">
        <v>66</v>
      </c>
      <c r="S26" s="5">
        <f>(W15*W16-W17^2)/W21</f>
        <v>6.2002973886597461</v>
      </c>
      <c r="U26" s="5">
        <f t="shared" si="10"/>
        <v>3.7201784331958476E-2</v>
      </c>
      <c r="V26" s="5"/>
      <c r="W26" s="4">
        <f>1/U26</f>
        <v>26.880431085692372</v>
      </c>
      <c r="Z26" s="3" t="s">
        <v>83</v>
      </c>
      <c r="AA26" s="2">
        <f>Z21*Z22-Z23^2</f>
        <v>0</v>
      </c>
      <c r="AB26" s="3" t="s">
        <v>84</v>
      </c>
      <c r="AC26" s="2">
        <f>1+L34^2</f>
        <v>1.0876343194356579</v>
      </c>
      <c r="AD26" s="2">
        <f>1-4*L34+L34^2</f>
        <v>-9.6489454065459751E-2</v>
      </c>
      <c r="AE26" s="22"/>
      <c r="AF26" s="22"/>
      <c r="AG26" s="22"/>
      <c r="AH26" s="22"/>
      <c r="AI26" s="22"/>
      <c r="AJ26" s="22"/>
      <c r="AK26" s="22"/>
    </row>
    <row r="27" spans="1:37">
      <c r="A27" s="4">
        <v>1500</v>
      </c>
      <c r="B27" s="4">
        <v>1500</v>
      </c>
      <c r="C27" s="4">
        <v>40</v>
      </c>
      <c r="D27" s="4">
        <v>246</v>
      </c>
      <c r="E27" s="4">
        <v>68</v>
      </c>
      <c r="F27" s="4">
        <v>1.2</v>
      </c>
      <c r="G27" s="4">
        <v>22</v>
      </c>
      <c r="H27" s="4">
        <v>5.0000000000000001E-3</v>
      </c>
      <c r="J27" s="3" t="s">
        <v>1380</v>
      </c>
      <c r="K27" s="4">
        <f>(3*K22+3*K23+2*K24+4*K25)/8</f>
        <v>76.368217701426829</v>
      </c>
      <c r="L27" s="4">
        <f>(3*L22+3*L23+2*L24+4*L25)/8</f>
        <v>76.368217701426843</v>
      </c>
      <c r="M27" s="8">
        <f>L27/K27</f>
        <v>1.0000000000000002</v>
      </c>
      <c r="N27" s="3" t="s">
        <v>1381</v>
      </c>
      <c r="O27" s="4">
        <f>1/O17/O18*1000000</f>
        <v>0.44444444444444442</v>
      </c>
      <c r="P27" s="4">
        <f>1/P17/P18*1000000</f>
        <v>0.44444444444444442</v>
      </c>
      <c r="Q27" s="4">
        <f t="shared" ref="Q27:Q38" si="11">P27/O27</f>
        <v>1</v>
      </c>
      <c r="R27" s="3" t="s">
        <v>1347</v>
      </c>
      <c r="S27" s="5">
        <f>(W17*W20-W16*W19)/W21</f>
        <v>4.6794870132887554E-17</v>
      </c>
      <c r="U27" s="5">
        <f t="shared" si="10"/>
        <v>2.8076922079732534E-19</v>
      </c>
      <c r="V27" s="5"/>
      <c r="W27" s="4">
        <f>U27/U23</f>
        <v>1.9562803485643622E-17</v>
      </c>
      <c r="Z27" s="3" t="s">
        <v>1181</v>
      </c>
      <c r="AA27" s="3" t="s">
        <v>1182</v>
      </c>
      <c r="AB27" s="3" t="s">
        <v>1183</v>
      </c>
      <c r="AC27" s="2" t="s">
        <v>85</v>
      </c>
      <c r="AE27" s="22"/>
      <c r="AF27" s="16" t="s">
        <v>1383</v>
      </c>
      <c r="AG27" s="26">
        <f>$P$33*AG23^2+2*$P$35*AG23*AG24+$P$34*AG24^2+$P$36*AG25^2</f>
        <v>5.5059018794611798E-3</v>
      </c>
      <c r="AH27" s="22">
        <f>$P$33*AH23^2+2*$P$35*AH23*AH24+$P$34*AH24^2+$P$36*AH25^2</f>
        <v>5.5059018794611798E-3</v>
      </c>
      <c r="AI27" s="22">
        <f>$P$33*AI23^2+2*$P$35*AI23*AI24+$P$34*AI24^2+$P$36*AI25^2</f>
        <v>5.5059018794611798E-3</v>
      </c>
      <c r="AJ27" s="22">
        <f>$P$33*AJ23^2+2*$P$35*AJ23*AJ24+$P$34*AJ24^2+$P$36*AJ25^2</f>
        <v>5.5059018794611798E-3</v>
      </c>
      <c r="AK27" s="22"/>
    </row>
    <row r="28" spans="1:37">
      <c r="A28" s="4">
        <v>-0.5</v>
      </c>
      <c r="B28" s="4">
        <v>125</v>
      </c>
      <c r="C28" s="4">
        <v>0.7</v>
      </c>
      <c r="D28" s="4">
        <v>1.6</v>
      </c>
      <c r="E28" s="4">
        <v>0.51600000000000001</v>
      </c>
      <c r="F28" s="4">
        <v>0.5</v>
      </c>
      <c r="G28" s="4">
        <v>0.2</v>
      </c>
      <c r="H28" s="4">
        <v>0.9</v>
      </c>
      <c r="J28" s="3" t="s">
        <v>1384</v>
      </c>
      <c r="K28" s="4">
        <f>(K22-K23)/2</f>
        <v>85.732490057298719</v>
      </c>
      <c r="L28" s="4">
        <f>(L22-L23)/2</f>
        <v>85.732490057298733</v>
      </c>
      <c r="M28" s="8">
        <f>L28/K28</f>
        <v>1.0000000000000002</v>
      </c>
      <c r="N28" s="3" t="s">
        <v>1385</v>
      </c>
      <c r="O28" s="4">
        <f>1/O19/O20*1000000</f>
        <v>101.6260162601626</v>
      </c>
      <c r="P28" s="4">
        <f>1/P19/P20*1000000</f>
        <v>101.6260162601626</v>
      </c>
      <c r="Q28" s="4">
        <f t="shared" si="11"/>
        <v>1</v>
      </c>
      <c r="R28" s="3" t="s">
        <v>1349</v>
      </c>
      <c r="S28" s="5">
        <f>(W17*W19-W15*W20)/W21</f>
        <v>-1.5807425264177721E-16</v>
      </c>
      <c r="U28" s="5">
        <f t="shared" si="10"/>
        <v>-9.4844551585066328E-19</v>
      </c>
      <c r="V28" s="5"/>
      <c r="W28" s="4">
        <f>U28/U24</f>
        <v>-6.6083644035967529E-17</v>
      </c>
      <c r="Y28" s="3" t="s">
        <v>1184</v>
      </c>
      <c r="Z28" s="12">
        <f>$L$33</f>
        <v>69.675740916648138</v>
      </c>
      <c r="AA28" s="12">
        <v>69</v>
      </c>
      <c r="AB28" s="12">
        <v>210</v>
      </c>
      <c r="AC28" s="3" t="s">
        <v>86</v>
      </c>
      <c r="AD28" s="4">
        <f>ABS(IF(Z8&gt;0,Z8/P17,Z8/P18)/L9)</f>
        <v>5.3333333333333336E-4</v>
      </c>
      <c r="AE28" s="7">
        <f>IF(AD28=0,0,IF(INT(AD28)&gt;AD28,INT(AD28),INT(AD28)+1))</f>
        <v>1</v>
      </c>
      <c r="AF28" s="16" t="s">
        <v>1387</v>
      </c>
      <c r="AG28" s="26">
        <f>$P$37*AG23+$P$38*AG24</f>
        <v>-0.14893255945164244</v>
      </c>
      <c r="AH28" s="22">
        <f>$P$37*AH23+$P$38*AH24</f>
        <v>-0.14893255945164244</v>
      </c>
      <c r="AI28" s="22">
        <f>$P$37*AI23+$P$38*AI24</f>
        <v>-0.14893255945164244</v>
      </c>
      <c r="AJ28" s="22">
        <f>$P$37*AJ23+$P$38*AJ24</f>
        <v>-0.14893255945164244</v>
      </c>
      <c r="AK28" s="22"/>
    </row>
    <row r="29" spans="1:37">
      <c r="A29" s="4">
        <v>0.02</v>
      </c>
      <c r="B29" s="4">
        <v>22.5</v>
      </c>
      <c r="C29" s="4">
        <v>0</v>
      </c>
      <c r="D29" s="4">
        <v>0.6</v>
      </c>
      <c r="E29" s="4">
        <v>0.316</v>
      </c>
      <c r="F29" s="4">
        <v>4.0000000000000001E-3</v>
      </c>
      <c r="G29" s="4">
        <v>4.0000000000000001E-3</v>
      </c>
      <c r="H29" s="4">
        <v>2000</v>
      </c>
      <c r="J29" s="3" t="s">
        <v>1388</v>
      </c>
      <c r="K29" s="4">
        <f>(K22+K23-2*K24-4*K25)/8</f>
        <v>19.710431085692363</v>
      </c>
      <c r="L29" s="4">
        <f>(L22+L23-2*L24-4*L25)/8</f>
        <v>19.710431085692367</v>
      </c>
      <c r="M29" s="8">
        <f>L29/K29</f>
        <v>1.0000000000000002</v>
      </c>
      <c r="N29" s="3" t="s">
        <v>1389</v>
      </c>
      <c r="O29" s="4">
        <f>O22*(O27*O28)^0.5</f>
        <v>-3.3603243272729659</v>
      </c>
      <c r="P29" s="4">
        <f>P22*(P27*P28)^0.5</f>
        <v>-3.3603243272729659</v>
      </c>
      <c r="Q29" s="4">
        <f t="shared" si="11"/>
        <v>1</v>
      </c>
      <c r="U29" s="5"/>
      <c r="V29" s="5"/>
      <c r="W29" s="6"/>
      <c r="Y29" s="3" t="s">
        <v>269</v>
      </c>
      <c r="Z29" s="7">
        <f>B30</f>
        <v>0.01</v>
      </c>
      <c r="AA29" s="7">
        <v>200</v>
      </c>
      <c r="AB29" s="7">
        <v>400</v>
      </c>
      <c r="AC29" s="3" t="s">
        <v>87</v>
      </c>
      <c r="AD29" s="4">
        <f>ABS(IF(Z9&gt;0,Z9/P17,Z9/P18)/L9)</f>
        <v>0</v>
      </c>
      <c r="AE29" s="7">
        <f>IF(AD29=0,0,IF(INT(AD29)&gt;AD29,INT(AD29),INT(AD29)+1))</f>
        <v>0</v>
      </c>
      <c r="AF29" s="16" t="s">
        <v>1390</v>
      </c>
      <c r="AG29" s="26">
        <f>AG27+AG28</f>
        <v>-0.14342665757218126</v>
      </c>
      <c r="AH29" s="22">
        <f>AH27+AH28</f>
        <v>-0.14342665757218126</v>
      </c>
      <c r="AI29" s="22">
        <f>AI27+AI28</f>
        <v>-0.14342665757218126</v>
      </c>
      <c r="AJ29" s="22">
        <f>AJ27+AJ28</f>
        <v>-0.14342665757218126</v>
      </c>
      <c r="AK29" s="22"/>
    </row>
    <row r="30" spans="1:37">
      <c r="A30" s="4">
        <v>0.15</v>
      </c>
      <c r="B30" s="4">
        <v>0.01</v>
      </c>
      <c r="C30" s="4">
        <v>1</v>
      </c>
      <c r="D30" s="4">
        <v>1</v>
      </c>
      <c r="E30" s="4">
        <v>0.1</v>
      </c>
      <c r="F30" s="4">
        <v>0.5</v>
      </c>
      <c r="G30" s="4"/>
      <c r="H30" s="4"/>
      <c r="J30" s="3" t="s">
        <v>1391</v>
      </c>
      <c r="K30" s="4">
        <f>(K22+K23+6*K24-4*K25)/8</f>
        <v>22.607355530042096</v>
      </c>
      <c r="L30" s="4">
        <f>(L22+L23+6*L24-4*L25)/8</f>
        <v>22.607355530042099</v>
      </c>
      <c r="M30" s="8">
        <f>L30/K30</f>
        <v>1.0000000000000002</v>
      </c>
      <c r="N30" s="3" t="s">
        <v>1392</v>
      </c>
      <c r="O30" s="4">
        <f>1/O21^2*1000000</f>
        <v>216.26297577854672</v>
      </c>
      <c r="P30" s="4">
        <f>1/P21^2*1000000</f>
        <v>216.26297577854672</v>
      </c>
      <c r="Q30" s="4">
        <f t="shared" si="11"/>
        <v>1</v>
      </c>
      <c r="R30" s="1" t="s">
        <v>1185</v>
      </c>
      <c r="U30" s="5"/>
      <c r="V30" s="5"/>
      <c r="W30" s="6" t="s">
        <v>1394</v>
      </c>
      <c r="Y30" s="3" t="s">
        <v>1187</v>
      </c>
      <c r="Z30" s="4">
        <f>$L$36</f>
        <v>1.6</v>
      </c>
      <c r="AA30" s="4">
        <v>2.7</v>
      </c>
      <c r="AB30" s="4">
        <v>7.8</v>
      </c>
      <c r="AC30" s="3" t="s">
        <v>88</v>
      </c>
      <c r="AD30" s="4">
        <f>ABS(IF(Z10&gt;0,Z10/P17,Z10/P18)/L9)</f>
        <v>0</v>
      </c>
      <c r="AE30" s="7">
        <f>IF(AD30=0,0,IF(INT(AD30)&gt;AD30,INT(AD30),INT(AD30)+1))</f>
        <v>0</v>
      </c>
      <c r="AF30" s="16" t="s">
        <v>1395</v>
      </c>
      <c r="AG30" s="22">
        <f>-1+AG29</f>
        <v>-1.1434266575721812</v>
      </c>
      <c r="AH30" s="22">
        <f>-1+AH29</f>
        <v>-1.1434266575721812</v>
      </c>
      <c r="AI30" s="22">
        <f>-1+AI29</f>
        <v>-1.1434266575721812</v>
      </c>
      <c r="AJ30" s="22">
        <f>-1+AJ29</f>
        <v>-1.1434266575721812</v>
      </c>
      <c r="AK30" s="22"/>
    </row>
    <row r="31" spans="1:37">
      <c r="J31" s="3" t="s">
        <v>1653</v>
      </c>
      <c r="K31" s="4">
        <f>(K27-K30)/2</f>
        <v>26.880431085692365</v>
      </c>
      <c r="L31" s="4">
        <f>(L27-L30)/2</f>
        <v>26.880431085692372</v>
      </c>
      <c r="M31" s="8">
        <f>L31/K31</f>
        <v>1.0000000000000002</v>
      </c>
      <c r="N31" s="3" t="s">
        <v>1654</v>
      </c>
      <c r="O31" s="4">
        <f>(1/O17-1/O18)*1000</f>
        <v>0</v>
      </c>
      <c r="P31" s="4">
        <f>(1/P17-1/P18)*1000</f>
        <v>0</v>
      </c>
      <c r="Q31" s="4" t="e">
        <f t="shared" si="11"/>
        <v>#DIV/0!</v>
      </c>
      <c r="R31" s="3" t="s">
        <v>1398</v>
      </c>
      <c r="S31" s="4">
        <f>S11*COS(S6)</f>
        <v>0.25</v>
      </c>
      <c r="T31" s="4">
        <f>T11*COS(T6)</f>
        <v>-0.25</v>
      </c>
      <c r="U31" s="4">
        <f>U11*COS(U6)</f>
        <v>1.531435568635775E-17</v>
      </c>
      <c r="V31" s="4">
        <f>V11*COS(V6)</f>
        <v>1.531435568635775E-17</v>
      </c>
      <c r="W31" s="4">
        <f>(S31+T31+U31+V31)</f>
        <v>3.06287113727155E-17</v>
      </c>
      <c r="Y31" s="3" t="s">
        <v>228</v>
      </c>
      <c r="Z31" s="11">
        <f>Z29/$AA$25</f>
        <v>5.9999999999999997E-7</v>
      </c>
      <c r="AA31" s="11">
        <f>AA29/$AA$25</f>
        <v>1.1999999999999999E-2</v>
      </c>
      <c r="AB31" s="11">
        <f>AB29/$AA$25</f>
        <v>2.3999999999999997E-2</v>
      </c>
      <c r="AC31" s="3" t="s">
        <v>89</v>
      </c>
      <c r="AD31" s="4">
        <f>ABS(IF(Z10&gt;0,Z10/P18,Z10/P17)/L9)</f>
        <v>0</v>
      </c>
      <c r="AE31" s="7">
        <f>IF(AD31=0,0,IF(INT(AD31)&gt;AD31,INT(AD31),INT(AD31)+1))</f>
        <v>0</v>
      </c>
      <c r="AF31" s="16" t="s">
        <v>1399</v>
      </c>
      <c r="AG31" s="22">
        <f>2*($P$33*AG7*AG23+$P$34*AG8*AG24+$P$35*(AG7*AG24+AG23*AG8)+$P$36*AG9*AG25)</f>
        <v>3.0589162088739625</v>
      </c>
      <c r="AH31" s="22">
        <f>2*($P$33*AH7*AH23+$P$34*AH8*AH24+$P$35*(AH7*AH24+AH23*AH8)+$P$36*AH9*AH25)</f>
        <v>-5.1563881204017923</v>
      </c>
      <c r="AI31" s="22">
        <f>2*($P$33*AI7*AI23+$P$34*AI8*AI24+$P$35*(AI7*AI24+AI23*AI8)+$P$36*AI9*AI25)</f>
        <v>-1.0487359557639149</v>
      </c>
      <c r="AJ31" s="22">
        <f>2*($P$33*AJ7*AJ23+$P$34*AJ8*AJ24+$P$35*(AJ7*AJ24+AJ23*AJ8)+$P$36*AJ9*AJ25)</f>
        <v>-1.0487359557639149</v>
      </c>
      <c r="AK31" s="22"/>
    </row>
    <row r="32" spans="1:37">
      <c r="A32" s="3" t="s">
        <v>1413</v>
      </c>
      <c r="B32" s="3" t="s">
        <v>1577</v>
      </c>
      <c r="C32" s="3" t="s">
        <v>1578</v>
      </c>
      <c r="D32" s="3" t="s">
        <v>266</v>
      </c>
      <c r="E32" s="3" t="s">
        <v>267</v>
      </c>
      <c r="F32" s="3" t="s">
        <v>268</v>
      </c>
      <c r="G32" s="3" t="s">
        <v>1584</v>
      </c>
      <c r="H32" s="3" t="s">
        <v>1585</v>
      </c>
      <c r="J32" s="2" t="s">
        <v>1400</v>
      </c>
      <c r="N32" s="3" t="s">
        <v>1655</v>
      </c>
      <c r="O32" s="4">
        <f>(1/O19-1/O20)*1000</f>
        <v>20.934959349593495</v>
      </c>
      <c r="P32" s="4">
        <f>(1/P19-1/P20)*1000</f>
        <v>20.934959349593495</v>
      </c>
      <c r="Q32" s="4">
        <f t="shared" si="11"/>
        <v>1</v>
      </c>
      <c r="R32" s="3" t="s">
        <v>1402</v>
      </c>
      <c r="S32" s="4">
        <f>S11*SIN(S6)</f>
        <v>0</v>
      </c>
      <c r="T32" s="4">
        <f>T11*SIN(T6)</f>
        <v>3.06287113727155E-17</v>
      </c>
      <c r="U32" s="4">
        <f>U11*SIN(U6)</f>
        <v>0.25</v>
      </c>
      <c r="V32" s="4">
        <f>V11*SIN(V6)</f>
        <v>-0.25</v>
      </c>
      <c r="W32" s="4">
        <f>(S32+T32+U32+V32)</f>
        <v>5.5511151231257827E-17</v>
      </c>
      <c r="Y32" s="3" t="s">
        <v>1189</v>
      </c>
      <c r="Z32" s="4">
        <f>1</f>
        <v>1</v>
      </c>
      <c r="AA32" s="4">
        <f>AA30/Z30</f>
        <v>1.6875</v>
      </c>
      <c r="AB32" s="4">
        <f>AB30/Z30</f>
        <v>4.875</v>
      </c>
      <c r="AC32" s="3" t="s">
        <v>90</v>
      </c>
      <c r="AD32" s="4">
        <f>SUM(AD28:AD31)</f>
        <v>5.3333333333333336E-4</v>
      </c>
      <c r="AE32" s="7">
        <f>SUM(AE28:AE31)</f>
        <v>1</v>
      </c>
      <c r="AF32" s="16" t="s">
        <v>1403</v>
      </c>
      <c r="AG32" s="26">
        <f>AG31+AG15</f>
        <v>2.0013985899986251</v>
      </c>
      <c r="AH32" s="22">
        <f>AH31+AH15</f>
        <v>55.342945788572408</v>
      </c>
      <c r="AI32" s="22">
        <f>AI31+AI15</f>
        <v>28.672172189285519</v>
      </c>
      <c r="AJ32" s="22">
        <f>AJ31+AJ15</f>
        <v>28.672172189285519</v>
      </c>
      <c r="AK32" s="22"/>
    </row>
    <row r="33" spans="1:37">
      <c r="A33" s="3" t="s">
        <v>269</v>
      </c>
      <c r="B33" s="3" t="s">
        <v>270</v>
      </c>
      <c r="C33" s="3" t="s">
        <v>271</v>
      </c>
      <c r="D33" s="3" t="s">
        <v>272</v>
      </c>
      <c r="E33" s="3" t="s">
        <v>273</v>
      </c>
      <c r="F33" s="3" t="s">
        <v>274</v>
      </c>
      <c r="G33" s="3" t="s">
        <v>1588</v>
      </c>
      <c r="H33" s="3" t="s">
        <v>275</v>
      </c>
      <c r="J33" s="3" t="s">
        <v>1184</v>
      </c>
      <c r="K33" s="4">
        <f>(1-(K30/K27)^2)*K27</f>
        <v>69.675740916648124</v>
      </c>
      <c r="L33" s="4">
        <f>(1-(L30/L27)^2)*L27</f>
        <v>69.675740916648138</v>
      </c>
      <c r="M33" s="4">
        <f>L33/K33</f>
        <v>1.0000000000000002</v>
      </c>
      <c r="N33" s="3" t="s">
        <v>1405</v>
      </c>
      <c r="O33" s="7">
        <f>(O27*K22^2+2*O29*K22*K24+O28*K24^2)</f>
        <v>12004.38353147296</v>
      </c>
      <c r="P33" s="7">
        <f>(P27*L22^2+2*P29*L22*L24+P28*L24^2)</f>
        <v>12004.38353147296</v>
      </c>
      <c r="Q33" s="4">
        <f t="shared" si="11"/>
        <v>1</v>
      </c>
      <c r="R33" s="3"/>
      <c r="S33" s="6" t="s">
        <v>1406</v>
      </c>
      <c r="T33" s="6" t="s">
        <v>1407</v>
      </c>
      <c r="U33" s="6" t="s">
        <v>1408</v>
      </c>
      <c r="V33" s="6" t="s">
        <v>1409</v>
      </c>
      <c r="W33" s="6" t="s">
        <v>1410</v>
      </c>
      <c r="X33" s="6" t="s">
        <v>1411</v>
      </c>
      <c r="Y33" s="3" t="s">
        <v>1190</v>
      </c>
      <c r="Z33" s="82">
        <f>(AC26*(AA25^2+AD26/AC26*AA26))^0.5/Z28</f>
        <v>249.46441574979053</v>
      </c>
      <c r="AA33" s="82">
        <f>$AA$25*1.04/AA28</f>
        <v>251.20772946859907</v>
      </c>
      <c r="AB33" s="82">
        <f>$AA$25*1.04/AB28</f>
        <v>82.539682539682545</v>
      </c>
      <c r="AF33" s="16" t="s">
        <v>1412</v>
      </c>
      <c r="AG33" s="26">
        <f>AG32/2/AG14</f>
        <v>7.3103305500597305E-4</v>
      </c>
      <c r="AH33" s="22">
        <f>AH32/2/AH14</f>
        <v>2.2016412019191928E-2</v>
      </c>
      <c r="AI33" s="22">
        <f>AI32/2/AI14</f>
        <v>7.4574297826088733E-3</v>
      </c>
      <c r="AJ33" s="22">
        <f>AJ32/2/AJ14</f>
        <v>7.4574297826088733E-3</v>
      </c>
      <c r="AK33" s="22"/>
    </row>
    <row r="34" spans="1:37">
      <c r="A34" s="3" t="s">
        <v>1568</v>
      </c>
      <c r="B34" s="3" t="s">
        <v>276</v>
      </c>
      <c r="C34" s="3" t="s">
        <v>277</v>
      </c>
      <c r="D34" s="3" t="s">
        <v>278</v>
      </c>
      <c r="E34" s="3" t="s">
        <v>279</v>
      </c>
      <c r="F34" s="3" t="s">
        <v>280</v>
      </c>
      <c r="G34" s="3" t="s">
        <v>281</v>
      </c>
      <c r="H34" s="3" t="s">
        <v>282</v>
      </c>
      <c r="J34" s="3" t="s">
        <v>1656</v>
      </c>
      <c r="K34" s="4">
        <f>K30/K27</f>
        <v>0.29603094337527941</v>
      </c>
      <c r="L34" s="4">
        <f>L30/L27</f>
        <v>0.29603094337527941</v>
      </c>
      <c r="M34" s="4">
        <f>L34/K34</f>
        <v>1</v>
      </c>
      <c r="N34" s="3" t="s">
        <v>1415</v>
      </c>
      <c r="O34" s="7">
        <f>(O27*K24^2+2*O29*K24*K23+O28*K23^2)</f>
        <v>10680.652008265077</v>
      </c>
      <c r="P34" s="7">
        <f>(P27*L24^2+2*P29*L24*L23+P28*L23^2)</f>
        <v>10680.652008265077</v>
      </c>
      <c r="Q34" s="4">
        <f t="shared" si="11"/>
        <v>1</v>
      </c>
      <c r="R34" s="3">
        <v>1</v>
      </c>
      <c r="S34" s="5">
        <f>(($L$22+$L$24)/2*$P$10+($L$24+$L$23)/2*$P$11)/1000000</f>
        <v>1.5083176634230242E-4</v>
      </c>
      <c r="T34" s="5">
        <f>($L$22+$L$24)/2*$P$13+($L$24+$L$23)/2*$P$14</f>
        <v>3.9729249522510592</v>
      </c>
      <c r="U34" s="5">
        <f>S34+S35*W31</f>
        <v>1.5083176634230242E-4</v>
      </c>
      <c r="V34" s="5">
        <f>T34+T35*W31</f>
        <v>3.9729249522510592</v>
      </c>
      <c r="W34" s="5">
        <f>(U34*U23+U35*U25+U36*U27)*1000000</f>
        <v>1.523929202102827</v>
      </c>
      <c r="X34" s="5">
        <f>(V34*U23+V35*U25+V36*U27)</f>
        <v>4.0140459130858369E-2</v>
      </c>
      <c r="Y34" s="3" t="s">
        <v>229</v>
      </c>
      <c r="Z34" s="11">
        <f>Z33/$AC$25</f>
        <v>0.78539816339744872</v>
      </c>
      <c r="AA34" s="11">
        <f>AA33/$AC$25</f>
        <v>0.79088670327141242</v>
      </c>
      <c r="AB34" s="11">
        <f>AB33/$AC$25</f>
        <v>0.2598627739320355</v>
      </c>
      <c r="AC34" s="2" t="s">
        <v>91</v>
      </c>
      <c r="AF34" s="16"/>
      <c r="AG34" s="26"/>
      <c r="AH34" s="22"/>
      <c r="AI34" s="22"/>
      <c r="AJ34" s="22"/>
      <c r="AK34" s="22"/>
    </row>
    <row r="35" spans="1:37">
      <c r="A35" s="1" t="s">
        <v>1591</v>
      </c>
      <c r="B35" s="1" t="s">
        <v>1592</v>
      </c>
      <c r="C35" s="1" t="s">
        <v>1537</v>
      </c>
      <c r="D35" s="1" t="s">
        <v>1539</v>
      </c>
      <c r="E35" s="3" t="s">
        <v>295</v>
      </c>
      <c r="F35" s="3" t="s">
        <v>283</v>
      </c>
      <c r="G35" s="3" t="s">
        <v>284</v>
      </c>
      <c r="H35" s="3" t="s">
        <v>285</v>
      </c>
      <c r="N35" s="3" t="s">
        <v>1416</v>
      </c>
      <c r="O35" s="7">
        <f>(O27*K22*K24+O29*(K22*K23+K24^2)+O28*K24*K23)</f>
        <v>-3069.103206291968</v>
      </c>
      <c r="P35" s="7">
        <f>(P27*L22*L24+P29*(L22*L23+L24^2)+P28*L24*L23)</f>
        <v>-3069.1032062919689</v>
      </c>
      <c r="Q35" s="4">
        <f t="shared" si="11"/>
        <v>1.0000000000000002</v>
      </c>
      <c r="R35" s="3">
        <v>2</v>
      </c>
      <c r="S35" s="5">
        <f>(($L$22-$L$24)/2*$P$10+($L$24-$L$23)/2*$P$11)/1000000</f>
        <v>-8.2014743567545106E-5</v>
      </c>
      <c r="T35" s="5">
        <f>($L$22-$L$24)/2*$P$13+($L$24-$L$23)/2*$P$14</f>
        <v>-2.234770285641221</v>
      </c>
      <c r="U35" s="5">
        <f>S34-S35*W31</f>
        <v>1.5083176634230242E-4</v>
      </c>
      <c r="V35" s="5">
        <f>T34-T35*W31</f>
        <v>3.9729249522510592</v>
      </c>
      <c r="W35" s="5">
        <f>(U34*U25+U35*U24+U36*U28)*1000000</f>
        <v>1.523929202102827</v>
      </c>
      <c r="X35" s="5">
        <f>(V34*U25+V35*U24+V36*U28)</f>
        <v>4.0140459130858369E-2</v>
      </c>
      <c r="Y35" s="2" t="s">
        <v>230</v>
      </c>
      <c r="Z35" s="11">
        <f>Z34*Z32</f>
        <v>0.78539816339744872</v>
      </c>
      <c r="AA35" s="11">
        <f>AA34*AA32</f>
        <v>1.3346213117705084</v>
      </c>
      <c r="AB35" s="11">
        <f>AB34*AB32</f>
        <v>1.266831022918673</v>
      </c>
      <c r="AC35" s="3" t="s">
        <v>92</v>
      </c>
      <c r="AD35" s="549">
        <f>(AA21+AA24)*$AE$4</f>
        <v>100.00000000000001</v>
      </c>
      <c r="AE35" s="2">
        <f>ABS(IF(AD35&gt;0,AD35/P17,AD35/P18))/L9</f>
        <v>5.3333333333333347E-4</v>
      </c>
      <c r="AF35" s="16"/>
      <c r="AG35" s="26"/>
      <c r="AH35" s="22"/>
      <c r="AI35" s="22"/>
      <c r="AJ35" s="22"/>
      <c r="AK35" s="22"/>
    </row>
    <row r="36" spans="1:37">
      <c r="A36" s="1" t="s">
        <v>286</v>
      </c>
      <c r="B36" s="1" t="s">
        <v>287</v>
      </c>
      <c r="C36" s="3" t="s">
        <v>288</v>
      </c>
      <c r="D36" s="3" t="s">
        <v>289</v>
      </c>
      <c r="E36" s="3" t="s">
        <v>290</v>
      </c>
      <c r="J36" s="3" t="s">
        <v>1193</v>
      </c>
      <c r="K36" s="4">
        <f>$D$28</f>
        <v>1.6</v>
      </c>
      <c r="L36" s="4">
        <f>L37*(1-$L$11)+L38*$L$11</f>
        <v>1.6</v>
      </c>
      <c r="M36" s="4">
        <f>L36/K36</f>
        <v>1</v>
      </c>
      <c r="N36" s="3" t="s">
        <v>1418</v>
      </c>
      <c r="O36" s="7">
        <f>O30*K25^2</f>
        <v>11117.841695501729</v>
      </c>
      <c r="P36" s="7">
        <f>P30*L25^2</f>
        <v>11117.841695501729</v>
      </c>
      <c r="Q36" s="4">
        <f t="shared" si="11"/>
        <v>1</v>
      </c>
      <c r="R36" s="3">
        <v>6</v>
      </c>
      <c r="S36" s="6" t="s">
        <v>1419</v>
      </c>
      <c r="T36" s="6" t="s">
        <v>1420</v>
      </c>
      <c r="U36" s="5">
        <f>S35*W32</f>
        <v>-4.5527328333708265E-21</v>
      </c>
      <c r="V36" s="5">
        <f>T35*W32</f>
        <v>-1.2405467129335107E-16</v>
      </c>
      <c r="W36" s="5">
        <f>(U34*U27+U35*U28+U36*U26)*1000000</f>
        <v>-2.7007657991586697E-16</v>
      </c>
      <c r="X36" s="5">
        <f>(V34*U27+V35*U28+V36*U26)</f>
        <v>-7.2676829394711935E-18</v>
      </c>
      <c r="Y36" s="3" t="s">
        <v>231</v>
      </c>
      <c r="Z36" s="4">
        <f>Z31/Z32</f>
        <v>5.9999999999999997E-7</v>
      </c>
      <c r="AA36" s="11">
        <f>AA31/AA32</f>
        <v>7.1111111111111106E-3</v>
      </c>
      <c r="AB36" s="11">
        <f>AB31/AB32</f>
        <v>4.9230769230769224E-3</v>
      </c>
      <c r="AC36" s="3" t="s">
        <v>93</v>
      </c>
      <c r="AD36" s="549">
        <f>(AA21-AA24)*$AE$4</f>
        <v>0</v>
      </c>
      <c r="AE36" s="2">
        <f>ABS(IF(AD36&gt;0,AD36/P17,AD36/P18))/L9</f>
        <v>0</v>
      </c>
      <c r="AF36" s="16"/>
      <c r="AG36" s="26"/>
      <c r="AH36" s="22"/>
      <c r="AI36" s="22"/>
      <c r="AJ36" s="22"/>
      <c r="AK36" s="16" t="s">
        <v>1421</v>
      </c>
    </row>
    <row r="37" spans="1:37">
      <c r="J37" s="3" t="s">
        <v>274</v>
      </c>
      <c r="K37" s="4">
        <f>$F$27</f>
        <v>1.2</v>
      </c>
      <c r="L37" s="4">
        <f>K37</f>
        <v>1.2</v>
      </c>
      <c r="M37" s="4">
        <f>L37/K37</f>
        <v>1</v>
      </c>
      <c r="N37" s="3" t="s">
        <v>1422</v>
      </c>
      <c r="O37" s="7">
        <f>(O31*K22+O32*K24)</f>
        <v>60.646995481305353</v>
      </c>
      <c r="P37" s="7">
        <f>(P31*L22+P32*L24)</f>
        <v>60.646995481305353</v>
      </c>
      <c r="Q37" s="4">
        <f t="shared" si="11"/>
        <v>1</v>
      </c>
      <c r="R37" s="3">
        <v>1</v>
      </c>
      <c r="S37" s="5">
        <f>$P$7*U34+$P$3*V34</f>
        <v>4.7814481270250543E-3</v>
      </c>
      <c r="T37" s="5">
        <f>$P$7*W34/1000000+$P$3*X34</f>
        <v>4.8309375444009149E-5</v>
      </c>
      <c r="U37" s="6" t="s">
        <v>1423</v>
      </c>
      <c r="V37" s="5">
        <f>$P$7*$P$10/1000000+$P$3*$P$13</f>
        <v>-1.9999999999999999E-6</v>
      </c>
      <c r="AC37" s="3" t="s">
        <v>94</v>
      </c>
      <c r="AD37" s="2">
        <f>IF(AA22=0,IF(AA23&gt;0,45,-45),(ATAN(AA23/AA22))*90/PI())</f>
        <v>0</v>
      </c>
      <c r="AE37" s="4">
        <f>IF(ROUND(AE35,8)=0,0,IF(INT(AE35)&gt;AE35,INT(AE35),INT(AE35)+1))</f>
        <v>1</v>
      </c>
      <c r="AF37" s="3" t="s">
        <v>1424</v>
      </c>
      <c r="AG37" s="82">
        <f>(AG33^2-AG30/AG14)^0.5-AG33</f>
        <v>2.8179742996149167E-2</v>
      </c>
      <c r="AH37" s="11">
        <f>(AH33^2-AH30/AH14)^0.5-AH33</f>
        <v>1.5326237595224262E-2</v>
      </c>
      <c r="AI37" s="11">
        <f>(AI33^2-AI30/AI14)^0.5-AI33</f>
        <v>1.8045661769800637E-2</v>
      </c>
      <c r="AJ37" s="11">
        <f>(AJ33^2-AJ30/AJ14)^0.5-AJ33</f>
        <v>1.8045661769800637E-2</v>
      </c>
      <c r="AK37" s="82">
        <f>MIN(AG38:AJ38)</f>
        <v>1.5326237595224262E-2</v>
      </c>
    </row>
    <row r="38" spans="1:37">
      <c r="J38" s="3" t="s">
        <v>1195</v>
      </c>
      <c r="K38" s="4">
        <f>(K36-K37*(1-$K$11))/$K$11</f>
        <v>1.7714285714285716</v>
      </c>
      <c r="L38" s="4">
        <f>K38</f>
        <v>1.7714285714285716</v>
      </c>
      <c r="M38" s="4">
        <f>L38/K38</f>
        <v>1</v>
      </c>
      <c r="N38" s="3" t="s">
        <v>1426</v>
      </c>
      <c r="O38" s="7">
        <f>(O31*K24+O32*K23)</f>
        <v>216.59641243323335</v>
      </c>
      <c r="P38" s="7">
        <f>(P31*L24+P32*L23)</f>
        <v>216.59641243323335</v>
      </c>
      <c r="Q38" s="4">
        <f t="shared" si="11"/>
        <v>1</v>
      </c>
      <c r="R38" s="3">
        <v>2</v>
      </c>
      <c r="S38" s="5">
        <f>$P$7*U35+$P$3*V35</f>
        <v>4.7814481270250543E-3</v>
      </c>
      <c r="T38" s="5">
        <f>$P$7*W35/1000000+$P$3*X35</f>
        <v>4.8309375444009149E-5</v>
      </c>
      <c r="U38" s="6" t="s">
        <v>1427</v>
      </c>
      <c r="V38" s="5">
        <f>$P$7*$P$11/1000000+$P$3*$P$14</f>
        <v>7.5000000000000023E-4</v>
      </c>
      <c r="AE38" s="4">
        <f>IF(ROUND(AE36,8)=0,0,IF(INT(AE36)&gt;AE36,INT(AE36),INT(AE36)+1))</f>
        <v>0</v>
      </c>
      <c r="AF38" s="3"/>
      <c r="AG38" s="11">
        <f>IF(AG3=0,1000000000,AG37)</f>
        <v>2.8179742996149167E-2</v>
      </c>
      <c r="AH38" s="11">
        <f>IF(AH3=0,1000000000,AH37)</f>
        <v>1.5326237595224262E-2</v>
      </c>
      <c r="AI38" s="11">
        <f>IF(AI3=0,1000000000,AI37)</f>
        <v>1.8045661769800637E-2</v>
      </c>
      <c r="AJ38" s="11">
        <f>IF(AJ3=0,1000000000,AJ37)</f>
        <v>1.8045661769800637E-2</v>
      </c>
    </row>
    <row r="39" spans="1:37">
      <c r="L39" s="2" t="s">
        <v>234</v>
      </c>
      <c r="R39" s="3">
        <v>6</v>
      </c>
      <c r="S39" s="5">
        <f>$P$7*U36+$P$3*V36</f>
        <v>-1.6500007312967282E-19</v>
      </c>
      <c r="T39" s="5">
        <f>$P$7*W36/1000000+$P$3*X36</f>
        <v>-9.330756705769274E-21</v>
      </c>
      <c r="U39" s="6" t="s">
        <v>1429</v>
      </c>
      <c r="V39" s="5">
        <f>0</f>
        <v>0</v>
      </c>
      <c r="AE39" s="7">
        <f>AE37+AE38</f>
        <v>1</v>
      </c>
      <c r="AG39" s="11">
        <f>IF(AG3=0,0,AG37)</f>
        <v>2.8179742996149167E-2</v>
      </c>
      <c r="AH39" s="11">
        <f>IF(AH3=0,0,AH37)</f>
        <v>1.5326237595224262E-2</v>
      </c>
      <c r="AI39" s="11">
        <f>IF(AI3=0,0,AI37)</f>
        <v>1.8045661769800637E-2</v>
      </c>
      <c r="AJ39" s="11">
        <f>IF(AJ3=0,0,AJ37)</f>
        <v>1.8045661769800637E-2</v>
      </c>
    </row>
    <row r="40" spans="1:37" customFormat="1"/>
    <row r="41" spans="1:37" customFormat="1"/>
    <row r="42" spans="1:37" customFormat="1"/>
    <row r="43" spans="1:37" customFormat="1"/>
    <row r="44" spans="1:37" customFormat="1"/>
    <row r="45" spans="1:37" customFormat="1"/>
    <row r="46" spans="1:37" customFormat="1"/>
    <row r="47" spans="1:37" customFormat="1"/>
    <row r="48" spans="1:37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</sheetData>
  <phoneticPr fontId="5" type="noConversion"/>
  <printOptions headings="1" gridLines="1" gridLinesSet="0"/>
  <pageMargins left="0.5" right="0.5" top="1" bottom="1" header="0.5" footer="0.5"/>
  <pageSetup orientation="portrait"/>
  <headerFooter alignWithMargins="0">
    <oddHeader>&amp;F</oddHeader>
  </headerFooter>
  <rowBreaks count="2" manualBreakCount="2">
    <brk id="39" max="65535" man="1"/>
    <brk id="78" max="65535" man="1"/>
  </rowBreaks>
  <colBreaks count="4" manualBreakCount="4">
    <brk id="9" max="1048575" man="1"/>
    <brk id="17" max="1048575" man="1"/>
    <brk id="24" max="1048575" man="1"/>
    <brk id="31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Line="0" autoPict="0" macro="[0]!SelectMaterial">
                <anchor moveWithCells="1" sizeWithCells="1">
                  <from>
                    <xdr:col>5</xdr:col>
                    <xdr:colOff>175260</xdr:colOff>
                    <xdr:row>0</xdr:row>
                    <xdr:rowOff>76200</xdr:rowOff>
                  </from>
                  <to>
                    <xdr:col>6</xdr:col>
                    <xdr:colOff>571500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304800</xdr:colOff>
                    <xdr:row>0</xdr:row>
                    <xdr:rowOff>83820</xdr:rowOff>
                  </from>
                  <to>
                    <xdr:col>9</xdr:col>
                    <xdr:colOff>541020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aunchFinder">
                <anchor moveWithCells="1" sizeWithCells="1">
                  <from>
                    <xdr:col>10</xdr:col>
                    <xdr:colOff>114300</xdr:colOff>
                    <xdr:row>0</xdr:row>
                    <xdr:rowOff>106680</xdr:rowOff>
                  </from>
                  <to>
                    <xdr:col>11</xdr:col>
                    <xdr:colOff>175260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Main">
                <anchor moveWithCells="1" sizeWithCells="1">
                  <from>
                    <xdr:col>11</xdr:col>
                    <xdr:colOff>556260</xdr:colOff>
                    <xdr:row>0</xdr:row>
                    <xdr:rowOff>106680</xdr:rowOff>
                  </from>
                  <to>
                    <xdr:col>12</xdr:col>
                    <xdr:colOff>579120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GetVals">
                <anchor moveWithCells="1" sizeWithCells="1">
                  <from>
                    <xdr:col>14</xdr:col>
                    <xdr:colOff>38100</xdr:colOff>
                    <xdr:row>0</xdr:row>
                    <xdr:rowOff>114300</xdr:rowOff>
                  </from>
                  <to>
                    <xdr:col>15</xdr:col>
                    <xdr:colOff>76200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AX87"/>
  <sheetViews>
    <sheetView workbookViewId="0"/>
  </sheetViews>
  <sheetFormatPr defaultColWidth="11" defaultRowHeight="15"/>
  <cols>
    <col min="1" max="1" width="8" style="2" customWidth="1"/>
    <col min="2" max="5" width="6.36328125" style="2" customWidth="1"/>
    <col min="6" max="6" width="6.08984375" style="2" customWidth="1"/>
    <col min="7" max="7" width="6.36328125" style="2" customWidth="1"/>
    <col min="8" max="8" width="6.08984375" style="2" customWidth="1"/>
    <col min="9" max="9" width="5.90625" style="2" customWidth="1"/>
    <col min="10" max="10" width="7.6328125" style="2" customWidth="1"/>
    <col min="11" max="18" width="8.453125" style="2" customWidth="1"/>
    <col min="19" max="20" width="8.453125" style="5" customWidth="1"/>
    <col min="21" max="22" width="8.453125" style="2" customWidth="1"/>
    <col min="23" max="24" width="8.453125" style="5" customWidth="1"/>
    <col min="25" max="25" width="8.453125" style="2" customWidth="1"/>
    <col min="26" max="31" width="9.6328125" style="2" customWidth="1"/>
    <col min="32" max="32" width="9.6328125" style="5" customWidth="1"/>
    <col min="33" max="50" width="11.6328125" style="2" customWidth="1"/>
    <col min="51" max="51" width="0.6328125" style="2" customWidth="1"/>
    <col min="52" max="16384" width="11" style="2"/>
  </cols>
  <sheetData>
    <row r="1" spans="1:50" ht="29.1" customHeight="1">
      <c r="A1" s="1" t="s">
        <v>235</v>
      </c>
      <c r="H1" s="3"/>
      <c r="J1" s="1" t="s">
        <v>236</v>
      </c>
      <c r="K1" s="3"/>
      <c r="L1" s="3"/>
      <c r="N1" s="2" t="s">
        <v>591</v>
      </c>
      <c r="P1" s="4"/>
      <c r="R1" s="2" t="s">
        <v>237</v>
      </c>
      <c r="Z1" s="2" t="s">
        <v>529</v>
      </c>
      <c r="AG1" s="2" t="s">
        <v>238</v>
      </c>
      <c r="AM1" s="2" t="s">
        <v>239</v>
      </c>
      <c r="AS1" s="2" t="s">
        <v>240</v>
      </c>
    </row>
    <row r="2" spans="1:50">
      <c r="A2" s="2" t="s">
        <v>241</v>
      </c>
      <c r="B2" s="3" t="s">
        <v>1562</v>
      </c>
      <c r="C2" s="3" t="s">
        <v>1563</v>
      </c>
      <c r="D2" s="3" t="s">
        <v>1564</v>
      </c>
      <c r="E2" s="3" t="s">
        <v>1565</v>
      </c>
      <c r="G2" s="1" t="s">
        <v>1566</v>
      </c>
      <c r="H2" s="1" t="str">
        <f>J2</f>
        <v>T3/N52[SI]</v>
      </c>
      <c r="J2" s="3" t="str">
        <f>$A$24</f>
        <v>T3/N52[SI]</v>
      </c>
      <c r="K2" s="1"/>
      <c r="L2" s="3"/>
      <c r="N2" s="3" t="s">
        <v>596</v>
      </c>
      <c r="O2" s="7">
        <f>$G$25</f>
        <v>22</v>
      </c>
      <c r="P2" s="7">
        <f>B16</f>
        <v>22</v>
      </c>
      <c r="Q2" s="8">
        <f t="shared" ref="Q2:Q7" si="0">P2/O2</f>
        <v>1</v>
      </c>
      <c r="R2" s="1"/>
      <c r="X2" s="6"/>
      <c r="Z2" s="3" t="s">
        <v>531</v>
      </c>
      <c r="AA2" s="9">
        <f t="shared" ref="AA2:AD3" si="1">S4</f>
        <v>0</v>
      </c>
      <c r="AB2" s="9">
        <f t="shared" si="1"/>
        <v>90</v>
      </c>
      <c r="AC2" s="9">
        <f t="shared" si="1"/>
        <v>45</v>
      </c>
      <c r="AD2" s="9">
        <f t="shared" si="1"/>
        <v>-45</v>
      </c>
      <c r="AE2" s="3" t="s">
        <v>532</v>
      </c>
      <c r="AF2" s="6" t="s">
        <v>533</v>
      </c>
      <c r="AG2" s="3" t="s">
        <v>531</v>
      </c>
      <c r="AH2" s="9">
        <f t="shared" ref="AH2:AK4" si="2">AA2</f>
        <v>0</v>
      </c>
      <c r="AI2" s="9">
        <f t="shared" si="2"/>
        <v>90</v>
      </c>
      <c r="AJ2" s="9">
        <f t="shared" si="2"/>
        <v>45</v>
      </c>
      <c r="AK2" s="9">
        <f t="shared" si="2"/>
        <v>-45</v>
      </c>
      <c r="AM2" s="3" t="s">
        <v>531</v>
      </c>
      <c r="AN2" s="9">
        <f>AH2</f>
        <v>0</v>
      </c>
      <c r="AO2" s="9">
        <f>AI2</f>
        <v>90</v>
      </c>
      <c r="AP2" s="9">
        <f>AJ2</f>
        <v>45</v>
      </c>
      <c r="AQ2" s="9">
        <f>AK2</f>
        <v>-45</v>
      </c>
      <c r="AS2" s="3" t="s">
        <v>531</v>
      </c>
      <c r="AT2" s="9">
        <f t="shared" ref="AT2:AW5" si="3">AN2</f>
        <v>0</v>
      </c>
      <c r="AU2" s="9">
        <f t="shared" si="3"/>
        <v>90</v>
      </c>
      <c r="AV2" s="9">
        <f t="shared" si="3"/>
        <v>45</v>
      </c>
      <c r="AW2" s="9">
        <f t="shared" si="3"/>
        <v>-45</v>
      </c>
    </row>
    <row r="3" spans="1:50" ht="15.6">
      <c r="A3" s="1" t="s">
        <v>598</v>
      </c>
      <c r="B3" s="72">
        <v>0</v>
      </c>
      <c r="C3" s="72">
        <v>90</v>
      </c>
      <c r="D3" s="72">
        <v>45</v>
      </c>
      <c r="E3" s="72">
        <v>-45</v>
      </c>
      <c r="F3" s="1" t="s">
        <v>1570</v>
      </c>
      <c r="G3" s="1" t="s">
        <v>599</v>
      </c>
      <c r="H3" s="1" t="s">
        <v>534</v>
      </c>
      <c r="I3" s="1" t="s">
        <v>242</v>
      </c>
      <c r="J3" s="3"/>
      <c r="K3" s="3"/>
      <c r="L3" s="3"/>
      <c r="N3" s="3" t="s">
        <v>600</v>
      </c>
      <c r="O3" s="11">
        <f>$H$25</f>
        <v>5.0000000000000001E-3</v>
      </c>
      <c r="P3" s="11">
        <f>C16</f>
        <v>5.0000000000000001E-3</v>
      </c>
      <c r="Q3" s="8">
        <f t="shared" si="0"/>
        <v>1</v>
      </c>
      <c r="R3" s="3" t="s">
        <v>243</v>
      </c>
      <c r="S3" s="6" t="s">
        <v>1562</v>
      </c>
      <c r="T3" s="6" t="s">
        <v>1563</v>
      </c>
      <c r="U3" s="6" t="s">
        <v>1564</v>
      </c>
      <c r="V3" s="6" t="s">
        <v>1565</v>
      </c>
      <c r="W3" s="6"/>
      <c r="X3" s="6"/>
      <c r="Z3" s="3" t="s">
        <v>536</v>
      </c>
      <c r="AA3" s="9">
        <f t="shared" si="1"/>
        <v>2</v>
      </c>
      <c r="AB3" s="9">
        <f t="shared" si="1"/>
        <v>1</v>
      </c>
      <c r="AC3" s="9">
        <f t="shared" si="1"/>
        <v>1</v>
      </c>
      <c r="AD3" s="9">
        <f t="shared" si="1"/>
        <v>1</v>
      </c>
      <c r="AE3" s="3">
        <f>W5</f>
        <v>100</v>
      </c>
      <c r="AF3" s="9">
        <f>X5</f>
        <v>200</v>
      </c>
      <c r="AG3" s="3" t="s">
        <v>536</v>
      </c>
      <c r="AH3" s="9">
        <f t="shared" si="2"/>
        <v>2</v>
      </c>
      <c r="AI3" s="9">
        <f t="shared" si="2"/>
        <v>1</v>
      </c>
      <c r="AJ3" s="9">
        <f t="shared" si="2"/>
        <v>1</v>
      </c>
      <c r="AK3" s="9">
        <f t="shared" si="2"/>
        <v>1</v>
      </c>
      <c r="AM3" s="3" t="s">
        <v>536</v>
      </c>
      <c r="AN3" s="9">
        <f>AA3</f>
        <v>2</v>
      </c>
      <c r="AO3" s="9">
        <f>AB3</f>
        <v>1</v>
      </c>
      <c r="AP3" s="9">
        <f>AC3</f>
        <v>1</v>
      </c>
      <c r="AQ3" s="9">
        <f>AD3</f>
        <v>1</v>
      </c>
      <c r="AS3" s="3" t="s">
        <v>536</v>
      </c>
      <c r="AT3" s="9">
        <f t="shared" si="3"/>
        <v>2</v>
      </c>
      <c r="AU3" s="9">
        <f t="shared" si="3"/>
        <v>1</v>
      </c>
      <c r="AV3" s="9">
        <f t="shared" si="3"/>
        <v>1</v>
      </c>
      <c r="AW3" s="9">
        <f t="shared" si="3"/>
        <v>1</v>
      </c>
    </row>
    <row r="4" spans="1:50" ht="15.6">
      <c r="A4" s="1" t="s">
        <v>244</v>
      </c>
      <c r="B4" s="79">
        <v>2</v>
      </c>
      <c r="C4" s="79">
        <v>1</v>
      </c>
      <c r="D4" s="79">
        <v>1</v>
      </c>
      <c r="E4" s="79">
        <v>1</v>
      </c>
      <c r="F4" s="73">
        <v>100</v>
      </c>
      <c r="G4" s="80">
        <v>200</v>
      </c>
      <c r="H4" s="12">
        <f>((B4+C4+D4+E4)*F4+G4)*2</f>
        <v>1400</v>
      </c>
      <c r="I4" s="21">
        <f>H4*L9/1000</f>
        <v>175</v>
      </c>
      <c r="J4" s="3" t="s">
        <v>1553</v>
      </c>
      <c r="K4" s="3" t="s">
        <v>1554</v>
      </c>
      <c r="L4" s="3" t="s">
        <v>1555</v>
      </c>
      <c r="M4" s="13" t="s">
        <v>1556</v>
      </c>
      <c r="N4" s="3" t="s">
        <v>1557</v>
      </c>
      <c r="O4" s="7">
        <f>$G$24</f>
        <v>122</v>
      </c>
      <c r="P4" s="7">
        <f>O4</f>
        <v>122</v>
      </c>
      <c r="Q4" s="8">
        <f t="shared" si="0"/>
        <v>1</v>
      </c>
      <c r="R4" s="3" t="s">
        <v>537</v>
      </c>
      <c r="S4" s="14">
        <f>B3</f>
        <v>0</v>
      </c>
      <c r="T4" s="14">
        <f>C3</f>
        <v>90</v>
      </c>
      <c r="U4" s="14">
        <f>D3</f>
        <v>45</v>
      </c>
      <c r="V4" s="14">
        <f>E3</f>
        <v>-45</v>
      </c>
      <c r="W4" s="6" t="s">
        <v>1432</v>
      </c>
      <c r="X4" s="6" t="s">
        <v>533</v>
      </c>
      <c r="Z4" s="3" t="s">
        <v>539</v>
      </c>
      <c r="AA4" s="13">
        <f>S6*AA3/AA3</f>
        <v>0</v>
      </c>
      <c r="AB4" s="13">
        <f>T6*AB3/AB3</f>
        <v>3.1415926535897931</v>
      </c>
      <c r="AC4" s="13">
        <f>U6*AC3/AC3</f>
        <v>1.5707963267948966</v>
      </c>
      <c r="AD4" s="13">
        <f>V6*AD3/AD3</f>
        <v>-1.5707963267948966</v>
      </c>
      <c r="AE4" s="3" t="s">
        <v>603</v>
      </c>
      <c r="AF4" s="5">
        <f>$W$12</f>
        <v>0.17499999999999999</v>
      </c>
      <c r="AG4" s="3" t="s">
        <v>539</v>
      </c>
      <c r="AH4" s="13">
        <f t="shared" si="2"/>
        <v>0</v>
      </c>
      <c r="AI4" s="13">
        <f t="shared" si="2"/>
        <v>3.1415926535897931</v>
      </c>
      <c r="AJ4" s="13">
        <f t="shared" si="2"/>
        <v>1.5707963267948966</v>
      </c>
      <c r="AK4" s="13">
        <f t="shared" si="2"/>
        <v>-1.5707963267948966</v>
      </c>
      <c r="AM4" s="3" t="s">
        <v>539</v>
      </c>
      <c r="AN4" s="13">
        <f t="shared" ref="AN4:AQ5" si="4">AH4</f>
        <v>0</v>
      </c>
      <c r="AO4" s="13">
        <f t="shared" si="4"/>
        <v>3.1415926535897931</v>
      </c>
      <c r="AP4" s="13">
        <f t="shared" si="4"/>
        <v>1.5707963267948966</v>
      </c>
      <c r="AQ4" s="13">
        <f t="shared" si="4"/>
        <v>-1.5707963267948966</v>
      </c>
      <c r="AS4" s="3" t="s">
        <v>539</v>
      </c>
      <c r="AT4" s="13">
        <f t="shared" si="3"/>
        <v>0</v>
      </c>
      <c r="AU4" s="13">
        <f t="shared" si="3"/>
        <v>3.1415926535897931</v>
      </c>
      <c r="AV4" s="13">
        <f t="shared" si="3"/>
        <v>1.5707963267948966</v>
      </c>
      <c r="AW4" s="13">
        <f t="shared" si="3"/>
        <v>-1.5707963267948966</v>
      </c>
    </row>
    <row r="5" spans="1:50" ht="15.6">
      <c r="A5" s="1" t="s">
        <v>245</v>
      </c>
      <c r="C5" s="1" t="s">
        <v>246</v>
      </c>
      <c r="F5" s="27" t="s">
        <v>247</v>
      </c>
      <c r="G5" s="4">
        <f>2*G4/H4</f>
        <v>0.2857142857142857</v>
      </c>
      <c r="H5" s="1" t="s">
        <v>1575</v>
      </c>
      <c r="I5" s="75">
        <v>1.5</v>
      </c>
      <c r="J5" s="3" t="s">
        <v>298</v>
      </c>
      <c r="K5" s="4">
        <f>$B$24</f>
        <v>181</v>
      </c>
      <c r="L5" s="4">
        <f>L12*L11</f>
        <v>181.00000000000003</v>
      </c>
      <c r="M5" s="8">
        <f>L5/K5</f>
        <v>1.0000000000000002</v>
      </c>
      <c r="N5" s="3" t="s">
        <v>299</v>
      </c>
      <c r="O5" s="7">
        <f>$H$24</f>
        <v>160</v>
      </c>
      <c r="P5" s="7">
        <f>O5-$H$27*(P3-O3)</f>
        <v>160</v>
      </c>
      <c r="Q5" s="8">
        <f t="shared" si="0"/>
        <v>1</v>
      </c>
      <c r="R5" s="3" t="s">
        <v>541</v>
      </c>
      <c r="S5" s="14">
        <f>$B$4</f>
        <v>2</v>
      </c>
      <c r="T5" s="14">
        <f>$C$4</f>
        <v>1</v>
      </c>
      <c r="U5" s="14">
        <f>$D$4</f>
        <v>1</v>
      </c>
      <c r="V5" s="14">
        <f>$E$4</f>
        <v>1</v>
      </c>
      <c r="W5" s="15">
        <f>F4</f>
        <v>100</v>
      </c>
      <c r="X5" s="9">
        <f>$G$4</f>
        <v>200</v>
      </c>
      <c r="Z5" s="3"/>
      <c r="AA5" s="5"/>
      <c r="AB5" s="5"/>
      <c r="AC5" s="5"/>
      <c r="AD5" s="5"/>
      <c r="AE5" s="6"/>
      <c r="AG5" s="3" t="s">
        <v>605</v>
      </c>
      <c r="AH5" s="2">
        <f>S9*$AF$4/2</f>
        <v>8.7499999999999994E-2</v>
      </c>
      <c r="AI5" s="2">
        <f>T9*$AF$4/2</f>
        <v>8.7249999999999994E-2</v>
      </c>
      <c r="AJ5" s="2">
        <f>U9*$AF$4/2</f>
        <v>8.7124999999999994E-2</v>
      </c>
      <c r="AK5" s="2">
        <f>V9*$AF$4/2</f>
        <v>8.6999999999999994E-2</v>
      </c>
      <c r="AM5" s="3" t="s">
        <v>605</v>
      </c>
      <c r="AN5" s="2">
        <f t="shared" si="4"/>
        <v>8.7499999999999994E-2</v>
      </c>
      <c r="AO5" s="2">
        <f t="shared" si="4"/>
        <v>8.7249999999999994E-2</v>
      </c>
      <c r="AP5" s="2">
        <f t="shared" si="4"/>
        <v>8.7124999999999994E-2</v>
      </c>
      <c r="AQ5" s="2">
        <f t="shared" si="4"/>
        <v>8.6999999999999994E-2</v>
      </c>
      <c r="AS5" s="3" t="s">
        <v>605</v>
      </c>
      <c r="AT5" s="2">
        <f t="shared" si="3"/>
        <v>8.7499999999999994E-2</v>
      </c>
      <c r="AU5" s="2">
        <f t="shared" si="3"/>
        <v>8.7249999999999994E-2</v>
      </c>
      <c r="AV5" s="2">
        <f t="shared" si="3"/>
        <v>8.7124999999999994E-2</v>
      </c>
      <c r="AW5" s="2">
        <f t="shared" si="3"/>
        <v>8.6999999999999994E-2</v>
      </c>
    </row>
    <row r="6" spans="1:50" ht="15.6">
      <c r="A6" s="1" t="s">
        <v>248</v>
      </c>
      <c r="B6" s="78">
        <v>1</v>
      </c>
      <c r="C6" s="21">
        <f>B7*I4^3/12/1000000000</f>
        <v>4.4661458333333334E-5</v>
      </c>
      <c r="D6" s="96"/>
      <c r="E6" s="97" t="s">
        <v>249</v>
      </c>
      <c r="F6" s="97" t="s">
        <v>250</v>
      </c>
      <c r="G6" s="98" t="s">
        <v>251</v>
      </c>
      <c r="H6" s="99" t="s">
        <v>1461</v>
      </c>
      <c r="I6" s="100" t="s">
        <v>1462</v>
      </c>
      <c r="J6" s="3" t="s">
        <v>1579</v>
      </c>
      <c r="K6" s="4">
        <f>$C$24</f>
        <v>10.3</v>
      </c>
      <c r="L6" s="4">
        <f>(1+L15)/(1/L16+L15/L13)</f>
        <v>10.3</v>
      </c>
      <c r="M6" s="8">
        <f>L6/K6</f>
        <v>1</v>
      </c>
      <c r="N6" s="3" t="s">
        <v>1580</v>
      </c>
      <c r="O6" s="4">
        <f>(O5-O2)/(O5-O2)</f>
        <v>1</v>
      </c>
      <c r="P6" s="4">
        <f>(P5-P2)/(P5-O2)</f>
        <v>1</v>
      </c>
      <c r="Q6" s="8">
        <f t="shared" si="0"/>
        <v>1</v>
      </c>
      <c r="R6" s="3" t="s">
        <v>1295</v>
      </c>
      <c r="S6" s="20">
        <f>S4*PI()/90</f>
        <v>0</v>
      </c>
      <c r="T6" s="20">
        <f>T4*PI()/90</f>
        <v>3.1415926535897931</v>
      </c>
      <c r="U6" s="20">
        <f>U4*PI()/90</f>
        <v>1.5707963267948966</v>
      </c>
      <c r="V6" s="20">
        <f>V4*PI()/90</f>
        <v>-1.5707963267948966</v>
      </c>
      <c r="W6" s="6" t="s">
        <v>1463</v>
      </c>
      <c r="X6" s="16" t="s">
        <v>615</v>
      </c>
      <c r="Y6" s="3" t="s">
        <v>1464</v>
      </c>
      <c r="Z6" s="1" t="s">
        <v>1297</v>
      </c>
      <c r="AA6" s="6"/>
      <c r="AB6" s="6"/>
      <c r="AC6" s="5"/>
      <c r="AD6" s="5"/>
      <c r="AE6" s="5"/>
      <c r="AG6" s="1" t="s">
        <v>1298</v>
      </c>
      <c r="AL6" s="3" t="s">
        <v>1299</v>
      </c>
      <c r="AM6" s="1" t="s">
        <v>1298</v>
      </c>
      <c r="AR6" s="3" t="s">
        <v>1299</v>
      </c>
      <c r="AS6" s="1" t="s">
        <v>1298</v>
      </c>
      <c r="AX6" s="3" t="s">
        <v>1299</v>
      </c>
    </row>
    <row r="7" spans="1:50" ht="15.6">
      <c r="A7" s="1" t="s">
        <v>1465</v>
      </c>
      <c r="B7" s="78">
        <v>0.1</v>
      </c>
      <c r="C7" s="1" t="s">
        <v>1466</v>
      </c>
      <c r="D7" s="101" t="s">
        <v>1467</v>
      </c>
      <c r="E7" s="102">
        <f>($B$9/3+$B$10*$B$6/8)*$B$6^3/C10/C6</f>
        <v>362.25717156625683</v>
      </c>
      <c r="F7" s="103">
        <f>E7*G11</f>
        <v>17.360750973273099</v>
      </c>
      <c r="G7" s="104">
        <f>G11</f>
        <v>4.7923829632446124E-2</v>
      </c>
      <c r="H7" s="104">
        <f>$B$9*G7</f>
        <v>0.1916953185297845</v>
      </c>
      <c r="I7" s="105">
        <f>$B$10*G7</f>
        <v>4.7923829632446124E-2</v>
      </c>
      <c r="J7" s="3" t="s">
        <v>259</v>
      </c>
      <c r="K7" s="4">
        <f>$D$24</f>
        <v>0.28000000000000003</v>
      </c>
      <c r="L7" s="4">
        <f>K7</f>
        <v>0.28000000000000003</v>
      </c>
      <c r="M7" s="8">
        <f>L7/K7</f>
        <v>1</v>
      </c>
      <c r="N7" s="3" t="s">
        <v>260</v>
      </c>
      <c r="O7" s="7">
        <f>O2-O4</f>
        <v>-100</v>
      </c>
      <c r="P7" s="7">
        <f>P2-P4</f>
        <v>-100</v>
      </c>
      <c r="Q7" s="8">
        <f t="shared" si="0"/>
        <v>1</v>
      </c>
      <c r="R7" s="3" t="s">
        <v>1300</v>
      </c>
      <c r="S7" s="20">
        <f>2*S6</f>
        <v>0</v>
      </c>
      <c r="T7" s="20">
        <f>2*T6</f>
        <v>6.2831853071795862</v>
      </c>
      <c r="U7" s="20">
        <f>2*U6</f>
        <v>3.1415926535897931</v>
      </c>
      <c r="V7" s="20">
        <f>2*V6</f>
        <v>-3.1415926535897931</v>
      </c>
      <c r="W7" s="15">
        <f>SUM(S5:V5)</f>
        <v>5</v>
      </c>
      <c r="X7" s="9">
        <f>W7*W5+X5</f>
        <v>700</v>
      </c>
      <c r="Y7" s="5">
        <f t="shared" ref="Y7:Y12" si="5">(S15*$S$11+T15*$T$11+U15*$U$11+V15*$V$11)*$W$12/2</f>
        <v>6.0910501206266399E-2</v>
      </c>
      <c r="Z7" s="3"/>
      <c r="AA7" s="6" t="s">
        <v>1468</v>
      </c>
      <c r="AB7" s="6" t="s">
        <v>1469</v>
      </c>
      <c r="AC7" s="19" t="s">
        <v>1470</v>
      </c>
      <c r="AD7" s="19" t="s">
        <v>1471</v>
      </c>
      <c r="AE7" s="6" t="s">
        <v>1472</v>
      </c>
      <c r="AF7" s="6" t="s">
        <v>1473</v>
      </c>
      <c r="AG7" s="3" t="s">
        <v>1305</v>
      </c>
      <c r="AH7" s="22">
        <f t="shared" ref="AH7:AK9" si="6">AA13*$AH$5/1000</f>
        <v>9.7809436322889368E-2</v>
      </c>
      <c r="AI7" s="22">
        <f t="shared" si="6"/>
        <v>-2.8806843832694256E-2</v>
      </c>
      <c r="AJ7" s="22">
        <f t="shared" si="6"/>
        <v>3.4449288815787411E-2</v>
      </c>
      <c r="AK7" s="22">
        <f t="shared" si="6"/>
        <v>3.4553303674407711E-2</v>
      </c>
      <c r="AL7" s="22">
        <f>($T$37+$T$38)/2</f>
        <v>5.251030056897462E-5</v>
      </c>
      <c r="AM7" s="3" t="s">
        <v>1305</v>
      </c>
      <c r="AN7" s="22">
        <f t="shared" ref="AN7:AQ9" si="7">AH7/4</f>
        <v>2.4452359080722342E-2</v>
      </c>
      <c r="AO7" s="22">
        <f t="shared" si="7"/>
        <v>-7.201710958173564E-3</v>
      </c>
      <c r="AP7" s="22">
        <f t="shared" si="7"/>
        <v>8.6123222039468528E-3</v>
      </c>
      <c r="AQ7" s="22">
        <f t="shared" si="7"/>
        <v>8.6383259186019277E-3</v>
      </c>
      <c r="AR7" s="22">
        <f>($T$37+$T$38)/2</f>
        <v>5.251030056897462E-5</v>
      </c>
      <c r="AS7" s="3" t="s">
        <v>1305</v>
      </c>
      <c r="AT7" s="22">
        <f>AA16*AT5/1000</f>
        <v>1.2679001004818991E-2</v>
      </c>
      <c r="AU7" s="22">
        <f>AB16*AU5/1000</f>
        <v>-3.7235512954112201E-3</v>
      </c>
      <c r="AV7" s="22">
        <f>AC16*AV5/1000</f>
        <v>4.4465100564081159E-3</v>
      </c>
      <c r="AW7" s="22">
        <f>AD16*AW5/1000</f>
        <v>4.4535369180347716E-3</v>
      </c>
      <c r="AX7" s="22">
        <f>($T$37+$T$38)/2</f>
        <v>5.251030056897462E-5</v>
      </c>
    </row>
    <row r="8" spans="1:50">
      <c r="A8" s="1" t="s">
        <v>1474</v>
      </c>
      <c r="B8" s="11"/>
      <c r="C8" s="106">
        <f>6*AA8/W12^2</f>
        <v>8816.3265306122466</v>
      </c>
      <c r="D8" s="107" t="s">
        <v>1475</v>
      </c>
      <c r="E8" s="14">
        <f>($B$9/48+5*$B$10*$B$6/384)*$B$6^3*$T$23/$B$7</f>
        <v>23.93484883562769</v>
      </c>
      <c r="F8" s="14">
        <f>E8*G11*4</f>
        <v>4.5881984715078916</v>
      </c>
      <c r="G8" s="4">
        <f>AR38</f>
        <v>0.1916953185297845</v>
      </c>
      <c r="H8" s="4">
        <f>$B$9*G8</f>
        <v>0.76678127411913799</v>
      </c>
      <c r="I8" s="108">
        <f>$B$10*G8</f>
        <v>0.1916953185297845</v>
      </c>
      <c r="J8" s="3" t="s">
        <v>261</v>
      </c>
      <c r="K8" s="4">
        <f>$E$24</f>
        <v>7.17</v>
      </c>
      <c r="L8" s="4">
        <f>(1+L18)/(1/L19+L18*2.7/L13)</f>
        <v>7.17</v>
      </c>
      <c r="M8" s="8">
        <f>L8/K8</f>
        <v>1</v>
      </c>
      <c r="N8" s="3"/>
      <c r="O8" s="4"/>
      <c r="P8" s="4"/>
      <c r="Q8" s="4"/>
      <c r="S8" s="20"/>
      <c r="T8" s="20"/>
      <c r="U8" s="20"/>
      <c r="V8" s="21"/>
      <c r="W8" s="6" t="s">
        <v>622</v>
      </c>
      <c r="X8" s="6"/>
      <c r="Y8" s="5">
        <f t="shared" si="5"/>
        <v>3.9477378691941449E-2</v>
      </c>
      <c r="Z8" s="3">
        <v>1</v>
      </c>
      <c r="AA8" s="22">
        <f>($B$9*$B$6+$B$10*$B$6^2/2)/B7</f>
        <v>45</v>
      </c>
      <c r="AB8" s="22">
        <f>($B$9*$B$6/8+$B$10*$B$6^2/12)/B7</f>
        <v>5.833333333333333</v>
      </c>
      <c r="AC8" s="82">
        <f>$AA$8*$T$23</f>
        <v>1117.8221294044499</v>
      </c>
      <c r="AD8" s="22">
        <f>$AB$8*$T$23</f>
        <v>144.90286862650277</v>
      </c>
      <c r="AE8" s="16" t="s">
        <v>1476</v>
      </c>
      <c r="AF8" s="22">
        <f>(AC8+AC9)/2</f>
        <v>394.30052851540063</v>
      </c>
      <c r="AG8" s="3" t="s">
        <v>1307</v>
      </c>
      <c r="AH8" s="22">
        <f t="shared" si="6"/>
        <v>-2.8806843832694256E-2</v>
      </c>
      <c r="AI8" s="22">
        <f t="shared" si="6"/>
        <v>9.7809436322889368E-2</v>
      </c>
      <c r="AJ8" s="22">
        <f t="shared" si="6"/>
        <v>3.4553303674407697E-2</v>
      </c>
      <c r="AK8" s="22">
        <f t="shared" si="6"/>
        <v>3.4449288815787397E-2</v>
      </c>
      <c r="AL8" s="22">
        <f>($T$37-$T$38)/2</f>
        <v>-2.4249206576649461E-5</v>
      </c>
      <c r="AM8" s="3" t="s">
        <v>1307</v>
      </c>
      <c r="AN8" s="22">
        <f t="shared" si="7"/>
        <v>-7.201710958173564E-3</v>
      </c>
      <c r="AO8" s="22">
        <f t="shared" si="7"/>
        <v>2.4452359080722342E-2</v>
      </c>
      <c r="AP8" s="22">
        <f t="shared" si="7"/>
        <v>8.6383259186019242E-3</v>
      </c>
      <c r="AQ8" s="22">
        <f t="shared" si="7"/>
        <v>8.6123222039468494E-3</v>
      </c>
      <c r="AR8" s="22">
        <f>($T$37-$T$38)/2</f>
        <v>-2.4249206576649461E-5</v>
      </c>
      <c r="AS8" s="3" t="s">
        <v>1307</v>
      </c>
      <c r="AT8" s="22">
        <f>AA17*AT5/1000</f>
        <v>-3.7342204968307366E-3</v>
      </c>
      <c r="AU8" s="22">
        <f>AB17*AU5/1000</f>
        <v>1.2642775287662365E-2</v>
      </c>
      <c r="AV8" s="22">
        <f>AC17*AV5/1000</f>
        <v>4.4599356779744751E-3</v>
      </c>
      <c r="AW8" s="22">
        <f>AD17*AW5/1000</f>
        <v>4.4401305584792642E-3</v>
      </c>
      <c r="AX8" s="22">
        <f>($T$37-$T$38)/2</f>
        <v>-2.4249206576649461E-5</v>
      </c>
    </row>
    <row r="9" spans="1:50" ht="15.6">
      <c r="A9" s="1" t="s">
        <v>1477</v>
      </c>
      <c r="B9" s="109">
        <v>4</v>
      </c>
      <c r="C9" s="2" t="s">
        <v>1478</v>
      </c>
      <c r="D9" s="110" t="s">
        <v>1479</v>
      </c>
      <c r="E9" s="111">
        <f>($B$9/192+$B$10*$B$6/384)*$B$6^3*$T$23/$B$7</f>
        <v>5.8219902573148437</v>
      </c>
      <c r="F9" s="111">
        <f>E9*G11*AA8/AB8</f>
        <v>2.1523788196455937</v>
      </c>
      <c r="G9" s="112">
        <f>AX38</f>
        <v>0.37075742122522781</v>
      </c>
      <c r="H9" s="112">
        <f>$B$9*G9</f>
        <v>1.4830296849009112</v>
      </c>
      <c r="I9" s="113">
        <f>$B$10*G9</f>
        <v>0.37075742122522781</v>
      </c>
      <c r="J9" s="3" t="s">
        <v>262</v>
      </c>
      <c r="K9" s="7">
        <f>$B$26</f>
        <v>125</v>
      </c>
      <c r="L9" s="7">
        <f>K9/M11</f>
        <v>125</v>
      </c>
      <c r="M9" s="8">
        <f>L9/K9</f>
        <v>1</v>
      </c>
      <c r="N9" s="1" t="s">
        <v>1531</v>
      </c>
      <c r="O9" s="4"/>
      <c r="P9" s="4"/>
      <c r="Q9" s="4"/>
      <c r="R9" s="3" t="s">
        <v>1308</v>
      </c>
      <c r="S9" s="18">
        <v>1</v>
      </c>
      <c r="T9" s="18">
        <f>S10</f>
        <v>0.99714285714285711</v>
      </c>
      <c r="U9" s="18">
        <f>T10</f>
        <v>0.99571428571428566</v>
      </c>
      <c r="V9" s="18">
        <f>U10</f>
        <v>0.99428571428571422</v>
      </c>
      <c r="W9" s="20">
        <f>W7*L9/1000000</f>
        <v>6.2500000000000001E-4</v>
      </c>
      <c r="X9" s="6" t="s">
        <v>1480</v>
      </c>
      <c r="Y9" s="5">
        <f t="shared" si="5"/>
        <v>1.1665793320564905E-2</v>
      </c>
      <c r="Z9" s="3">
        <v>2</v>
      </c>
      <c r="AA9" s="22"/>
      <c r="AB9" s="22"/>
      <c r="AC9" s="22">
        <f>$AA$8*$T$25</f>
        <v>-329.22107237364867</v>
      </c>
      <c r="AD9" s="22">
        <f>$AB$8*$T$25</f>
        <v>-42.67680567806557</v>
      </c>
      <c r="AE9" s="16" t="s">
        <v>1481</v>
      </c>
      <c r="AF9" s="22">
        <f>(AC8-AC9)/2</f>
        <v>723.5216008890493</v>
      </c>
      <c r="AG9" s="3" t="s">
        <v>1310</v>
      </c>
      <c r="AH9" s="22">
        <f t="shared" si="6"/>
        <v>-1.0401485862029612E-4</v>
      </c>
      <c r="AI9" s="22">
        <f t="shared" si="6"/>
        <v>1.0401485862028063E-4</v>
      </c>
      <c r="AJ9" s="22">
        <f t="shared" si="6"/>
        <v>-0.12661628015558363</v>
      </c>
      <c r="AK9" s="22">
        <f t="shared" si="6"/>
        <v>0.12661628015558363</v>
      </c>
      <c r="AL9" s="22">
        <f>$T$39/2</f>
        <v>-5.2176762905167725E-21</v>
      </c>
      <c r="AM9" s="3" t="s">
        <v>1310</v>
      </c>
      <c r="AN9" s="22">
        <f t="shared" si="7"/>
        <v>-2.6003714655074029E-5</v>
      </c>
      <c r="AO9" s="22">
        <f t="shared" si="7"/>
        <v>2.6003714655070156E-5</v>
      </c>
      <c r="AP9" s="22">
        <f t="shared" si="7"/>
        <v>-3.1654070038895907E-2</v>
      </c>
      <c r="AQ9" s="22">
        <f t="shared" si="7"/>
        <v>3.1654070038895907E-2</v>
      </c>
      <c r="AR9" s="22">
        <f>$T$39/2</f>
        <v>-5.2176762905167725E-21</v>
      </c>
      <c r="AS9" s="3" t="s">
        <v>1310</v>
      </c>
      <c r="AT9" s="22">
        <f>AA18*AT5/1000</f>
        <v>-1.3483407598927276E-5</v>
      </c>
      <c r="AU9" s="22">
        <f>AB18*AU5/1000</f>
        <v>1.3444883577214048E-5</v>
      </c>
      <c r="AV9" s="22">
        <f>AC18*AV5/1000</f>
        <v>-1.6342879123785514E-2</v>
      </c>
      <c r="AW9" s="22">
        <f>AD18*AW5/1000</f>
        <v>1.6319431664497442E-2</v>
      </c>
      <c r="AX9" s="22">
        <f>$T$39/2</f>
        <v>-5.2176762905167725E-21</v>
      </c>
    </row>
    <row r="10" spans="1:50" ht="15.6">
      <c r="A10" s="81" t="s">
        <v>1482</v>
      </c>
      <c r="B10" s="109">
        <v>1</v>
      </c>
      <c r="C10" s="114">
        <f>X23</f>
        <v>90.137791015456955</v>
      </c>
      <c r="D10"/>
      <c r="E10"/>
      <c r="F10"/>
      <c r="G10"/>
      <c r="H10"/>
      <c r="I10"/>
      <c r="J10" s="1" t="s">
        <v>264</v>
      </c>
      <c r="K10" s="4"/>
      <c r="L10" s="4"/>
      <c r="N10" s="3" t="s">
        <v>265</v>
      </c>
      <c r="O10" s="4">
        <f>$A$27</f>
        <v>0.02</v>
      </c>
      <c r="P10" s="4">
        <f>O10</f>
        <v>0.02</v>
      </c>
      <c r="Q10" s="4">
        <f>P10/O10</f>
        <v>1</v>
      </c>
      <c r="R10" s="3" t="s">
        <v>1311</v>
      </c>
      <c r="S10" s="18">
        <f>S9-S5/$X$7</f>
        <v>0.99714285714285711</v>
      </c>
      <c r="T10" s="18">
        <f>T9-T5/$X$7</f>
        <v>0.99571428571428566</v>
      </c>
      <c r="U10" s="18">
        <f>U9-U5/$X$7</f>
        <v>0.99428571428571422</v>
      </c>
      <c r="V10" s="18">
        <f>V9-V5/$X$7</f>
        <v>0.99285714285714277</v>
      </c>
      <c r="X10" s="5">
        <f>W12^2/8</f>
        <v>3.8281249999999995E-3</v>
      </c>
      <c r="Y10" s="5">
        <f t="shared" si="5"/>
        <v>1.4336465542846356E-2</v>
      </c>
      <c r="Z10" s="3">
        <v>6</v>
      </c>
      <c r="AA10" s="22"/>
      <c r="AB10" s="22"/>
      <c r="AC10" s="22">
        <f>$AA$8*$T$27</f>
        <v>-1.1887412413748129</v>
      </c>
      <c r="AD10" s="22">
        <f>$AB$8*$T$27</f>
        <v>-0.15409608684488316</v>
      </c>
      <c r="AE10" s="16" t="s">
        <v>1483</v>
      </c>
      <c r="AF10" s="22">
        <f>AC10/2</f>
        <v>-0.59437062068740643</v>
      </c>
      <c r="AG10" s="3" t="s">
        <v>624</v>
      </c>
      <c r="AH10" s="22"/>
      <c r="AI10" s="22"/>
      <c r="AJ10" s="22"/>
      <c r="AK10" s="22"/>
      <c r="AL10" s="22"/>
      <c r="AM10" s="3" t="s">
        <v>624</v>
      </c>
      <c r="AN10" s="22"/>
      <c r="AO10" s="22"/>
      <c r="AP10" s="22"/>
      <c r="AQ10" s="22"/>
      <c r="AR10" s="22"/>
      <c r="AS10" s="3" t="s">
        <v>624</v>
      </c>
      <c r="AT10" s="22"/>
      <c r="AU10" s="22"/>
      <c r="AV10" s="22"/>
      <c r="AW10" s="22"/>
      <c r="AX10" s="22"/>
    </row>
    <row r="11" spans="1:50">
      <c r="A11" s="1" t="s">
        <v>1484</v>
      </c>
      <c r="B11" s="8">
        <f t="shared" ref="B11:E12" si="8">AH38</f>
        <v>8.7819605199812495E-2</v>
      </c>
      <c r="C11" s="8">
        <f t="shared" si="8"/>
        <v>4.7923829632446124E-2</v>
      </c>
      <c r="D11" s="8">
        <f t="shared" si="8"/>
        <v>5.6376483694241329E-2</v>
      </c>
      <c r="E11" s="8">
        <f t="shared" si="8"/>
        <v>5.6400747641573636E-2</v>
      </c>
      <c r="F11" s="2" t="s">
        <v>1485</v>
      </c>
      <c r="G11" s="4">
        <f>MIN(B11:E11, B12:E12)</f>
        <v>4.7923829632446124E-2</v>
      </c>
      <c r="H11" s="114"/>
      <c r="I11"/>
      <c r="J11" s="3" t="s">
        <v>1532</v>
      </c>
      <c r="K11" s="4">
        <f>$C$26</f>
        <v>0.7</v>
      </c>
      <c r="L11" s="4">
        <f>$D$16</f>
        <v>0.7</v>
      </c>
      <c r="M11" s="8">
        <f t="shared" ref="M11:M19" si="9">L11/K11</f>
        <v>1</v>
      </c>
      <c r="N11" s="3" t="s">
        <v>1533</v>
      </c>
      <c r="O11" s="4">
        <f>$B$27</f>
        <v>22.5</v>
      </c>
      <c r="P11" s="4">
        <f>O11*(1-L11)/(1-K11)</f>
        <v>22.5</v>
      </c>
      <c r="Q11" s="4">
        <f>P11/O11</f>
        <v>1</v>
      </c>
      <c r="R11" s="3" t="s">
        <v>1321</v>
      </c>
      <c r="S11" s="18">
        <f>S9-S10</f>
        <v>2.8571428571428914E-3</v>
      </c>
      <c r="T11" s="18">
        <f>T9-T10</f>
        <v>1.4285714285714457E-3</v>
      </c>
      <c r="U11" s="18">
        <f>U9-U10</f>
        <v>1.4285714285714457E-3</v>
      </c>
      <c r="V11" s="18">
        <f>V9-V10</f>
        <v>1.4285714285714457E-3</v>
      </c>
      <c r="W11" s="6" t="s">
        <v>1486</v>
      </c>
      <c r="X11" s="6" t="s">
        <v>1487</v>
      </c>
      <c r="Y11" s="5">
        <f t="shared" si="5"/>
        <v>0</v>
      </c>
      <c r="AA11" s="22"/>
      <c r="AB11" s="22"/>
      <c r="AC11" s="22"/>
      <c r="AD11" s="22"/>
      <c r="AE11" s="16" t="s">
        <v>1488</v>
      </c>
      <c r="AF11" s="22">
        <f>(AD8+AD9)/2</f>
        <v>51.113031474218602</v>
      </c>
      <c r="AG11" s="3" t="s">
        <v>424</v>
      </c>
      <c r="AH11" s="22"/>
      <c r="AI11" s="22"/>
      <c r="AJ11" s="22"/>
      <c r="AK11" s="22"/>
      <c r="AL11" s="22"/>
      <c r="AM11" s="3" t="s">
        <v>424</v>
      </c>
      <c r="AN11" s="22"/>
      <c r="AO11" s="22"/>
      <c r="AP11" s="22"/>
      <c r="AQ11" s="22"/>
      <c r="AR11" s="22"/>
      <c r="AS11" s="3" t="s">
        <v>424</v>
      </c>
      <c r="AT11" s="22"/>
      <c r="AU11" s="22"/>
      <c r="AV11" s="22"/>
      <c r="AW11" s="22"/>
      <c r="AX11" s="22"/>
    </row>
    <row r="12" spans="1:50">
      <c r="A12" s="1" t="s">
        <v>1489</v>
      </c>
      <c r="B12" s="8">
        <f t="shared" si="8"/>
        <v>9.1984687292138267E-2</v>
      </c>
      <c r="C12" s="8">
        <f t="shared" si="8"/>
        <v>0.18467801476048545</v>
      </c>
      <c r="D12" s="8">
        <f t="shared" si="8"/>
        <v>0.10236772424838367</v>
      </c>
      <c r="E12" s="8">
        <f t="shared" si="8"/>
        <v>0.10231877362073788</v>
      </c>
      <c r="F12"/>
      <c r="G12"/>
      <c r="H12"/>
      <c r="I12"/>
      <c r="J12" s="3" t="s">
        <v>1534</v>
      </c>
      <c r="K12" s="7">
        <f>K5/K11</f>
        <v>258.57142857142861</v>
      </c>
      <c r="L12" s="7">
        <f>$F$16*P6^$F$27</f>
        <v>258.57142857142861</v>
      </c>
      <c r="M12" s="8">
        <f t="shared" si="9"/>
        <v>1</v>
      </c>
      <c r="N12" s="2" t="s">
        <v>1535</v>
      </c>
      <c r="O12" s="4"/>
      <c r="P12" s="4"/>
      <c r="Q12" s="4"/>
      <c r="R12" s="3" t="s">
        <v>1490</v>
      </c>
      <c r="S12" s="18">
        <f>S9^2-S10^2</f>
        <v>5.7061224489796114E-3</v>
      </c>
      <c r="T12" s="18">
        <f>T9^2-T10^2</f>
        <v>2.8469387755102327E-3</v>
      </c>
      <c r="U12" s="18">
        <f>U9^2-U10^2</f>
        <v>2.842857142857258E-3</v>
      </c>
      <c r="V12" s="18">
        <f>V9^2-V10^2</f>
        <v>2.8387755102040613E-3</v>
      </c>
      <c r="W12" s="115">
        <f>$I$4/1000</f>
        <v>0.17499999999999999</v>
      </c>
      <c r="X12" s="5">
        <f>W12^3/12</f>
        <v>4.4661458333333321E-4</v>
      </c>
      <c r="Y12" s="5">
        <f t="shared" si="5"/>
        <v>1.2143064331837649E-18</v>
      </c>
      <c r="Z12" s="1" t="s">
        <v>1491</v>
      </c>
      <c r="AA12" s="22"/>
      <c r="AB12" s="22"/>
      <c r="AC12" s="22"/>
      <c r="AD12" s="22"/>
      <c r="AE12" s="16" t="s">
        <v>1492</v>
      </c>
      <c r="AF12" s="22">
        <f>(AD8-AD9)/2</f>
        <v>93.789837152284164</v>
      </c>
      <c r="AG12" s="3" t="s">
        <v>427</v>
      </c>
      <c r="AH12" s="22"/>
      <c r="AI12" s="22"/>
      <c r="AJ12" s="22"/>
      <c r="AK12" s="22"/>
      <c r="AL12" s="22"/>
      <c r="AM12" s="3" t="s">
        <v>427</v>
      </c>
      <c r="AN12" s="22"/>
      <c r="AO12" s="22"/>
      <c r="AP12" s="22"/>
      <c r="AQ12" s="22"/>
      <c r="AR12" s="22"/>
      <c r="AS12" s="3" t="s">
        <v>427</v>
      </c>
      <c r="AT12" s="22"/>
      <c r="AU12" s="22"/>
      <c r="AV12" s="22"/>
      <c r="AW12" s="22"/>
      <c r="AX12" s="22"/>
    </row>
    <row r="13" spans="1:50">
      <c r="A13" s="2" t="s">
        <v>1544</v>
      </c>
      <c r="B13" s="76" t="s">
        <v>1545</v>
      </c>
      <c r="C13" s="77">
        <v>90</v>
      </c>
      <c r="D13" s="116" t="s">
        <v>1546</v>
      </c>
      <c r="E13" s="117">
        <f>E10</f>
        <v>0</v>
      </c>
      <c r="F13" s="118">
        <f>E10</f>
        <v>0</v>
      </c>
      <c r="G13" s="119">
        <f>E12</f>
        <v>0.10231877362073788</v>
      </c>
      <c r="H13" s="11"/>
      <c r="I13" s="11"/>
      <c r="J13" s="3" t="s">
        <v>1536</v>
      </c>
      <c r="K13" s="4">
        <f>$F$24</f>
        <v>3.4</v>
      </c>
      <c r="L13" s="4">
        <f>$E$16*P6^$F$26</f>
        <v>3.4</v>
      </c>
      <c r="M13" s="8">
        <f t="shared" si="9"/>
        <v>1</v>
      </c>
      <c r="N13" s="3" t="s">
        <v>1537</v>
      </c>
      <c r="O13" s="4">
        <f>$C$27</f>
        <v>0</v>
      </c>
      <c r="P13" s="4">
        <f>O13</f>
        <v>0</v>
      </c>
      <c r="Q13" s="4">
        <v>1</v>
      </c>
      <c r="R13" s="3" t="s">
        <v>1493</v>
      </c>
      <c r="S13" s="18">
        <f>S9^3-S10^3</f>
        <v>8.5469620991254214E-3</v>
      </c>
      <c r="T13" s="18">
        <f>T9^3-T10^3</f>
        <v>4.2551574344024123E-3</v>
      </c>
      <c r="U13" s="18">
        <f>U9^3-U10^3</f>
        <v>4.2429650145773268E-3</v>
      </c>
      <c r="V13" s="18">
        <f>V9^3-V10^3</f>
        <v>4.2307900874636317E-3</v>
      </c>
      <c r="Z13" s="3" t="s">
        <v>1494</v>
      </c>
      <c r="AA13" s="22">
        <f>$AF$8+$AF$9*COS(AA4)+$AF$10*SIN(AA4)</f>
        <v>1117.8221294044499</v>
      </c>
      <c r="AB13" s="22">
        <f>$AF$8+$AF$9*COS(AB4)+$AF$10*SIN(AB4)</f>
        <v>-329.22107237364867</v>
      </c>
      <c r="AC13" s="22">
        <f>$AF$8+$AF$9*COS(AC4)+$AF$10*SIN(AC4)</f>
        <v>393.70615789471327</v>
      </c>
      <c r="AD13" s="22">
        <f>$AF$8+$AF$9*COS(AD4)+$AF$10*SIN(AD4)</f>
        <v>394.8948991360881</v>
      </c>
      <c r="AE13" s="16" t="s">
        <v>1495</v>
      </c>
      <c r="AF13" s="22">
        <f>AD10/2</f>
        <v>-7.7048043422441578E-2</v>
      </c>
      <c r="AG13" s="1"/>
      <c r="AH13" s="16"/>
      <c r="AI13" s="16"/>
      <c r="AJ13" s="16"/>
      <c r="AK13" s="16"/>
      <c r="AL13" s="22"/>
      <c r="AM13" s="1"/>
      <c r="AN13" s="16"/>
      <c r="AO13" s="16"/>
      <c r="AP13" s="16"/>
      <c r="AQ13" s="16"/>
      <c r="AR13" s="22"/>
      <c r="AS13" s="1"/>
      <c r="AT13" s="16"/>
      <c r="AU13" s="16"/>
      <c r="AV13" s="16"/>
      <c r="AW13" s="16"/>
      <c r="AX13" s="22"/>
    </row>
    <row r="14" spans="1:50">
      <c r="B14" s="1" t="s">
        <v>1336</v>
      </c>
      <c r="C14" s="1" t="s">
        <v>1337</v>
      </c>
      <c r="D14" s="17" t="s">
        <v>1338</v>
      </c>
      <c r="E14" s="1" t="s">
        <v>1339</v>
      </c>
      <c r="F14" s="1" t="s">
        <v>1340</v>
      </c>
      <c r="G14" s="1" t="s">
        <v>1341</v>
      </c>
      <c r="H14" s="1" t="s">
        <v>1342</v>
      </c>
      <c r="I14" s="1" t="s">
        <v>1496</v>
      </c>
      <c r="J14" s="3" t="s">
        <v>1538</v>
      </c>
      <c r="K14" s="4">
        <f>$E$26</f>
        <v>0.51600000000000001</v>
      </c>
      <c r="L14" s="4">
        <f>K14*P6^$G$26</f>
        <v>0.51600000000000001</v>
      </c>
      <c r="M14" s="8">
        <f t="shared" si="9"/>
        <v>1</v>
      </c>
      <c r="N14" s="3" t="s">
        <v>1539</v>
      </c>
      <c r="O14" s="4">
        <f>$D$27</f>
        <v>0.6</v>
      </c>
      <c r="P14" s="4">
        <f>O14*(1-L11)/(1-K11)</f>
        <v>0.6</v>
      </c>
      <c r="Q14" s="4">
        <f>P14/O14</f>
        <v>1</v>
      </c>
      <c r="R14" s="3" t="s">
        <v>1325</v>
      </c>
      <c r="S14" s="6" t="s">
        <v>1326</v>
      </c>
      <c r="T14" s="6" t="s">
        <v>1327</v>
      </c>
      <c r="U14" s="6" t="s">
        <v>1328</v>
      </c>
      <c r="V14" s="6" t="s">
        <v>1329</v>
      </c>
      <c r="W14" s="6" t="s">
        <v>1330</v>
      </c>
      <c r="X14" s="6" t="s">
        <v>430</v>
      </c>
      <c r="Y14" s="3" t="s">
        <v>1497</v>
      </c>
      <c r="Z14" s="3" t="s">
        <v>1498</v>
      </c>
      <c r="AA14" s="22">
        <f>2*$AF$8-AA13</f>
        <v>-329.22107237364867</v>
      </c>
      <c r="AB14" s="22">
        <f>2*$AF$8-AB13</f>
        <v>1117.8221294044499</v>
      </c>
      <c r="AC14" s="22">
        <f>2*$AF$8-AC13</f>
        <v>394.89489913608799</v>
      </c>
      <c r="AD14" s="22">
        <f>2*$AF$8-AD13</f>
        <v>393.70615789471316</v>
      </c>
      <c r="AE14" s="22"/>
      <c r="AF14" s="22"/>
      <c r="AG14" s="3" t="s">
        <v>1333</v>
      </c>
      <c r="AH14" s="22">
        <f>$P$33*AH7^2+2*$P$35*AH7*AH8+$P$34*AH8^2+$P$36*AH9^2</f>
        <v>141.00035175393995</v>
      </c>
      <c r="AI14" s="22">
        <f>$P$33*AI7^2+2*$P$35*AI7*AI8+$P$34*AI8^2+$P$36*AI9^2</f>
        <v>129.43510590099299</v>
      </c>
      <c r="AJ14" s="22">
        <f>$P$33*AJ7^2+2*$P$35*AJ7*AJ8+$P$34*AJ8^2+$P$36*AJ9^2</f>
        <v>197.92937795506509</v>
      </c>
      <c r="AK14" s="22">
        <f>$P$33*AK7^2+2*$P$35*AK7*AK8+$P$34*AK8^2+$P$36*AK9^2</f>
        <v>197.93887876657863</v>
      </c>
      <c r="AL14" s="22"/>
      <c r="AM14" s="3" t="s">
        <v>1333</v>
      </c>
      <c r="AN14" s="22">
        <f>$P$33*AN7^2+2*$P$35*AN7*AN8+$P$34*AN8^2+$P$36*AN9^2</f>
        <v>8.812521984621247</v>
      </c>
      <c r="AO14" s="22">
        <f>$P$33*AO7^2+2*$P$35*AO7*AO8+$P$34*AO8^2+$P$36*AO9^2</f>
        <v>8.0896941188120621</v>
      </c>
      <c r="AP14" s="22">
        <f>$P$33*AP7^2+2*$P$35*AP7*AP8+$P$34*AP8^2+$P$36*AP9^2</f>
        <v>12.370586122191568</v>
      </c>
      <c r="AQ14" s="22">
        <f>$P$33*AQ7^2+2*$P$35*AQ7*AQ8+$P$34*AQ8^2+$P$36*AQ9^2</f>
        <v>12.371179922911164</v>
      </c>
      <c r="AR14" s="22"/>
      <c r="AS14" s="3" t="s">
        <v>1333</v>
      </c>
      <c r="AT14" s="22">
        <f>$P$33*AT7^2+2*$P$35*AT7*AT8+$P$34*AT8^2+$P$36*AT9^2</f>
        <v>2.3693474746032432</v>
      </c>
      <c r="AU14" s="22">
        <f>$P$33*AU7^2+2*$P$35*AU7*AU8+$P$34*AU8^2+$P$36*AU9^2</f>
        <v>2.1625960677430514</v>
      </c>
      <c r="AV14" s="22">
        <f>$P$33*AV7^2+2*$P$35*AV7*AV8+$P$34*AV8^2+$P$36*AV9^2</f>
        <v>3.2975265149167421</v>
      </c>
      <c r="AW14" s="22">
        <f>$P$33*AW7^2+2*$P$35*AW7*AW8+$P$34*AW8^2+$P$36*AW9^2</f>
        <v>3.2882290773865193</v>
      </c>
      <c r="AX14" s="22"/>
    </row>
    <row r="15" spans="1:50">
      <c r="A15" s="1" t="s">
        <v>223</v>
      </c>
      <c r="B15" s="14">
        <f>O2</f>
        <v>22</v>
      </c>
      <c r="C15" s="18">
        <f>O3</f>
        <v>5.0000000000000001E-3</v>
      </c>
      <c r="D15" s="8">
        <f>K11</f>
        <v>0.7</v>
      </c>
      <c r="E15" s="8">
        <f>K13</f>
        <v>3.4</v>
      </c>
      <c r="F15" s="25">
        <f>K12</f>
        <v>258.57142857142861</v>
      </c>
      <c r="G15" s="14">
        <f>O24</f>
        <v>40</v>
      </c>
      <c r="H15" s="25">
        <f>O23</f>
        <v>2142.8571428571431</v>
      </c>
      <c r="I15" s="4">
        <f>A28</f>
        <v>0.15</v>
      </c>
      <c r="J15" s="3" t="s">
        <v>1547</v>
      </c>
      <c r="K15" s="4">
        <f>K14*(1-K11)/K11</f>
        <v>0.2211428571428572</v>
      </c>
      <c r="L15" s="4">
        <f>L14*(1-L11)/L11</f>
        <v>0.2211428571428572</v>
      </c>
      <c r="M15" s="8">
        <f t="shared" si="9"/>
        <v>1</v>
      </c>
      <c r="O15" s="4"/>
      <c r="P15" s="4"/>
      <c r="Q15" s="4"/>
      <c r="R15" s="3">
        <v>11</v>
      </c>
      <c r="S15" s="4">
        <f>$L$27+$L$28*COS(S6)+$L$29*COS(S7)</f>
        <v>181.81113884441794</v>
      </c>
      <c r="T15" s="4">
        <f>$L$27+$L$28*COS(T6)+$L$29*COS(T7)</f>
        <v>10.346158729820477</v>
      </c>
      <c r="U15" s="4">
        <f>$L$27+$L$28*COS(U6)+$L$29*COS(U7)</f>
        <v>56.65778661573448</v>
      </c>
      <c r="V15" s="4">
        <f>$L$27+$L$28*COS(V6)+$L$29*COS(V7)</f>
        <v>56.65778661573448</v>
      </c>
      <c r="W15" s="4">
        <f t="shared" ref="W15:W20" si="10">$W$5*Y7*2</f>
        <v>12.182100241253281</v>
      </c>
      <c r="X15" s="5">
        <f t="shared" ref="X15:X20" si="11">2*$W$5*(Y23-$W$9*($W$5-1)*Y15+$W$9^2/6*($W$5-1)*(2*$W$5-1)*Y7)</f>
        <v>4.2642536712039672E-2</v>
      </c>
      <c r="Y15" s="20">
        <f t="shared" ref="Y15:Y20" si="12">(S15*$S$12+T15*$T$12+U15*$U$12+V15*$V$12)*$X$10</f>
        <v>5.316500887307043E-3</v>
      </c>
      <c r="Z15" s="3" t="s">
        <v>1499</v>
      </c>
      <c r="AA15" s="22">
        <f>2*($AF$10*COS(AA4)-$AF$9*SIN(AA4))</f>
        <v>-1.1887412413748129</v>
      </c>
      <c r="AB15" s="22">
        <f>2*($AF$10*COS(AB4)-$AF$9*SIN(AB4))</f>
        <v>1.1887412413746357</v>
      </c>
      <c r="AC15" s="22">
        <f>2*($AF$10*COS(AC4)-$AF$9*SIN(AC4))</f>
        <v>-1447.0432017780986</v>
      </c>
      <c r="AD15" s="22">
        <f>2*($AF$10*COS(AD4)-$AF$9*SIN(AD4))</f>
        <v>1447.0432017780986</v>
      </c>
      <c r="AE15" s="22"/>
      <c r="AF15" s="22"/>
      <c r="AG15" s="3" t="s">
        <v>1335</v>
      </c>
      <c r="AH15" s="22">
        <f>$P$37*AH7+$P$38*AH8</f>
        <v>-0.30761058498269467</v>
      </c>
      <c r="AI15" s="22">
        <f>$P$37*AI7+$P$38*AI8</f>
        <v>19.438124481902541</v>
      </c>
      <c r="AJ15" s="22">
        <f>$P$37*AJ7+$P$38*AJ8</f>
        <v>9.5733674767380084</v>
      </c>
      <c r="AK15" s="22">
        <f>$P$37*AK7+$P$38*AK8</f>
        <v>9.5571464201818372</v>
      </c>
      <c r="AL15" s="22"/>
      <c r="AM15" s="3" t="s">
        <v>1335</v>
      </c>
      <c r="AN15" s="22">
        <f>$P$37*AN7+$P$38*AN8</f>
        <v>-7.6902646245673667E-2</v>
      </c>
      <c r="AO15" s="22">
        <f>$P$37*AO7+$P$38*AO8</f>
        <v>4.8595311204756353</v>
      </c>
      <c r="AP15" s="22">
        <f>$P$37*AP7+$P$38*AP8</f>
        <v>2.3933418691845021</v>
      </c>
      <c r="AQ15" s="22">
        <f>$P$37*AQ7+$P$38*AQ8</f>
        <v>2.3892866050454593</v>
      </c>
      <c r="AR15" s="22"/>
      <c r="AS15" s="3" t="s">
        <v>1335</v>
      </c>
      <c r="AT15" s="22">
        <f>$P$37*AT7+$P$38*AT8</f>
        <v>-3.9875446201460329E-2</v>
      </c>
      <c r="AU15" s="22">
        <f>$P$37*AU7+$P$38*AU8</f>
        <v>2.5125575719199951</v>
      </c>
      <c r="AV15" s="22">
        <f>$P$37*AV7+$P$38*AV8</f>
        <v>1.2356735428308134</v>
      </c>
      <c r="AW15" s="22">
        <f>$P$37*AW7+$P$38*AW8</f>
        <v>1.2318099830456588</v>
      </c>
      <c r="AX15" s="22"/>
    </row>
    <row r="16" spans="1:50" ht="15.6">
      <c r="A16" s="1" t="s">
        <v>1500</v>
      </c>
      <c r="B16" s="72">
        <f t="shared" ref="B16:I16" si="13">B15</f>
        <v>22</v>
      </c>
      <c r="C16" s="78">
        <f t="shared" si="13"/>
        <v>5.0000000000000001E-3</v>
      </c>
      <c r="D16" s="74">
        <f t="shared" si="13"/>
        <v>0.7</v>
      </c>
      <c r="E16" s="74">
        <f t="shared" si="13"/>
        <v>3.4</v>
      </c>
      <c r="F16" s="79">
        <f t="shared" si="13"/>
        <v>258.57142857142861</v>
      </c>
      <c r="G16" s="72">
        <f t="shared" si="13"/>
        <v>40</v>
      </c>
      <c r="H16" s="28">
        <f t="shared" si="13"/>
        <v>2142.8571428571431</v>
      </c>
      <c r="I16" s="74">
        <f t="shared" si="13"/>
        <v>0.15</v>
      </c>
      <c r="J16" s="3" t="s">
        <v>1548</v>
      </c>
      <c r="K16" s="4">
        <f>1/((1+K15)/K6-K15/K13)</f>
        <v>18.686160319541436</v>
      </c>
      <c r="L16" s="4">
        <f>K16*P6^$F$27</f>
        <v>18.686160319541436</v>
      </c>
      <c r="M16" s="8">
        <f t="shared" si="9"/>
        <v>1</v>
      </c>
      <c r="N16" s="2" t="s">
        <v>1148</v>
      </c>
      <c r="O16" s="4"/>
      <c r="P16" s="4"/>
      <c r="Q16" s="4"/>
      <c r="R16" s="3">
        <v>22</v>
      </c>
      <c r="S16" s="4">
        <f>S15-2*$L$28*COS(S6)</f>
        <v>10.346158729820473</v>
      </c>
      <c r="T16" s="4">
        <f>T15-2*$L$28*COS(T6)</f>
        <v>181.81113884441794</v>
      </c>
      <c r="U16" s="4">
        <f>U15-2*$L$28*COS(U6)</f>
        <v>56.657786615734473</v>
      </c>
      <c r="V16" s="4">
        <f>V15-2*$L$28*COS(V6)</f>
        <v>56.657786615734473</v>
      </c>
      <c r="W16" s="4">
        <f t="shared" si="10"/>
        <v>7.8954757383882894</v>
      </c>
      <c r="X16" s="5">
        <f t="shared" si="11"/>
        <v>2.7502960383845778E-2</v>
      </c>
      <c r="Y16" s="20">
        <f t="shared" si="12"/>
        <v>3.4397630971464924E-3</v>
      </c>
      <c r="Z16" s="3" t="s">
        <v>1501</v>
      </c>
      <c r="AA16" s="22">
        <f>$AF$11+$AF$12*COS(AA4)+$AF$13*SIN(AA4)</f>
        <v>144.90286862650277</v>
      </c>
      <c r="AB16" s="22">
        <f>$AF$11+$AF$12*COS(AB4)+$AF$13*SIN(AB4)</f>
        <v>-42.676805678065563</v>
      </c>
      <c r="AC16" s="22">
        <f>$AF$11+$AF$12*COS(AC4)+$AF$13*SIN(AC4)</f>
        <v>51.035983430796165</v>
      </c>
      <c r="AD16" s="22">
        <f>$AF$11+$AF$12*COS(AD4)+$AF$13*SIN(AD4)</f>
        <v>51.190079517641053</v>
      </c>
      <c r="AE16" s="22"/>
      <c r="AF16" s="22"/>
      <c r="AG16" s="3" t="s">
        <v>1344</v>
      </c>
      <c r="AH16" s="22">
        <f>AH15/2/AH14</f>
        <v>-1.0908149559779349E-3</v>
      </c>
      <c r="AI16" s="22">
        <f>AI15/2/AI14</f>
        <v>7.5088301379268294E-2</v>
      </c>
      <c r="AJ16" s="22">
        <f>AJ15/2/AJ14</f>
        <v>2.4183796199550026E-2</v>
      </c>
      <c r="AK16" s="22">
        <f>AK15/2/AK14</f>
        <v>2.414166049574373E-2</v>
      </c>
      <c r="AL16" s="22"/>
      <c r="AM16" s="3" t="s">
        <v>1344</v>
      </c>
      <c r="AN16" s="22">
        <f>AN15/2/AN14</f>
        <v>-4.3632598239117396E-3</v>
      </c>
      <c r="AO16" s="22">
        <f>AO15/2/AO14</f>
        <v>0.30035320551707317</v>
      </c>
      <c r="AP16" s="22">
        <f>AP15/2/AP14</f>
        <v>9.6735184798200105E-2</v>
      </c>
      <c r="AQ16" s="22">
        <f>AQ15/2/AQ14</f>
        <v>9.6566641982974918E-2</v>
      </c>
      <c r="AR16" s="22"/>
      <c r="AS16" s="3" t="s">
        <v>1344</v>
      </c>
      <c r="AT16" s="22">
        <f>AT15/2/AT14</f>
        <v>-8.4148582318297645E-3</v>
      </c>
      <c r="AU16" s="22">
        <f>AU15/2/AU14</f>
        <v>0.58091236024075776</v>
      </c>
      <c r="AV16" s="22">
        <f>AV15/2/AV14</f>
        <v>0.18736370082865164</v>
      </c>
      <c r="AW16" s="22">
        <f>AW15/2/AW14</f>
        <v>0.18730598660490833</v>
      </c>
      <c r="AX16" s="22"/>
    </row>
    <row r="17" spans="1:50">
      <c r="A17" s="10" t="s">
        <v>1502</v>
      </c>
      <c r="B17" s="18">
        <f t="shared" ref="B17:I17" si="14">B16/B15</f>
        <v>1</v>
      </c>
      <c r="C17" s="18">
        <f t="shared" si="14"/>
        <v>1</v>
      </c>
      <c r="D17" s="18">
        <f t="shared" si="14"/>
        <v>1</v>
      </c>
      <c r="E17" s="18">
        <f t="shared" si="14"/>
        <v>1</v>
      </c>
      <c r="F17" s="18">
        <f t="shared" si="14"/>
        <v>1</v>
      </c>
      <c r="G17" s="18">
        <f t="shared" si="14"/>
        <v>1</v>
      </c>
      <c r="H17" s="11">
        <f t="shared" si="14"/>
        <v>1</v>
      </c>
      <c r="I17" s="11">
        <f t="shared" si="14"/>
        <v>1</v>
      </c>
      <c r="J17" s="3" t="s">
        <v>295</v>
      </c>
      <c r="K17" s="4">
        <f>$E$27</f>
        <v>0.316</v>
      </c>
      <c r="L17" s="4">
        <f>K17*P6^$G$26</f>
        <v>0.316</v>
      </c>
      <c r="M17" s="8">
        <f t="shared" si="9"/>
        <v>1</v>
      </c>
      <c r="N17" s="3" t="s">
        <v>296</v>
      </c>
      <c r="O17" s="7">
        <f>$A$25</f>
        <v>1500</v>
      </c>
      <c r="P17" s="7">
        <f>P23*L11</f>
        <v>1500</v>
      </c>
      <c r="Q17" s="4">
        <f t="shared" ref="Q17:Q24" si="15">P17/O17</f>
        <v>1</v>
      </c>
      <c r="R17" s="3" t="s">
        <v>1345</v>
      </c>
      <c r="S17" s="4">
        <f>$L$30-$L$29*COS(S7)</f>
        <v>2.8969244443497324</v>
      </c>
      <c r="T17" s="4">
        <f>$L$30-$L$29*COS(T7)</f>
        <v>2.8969244443497324</v>
      </c>
      <c r="U17" s="4">
        <f>$L$30-$L$29*COS(U7)</f>
        <v>42.317786615734462</v>
      </c>
      <c r="V17" s="4">
        <f>$L$30-$L$29*COS(V7)</f>
        <v>42.317786615734462</v>
      </c>
      <c r="W17" s="4">
        <f t="shared" si="10"/>
        <v>2.3331586641129811</v>
      </c>
      <c r="X17" s="5">
        <f t="shared" si="11"/>
        <v>8.1001902965138518E-3</v>
      </c>
      <c r="Y17" s="20">
        <f t="shared" si="12"/>
        <v>1.0152635022224726E-3</v>
      </c>
      <c r="Z17" s="3" t="s">
        <v>1503</v>
      </c>
      <c r="AA17" s="22">
        <f>2*$AF$11-AA16</f>
        <v>-42.676805678065563</v>
      </c>
      <c r="AB17" s="22">
        <f>2*$AF$11-AB16</f>
        <v>144.90286862650277</v>
      </c>
      <c r="AC17" s="22">
        <f>2*$AF$11-AC16</f>
        <v>51.190079517641038</v>
      </c>
      <c r="AD17" s="22">
        <f>2*$AF$11-AD16</f>
        <v>51.035983430796151</v>
      </c>
      <c r="AE17" s="22"/>
      <c r="AF17" s="22"/>
      <c r="AG17" s="3" t="s">
        <v>1152</v>
      </c>
      <c r="AH17" s="22"/>
      <c r="AI17" s="22"/>
      <c r="AJ17" s="22"/>
      <c r="AK17" s="22"/>
      <c r="AL17" s="22"/>
      <c r="AM17" s="3" t="s">
        <v>1152</v>
      </c>
      <c r="AN17" s="22"/>
      <c r="AO17" s="22"/>
      <c r="AP17" s="22"/>
      <c r="AQ17" s="22"/>
      <c r="AR17" s="22"/>
      <c r="AS17" s="3" t="s">
        <v>1152</v>
      </c>
      <c r="AT17" s="22"/>
      <c r="AU17" s="22"/>
      <c r="AV17" s="22"/>
      <c r="AW17" s="22"/>
      <c r="AX17" s="22"/>
    </row>
    <row r="18" spans="1:50">
      <c r="A18" s="1" t="s">
        <v>1504</v>
      </c>
      <c r="B18" s="14">
        <f>B16-B15</f>
        <v>0</v>
      </c>
      <c r="C18" s="18">
        <f>C16-C15</f>
        <v>0</v>
      </c>
      <c r="D18" s="13" t="s">
        <v>1505</v>
      </c>
      <c r="E18" s="8">
        <f>L13</f>
        <v>3.4</v>
      </c>
      <c r="F18" s="25">
        <f>L12</f>
        <v>258.57142857142861</v>
      </c>
      <c r="G18" s="14">
        <f>P24</f>
        <v>40</v>
      </c>
      <c r="H18" s="7">
        <f>P23</f>
        <v>2142.8571428571431</v>
      </c>
      <c r="J18" s="3" t="s">
        <v>301</v>
      </c>
      <c r="K18" s="4">
        <f>K17*(1-K11)/K11</f>
        <v>0.13542857142857145</v>
      </c>
      <c r="L18" s="4">
        <f>L17*(1-L11)/L11</f>
        <v>0.13542857142857145</v>
      </c>
      <c r="M18" s="8">
        <f t="shared" si="9"/>
        <v>1</v>
      </c>
      <c r="N18" s="3" t="s">
        <v>302</v>
      </c>
      <c r="O18" s="7">
        <f>$B$25</f>
        <v>1500</v>
      </c>
      <c r="P18" s="7">
        <f>O18*Q17*M8^E28</f>
        <v>1500</v>
      </c>
      <c r="Q18" s="4">
        <f t="shared" si="15"/>
        <v>1</v>
      </c>
      <c r="R18" s="3">
        <v>66</v>
      </c>
      <c r="S18" s="4">
        <f>S17-$L$30+$L$31</f>
        <v>7.1700000000000053</v>
      </c>
      <c r="T18" s="4">
        <f>T17-$L$30+$L$31</f>
        <v>7.1700000000000053</v>
      </c>
      <c r="U18" s="4">
        <f>U17-$L$30+$L$31</f>
        <v>46.590862171384735</v>
      </c>
      <c r="V18" s="4">
        <f>V17-$L$30+$L$31</f>
        <v>46.590862171384735</v>
      </c>
      <c r="W18" s="4">
        <f t="shared" si="10"/>
        <v>2.867293108569271</v>
      </c>
      <c r="X18" s="5">
        <f t="shared" si="11"/>
        <v>9.9640969516477922E-3</v>
      </c>
      <c r="Y18" s="20">
        <f t="shared" si="12"/>
        <v>1.2481127366026361E-3</v>
      </c>
      <c r="Z18" s="3" t="s">
        <v>1506</v>
      </c>
      <c r="AA18" s="22">
        <f>2*($AF$13*COS(AA4)-$AF$12*SIN(AA4))</f>
        <v>-0.15409608684488316</v>
      </c>
      <c r="AB18" s="22">
        <f>2*($AF$13*COS(AB4)-$AF$12*SIN(AB4))</f>
        <v>0.15409608684486018</v>
      </c>
      <c r="AC18" s="22">
        <f>2*($AF$13*COS(AC4)-$AF$12*SIN(AC4))</f>
        <v>-187.57967430456833</v>
      </c>
      <c r="AD18" s="22">
        <f>2*($AF$13*COS(AD4)-$AF$12*SIN(AD4))</f>
        <v>187.57967430456833</v>
      </c>
      <c r="AE18" s="22"/>
      <c r="AF18" s="22"/>
      <c r="AG18" s="3" t="s">
        <v>1154</v>
      </c>
      <c r="AH18" s="22"/>
      <c r="AI18" s="22"/>
      <c r="AJ18" s="22"/>
      <c r="AK18" s="22"/>
      <c r="AL18" s="22"/>
      <c r="AM18" s="3" t="s">
        <v>1154</v>
      </c>
      <c r="AN18" s="22"/>
      <c r="AO18" s="22"/>
      <c r="AP18" s="22"/>
      <c r="AQ18" s="22"/>
      <c r="AR18" s="22"/>
      <c r="AS18" s="3" t="s">
        <v>1154</v>
      </c>
      <c r="AT18" s="22"/>
      <c r="AU18" s="22"/>
      <c r="AV18" s="22"/>
      <c r="AW18" s="22"/>
      <c r="AX18" s="22"/>
    </row>
    <row r="19" spans="1:50">
      <c r="J19" s="3" t="s">
        <v>304</v>
      </c>
      <c r="K19" s="4">
        <f>1/((1+K18)/K8-K18*2.7/K13)</f>
        <v>19.680382632972858</v>
      </c>
      <c r="L19" s="4">
        <f>K19*P6^$F$27</f>
        <v>19.680382632972858</v>
      </c>
      <c r="M19" s="8">
        <f t="shared" si="9"/>
        <v>1</v>
      </c>
      <c r="N19" s="3" t="s">
        <v>305</v>
      </c>
      <c r="O19" s="7">
        <f>$C$25</f>
        <v>40</v>
      </c>
      <c r="P19" s="7">
        <f>O19*Q24</f>
        <v>40</v>
      </c>
      <c r="Q19" s="4">
        <f t="shared" si="15"/>
        <v>1</v>
      </c>
      <c r="R19" s="3" t="s">
        <v>1347</v>
      </c>
      <c r="S19" s="4">
        <f>$L$28*SIN(S6)/2+$L$29*SIN(S7)</f>
        <v>0</v>
      </c>
      <c r="T19" s="4">
        <f>$L$28*SIN(T6)/2+$L$29*SIN(T7)</f>
        <v>4.221105484146412E-16</v>
      </c>
      <c r="U19" s="4">
        <f>$L$28*SIN(U6)/2+$L$29*SIN(U7)</f>
        <v>42.866245028649367</v>
      </c>
      <c r="V19" s="4">
        <f>$L$28*SIN(V6)/2+$L$29*SIN(V7)</f>
        <v>-42.866245028649367</v>
      </c>
      <c r="W19" s="4">
        <f t="shared" si="10"/>
        <v>0</v>
      </c>
      <c r="X19" s="5">
        <f t="shared" si="11"/>
        <v>1.501993038670076E-5</v>
      </c>
      <c r="Y19" s="20">
        <f t="shared" si="12"/>
        <v>6.6978507859490438E-7</v>
      </c>
      <c r="AA19" s="22"/>
      <c r="AB19" s="22"/>
      <c r="AC19" s="22"/>
      <c r="AD19" s="22"/>
      <c r="AE19" s="22"/>
      <c r="AF19" s="22"/>
      <c r="AG19" s="3" t="s">
        <v>1155</v>
      </c>
      <c r="AH19" s="22"/>
      <c r="AI19" s="22"/>
      <c r="AJ19" s="22"/>
      <c r="AK19" s="22"/>
      <c r="AL19" s="16" t="s">
        <v>1348</v>
      </c>
      <c r="AM19" s="3" t="s">
        <v>1155</v>
      </c>
      <c r="AN19" s="22"/>
      <c r="AO19" s="22"/>
      <c r="AP19" s="22"/>
      <c r="AQ19" s="22"/>
      <c r="AR19" s="16" t="s">
        <v>1348</v>
      </c>
      <c r="AS19" s="3" t="s">
        <v>1155</v>
      </c>
      <c r="AT19" s="22"/>
      <c r="AU19" s="22"/>
      <c r="AV19" s="22"/>
      <c r="AW19" s="22"/>
      <c r="AX19" s="16" t="s">
        <v>1348</v>
      </c>
    </row>
    <row r="20" spans="1:50">
      <c r="A20"/>
      <c r="B20"/>
      <c r="C20"/>
      <c r="D20"/>
      <c r="E20"/>
      <c r="F20"/>
      <c r="G20"/>
      <c r="L20" s="4"/>
      <c r="N20" s="3" t="s">
        <v>1542</v>
      </c>
      <c r="O20" s="7">
        <f>$D$25</f>
        <v>246</v>
      </c>
      <c r="P20" s="7">
        <f>O20*Q24</f>
        <v>246</v>
      </c>
      <c r="Q20" s="4">
        <f t="shared" si="15"/>
        <v>1</v>
      </c>
      <c r="R20" s="3" t="s">
        <v>1349</v>
      </c>
      <c r="S20" s="4">
        <f>$L$28*SIN(S6)-S19</f>
        <v>0</v>
      </c>
      <c r="T20" s="4">
        <f>$L$28*SIN(T6)-T19</f>
        <v>1.0081392224502176E-14</v>
      </c>
      <c r="U20" s="4">
        <f>$L$28*SIN(U6)-U19</f>
        <v>42.866245028649367</v>
      </c>
      <c r="V20" s="4">
        <f>$L$28*SIN(V6)-V19</f>
        <v>-42.866245028649367</v>
      </c>
      <c r="W20" s="4">
        <f t="shared" si="10"/>
        <v>2.4286128663675299E-16</v>
      </c>
      <c r="X20" s="5">
        <f t="shared" si="11"/>
        <v>1.5019930386702237E-5</v>
      </c>
      <c r="Y20" s="20">
        <f t="shared" si="12"/>
        <v>6.6978507859501058E-7</v>
      </c>
      <c r="Z20"/>
      <c r="AA20"/>
      <c r="AB20"/>
      <c r="AC20"/>
      <c r="AD20"/>
      <c r="AE20"/>
      <c r="AF20"/>
      <c r="AG20" s="3" t="s">
        <v>1351</v>
      </c>
      <c r="AH20" s="12">
        <f>(AH16^2+1/AH14)^0.5-AH16</f>
        <v>8.5312966234026136E-2</v>
      </c>
      <c r="AI20" s="11">
        <f>(AI16^2+1/AI14)^0.5-AI16</f>
        <v>4.0515038808230514E-2</v>
      </c>
      <c r="AJ20" s="11">
        <f>(AJ16^2+1/AJ14)^0.5-AJ16</f>
        <v>5.0897247285713113E-2</v>
      </c>
      <c r="AK20" s="11">
        <f>(AK16^2+1/AK14)^0.5-AK16</f>
        <v>5.0924206311122655E-2</v>
      </c>
      <c r="AL20" s="11">
        <f>MIN(AH21:AK21)</f>
        <v>4.0515038808230514E-2</v>
      </c>
      <c r="AM20" s="3" t="s">
        <v>1351</v>
      </c>
      <c r="AN20" s="12">
        <f>(AN16^2+1/AN14)^0.5-AN16</f>
        <v>0.34125186493610454</v>
      </c>
      <c r="AO20" s="11">
        <f>(AO16^2+1/AO14)^0.5-AO16</f>
        <v>0.16206015523292205</v>
      </c>
      <c r="AP20" s="11">
        <f>(AP16^2+1/AP14)^0.5-AP16</f>
        <v>0.20358898914285245</v>
      </c>
      <c r="AQ20" s="11">
        <f>(AQ16^2+1/AQ14)^0.5-AQ16</f>
        <v>0.20369682524449062</v>
      </c>
      <c r="AR20" s="11">
        <f>MIN(AN21:AQ21)</f>
        <v>0.16206015523292205</v>
      </c>
      <c r="AS20" s="3" t="s">
        <v>1351</v>
      </c>
      <c r="AT20" s="12">
        <f>(AT16^2+1/AT14)^0.5-AT16</f>
        <v>0.65812859666248735</v>
      </c>
      <c r="AU20" s="11">
        <f>(AU16^2+1/AU14)^0.5-AU16</f>
        <v>0.31344012831582346</v>
      </c>
      <c r="AV20" s="11">
        <f>(AV16^2+1/AV14)^0.5-AV16</f>
        <v>0.394325875671235</v>
      </c>
      <c r="AW20" s="11">
        <f>(AW16^2+1/AW14)^0.5-AW16</f>
        <v>0.39510160068974481</v>
      </c>
      <c r="AX20" s="11">
        <f>MIN(AT21:AW21)</f>
        <v>0.31344012831582346</v>
      </c>
    </row>
    <row r="21" spans="1:50">
      <c r="A21"/>
      <c r="B21"/>
      <c r="C21"/>
      <c r="D21"/>
      <c r="E21"/>
      <c r="F21"/>
      <c r="G21"/>
      <c r="J21" s="2" t="s">
        <v>1507</v>
      </c>
      <c r="N21" s="3" t="s">
        <v>1543</v>
      </c>
      <c r="O21" s="25">
        <f>$E$25</f>
        <v>68</v>
      </c>
      <c r="P21" s="25">
        <f>O21*Q24</f>
        <v>68</v>
      </c>
      <c r="Q21" s="4">
        <f t="shared" si="15"/>
        <v>1</v>
      </c>
      <c r="R21" s="1"/>
      <c r="V21" s="6" t="s">
        <v>1164</v>
      </c>
      <c r="W21" s="5">
        <f>W15*W16*W18+2*W17*W19*W20-W16*W19^2-W18*W17^2-W15*W20^2</f>
        <v>260.17773953984965</v>
      </c>
      <c r="X21" s="5">
        <f>X15*X16*X18+2*X17*X19*X20-X16*X19^2-X18*X17^2-X15*X20^2</f>
        <v>1.1032065738522101E-5</v>
      </c>
      <c r="Z21"/>
      <c r="AA21"/>
      <c r="AB21"/>
      <c r="AC21"/>
      <c r="AD21"/>
      <c r="AE21"/>
      <c r="AF21"/>
      <c r="AG21" s="3"/>
      <c r="AH21" s="12">
        <f>IF(AH3=0,1000000000,AH20)</f>
        <v>8.5312966234026136E-2</v>
      </c>
      <c r="AI21" s="11">
        <f>IF(AI3=0,1000000000,AI20)</f>
        <v>4.0515038808230514E-2</v>
      </c>
      <c r="AJ21" s="11">
        <f>IF(AJ3=0,1000000000,AJ20)</f>
        <v>5.0897247285713113E-2</v>
      </c>
      <c r="AK21" s="11">
        <f>IF(AK3=0,1000000000,AK20)</f>
        <v>5.0924206311122655E-2</v>
      </c>
      <c r="AM21" s="3"/>
      <c r="AN21" s="12">
        <f>IF(AN3=0,1000000000,AN20)</f>
        <v>0.34125186493610454</v>
      </c>
      <c r="AO21" s="11">
        <f>IF(AO3=0,1000000000,AO20)</f>
        <v>0.16206015523292205</v>
      </c>
      <c r="AP21" s="11">
        <f>IF(AP3=0,1000000000,AP20)</f>
        <v>0.20358898914285245</v>
      </c>
      <c r="AQ21" s="11">
        <f>IF(AQ3=0,1000000000,AQ20)</f>
        <v>0.20369682524449062</v>
      </c>
      <c r="AS21" s="3"/>
      <c r="AT21" s="12">
        <f>IF(AT3=0,1000000000,AT20)</f>
        <v>0.65812859666248735</v>
      </c>
      <c r="AU21" s="11">
        <f>IF(AU3=0,1000000000,AU20)</f>
        <v>0.31344012831582346</v>
      </c>
      <c r="AV21" s="11">
        <f>IF(AV3=0,1000000000,AV20)</f>
        <v>0.394325875671235</v>
      </c>
      <c r="AW21" s="11">
        <f>IF(AW3=0,1000000000,AW20)</f>
        <v>0.39510160068974481</v>
      </c>
    </row>
    <row r="22" spans="1:50">
      <c r="I22" s="4"/>
      <c r="J22" s="3" t="s">
        <v>1354</v>
      </c>
      <c r="K22" s="4">
        <f>K5/(1-K7^2*K6/K5)</f>
        <v>181.81113884441791</v>
      </c>
      <c r="L22" s="4">
        <f>L5/(1-L7^2*L6/L5)</f>
        <v>181.81113884441794</v>
      </c>
      <c r="M22" s="8">
        <f>L22/K22</f>
        <v>1.0000000000000002</v>
      </c>
      <c r="N22" s="3" t="s">
        <v>1168</v>
      </c>
      <c r="O22" s="8">
        <f>$A$26</f>
        <v>-0.5</v>
      </c>
      <c r="P22" s="8">
        <v>-0.5</v>
      </c>
      <c r="Q22" s="4">
        <f t="shared" si="15"/>
        <v>1</v>
      </c>
      <c r="R22" s="3" t="s">
        <v>1355</v>
      </c>
      <c r="S22" s="6" t="s">
        <v>1356</v>
      </c>
      <c r="T22" s="6" t="s">
        <v>1508</v>
      </c>
      <c r="U22" s="6" t="s">
        <v>575</v>
      </c>
      <c r="V22" s="6" t="s">
        <v>1171</v>
      </c>
      <c r="W22" s="6" t="s">
        <v>1358</v>
      </c>
      <c r="X22" s="6" t="s">
        <v>1172</v>
      </c>
      <c r="Y22" s="3" t="s">
        <v>1509</v>
      </c>
      <c r="Z22"/>
      <c r="AA22"/>
      <c r="AB22"/>
      <c r="AC22"/>
      <c r="AD22"/>
      <c r="AE22"/>
      <c r="AF22"/>
      <c r="AG22" s="2" t="s">
        <v>1360</v>
      </c>
      <c r="AH22" s="12"/>
      <c r="AI22" s="11"/>
      <c r="AJ22" s="11"/>
      <c r="AK22" s="11"/>
      <c r="AM22" s="2" t="s">
        <v>1360</v>
      </c>
      <c r="AN22" s="12"/>
      <c r="AO22" s="11"/>
      <c r="AP22" s="11"/>
      <c r="AQ22" s="11"/>
      <c r="AR22" s="11"/>
      <c r="AS22" s="2" t="s">
        <v>1360</v>
      </c>
      <c r="AT22" s="12"/>
      <c r="AU22" s="11"/>
      <c r="AV22" s="11"/>
      <c r="AW22" s="11"/>
      <c r="AX22" s="11"/>
    </row>
    <row r="23" spans="1:50">
      <c r="A23" s="1" t="s">
        <v>1574</v>
      </c>
      <c r="J23" s="3" t="s">
        <v>1361</v>
      </c>
      <c r="K23" s="4">
        <f>K22*K6/K5</f>
        <v>10.346158729820468</v>
      </c>
      <c r="L23" s="4">
        <f>L22*L6/L5</f>
        <v>10.346158729820468</v>
      </c>
      <c r="M23" s="8">
        <f>L23/K23</f>
        <v>1</v>
      </c>
      <c r="N23" s="3" t="s">
        <v>1175</v>
      </c>
      <c r="O23" s="7">
        <f>O17/K11</f>
        <v>2142.8571428571431</v>
      </c>
      <c r="P23" s="7">
        <f>$H$16*P6^$G$27</f>
        <v>2142.8571428571431</v>
      </c>
      <c r="Q23" s="4">
        <f t="shared" si="15"/>
        <v>1</v>
      </c>
      <c r="R23" s="3">
        <v>11</v>
      </c>
      <c r="S23" s="5">
        <f>(W16*W18-W20^2)/W21</f>
        <v>8.7012221774219897E-2</v>
      </c>
      <c r="T23" s="120">
        <f>(X16*X18-X20^2)/X21</f>
        <v>24.840491764543334</v>
      </c>
      <c r="U23" s="5">
        <f t="shared" ref="U23:U28" si="16">S23*$W$12</f>
        <v>1.5227138810488481E-2</v>
      </c>
      <c r="V23" s="5">
        <f t="shared" ref="V23:V28" si="17">T23*$X$12</f>
        <v>1.1094125879216616E-2</v>
      </c>
      <c r="W23" s="4">
        <f>1/U23</f>
        <v>65.672219347681931</v>
      </c>
      <c r="X23" s="4">
        <f>1/V23</f>
        <v>90.137791015456955</v>
      </c>
      <c r="Y23" s="5">
        <f t="shared" ref="Y23:Y28" si="18">(S15*$S$13+T15*$T$13+U15*$U$13+V15*$V$13)*$X$12/2</f>
        <v>4.6404632021592487E-4</v>
      </c>
      <c r="Z23"/>
      <c r="AA23"/>
      <c r="AB23"/>
      <c r="AC23"/>
      <c r="AD23"/>
      <c r="AE23"/>
      <c r="AF23"/>
      <c r="AG23" s="3" t="s">
        <v>1364</v>
      </c>
      <c r="AH23" s="22">
        <f>$AL$7+$AL$8*COS(AH4)+$AL$9*SIN(AH4)-$V$37</f>
        <v>3.0261093992325161E-5</v>
      </c>
      <c r="AI23" s="22">
        <f>$AL$7+$AL$8*COS(AI4)+$AL$9*SIN(AI4)-$V$37</f>
        <v>7.8759507145624076E-5</v>
      </c>
      <c r="AJ23" s="22">
        <f>$AL$7+$AL$8*COS(AJ4)+$AL$9*SIN(AJ4)-$V$37</f>
        <v>5.4510300568974615E-5</v>
      </c>
      <c r="AK23" s="22">
        <f>$AL$7+$AL$8*COS(AK4)+$AL$9*SIN(AK4)-$V$37</f>
        <v>5.4510300568974628E-5</v>
      </c>
      <c r="AL23" s="22"/>
      <c r="AM23" s="3" t="s">
        <v>1364</v>
      </c>
      <c r="AN23" s="22">
        <f>$AL$7+$AL$8*COS(AN4)+$AL$9*SIN(AN4)-$V$37</f>
        <v>3.0261093992325161E-5</v>
      </c>
      <c r="AO23" s="22">
        <f>$AL$7+$AL$8*COS(AO4)+$AL$9*SIN(AO4)-$V$37</f>
        <v>7.8759507145624076E-5</v>
      </c>
      <c r="AP23" s="22">
        <f>$AL$7+$AL$8*COS(AP4)+$AL$9*SIN(AP4)-$V$37</f>
        <v>5.4510300568974615E-5</v>
      </c>
      <c r="AQ23" s="22">
        <f>$AL$7+$AL$8*COS(AQ4)+$AL$9*SIN(AQ4)-$V$37</f>
        <v>5.4510300568974628E-5</v>
      </c>
      <c r="AR23" s="22"/>
      <c r="AS23" s="3" t="s">
        <v>1364</v>
      </c>
      <c r="AT23" s="22">
        <f>$AL$7+$AL$8*COS(AT4)+$AL$9*SIN(AT4)-$V$37</f>
        <v>3.0261093992325161E-5</v>
      </c>
      <c r="AU23" s="22">
        <f>$AL$7+$AL$8*COS(AU4)+$AL$9*SIN(AU4)-$V$37</f>
        <v>7.8759507145624076E-5</v>
      </c>
      <c r="AV23" s="22">
        <f>$AL$7+$AL$8*COS(AV4)+$AL$9*SIN(AV4)-$V$37</f>
        <v>5.4510300568974615E-5</v>
      </c>
      <c r="AW23" s="22">
        <f>$AL$7+$AL$8*COS(AW4)+$AL$9*SIN(AW4)-$V$37</f>
        <v>5.4510300568974628E-5</v>
      </c>
      <c r="AX23" s="22"/>
    </row>
    <row r="24" spans="1:50">
      <c r="A24" t="s">
        <v>1582</v>
      </c>
      <c r="B24">
        <v>181</v>
      </c>
      <c r="C24">
        <v>10.3</v>
      </c>
      <c r="D24">
        <v>0.28000000000000003</v>
      </c>
      <c r="E24">
        <v>7.17</v>
      </c>
      <c r="F24">
        <v>3.4</v>
      </c>
      <c r="G24">
        <v>122</v>
      </c>
      <c r="H24">
        <v>160</v>
      </c>
      <c r="J24" s="3" t="s">
        <v>1365</v>
      </c>
      <c r="K24" s="4">
        <f>K23*K7</f>
        <v>2.8969244443497315</v>
      </c>
      <c r="L24" s="4">
        <f>L23*L7</f>
        <v>2.8969244443497315</v>
      </c>
      <c r="M24" s="8">
        <f>L24/K24</f>
        <v>1</v>
      </c>
      <c r="N24" s="3" t="s">
        <v>1176</v>
      </c>
      <c r="O24" s="7">
        <f>O19</f>
        <v>40</v>
      </c>
      <c r="P24" s="7">
        <f>$G$16*P6^$H$26</f>
        <v>40</v>
      </c>
      <c r="Q24" s="4">
        <f t="shared" si="15"/>
        <v>1</v>
      </c>
      <c r="R24" s="3">
        <v>22</v>
      </c>
      <c r="S24" s="5">
        <f>(W15*W18-W19^2)/W21</f>
        <v>0.13425303844757114</v>
      </c>
      <c r="T24" s="5">
        <f>(X15*X18-X19^2)/X21</f>
        <v>38.514468145435039</v>
      </c>
      <c r="U24" s="5">
        <f t="shared" si="16"/>
        <v>2.3494281728324948E-2</v>
      </c>
      <c r="V24" s="5">
        <f t="shared" si="17"/>
        <v>1.7201123143078405E-2</v>
      </c>
      <c r="W24" s="4">
        <f>1/U24</f>
        <v>42.563548507822212</v>
      </c>
      <c r="X24" s="4">
        <f>1/V24</f>
        <v>58.135738677180044</v>
      </c>
      <c r="Y24" s="5">
        <f t="shared" si="18"/>
        <v>2.9971577912743774E-4</v>
      </c>
      <c r="Z24"/>
      <c r="AA24"/>
      <c r="AB24"/>
      <c r="AC24"/>
      <c r="AD24"/>
      <c r="AE24"/>
      <c r="AF24"/>
      <c r="AG24" s="3" t="s">
        <v>1367</v>
      </c>
      <c r="AH24" s="22">
        <f>2*$AL$7-AH23-$V$38-$V$37</f>
        <v>-6.732404928543761E-4</v>
      </c>
      <c r="AI24" s="22">
        <f>2*$AL$7-AI23-$V$38-$V$37</f>
        <v>-7.2173890600767501E-4</v>
      </c>
      <c r="AJ24" s="22">
        <f>2*$AL$7-AJ23-$V$38-$V$37</f>
        <v>-6.9748969943102561E-4</v>
      </c>
      <c r="AK24" s="22">
        <f>2*$AL$7-AK23-$V$38-$V$37</f>
        <v>-6.9748969943102561E-4</v>
      </c>
      <c r="AL24" s="22"/>
      <c r="AM24" s="3" t="s">
        <v>1367</v>
      </c>
      <c r="AN24" s="22">
        <f>2*$AL$7-AN23-$V$38-$V$37</f>
        <v>-6.732404928543761E-4</v>
      </c>
      <c r="AO24" s="22">
        <f>2*$AL$7-AO23-$V$38-$V$37</f>
        <v>-7.2173890600767501E-4</v>
      </c>
      <c r="AP24" s="22">
        <f>2*$AL$7-AP23-$V$38-$V$37</f>
        <v>-6.9748969943102561E-4</v>
      </c>
      <c r="AQ24" s="22">
        <f>2*$AL$7-AQ23-$V$38-$V$37</f>
        <v>-6.9748969943102561E-4</v>
      </c>
      <c r="AR24" s="22"/>
      <c r="AS24" s="3" t="s">
        <v>1367</v>
      </c>
      <c r="AT24" s="22">
        <f>2*$AL$7-AT23-$V$38-$V$37</f>
        <v>-6.732404928543761E-4</v>
      </c>
      <c r="AU24" s="22">
        <f>2*$AL$7-AU23-$V$38-$V$37</f>
        <v>-7.2173890600767501E-4</v>
      </c>
      <c r="AV24" s="22">
        <f>2*$AL$7-AV23-$V$38-$V$37</f>
        <v>-6.9748969943102561E-4</v>
      </c>
      <c r="AW24" s="22">
        <f>2*$AL$7-AW23-$V$38-$V$37</f>
        <v>-6.9748969943102561E-4</v>
      </c>
      <c r="AX24" s="22"/>
    </row>
    <row r="25" spans="1:50">
      <c r="A25">
        <v>1500</v>
      </c>
      <c r="B25">
        <v>1500</v>
      </c>
      <c r="C25">
        <v>40</v>
      </c>
      <c r="D25">
        <v>246</v>
      </c>
      <c r="E25">
        <v>68</v>
      </c>
      <c r="F25">
        <v>1.2</v>
      </c>
      <c r="G25">
        <v>22</v>
      </c>
      <c r="H25">
        <v>5.0000000000000001E-3</v>
      </c>
      <c r="J25" s="3" t="s">
        <v>1370</v>
      </c>
      <c r="K25" s="4">
        <f>K8</f>
        <v>7.17</v>
      </c>
      <c r="L25" s="4">
        <f>L8</f>
        <v>7.17</v>
      </c>
      <c r="M25" s="8">
        <f>L25/K25</f>
        <v>1</v>
      </c>
      <c r="R25" s="3" t="s">
        <v>1345</v>
      </c>
      <c r="S25" s="5">
        <f>(W19*W20-W17*W18)/W21</f>
        <v>-2.5712613887112344E-2</v>
      </c>
      <c r="T25" s="5">
        <f>(X19*X20-X17*X18)/X21</f>
        <v>-7.3160238305255261</v>
      </c>
      <c r="U25" s="5">
        <f t="shared" si="16"/>
        <v>-4.4997074302446597E-3</v>
      </c>
      <c r="V25" s="5">
        <f t="shared" si="17"/>
        <v>-3.2674429347268942E-3</v>
      </c>
      <c r="W25" s="4">
        <f>-U25/U23</f>
        <v>0.29550577335942146</v>
      </c>
      <c r="X25" s="4">
        <f>-V25/V23</f>
        <v>0.29452008840534416</v>
      </c>
      <c r="Y25" s="5">
        <f t="shared" si="18"/>
        <v>8.8357633663805504E-5</v>
      </c>
      <c r="Z25"/>
      <c r="AA25"/>
      <c r="AB25"/>
      <c r="AC25"/>
      <c r="AD25"/>
      <c r="AE25"/>
      <c r="AF25"/>
      <c r="AG25" s="3" t="s">
        <v>1372</v>
      </c>
      <c r="AH25" s="22">
        <f>2*($AL$9*COS(AH4)-$AL$8*SIN(AH4))</f>
        <v>-1.0435352581033545E-20</v>
      </c>
      <c r="AI25" s="22">
        <f>2*($AL$9*COS(AI4)-$AL$8*SIN(AI4))</f>
        <v>1.6377128175061953E-20</v>
      </c>
      <c r="AJ25" s="22">
        <f>2*($AL$9*COS(AJ4)-$AL$8*SIN(AJ4))</f>
        <v>4.8498413153298922E-5</v>
      </c>
      <c r="AK25" s="22">
        <f>2*($AL$9*COS(AK4)-$AL$8*SIN(AK4))</f>
        <v>-4.8498413153298922E-5</v>
      </c>
      <c r="AL25" s="22"/>
      <c r="AM25" s="3" t="s">
        <v>1372</v>
      </c>
      <c r="AN25" s="22">
        <f>2*($AL$9*COS(AN4)-$AL$8*SIN(AN4))</f>
        <v>-1.0435352581033545E-20</v>
      </c>
      <c r="AO25" s="22">
        <f>2*($AL$9*COS(AO4)-$AL$8*SIN(AO4))</f>
        <v>1.6377128175061953E-20</v>
      </c>
      <c r="AP25" s="22">
        <f>2*($AL$9*COS(AP4)-$AL$8*SIN(AP4))</f>
        <v>4.8498413153298922E-5</v>
      </c>
      <c r="AQ25" s="22">
        <f>2*($AL$9*COS(AQ4)-$AL$8*SIN(AQ4))</f>
        <v>-4.8498413153298922E-5</v>
      </c>
      <c r="AR25" s="22"/>
      <c r="AS25" s="3" t="s">
        <v>1372</v>
      </c>
      <c r="AT25" s="22">
        <f>2*($AL$9*COS(AT4)-$AL$8*SIN(AT4))</f>
        <v>-1.0435352581033545E-20</v>
      </c>
      <c r="AU25" s="22">
        <f>2*($AL$9*COS(AU4)-$AL$8*SIN(AU4))</f>
        <v>1.6377128175061953E-20</v>
      </c>
      <c r="AV25" s="22">
        <f>2*($AL$9*COS(AV4)-$AL$8*SIN(AV4))</f>
        <v>4.8498413153298922E-5</v>
      </c>
      <c r="AW25" s="22">
        <f>2*($AL$9*COS(AW4)-$AL$8*SIN(AW4))</f>
        <v>-4.8498413153298922E-5</v>
      </c>
      <c r="AX25" s="22"/>
    </row>
    <row r="26" spans="1:50">
      <c r="A26">
        <v>-0.5</v>
      </c>
      <c r="B26">
        <v>125</v>
      </c>
      <c r="C26">
        <v>0.7</v>
      </c>
      <c r="D26">
        <v>1.6</v>
      </c>
      <c r="E26">
        <v>0.51600000000000001</v>
      </c>
      <c r="F26">
        <v>0.5</v>
      </c>
      <c r="G26">
        <v>0.2</v>
      </c>
      <c r="H26">
        <v>0.9</v>
      </c>
      <c r="J26" s="2" t="s">
        <v>1510</v>
      </c>
      <c r="K26" s="4"/>
      <c r="L26" s="4"/>
      <c r="N26" s="2" t="s">
        <v>1375</v>
      </c>
      <c r="R26" s="3">
        <v>66</v>
      </c>
      <c r="S26" s="5">
        <f>(W15*W16-W17^2)/W21</f>
        <v>0.34876099587146242</v>
      </c>
      <c r="T26" s="5">
        <f>(X15*X16-X17^2)/X21</f>
        <v>100.36043486870136</v>
      </c>
      <c r="U26" s="5">
        <f t="shared" si="16"/>
        <v>6.1033174277505917E-2</v>
      </c>
      <c r="V26" s="5">
        <f t="shared" si="17"/>
        <v>4.4822433802037182E-2</v>
      </c>
      <c r="W26" s="4">
        <f>1/U26</f>
        <v>16.384532048967262</v>
      </c>
      <c r="X26" s="4">
        <f>1/V26</f>
        <v>22.310256609817337</v>
      </c>
      <c r="Y26" s="5">
        <f t="shared" si="18"/>
        <v>1.0865926322227082E-4</v>
      </c>
      <c r="Z26"/>
      <c r="AA26"/>
      <c r="AB26"/>
      <c r="AC26"/>
      <c r="AD26"/>
      <c r="AE26"/>
      <c r="AF26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</row>
    <row r="27" spans="1:50">
      <c r="A27">
        <v>0.02</v>
      </c>
      <c r="B27">
        <v>22.5</v>
      </c>
      <c r="C27">
        <v>0</v>
      </c>
      <c r="D27">
        <v>0.6</v>
      </c>
      <c r="E27">
        <v>0.316</v>
      </c>
      <c r="F27">
        <v>4.0000000000000001E-3</v>
      </c>
      <c r="G27">
        <v>4.0000000000000001E-3</v>
      </c>
      <c r="H27">
        <v>2000</v>
      </c>
      <c r="J27" s="3" t="s">
        <v>1380</v>
      </c>
      <c r="K27" s="4">
        <f>(3*K22+3*K23+2*K24+4*K25)/8</f>
        <v>76.368217701426829</v>
      </c>
      <c r="L27" s="4">
        <f>(3*L22+3*L23+2*L24+4*L25)/8</f>
        <v>76.368217701426843</v>
      </c>
      <c r="M27" s="8">
        <f>L27/K27</f>
        <v>1.0000000000000002</v>
      </c>
      <c r="N27" s="3" t="s">
        <v>1381</v>
      </c>
      <c r="O27" s="4">
        <f>1/O17/O18*1000000</f>
        <v>0.44444444444444442</v>
      </c>
      <c r="P27" s="4">
        <f>1/P17/P18*1000000</f>
        <v>0.44444444444444442</v>
      </c>
      <c r="Q27" s="4">
        <f t="shared" ref="Q27:Q38" si="19">P27/O27</f>
        <v>1</v>
      </c>
      <c r="R27" s="3" t="s">
        <v>1347</v>
      </c>
      <c r="S27" s="5">
        <f>(W17*W20-W16*W19)/W21</f>
        <v>2.1778723886844244E-18</v>
      </c>
      <c r="T27" s="5">
        <f>(X17*X20-X16*X19)/X21</f>
        <v>-2.6416472030551398E-2</v>
      </c>
      <c r="U27" s="5">
        <f t="shared" si="16"/>
        <v>3.8112766801977424E-19</v>
      </c>
      <c r="V27" s="5">
        <f t="shared" si="17"/>
        <v>-1.1797981649061363E-5</v>
      </c>
      <c r="W27" s="4">
        <f>U27/U23</f>
        <v>2.5029499813665114E-17</v>
      </c>
      <c r="X27" s="4">
        <f>V27/V23</f>
        <v>-1.0634440042872895E-3</v>
      </c>
      <c r="Y27" s="5">
        <f t="shared" si="18"/>
        <v>1.165426036715635E-7</v>
      </c>
      <c r="Z27"/>
      <c r="AA27"/>
      <c r="AB27"/>
      <c r="AC27"/>
      <c r="AD27"/>
      <c r="AE27"/>
      <c r="AF27"/>
      <c r="AG27" s="16" t="s">
        <v>1383</v>
      </c>
      <c r="AH27" s="22">
        <f>$P$33*AH23^2+2*$P$35*AH23*AH24+$P$34*AH24^2+$P$36*AH25^2</f>
        <v>4.9770814756202103E-3</v>
      </c>
      <c r="AI27" s="22">
        <f>$P$33*AI23^2+2*$P$35*AI23*AI24+$P$34*AI24^2+$P$36*AI25^2</f>
        <v>5.9870098048917459E-3</v>
      </c>
      <c r="AJ27" s="22">
        <f>$P$33*AJ23^2+2*$P$35*AJ23*AJ24+$P$34*AJ24^2+$P$36*AJ25^2</f>
        <v>5.4912471135174865E-3</v>
      </c>
      <c r="AK27" s="22">
        <f>$P$33*AK23^2+2*$P$35*AK23*AK24+$P$34*AK24^2+$P$36*AK25^2</f>
        <v>5.4912471135174865E-3</v>
      </c>
      <c r="AL27" s="22"/>
      <c r="AM27" s="16" t="s">
        <v>1383</v>
      </c>
      <c r="AN27" s="22">
        <f>$P$33*AN23^2+2*$P$35*AN23*AN24+$P$34*AN24^2+$P$36*AN25^2</f>
        <v>4.9770814756202103E-3</v>
      </c>
      <c r="AO27" s="22">
        <f>$P$33*AO23^2+2*$P$35*AO23*AO24+$P$34*AO24^2+$P$36*AO25^2</f>
        <v>5.9870098048917459E-3</v>
      </c>
      <c r="AP27" s="22">
        <f>$P$33*AP23^2+2*$P$35*AP23*AP24+$P$34*AP24^2+$P$36*AP25^2</f>
        <v>5.4912471135174865E-3</v>
      </c>
      <c r="AQ27" s="22">
        <f>$P$33*AQ23^2+2*$P$35*AQ23*AQ24+$P$34*AQ24^2+$P$36*AQ25^2</f>
        <v>5.4912471135174865E-3</v>
      </c>
      <c r="AR27" s="22"/>
      <c r="AS27" s="16" t="s">
        <v>1383</v>
      </c>
      <c r="AT27" s="22">
        <f>$P$33*AT23^2+2*$P$35*AT23*AT24+$P$34*AT24^2+$P$36*AT25^2</f>
        <v>4.9770814756202103E-3</v>
      </c>
      <c r="AU27" s="22">
        <f>$P$33*AU23^2+2*$P$35*AU23*AU24+$P$34*AU24^2+$P$36*AU25^2</f>
        <v>5.9870098048917459E-3</v>
      </c>
      <c r="AV27" s="22">
        <f>$P$33*AV23^2+2*$P$35*AV23*AV24+$P$34*AV24^2+$P$36*AV25^2</f>
        <v>5.4912471135174865E-3</v>
      </c>
      <c r="AW27" s="22">
        <f>$P$33*AW23^2+2*$P$35*AW23*AW24+$P$34*AW24^2+$P$36*AW25^2</f>
        <v>5.4912471135174865E-3</v>
      </c>
      <c r="AX27" s="22"/>
    </row>
    <row r="28" spans="1:50">
      <c r="A28">
        <v>0.15</v>
      </c>
      <c r="B28">
        <v>0.01</v>
      </c>
      <c r="C28">
        <v>1</v>
      </c>
      <c r="D28">
        <v>1</v>
      </c>
      <c r="E28">
        <v>0.1</v>
      </c>
      <c r="F28">
        <v>0.5</v>
      </c>
      <c r="G28"/>
      <c r="H28"/>
      <c r="J28" s="3" t="s">
        <v>1384</v>
      </c>
      <c r="K28" s="4">
        <f>(K22-K23)/2</f>
        <v>85.732490057298719</v>
      </c>
      <c r="L28" s="4">
        <f>(L22-L23)/2</f>
        <v>85.732490057298733</v>
      </c>
      <c r="M28" s="8">
        <f>L28/K28</f>
        <v>1.0000000000000002</v>
      </c>
      <c r="N28" s="3" t="s">
        <v>1385</v>
      </c>
      <c r="O28" s="4">
        <f>1/O19/O20*1000000</f>
        <v>101.6260162601626</v>
      </c>
      <c r="P28" s="4">
        <f>1/P19/P20*1000000</f>
        <v>101.6260162601626</v>
      </c>
      <c r="Q28" s="4">
        <f t="shared" si="19"/>
        <v>1</v>
      </c>
      <c r="R28" s="3" t="s">
        <v>1349</v>
      </c>
      <c r="S28" s="5">
        <f>(W17*W19-W15*W20)/W21</f>
        <v>-1.1371305415141129E-17</v>
      </c>
      <c r="T28" s="5">
        <f>(X17*X19-X15*X20)/X21</f>
        <v>-4.7028693524089435E-2</v>
      </c>
      <c r="U28" s="5">
        <f t="shared" si="16"/>
        <v>-1.9899784476496976E-18</v>
      </c>
      <c r="V28" s="5">
        <f t="shared" si="17"/>
        <v>-2.1003700362972229E-5</v>
      </c>
      <c r="W28" s="4">
        <f>U28/U24</f>
        <v>-8.4700544186058656E-17</v>
      </c>
      <c r="X28" s="4">
        <f>V28/V24</f>
        <v>-1.2210656355555452E-3</v>
      </c>
      <c r="Y28" s="5">
        <f t="shared" si="18"/>
        <v>1.165426036715759E-7</v>
      </c>
      <c r="Z28"/>
      <c r="AA28"/>
      <c r="AB28"/>
      <c r="AC28"/>
      <c r="AD28"/>
      <c r="AE28"/>
      <c r="AF28"/>
      <c r="AG28" s="16" t="s">
        <v>1387</v>
      </c>
      <c r="AH28" s="22">
        <f>$P$37*AH23+$P$38*AH24</f>
        <v>-0.14398623102642785</v>
      </c>
      <c r="AI28" s="22">
        <f>$P$37*AI23+$P$38*AI24</f>
        <v>-0.1515495302807785</v>
      </c>
      <c r="AJ28" s="22">
        <f>$P$37*AJ23+$P$38*AJ24</f>
        <v>-0.14776788065360319</v>
      </c>
      <c r="AK28" s="22">
        <f>$P$37*AK23+$P$38*AK24</f>
        <v>-0.14776788065360319</v>
      </c>
      <c r="AL28" s="22"/>
      <c r="AM28" s="16" t="s">
        <v>1387</v>
      </c>
      <c r="AN28" s="22">
        <f>$P$37*AN23+$P$38*AN24</f>
        <v>-0.14398623102642785</v>
      </c>
      <c r="AO28" s="22">
        <f>$P$37*AO23+$P$38*AO24</f>
        <v>-0.1515495302807785</v>
      </c>
      <c r="AP28" s="22">
        <f>$P$37*AP23+$P$38*AP24</f>
        <v>-0.14776788065360319</v>
      </c>
      <c r="AQ28" s="22">
        <f>$P$37*AQ23+$P$38*AQ24</f>
        <v>-0.14776788065360319</v>
      </c>
      <c r="AR28" s="22"/>
      <c r="AS28" s="16" t="s">
        <v>1387</v>
      </c>
      <c r="AT28" s="22">
        <f>$P$37*AT23+$P$38*AT24</f>
        <v>-0.14398623102642785</v>
      </c>
      <c r="AU28" s="22">
        <f>$P$37*AU23+$P$38*AU24</f>
        <v>-0.1515495302807785</v>
      </c>
      <c r="AV28" s="22">
        <f>$P$37*AV23+$P$38*AV24</f>
        <v>-0.14776788065360319</v>
      </c>
      <c r="AW28" s="22">
        <f>$P$37*AW23+$P$38*AW24</f>
        <v>-0.14776788065360319</v>
      </c>
      <c r="AX28" s="22"/>
    </row>
    <row r="29" spans="1:50">
      <c r="A29"/>
      <c r="B29"/>
      <c r="C29"/>
      <c r="D29"/>
      <c r="E29"/>
      <c r="F29"/>
      <c r="G29"/>
      <c r="H29"/>
      <c r="J29" s="3" t="s">
        <v>1388</v>
      </c>
      <c r="K29" s="4">
        <f>(K22+K23-2*K24-4*K25)/8</f>
        <v>19.710431085692363</v>
      </c>
      <c r="L29" s="4">
        <f>(L22+L23-2*L24-4*L25)/8</f>
        <v>19.710431085692367</v>
      </c>
      <c r="M29" s="8">
        <f>L29/K29</f>
        <v>1.0000000000000002</v>
      </c>
      <c r="N29" s="3" t="s">
        <v>1389</v>
      </c>
      <c r="O29" s="4">
        <f>O22*(O27*O28)^0.5</f>
        <v>-3.3603243272729659</v>
      </c>
      <c r="P29" s="4">
        <f>P22*(P27*P28)^0.5</f>
        <v>-3.3603243272729659</v>
      </c>
      <c r="Q29" s="4">
        <f t="shared" si="19"/>
        <v>1</v>
      </c>
      <c r="U29" s="5"/>
      <c r="V29" s="5"/>
      <c r="W29" s="6"/>
      <c r="Z29"/>
      <c r="AA29"/>
      <c r="AB29"/>
      <c r="AC29"/>
      <c r="AD29"/>
      <c r="AE29"/>
      <c r="AF29"/>
      <c r="AG29" s="16" t="s">
        <v>1390</v>
      </c>
      <c r="AH29" s="22">
        <f>AH27+AH28</f>
        <v>-0.13900914955080765</v>
      </c>
      <c r="AI29" s="22">
        <f>AI27+AI28</f>
        <v>-0.14556252047588675</v>
      </c>
      <c r="AJ29" s="22">
        <f>AJ27+AJ28</f>
        <v>-0.14227663354008571</v>
      </c>
      <c r="AK29" s="22">
        <f>AK27+AK28</f>
        <v>-0.14227663354008571</v>
      </c>
      <c r="AL29" s="22"/>
      <c r="AM29" s="16" t="s">
        <v>1390</v>
      </c>
      <c r="AN29" s="22">
        <f>AN27+AN28</f>
        <v>-0.13900914955080765</v>
      </c>
      <c r="AO29" s="22">
        <f>AO27+AO28</f>
        <v>-0.14556252047588675</v>
      </c>
      <c r="AP29" s="22">
        <f>AP27+AP28</f>
        <v>-0.14227663354008571</v>
      </c>
      <c r="AQ29" s="22">
        <f>AQ27+AQ28</f>
        <v>-0.14227663354008571</v>
      </c>
      <c r="AR29" s="22"/>
      <c r="AS29" s="16" t="s">
        <v>1390</v>
      </c>
      <c r="AT29" s="22">
        <f>AT27+AT28</f>
        <v>-0.13900914955080765</v>
      </c>
      <c r="AU29" s="22">
        <f>AU27+AU28</f>
        <v>-0.14556252047588675</v>
      </c>
      <c r="AV29" s="22">
        <f>AV27+AV28</f>
        <v>-0.14227663354008571</v>
      </c>
      <c r="AW29" s="22">
        <f>AW27+AW28</f>
        <v>-0.14227663354008571</v>
      </c>
      <c r="AX29" s="22"/>
    </row>
    <row r="30" spans="1:50">
      <c r="A30" s="3" t="s">
        <v>1413</v>
      </c>
      <c r="B30" s="3" t="s">
        <v>1577</v>
      </c>
      <c r="C30" s="3" t="s">
        <v>1578</v>
      </c>
      <c r="D30" s="3" t="s">
        <v>266</v>
      </c>
      <c r="E30" s="3" t="s">
        <v>267</v>
      </c>
      <c r="F30" s="3" t="s">
        <v>268</v>
      </c>
      <c r="G30" s="3" t="s">
        <v>1584</v>
      </c>
      <c r="H30" s="3" t="s">
        <v>1585</v>
      </c>
      <c r="J30" s="3" t="s">
        <v>1391</v>
      </c>
      <c r="K30" s="4">
        <f>(K22+K23+6*K24-4*K25)/8</f>
        <v>22.607355530042096</v>
      </c>
      <c r="L30" s="4">
        <f>(L22+L23+6*L24-4*L25)/8</f>
        <v>22.607355530042099</v>
      </c>
      <c r="M30" s="8">
        <f>L30/K30</f>
        <v>1.0000000000000002</v>
      </c>
      <c r="N30" s="3" t="s">
        <v>1392</v>
      </c>
      <c r="O30" s="4">
        <f>1/O21^2*1000000</f>
        <v>216.26297577854672</v>
      </c>
      <c r="P30" s="4">
        <f>1/P21^2*1000000</f>
        <v>216.26297577854672</v>
      </c>
      <c r="Q30" s="4">
        <f t="shared" si="19"/>
        <v>1</v>
      </c>
      <c r="R30" s="1" t="s">
        <v>1185</v>
      </c>
      <c r="U30" s="5"/>
      <c r="V30" s="5"/>
      <c r="W30" s="6" t="s">
        <v>1394</v>
      </c>
      <c r="Y30" s="3"/>
      <c r="Z30"/>
      <c r="AA30"/>
      <c r="AB30"/>
      <c r="AC30"/>
      <c r="AD30"/>
      <c r="AE30"/>
      <c r="AF30"/>
      <c r="AG30" s="16" t="s">
        <v>1395</v>
      </c>
      <c r="AH30" s="22">
        <f>-1+AH29</f>
        <v>-1.1390091495508077</v>
      </c>
      <c r="AI30" s="22">
        <f>-1+AI29</f>
        <v>-1.1455625204758868</v>
      </c>
      <c r="AJ30" s="22">
        <f>-1+AJ29</f>
        <v>-1.1422766335400858</v>
      </c>
      <c r="AK30" s="22">
        <f>-1+AK29</f>
        <v>-1.1422766335400858</v>
      </c>
      <c r="AL30" s="22"/>
      <c r="AM30" s="16" t="s">
        <v>1395</v>
      </c>
      <c r="AN30" s="22">
        <f>-1+AN29</f>
        <v>-1.1390091495508077</v>
      </c>
      <c r="AO30" s="22">
        <f>-1+AO29</f>
        <v>-1.1455625204758868</v>
      </c>
      <c r="AP30" s="22">
        <f>-1+AP29</f>
        <v>-1.1422766335400858</v>
      </c>
      <c r="AQ30" s="22">
        <f>-1+AQ29</f>
        <v>-1.1422766335400858</v>
      </c>
      <c r="AR30" s="22"/>
      <c r="AS30" s="16" t="s">
        <v>1395</v>
      </c>
      <c r="AT30" s="22">
        <f>-1+AT29</f>
        <v>-1.1390091495508077</v>
      </c>
      <c r="AU30" s="22">
        <f>-1+AU29</f>
        <v>-1.1455625204758868</v>
      </c>
      <c r="AV30" s="22">
        <f>-1+AV29</f>
        <v>-1.1422766335400858</v>
      </c>
      <c r="AW30" s="22">
        <f>-1+AW29</f>
        <v>-1.1422766335400858</v>
      </c>
      <c r="AX30" s="22"/>
    </row>
    <row r="31" spans="1:50">
      <c r="A31" s="3" t="s">
        <v>269</v>
      </c>
      <c r="B31" s="3" t="s">
        <v>270</v>
      </c>
      <c r="C31" s="3" t="s">
        <v>271</v>
      </c>
      <c r="D31" s="3" t="s">
        <v>272</v>
      </c>
      <c r="E31" s="3" t="s">
        <v>273</v>
      </c>
      <c r="F31" s="3" t="s">
        <v>274</v>
      </c>
      <c r="G31" s="3" t="s">
        <v>1588</v>
      </c>
      <c r="H31" s="3" t="s">
        <v>275</v>
      </c>
      <c r="J31" s="3" t="s">
        <v>1396</v>
      </c>
      <c r="K31" s="4">
        <f>(K27-K30)/2</f>
        <v>26.880431085692365</v>
      </c>
      <c r="L31" s="4">
        <f>(L27-L30)/2</f>
        <v>26.880431085692372</v>
      </c>
      <c r="M31" s="8">
        <f>L31/K31</f>
        <v>1.0000000000000002</v>
      </c>
      <c r="N31" s="3" t="s">
        <v>1397</v>
      </c>
      <c r="O31" s="4">
        <f>(1/O17-1/O18)*1000</f>
        <v>0</v>
      </c>
      <c r="P31" s="4">
        <f>(1/P17-1/P18)*1000</f>
        <v>0</v>
      </c>
      <c r="Q31" s="4" t="e">
        <f t="shared" si="19"/>
        <v>#DIV/0!</v>
      </c>
      <c r="R31" s="3" t="s">
        <v>1398</v>
      </c>
      <c r="S31" s="4">
        <f>S11*COS(S6)</f>
        <v>2.8571428571428914E-3</v>
      </c>
      <c r="T31" s="4">
        <f>T11*COS(T6)</f>
        <v>-1.4285714285714457E-3</v>
      </c>
      <c r="U31" s="4">
        <f>U11*COS(U6)</f>
        <v>8.7510603922045336E-20</v>
      </c>
      <c r="V31" s="4">
        <f>V11*COS(V6)</f>
        <v>8.7510603922045336E-20</v>
      </c>
      <c r="W31" s="4">
        <f>(S31+T31+U31+V31)*$W$5</f>
        <v>0.14285714285714457</v>
      </c>
      <c r="Y31" s="5"/>
      <c r="Z31"/>
      <c r="AA31"/>
      <c r="AB31"/>
      <c r="AC31"/>
      <c r="AD31"/>
      <c r="AE31"/>
      <c r="AF31"/>
      <c r="AG31" s="16" t="s">
        <v>1399</v>
      </c>
      <c r="AH31" s="22">
        <f>2*($P$33*AH7*AH23+$P$34*AH8*AH24+$P$35*(AH7*AH24+AH23*AH8)+$P$36*AH9*AH25)</f>
        <v>0.89488862508466616</v>
      </c>
      <c r="AI31" s="22">
        <f>2*($P$33*AI7*AI23+$P$34*AI8*AI24+$P$35*(AI7*AI24+AI23*AI8)+$P$36*AI9*AI25)</f>
        <v>-1.7373320474507714</v>
      </c>
      <c r="AJ31" s="22">
        <f>2*($P$33*AJ7*AJ23+$P$34*AJ8*AJ24+$P$35*(AJ7*AJ24+AJ23*AJ8)+$P$36*AJ9*AJ25)</f>
        <v>-0.47034984247485068</v>
      </c>
      <c r="AK31" s="22">
        <f>2*($P$33*AK7*AK23+$P$34*AK8*AK24+$P$35*(AK7*AK24+AK23*AK8)+$P$36*AK9*AK25)</f>
        <v>-0.46818384269143987</v>
      </c>
      <c r="AL31" s="22"/>
      <c r="AM31" s="16" t="s">
        <v>1399</v>
      </c>
      <c r="AN31" s="22">
        <f>2*($P$33*AN7*AN23+$P$34*AN8*AN24+$P$35*(AN7*AN24+AN23*AN8)+$P$36*AN9*AN25)</f>
        <v>0.22372215627116654</v>
      </c>
      <c r="AO31" s="22">
        <f>2*($P$33*AO7*AO23+$P$34*AO8*AO24+$P$35*(AO7*AO24+AO23*AO8)+$P$36*AO9*AO25)</f>
        <v>-0.43433301186269285</v>
      </c>
      <c r="AP31" s="22">
        <f>2*($P$33*AP7*AP23+$P$34*AP8*AP24+$P$35*(AP7*AP24+AP23*AP8)+$P$36*AP9*AP25)</f>
        <v>-0.11758746061871267</v>
      </c>
      <c r="AQ31" s="22">
        <f>2*($P$33*AQ7*AQ23+$P$34*AQ8*AQ24+$P$35*(AQ7*AQ24+AQ23*AQ8)+$P$36*AQ9*AQ25)</f>
        <v>-0.11704596067285997</v>
      </c>
      <c r="AR31" s="22"/>
      <c r="AS31" s="16" t="s">
        <v>1399</v>
      </c>
      <c r="AT31" s="22">
        <f>2*($P$33*AT7*AT23+$P$34*AT8*AT24+$P$35*(AT7*AT24+AT23*AT8)+$P$36*AT9*AT25)</f>
        <v>0.11600408102949375</v>
      </c>
      <c r="AU31" s="22">
        <f>2*($P$33*AU7*AU23+$P$34*AU8*AU24+$P$35*(AU7*AU24+AU23*AU8)+$P$36*AU9*AU25)</f>
        <v>-0.22456625354085893</v>
      </c>
      <c r="AV31" s="22">
        <f>2*($P$33*AV7*AV23+$P$34*AV8*AV24+$P$35*(AV7*AV24+AV23*AV8)+$P$36*AV9*AV25)</f>
        <v>-6.0709970408327943E-2</v>
      </c>
      <c r="AW31" s="22">
        <f>2*($P$33*AW7*AW23+$P$34*AW8*AW24+$P$35*(AW7*AW24+AW23*AW8)+$P$36*AW9*AW25)</f>
        <v>-6.0343695280230009E-2</v>
      </c>
      <c r="AX31" s="22"/>
    </row>
    <row r="32" spans="1:50">
      <c r="A32" s="3" t="s">
        <v>1568</v>
      </c>
      <c r="B32" s="3" t="s">
        <v>276</v>
      </c>
      <c r="C32" s="3" t="s">
        <v>277</v>
      </c>
      <c r="D32" s="3" t="s">
        <v>278</v>
      </c>
      <c r="E32" s="3" t="s">
        <v>279</v>
      </c>
      <c r="F32" s="3" t="s">
        <v>280</v>
      </c>
      <c r="G32" s="3" t="s">
        <v>281</v>
      </c>
      <c r="H32" s="3" t="s">
        <v>282</v>
      </c>
      <c r="J32" s="2" t="s">
        <v>1400</v>
      </c>
      <c r="N32" s="3" t="s">
        <v>1401</v>
      </c>
      <c r="O32" s="4">
        <f>(1/O19-1/O20)*1000</f>
        <v>20.934959349593495</v>
      </c>
      <c r="P32" s="4">
        <f>(1/P19-1/P20)*1000</f>
        <v>20.934959349593495</v>
      </c>
      <c r="Q32" s="4">
        <f t="shared" si="19"/>
        <v>1</v>
      </c>
      <c r="R32" s="3" t="s">
        <v>1402</v>
      </c>
      <c r="S32" s="4">
        <f>S11*SIN(S6)</f>
        <v>0</v>
      </c>
      <c r="T32" s="4">
        <f>T11*SIN(T6)</f>
        <v>1.7502120784409067E-19</v>
      </c>
      <c r="U32" s="4">
        <f>U11*SIN(U6)</f>
        <v>1.4285714285714457E-3</v>
      </c>
      <c r="V32" s="4">
        <f>V11*SIN(V6)</f>
        <v>-1.4285714285714457E-3</v>
      </c>
      <c r="W32" s="4">
        <f>(S32+T32+U32+V32)*$W$5</f>
        <v>2.1684043449710089E-17</v>
      </c>
      <c r="Y32" s="5"/>
      <c r="Z32"/>
      <c r="AA32"/>
      <c r="AB32"/>
      <c r="AC32"/>
      <c r="AD32"/>
      <c r="AE32"/>
      <c r="AF32"/>
      <c r="AG32" s="16" t="s">
        <v>1403</v>
      </c>
      <c r="AH32" s="22">
        <f>AH31+AH15</f>
        <v>0.58727804010197149</v>
      </c>
      <c r="AI32" s="22">
        <f>AI31+AI15</f>
        <v>17.70079243445177</v>
      </c>
      <c r="AJ32" s="22">
        <f>AJ31+AJ15</f>
        <v>9.103017634263157</v>
      </c>
      <c r="AK32" s="22">
        <f>AK31+AK15</f>
        <v>9.0889625774903973</v>
      </c>
      <c r="AL32" s="22"/>
      <c r="AM32" s="16" t="s">
        <v>1403</v>
      </c>
      <c r="AN32" s="22">
        <f>AN31+AN15</f>
        <v>0.14681951002549287</v>
      </c>
      <c r="AO32" s="22">
        <f>AO31+AO15</f>
        <v>4.4251981086129426</v>
      </c>
      <c r="AP32" s="22">
        <f>AP31+AP15</f>
        <v>2.2757544085657893</v>
      </c>
      <c r="AQ32" s="22">
        <f>AQ31+AQ15</f>
        <v>2.2722406443725993</v>
      </c>
      <c r="AR32" s="22"/>
      <c r="AS32" s="16" t="s">
        <v>1403</v>
      </c>
      <c r="AT32" s="22">
        <f>AT31+AT15</f>
        <v>7.612863482803342E-2</v>
      </c>
      <c r="AU32" s="22">
        <f>AU31+AU15</f>
        <v>2.2879913183791363</v>
      </c>
      <c r="AV32" s="22">
        <f>AV31+AV15</f>
        <v>1.1749635724224854</v>
      </c>
      <c r="AW32" s="22">
        <f>AW31+AW15</f>
        <v>1.1714662877654287</v>
      </c>
      <c r="AX32" s="22"/>
    </row>
    <row r="33" spans="1:50">
      <c r="A33" s="1" t="s">
        <v>1591</v>
      </c>
      <c r="B33" s="1" t="s">
        <v>1592</v>
      </c>
      <c r="C33" s="1" t="s">
        <v>1537</v>
      </c>
      <c r="D33" s="1" t="s">
        <v>1539</v>
      </c>
      <c r="E33" s="3" t="s">
        <v>295</v>
      </c>
      <c r="F33" s="3" t="s">
        <v>283</v>
      </c>
      <c r="G33" s="3" t="s">
        <v>284</v>
      </c>
      <c r="H33" s="3" t="s">
        <v>285</v>
      </c>
      <c r="J33" s="3" t="s">
        <v>1404</v>
      </c>
      <c r="K33" s="4">
        <f>(1-(K30/K27)^2)*K27</f>
        <v>69.675740916648124</v>
      </c>
      <c r="L33" s="4">
        <f>(1-(L30/L27)^2)*L27</f>
        <v>69.675740916648138</v>
      </c>
      <c r="M33" s="4">
        <f>L33/K33</f>
        <v>1.0000000000000002</v>
      </c>
      <c r="N33" s="3" t="s">
        <v>1405</v>
      </c>
      <c r="O33" s="7">
        <f>(O27*K22^2+2*O29*K22*K24+O28*K24^2)</f>
        <v>12004.38353147296</v>
      </c>
      <c r="P33" s="7">
        <f>(P27*L22^2+2*P29*L22*L24+P28*L24^2)</f>
        <v>12004.38353147296</v>
      </c>
      <c r="Q33" s="4">
        <f t="shared" si="19"/>
        <v>1</v>
      </c>
      <c r="R33" s="3"/>
      <c r="S33" s="6" t="s">
        <v>1406</v>
      </c>
      <c r="T33" s="6" t="s">
        <v>1407</v>
      </c>
      <c r="U33" s="6" t="s">
        <v>1408</v>
      </c>
      <c r="V33" s="6" t="s">
        <v>1409</v>
      </c>
      <c r="W33" s="6" t="s">
        <v>1410</v>
      </c>
      <c r="X33" s="6" t="s">
        <v>1411</v>
      </c>
      <c r="Y33" s="5"/>
      <c r="Z33"/>
      <c r="AA33"/>
      <c r="AB33"/>
      <c r="AC33"/>
      <c r="AD33"/>
      <c r="AE33"/>
      <c r="AF33"/>
      <c r="AG33" s="16" t="s">
        <v>1412</v>
      </c>
      <c r="AH33" s="22">
        <f>AH32/2/AH14</f>
        <v>2.082541046162891E-3</v>
      </c>
      <c r="AI33" s="22">
        <f>AI32/2/AI14</f>
        <v>6.8377092564019665E-2</v>
      </c>
      <c r="AJ33" s="22">
        <f>AJ32/2/AJ14</f>
        <v>2.2995620277071173E-2</v>
      </c>
      <c r="AK33" s="22">
        <f>AK32/2/AK14</f>
        <v>2.2959012989582119E-2</v>
      </c>
      <c r="AL33" s="22"/>
      <c r="AM33" s="16" t="s">
        <v>1412</v>
      </c>
      <c r="AN33" s="22">
        <f>AN32/2/AN14</f>
        <v>8.3301641846515641E-3</v>
      </c>
      <c r="AO33" s="22">
        <f>AO32/2/AO14</f>
        <v>0.27350837025607866</v>
      </c>
      <c r="AP33" s="22">
        <f>AP32/2/AP14</f>
        <v>9.1982481108284692E-2</v>
      </c>
      <c r="AQ33" s="22">
        <f>AQ32/2/AQ14</f>
        <v>9.1836051958328474E-2</v>
      </c>
      <c r="AR33" s="22"/>
      <c r="AS33" s="16" t="s">
        <v>1412</v>
      </c>
      <c r="AT33" s="22">
        <f>AT32/2/AT14</f>
        <v>1.6065316641828035E-2</v>
      </c>
      <c r="AU33" s="22">
        <f>AU32/2/AU14</f>
        <v>0.52899183358983703</v>
      </c>
      <c r="AV33" s="22">
        <f>AV32/2/AV14</f>
        <v>0.17815832065449694</v>
      </c>
      <c r="AW33" s="22">
        <f>AW32/2/AW14</f>
        <v>0.17813027319503372</v>
      </c>
      <c r="AX33" s="22"/>
    </row>
    <row r="34" spans="1:50">
      <c r="A34" s="1" t="s">
        <v>286</v>
      </c>
      <c r="B34" s="1" t="s">
        <v>287</v>
      </c>
      <c r="C34" s="3" t="s">
        <v>288</v>
      </c>
      <c r="D34" s="3" t="s">
        <v>289</v>
      </c>
      <c r="E34" s="3" t="s">
        <v>290</v>
      </c>
      <c r="J34" s="3" t="s">
        <v>1414</v>
      </c>
      <c r="K34" s="4">
        <f>K30/K27</f>
        <v>0.29603094337527941</v>
      </c>
      <c r="L34" s="4">
        <f>L30/L27</f>
        <v>0.29603094337527941</v>
      </c>
      <c r="M34" s="4">
        <f>L34/K34</f>
        <v>1</v>
      </c>
      <c r="N34" s="3" t="s">
        <v>1415</v>
      </c>
      <c r="O34" s="7">
        <f>(O27*K24^2+2*O29*K24*K23+O28*K23^2)</f>
        <v>10680.652008265077</v>
      </c>
      <c r="P34" s="7">
        <f>(P27*L24^2+2*P29*L24*L23+P28*L23^2)</f>
        <v>10680.652008265077</v>
      </c>
      <c r="Q34" s="4">
        <f t="shared" si="19"/>
        <v>1</v>
      </c>
      <c r="R34" s="3">
        <v>1</v>
      </c>
      <c r="S34" s="5">
        <f>(($L$22+$L$24)/2*$P$10+($L$24+$L$23)/2*$P$11)/1000000*(1-$X$5/$X$7)</f>
        <v>1.0773697595878745E-4</v>
      </c>
      <c r="T34" s="5">
        <f>(($L$22+$L$24)/2*$P$13+($L$24+$L$23)/2*$P$14)*(1-$X$5/$X$7)</f>
        <v>2.837803537322185</v>
      </c>
      <c r="U34" s="5">
        <f>S34+S35*W31</f>
        <v>9.6020584020566573E-5</v>
      </c>
      <c r="V34" s="5">
        <f>T34+T35*W31</f>
        <v>2.5185506393734354</v>
      </c>
      <c r="W34" s="5">
        <f>(U34*U23+U35*U25+U36*U27)*1000000</f>
        <v>0.92461355445142224</v>
      </c>
      <c r="X34" s="5">
        <f>(V34*U23+V35*U25+V36*U27)</f>
        <v>2.4144489887493473E-2</v>
      </c>
      <c r="Y34" s="5"/>
      <c r="Z34"/>
      <c r="AA34"/>
      <c r="AB34"/>
      <c r="AC34"/>
      <c r="AD34"/>
      <c r="AE34"/>
      <c r="AF34"/>
      <c r="AG34" s="16" t="s">
        <v>1424</v>
      </c>
      <c r="AH34" s="11">
        <f>(AH33^2-AH30/AH14)^0.5-AH33</f>
        <v>8.7819605199812495E-2</v>
      </c>
      <c r="AI34" s="11">
        <f>(AI33^2-AI30/AI14)^0.5-AI33</f>
        <v>4.7923829632446124E-2</v>
      </c>
      <c r="AJ34" s="11">
        <f>(AJ33^2-AJ30/AJ14)^0.5-AJ33</f>
        <v>5.6376483694241329E-2</v>
      </c>
      <c r="AK34" s="11">
        <f>(AK33^2-AK30/AK14)^0.5-AK33</f>
        <v>5.6400747641573636E-2</v>
      </c>
      <c r="AL34" s="22"/>
      <c r="AM34" s="16" t="s">
        <v>1424</v>
      </c>
      <c r="AN34" s="22">
        <f>(AN33^2-AN30/AN14)^0.5-AN33</f>
        <v>0.35127842079924998</v>
      </c>
      <c r="AO34" s="22">
        <f>(AO33^2-AO30/AO14)^0.5-AO33</f>
        <v>0.1916953185297845</v>
      </c>
      <c r="AP34" s="22">
        <f>(AP33^2-AP30/AP14)^0.5-AP33</f>
        <v>0.22550593477696532</v>
      </c>
      <c r="AQ34" s="22">
        <f>(AQ33^2-AQ30/AQ14)^0.5-AQ33</f>
        <v>0.22560299056629454</v>
      </c>
      <c r="AR34" s="22"/>
      <c r="AS34" s="16" t="s">
        <v>1424</v>
      </c>
      <c r="AT34" s="22">
        <f>(AT33^2-AT30/AT14)^0.5-AT33</f>
        <v>0.67746552582712483</v>
      </c>
      <c r="AU34" s="22">
        <f>(AU33^2-AU30/AU14)^0.5-AU33</f>
        <v>0.37075742122522781</v>
      </c>
      <c r="AV34" s="22">
        <f>(AV33^2-AV30/AV14)^0.5-AV33</f>
        <v>0.43677620078752261</v>
      </c>
      <c r="AW34" s="22">
        <f>(AW33^2-AW30/AW14)^0.5-AW33</f>
        <v>0.43759200756393346</v>
      </c>
      <c r="AX34" s="22"/>
    </row>
    <row r="35" spans="1:50">
      <c r="N35" s="3" t="s">
        <v>1416</v>
      </c>
      <c r="O35" s="7">
        <f>(O27*K22*K24+O29*(K22*K23+K24^2)+O28*K24*K23)</f>
        <v>-3069.103206291968</v>
      </c>
      <c r="P35" s="7">
        <f>(P27*L22*L24+P29*(L22*L23+L24^2)+P28*L24*L23)</f>
        <v>-3069.1032062919689</v>
      </c>
      <c r="Q35" s="4">
        <f t="shared" si="19"/>
        <v>1.0000000000000002</v>
      </c>
      <c r="R35" s="3">
        <v>2</v>
      </c>
      <c r="S35" s="5">
        <f>(($L$22-$L$24)/2*$P$10+($L$24-$L$23)/2*$P$11)/1000000</f>
        <v>-8.2014743567545106E-5</v>
      </c>
      <c r="T35" s="5">
        <f>(($L$22-$L$24)/2*$P$13+($L$24-$L$23)/2*$P$14)</f>
        <v>-2.234770285641221</v>
      </c>
      <c r="U35" s="5">
        <f>S34-S35*W31</f>
        <v>1.1945336789700832E-4</v>
      </c>
      <c r="V35" s="5">
        <f>T34-T35*W31</f>
        <v>3.1570564352709347</v>
      </c>
      <c r="W35" s="5">
        <f>(U34*U25+U35*U24+U36*U28)*1000000</f>
        <v>2.3744065433957853</v>
      </c>
      <c r="X35" s="5">
        <f>(V34*U25+V35*U24+V36*U28)</f>
        <v>6.2840032297040521E-2</v>
      </c>
      <c r="Y35" s="5"/>
      <c r="Z35"/>
      <c r="AA35"/>
      <c r="AB35"/>
      <c r="AC35"/>
      <c r="AD35"/>
      <c r="AE35"/>
      <c r="AF35"/>
      <c r="AG35" s="16" t="s">
        <v>1196</v>
      </c>
      <c r="AH35" s="11">
        <f>(AH33^2-AH30/AH14)^0.5+AH33</f>
        <v>9.1984687292138267E-2</v>
      </c>
      <c r="AI35" s="11">
        <f>(AI33^2-AI30/AI14)^0.5+AI33</f>
        <v>0.18467801476048545</v>
      </c>
      <c r="AJ35" s="11">
        <f>(AJ33^2-AJ30/AJ14)^0.5+AJ33</f>
        <v>0.10236772424838367</v>
      </c>
      <c r="AK35" s="11">
        <f>(AK33^2-AK30/AK14)^0.5+AK33</f>
        <v>0.10231877362073788</v>
      </c>
      <c r="AL35" s="22"/>
      <c r="AM35" s="16" t="s">
        <v>1196</v>
      </c>
      <c r="AN35" s="22">
        <f>(AN33^2-AN30/AN14)^0.5+AN33</f>
        <v>0.36793874916855307</v>
      </c>
      <c r="AO35" s="22">
        <f>(AO33^2-AO30/AO14)^0.5+AO33</f>
        <v>0.73871205904194182</v>
      </c>
      <c r="AP35" s="22">
        <f>(AP33^2-AP30/AP14)^0.5+AP33</f>
        <v>0.40947089699353467</v>
      </c>
      <c r="AQ35" s="22">
        <f>(AQ33^2-AQ30/AQ14)^0.5+AQ33</f>
        <v>0.40927509448295152</v>
      </c>
      <c r="AR35" s="22"/>
      <c r="AS35" s="16" t="s">
        <v>1196</v>
      </c>
      <c r="AT35" s="22">
        <f>(AT33^2-AT30/AT14)^0.5+AT33</f>
        <v>0.709596159110781</v>
      </c>
      <c r="AU35" s="22">
        <f>(AU33^2-AU30/AU14)^0.5+AU33</f>
        <v>1.4287410884049019</v>
      </c>
      <c r="AV35" s="22">
        <f>(AV33^2-AV30/AV14)^0.5+AV33</f>
        <v>0.79309284209651643</v>
      </c>
      <c r="AW35" s="22">
        <f>(AW33^2-AW30/AW14)^0.5+AW33</f>
        <v>0.79385255395400089</v>
      </c>
      <c r="AX35" s="22"/>
    </row>
    <row r="36" spans="1:50">
      <c r="J36" s="3" t="s">
        <v>1193</v>
      </c>
      <c r="K36" s="4">
        <f>$D$26</f>
        <v>1.6</v>
      </c>
      <c r="L36" s="4">
        <f>L37*(1-$L$11)+L38*$L$11</f>
        <v>1.6</v>
      </c>
      <c r="M36" s="4">
        <f>L36/K36</f>
        <v>1</v>
      </c>
      <c r="N36" s="3" t="s">
        <v>1418</v>
      </c>
      <c r="O36" s="7">
        <f>O30*K25^2</f>
        <v>11117.841695501729</v>
      </c>
      <c r="P36" s="7">
        <f>P30*L25^2</f>
        <v>11117.841695501729</v>
      </c>
      <c r="Q36" s="4">
        <f t="shared" si="19"/>
        <v>1</v>
      </c>
      <c r="R36" s="3">
        <v>6</v>
      </c>
      <c r="S36" s="6" t="s">
        <v>1419</v>
      </c>
      <c r="T36" s="6" t="s">
        <v>1420</v>
      </c>
      <c r="U36" s="5">
        <f>S35*W32</f>
        <v>-1.7784112630354789E-21</v>
      </c>
      <c r="V36" s="5">
        <f>T35*W32</f>
        <v>-4.8458855973965261E-17</v>
      </c>
      <c r="W36" s="5">
        <f>(U34*U27+U35*U28+U36*U26)*1000000</f>
        <v>-3.0965561089848529E-16</v>
      </c>
      <c r="X36" s="5">
        <f>(V34*U27+V35*U28+V36*U26)</f>
        <v>-8.2801827341764151E-18</v>
      </c>
      <c r="Y36" s="5"/>
      <c r="Z36"/>
      <c r="AA36"/>
      <c r="AB36"/>
      <c r="AC36"/>
      <c r="AD36"/>
      <c r="AE36"/>
      <c r="AF36"/>
      <c r="AG36" s="16"/>
      <c r="AH36" s="22"/>
      <c r="AI36" s="22"/>
      <c r="AJ36" s="22"/>
      <c r="AK36" s="22"/>
      <c r="AL36" s="16"/>
      <c r="AM36" s="16"/>
      <c r="AN36" s="22"/>
      <c r="AO36" s="22"/>
      <c r="AP36" s="22"/>
      <c r="AQ36" s="22"/>
      <c r="AR36" s="16"/>
      <c r="AS36" s="16"/>
      <c r="AT36" s="22"/>
      <c r="AU36" s="22"/>
      <c r="AV36" s="22"/>
      <c r="AW36" s="22"/>
      <c r="AX36" s="16"/>
    </row>
    <row r="37" spans="1:50">
      <c r="J37" s="3" t="s">
        <v>274</v>
      </c>
      <c r="K37" s="4">
        <f>$F$25</f>
        <v>1.2</v>
      </c>
      <c r="L37" s="4">
        <f>K37</f>
        <v>1.2</v>
      </c>
      <c r="M37" s="4">
        <f>L37/K37</f>
        <v>1</v>
      </c>
      <c r="N37" s="3" t="s">
        <v>1422</v>
      </c>
      <c r="O37" s="7">
        <f>(O31*K22+O32*K24)</f>
        <v>60.646995481305353</v>
      </c>
      <c r="P37" s="7">
        <f>(P31*L22+P32*L24)</f>
        <v>60.646995481305353</v>
      </c>
      <c r="Q37" s="4">
        <f t="shared" si="19"/>
        <v>1</v>
      </c>
      <c r="R37" s="3">
        <v>1</v>
      </c>
      <c r="S37" s="5">
        <f>$P$7*U34+$P$3*V34</f>
        <v>2.9906947948105198E-3</v>
      </c>
      <c r="T37" s="5">
        <f>$P$7*W34/1000000+$P$3*X34</f>
        <v>2.826109399232516E-5</v>
      </c>
      <c r="U37" s="6" t="s">
        <v>1423</v>
      </c>
      <c r="V37" s="5">
        <f>$P$7*$P$10/1000000+$P$3*$P$13</f>
        <v>-1.9999999999999999E-6</v>
      </c>
      <c r="Z37"/>
      <c r="AA37"/>
      <c r="AB37"/>
      <c r="AC37"/>
      <c r="AD37"/>
      <c r="AE37"/>
      <c r="AF37"/>
      <c r="AG37" s="3" t="s">
        <v>1511</v>
      </c>
      <c r="AH37" s="115">
        <f>MIN(AH34,AH35)</f>
        <v>8.7819605199812495E-2</v>
      </c>
      <c r="AI37" s="115">
        <f>MIN(AI34,AI35)</f>
        <v>4.7923829632446124E-2</v>
      </c>
      <c r="AJ37" s="115">
        <f>MIN(AJ34,AJ35)</f>
        <v>5.6376483694241329E-2</v>
      </c>
      <c r="AK37" s="115">
        <f>MIN(AK34,AK35)</f>
        <v>5.6400747641573636E-2</v>
      </c>
      <c r="AL37" s="121" t="s">
        <v>1512</v>
      </c>
      <c r="AM37" s="3" t="s">
        <v>1511</v>
      </c>
      <c r="AN37" s="115">
        <f>MIN(AN34,AN35)</f>
        <v>0.35127842079924998</v>
      </c>
      <c r="AO37" s="115">
        <f>MIN(AO34,AO35)</f>
        <v>0.1916953185297845</v>
      </c>
      <c r="AP37" s="115">
        <f>MIN(AP34,AP35)</f>
        <v>0.22550593477696532</v>
      </c>
      <c r="AQ37" s="115">
        <f>MIN(AQ34,AQ35)</f>
        <v>0.22560299056629454</v>
      </c>
      <c r="AR37" s="121" t="s">
        <v>1512</v>
      </c>
      <c r="AS37" s="121" t="s">
        <v>1511</v>
      </c>
      <c r="AT37" s="115">
        <f>MIN(AT34,AT35)</f>
        <v>0.67746552582712483</v>
      </c>
      <c r="AU37" s="115">
        <f>MIN(AU34,AU35)</f>
        <v>0.37075742122522781</v>
      </c>
      <c r="AV37" s="115">
        <f>MIN(AV34,AV35)</f>
        <v>0.43677620078752261</v>
      </c>
      <c r="AW37" s="115">
        <f>MIN(AW34,AW35)</f>
        <v>0.43759200756393346</v>
      </c>
      <c r="AX37" s="121" t="s">
        <v>1512</v>
      </c>
    </row>
    <row r="38" spans="1:50">
      <c r="J38" s="3" t="s">
        <v>1195</v>
      </c>
      <c r="K38" s="4">
        <f>(K36-K37*(1-$K$11))/$K$11</f>
        <v>1.7714285714285716</v>
      </c>
      <c r="L38" s="4">
        <f>K38</f>
        <v>1.7714285714285716</v>
      </c>
      <c r="M38" s="4">
        <f>L38/K38</f>
        <v>1</v>
      </c>
      <c r="N38" s="3" t="s">
        <v>1426</v>
      </c>
      <c r="O38" s="7">
        <f>(O31*K24+O32*K23)</f>
        <v>216.59641243323335</v>
      </c>
      <c r="P38" s="7">
        <f>(P31*L24+P32*L23)</f>
        <v>216.59641243323335</v>
      </c>
      <c r="Q38" s="4">
        <f t="shared" si="19"/>
        <v>1</v>
      </c>
      <c r="R38" s="3">
        <v>2</v>
      </c>
      <c r="S38" s="5">
        <f>$P$7*U35+$P$3*V35</f>
        <v>3.8399453866538435E-3</v>
      </c>
      <c r="T38" s="5">
        <f>$P$7*W35/1000000+$P$3*X35</f>
        <v>7.6759507145624081E-5</v>
      </c>
      <c r="U38" s="6" t="s">
        <v>1427</v>
      </c>
      <c r="V38" s="5">
        <f>$P$7*$P$11/1000000+$P$3*$P$14</f>
        <v>7.5000000000000023E-4</v>
      </c>
      <c r="Z38"/>
      <c r="AA38"/>
      <c r="AB38"/>
      <c r="AC38"/>
      <c r="AD38"/>
      <c r="AE38"/>
      <c r="AF38"/>
      <c r="AG38" s="1" t="s">
        <v>1484</v>
      </c>
      <c r="AH38" s="115">
        <f>IF(AH3=0,1000000000,AH34)</f>
        <v>8.7819605199812495E-2</v>
      </c>
      <c r="AI38" s="115">
        <f>IF(AI3=0,1000000000,AI34)</f>
        <v>4.7923829632446124E-2</v>
      </c>
      <c r="AJ38" s="115">
        <f>IF(AJ3=0,1000000000,AJ34)</f>
        <v>5.6376483694241329E-2</v>
      </c>
      <c r="AK38" s="115">
        <f>IF(AK3=0,1000000000,AK34)</f>
        <v>5.6400747641573636E-2</v>
      </c>
      <c r="AL38" s="121">
        <f>MIN(AH38:AK38,AH39:AK39)</f>
        <v>4.7923829632446124E-2</v>
      </c>
      <c r="AM38" s="1" t="s">
        <v>1484</v>
      </c>
      <c r="AN38" s="115">
        <f>IF(AN3=0,1000000000,AN34)</f>
        <v>0.35127842079924998</v>
      </c>
      <c r="AO38" s="115">
        <f>IF(AO3=0,1000000000,AO34)</f>
        <v>0.1916953185297845</v>
      </c>
      <c r="AP38" s="115">
        <f>IF(AP3=0,1000000000,AP34)</f>
        <v>0.22550593477696532</v>
      </c>
      <c r="AQ38" s="115">
        <f>IF(AQ3=0,1000000000,AQ34)</f>
        <v>0.22560299056629454</v>
      </c>
      <c r="AR38" s="121">
        <f>MIN(AN38:AQ38, AN39:AQ39)</f>
        <v>0.1916953185297845</v>
      </c>
      <c r="AS38" s="122" t="s">
        <v>1484</v>
      </c>
      <c r="AT38" s="115">
        <f>IF(AT3=0,1000000000,AT34)</f>
        <v>0.67746552582712483</v>
      </c>
      <c r="AU38" s="115">
        <f>IF(AU3=0,1000000000,AU34)</f>
        <v>0.37075742122522781</v>
      </c>
      <c r="AV38" s="115">
        <f>IF(AV3=0,1000000000,AV34)</f>
        <v>0.43677620078752261</v>
      </c>
      <c r="AW38" s="115">
        <f>IF(AW3=0,1000000000,AW34)</f>
        <v>0.43759200756393346</v>
      </c>
      <c r="AX38" s="121">
        <f>MIN(AT38:AW38,AT39:AW39)</f>
        <v>0.37075742122522781</v>
      </c>
    </row>
    <row r="39" spans="1:50">
      <c r="L39" s="2" t="s">
        <v>234</v>
      </c>
      <c r="R39" s="3">
        <v>6</v>
      </c>
      <c r="S39" s="5">
        <f>$P$7*U36+$P$3*V36</f>
        <v>-6.4453153566278418E-20</v>
      </c>
      <c r="T39" s="5">
        <f>$P$7*W36/1000000+$P$3*X36</f>
        <v>-1.0435352581033545E-20</v>
      </c>
      <c r="U39" s="6" t="s">
        <v>1429</v>
      </c>
      <c r="V39" s="5">
        <f>0</f>
        <v>0</v>
      </c>
      <c r="Z39"/>
      <c r="AA39"/>
      <c r="AB39"/>
      <c r="AC39"/>
      <c r="AD39"/>
      <c r="AE39"/>
      <c r="AF39"/>
      <c r="AG39" s="1" t="s">
        <v>1489</v>
      </c>
      <c r="AH39" s="115">
        <f>IF(AH3=0,1000000000,AH35)</f>
        <v>9.1984687292138267E-2</v>
      </c>
      <c r="AI39" s="115">
        <f>IF(AI3=0,1000000000,AI35)</f>
        <v>0.18467801476048545</v>
      </c>
      <c r="AJ39" s="115">
        <f>IF(AJ3=0,1000000000,AJ35)</f>
        <v>0.10236772424838367</v>
      </c>
      <c r="AK39" s="115">
        <f>IF(AK3=0,1000000000,AK35)</f>
        <v>0.10231877362073788</v>
      </c>
      <c r="AL39" s="115"/>
      <c r="AM39" s="1" t="s">
        <v>1489</v>
      </c>
      <c r="AN39" s="115">
        <f>IF(AN3=0,1000000000,AN35)</f>
        <v>0.36793874916855307</v>
      </c>
      <c r="AO39" s="115">
        <f>IF(AO3=0,1000000000,AO35)</f>
        <v>0.73871205904194182</v>
      </c>
      <c r="AP39" s="115">
        <f>IF(AP3=0,1000000000,AP35)</f>
        <v>0.40947089699353467</v>
      </c>
      <c r="AQ39" s="115">
        <f>IF(AQ3=0,1000000000,AQ35)</f>
        <v>0.40927509448295152</v>
      </c>
      <c r="AR39" s="115"/>
      <c r="AS39" s="122" t="s">
        <v>1489</v>
      </c>
      <c r="AT39" s="115">
        <f>IF(AT3=0,1000000000,AT35)</f>
        <v>0.709596159110781</v>
      </c>
      <c r="AU39" s="115">
        <f>IF(AU3=0,1000000000,AU35)</f>
        <v>1.4287410884049019</v>
      </c>
      <c r="AV39" s="115">
        <f>IF(AV3=0,1000000000,AV35)</f>
        <v>0.79309284209651643</v>
      </c>
      <c r="AW39" s="115">
        <f>IF(AW3=0,1000000000,AW35)</f>
        <v>0.79385255395400089</v>
      </c>
      <c r="AX39" s="115"/>
    </row>
    <row r="40" spans="1:50">
      <c r="S40" s="2"/>
      <c r="T40" s="2"/>
      <c r="W40" s="2"/>
      <c r="X40" s="2"/>
      <c r="AF40" s="2"/>
    </row>
    <row r="41" spans="1:50">
      <c r="S41" s="2"/>
      <c r="T41" s="2"/>
      <c r="W41" s="2"/>
      <c r="X41" s="2"/>
      <c r="AF41" s="2"/>
    </row>
    <row r="42" spans="1:50">
      <c r="S42" s="2"/>
      <c r="T42" s="2"/>
      <c r="W42" s="2"/>
      <c r="X42" s="2"/>
      <c r="AF42" s="2"/>
    </row>
    <row r="43" spans="1:50">
      <c r="S43" s="2"/>
      <c r="T43" s="2"/>
      <c r="W43" s="2"/>
      <c r="X43" s="2"/>
      <c r="AF43" s="2"/>
    </row>
    <row r="44" spans="1:50">
      <c r="S44" s="2"/>
      <c r="T44" s="2"/>
      <c r="W44" s="2"/>
      <c r="X44" s="2"/>
      <c r="AF44" s="2"/>
    </row>
    <row r="45" spans="1:50">
      <c r="S45" s="2"/>
      <c r="T45" s="2"/>
      <c r="W45" s="2"/>
      <c r="X45" s="2"/>
      <c r="AF45" s="2"/>
    </row>
    <row r="46" spans="1:50">
      <c r="S46" s="2"/>
      <c r="T46" s="2"/>
      <c r="W46" s="2"/>
      <c r="X46" s="2"/>
      <c r="AF46" s="2"/>
    </row>
    <row r="47" spans="1:50">
      <c r="S47" s="2"/>
      <c r="T47" s="2"/>
      <c r="W47" s="2"/>
      <c r="X47" s="2"/>
      <c r="AF47" s="2"/>
    </row>
    <row r="48" spans="1:50">
      <c r="S48" s="2"/>
      <c r="T48" s="2"/>
      <c r="W48" s="2"/>
      <c r="X48" s="2"/>
      <c r="AF48" s="2"/>
    </row>
    <row r="49" s="2" customFormat="1"/>
    <row r="50" s="2" customFormat="1"/>
    <row r="51" s="2" customFormat="1"/>
    <row r="52" s="2" customFormat="1"/>
    <row r="53" s="2" customFormat="1"/>
    <row r="54" s="2" customFormat="1"/>
    <row r="55" s="2" customFormat="1"/>
    <row r="56" s="2" customFormat="1"/>
    <row r="57" s="2" customFormat="1"/>
    <row r="58" s="2" customFormat="1"/>
    <row r="59" s="2" customFormat="1"/>
    <row r="60" s="2" customFormat="1"/>
    <row r="61" s="2" customFormat="1"/>
    <row r="62" s="2" customFormat="1"/>
    <row r="63" s="2" customFormat="1"/>
    <row r="64" s="2" customFormat="1"/>
    <row r="65" s="2" customFormat="1"/>
    <row r="66" s="2" customFormat="1"/>
    <row r="67" s="2" customFormat="1"/>
    <row r="68" s="2" customFormat="1"/>
    <row r="69" s="2" customFormat="1"/>
    <row r="70" s="2" customFormat="1"/>
    <row r="71" s="2" customFormat="1"/>
    <row r="72" s="2" customFormat="1"/>
    <row r="73" s="2" customFormat="1"/>
    <row r="74" s="2" customFormat="1"/>
    <row r="75" s="2" customFormat="1"/>
    <row r="76" s="2" customFormat="1"/>
    <row r="77" s="2" customFormat="1"/>
    <row r="78" s="2" customFormat="1"/>
    <row r="79" s="2" customFormat="1"/>
    <row r="80" s="2" customFormat="1"/>
    <row r="81" s="2" customFormat="1"/>
    <row r="82" s="2" customFormat="1"/>
    <row r="83" s="2" customFormat="1"/>
    <row r="84" s="2" customFormat="1"/>
    <row r="85" s="2" customFormat="1"/>
    <row r="86" s="2" customFormat="1"/>
    <row r="87" s="2" customFormat="1"/>
  </sheetData>
  <phoneticPr fontId="5" type="noConversion"/>
  <printOptions headings="1" gridLines="1" gridLinesSet="0"/>
  <pageMargins left="0.5" right="0.5" top="1" bottom="1" header="0.5" footer="0.5"/>
  <pageSetup orientation="portrait"/>
  <headerFooter alignWithMargins="0">
    <oddHeader>&amp;F</oddHeader>
    <oddFooter>Page &amp;P</oddFooter>
  </headerFooter>
  <rowBreaks count="2" manualBreakCount="2">
    <brk id="39" max="65535" man="1"/>
    <brk id="64" max="65535" man="1"/>
  </rowBreaks>
  <colBreaks count="8" manualBreakCount="8">
    <brk id="9" max="1048575" man="1"/>
    <brk id="17" max="1048575" man="1"/>
    <brk id="25" max="1048575" man="1"/>
    <brk id="32" max="1048575" man="1"/>
    <brk id="38" max="1048575" man="1"/>
    <brk id="41" max="1048575" man="1"/>
    <brk id="44" max="1048575" man="1"/>
    <brk id="50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2032" r:id="rId3" name="Button 46080">
              <controlPr defaultSize="0" print="0" autoFill="0" autoLine="0" autoPict="0" macro="[0]!SelectMaterial">
                <anchor moveWithCells="1" sizeWithCells="1">
                  <from>
                    <xdr:col>4</xdr:col>
                    <xdr:colOff>236220</xdr:colOff>
                    <xdr:row>0</xdr:row>
                    <xdr:rowOff>38100</xdr:rowOff>
                  </from>
                  <to>
                    <xdr:col>6</xdr:col>
                    <xdr:colOff>175260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033" r:id="rId4" name="Button 46081">
              <controlPr defaultSize="0" print="0" autoFill="0" autoLine="0" autoPict="0" macro="[0]!ChartQ">
                <anchor moveWithCells="1" sizeWithCells="1">
                  <from>
                    <xdr:col>6</xdr:col>
                    <xdr:colOff>236220</xdr:colOff>
                    <xdr:row>0</xdr:row>
                    <xdr:rowOff>38100</xdr:rowOff>
                  </from>
                  <to>
                    <xdr:col>8</xdr:col>
                    <xdr:colOff>449580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AX86"/>
  <sheetViews>
    <sheetView workbookViewId="0"/>
  </sheetViews>
  <sheetFormatPr defaultColWidth="11" defaultRowHeight="15"/>
  <cols>
    <col min="1" max="1" width="7" style="2" customWidth="1"/>
    <col min="2" max="2" width="7.453125" style="2" customWidth="1"/>
    <col min="3" max="3" width="8.08984375" style="2" customWidth="1"/>
    <col min="4" max="4" width="6.08984375" style="2" customWidth="1"/>
    <col min="5" max="5" width="8.08984375" style="2" customWidth="1"/>
    <col min="6" max="6" width="6.08984375" style="2" customWidth="1"/>
    <col min="7" max="7" width="5.6328125" style="2" customWidth="1"/>
    <col min="8" max="8" width="7.90625" style="2" customWidth="1"/>
    <col min="9" max="9" width="8.453125" style="2" customWidth="1"/>
    <col min="10" max="10" width="6.453125" style="2" customWidth="1"/>
    <col min="11" max="11" width="10.08984375" style="2" customWidth="1"/>
    <col min="12" max="13" width="8.453125" style="2" customWidth="1"/>
    <col min="14" max="14" width="7" style="2" customWidth="1"/>
    <col min="15" max="15" width="10.453125" style="2" customWidth="1"/>
    <col min="16" max="18" width="8.453125" style="2" customWidth="1"/>
    <col min="19" max="19" width="9.453125" style="2" customWidth="1"/>
    <col min="20" max="21" width="9.453125" style="5" customWidth="1"/>
    <col min="22" max="23" width="9.453125" style="2" customWidth="1"/>
    <col min="24" max="25" width="9.453125" style="5" customWidth="1"/>
    <col min="26" max="28" width="9.6328125" style="2" customWidth="1"/>
    <col min="29" max="29" width="10" style="2" customWidth="1"/>
    <col min="30" max="31" width="9.6328125" style="2" customWidth="1"/>
    <col min="32" max="32" width="9.6328125" style="5" customWidth="1"/>
    <col min="33" max="50" width="11.453125" style="2" customWidth="1"/>
    <col min="51" max="16384" width="11" style="2"/>
  </cols>
  <sheetData>
    <row r="1" spans="1:50" ht="27.75" customHeight="1">
      <c r="A1" s="1" t="s">
        <v>1513</v>
      </c>
      <c r="K1" s="1" t="s">
        <v>1550</v>
      </c>
      <c r="L1" s="3"/>
      <c r="M1" s="3"/>
      <c r="O1" s="2" t="s">
        <v>1551</v>
      </c>
      <c r="Q1" s="4"/>
      <c r="S1" s="2" t="s">
        <v>528</v>
      </c>
      <c r="Z1" s="2" t="s">
        <v>529</v>
      </c>
      <c r="AG1" s="2" t="s">
        <v>1514</v>
      </c>
      <c r="AM1" s="2" t="s">
        <v>239</v>
      </c>
      <c r="AS1" s="2" t="s">
        <v>1515</v>
      </c>
    </row>
    <row r="2" spans="1:50">
      <c r="A2" s="2" t="s">
        <v>1516</v>
      </c>
      <c r="B2" s="3" t="s">
        <v>1562</v>
      </c>
      <c r="C2" s="3" t="s">
        <v>1563</v>
      </c>
      <c r="D2" s="3" t="s">
        <v>1564</v>
      </c>
      <c r="E2" s="3" t="s">
        <v>1565</v>
      </c>
      <c r="G2" s="1" t="s">
        <v>1566</v>
      </c>
      <c r="H2" s="1" t="str">
        <f>K2</f>
        <v>T3/N52[SI]</v>
      </c>
      <c r="K2" s="3" t="str">
        <f>$A$26</f>
        <v>T3/N52[SI]</v>
      </c>
      <c r="L2" s="1"/>
      <c r="M2" s="3"/>
      <c r="O2" s="3" t="s">
        <v>596</v>
      </c>
      <c r="P2" s="7">
        <f>$G$27</f>
        <v>22</v>
      </c>
      <c r="Q2" s="7">
        <f>B18</f>
        <v>22</v>
      </c>
      <c r="R2" s="8">
        <f t="shared" ref="R2:R7" si="0">Q2/P2</f>
        <v>1</v>
      </c>
      <c r="S2" s="1"/>
      <c r="Y2" s="6"/>
      <c r="Z2" s="3" t="s">
        <v>531</v>
      </c>
      <c r="AA2" s="9">
        <f t="shared" ref="AA2:AD3" si="1">T4</f>
        <v>0</v>
      </c>
      <c r="AB2" s="9">
        <f t="shared" si="1"/>
        <v>90</v>
      </c>
      <c r="AC2" s="9">
        <f t="shared" si="1"/>
        <v>45</v>
      </c>
      <c r="AD2" s="9">
        <f t="shared" si="1"/>
        <v>-45</v>
      </c>
      <c r="AE2" s="3" t="s">
        <v>532</v>
      </c>
      <c r="AF2" s="2"/>
      <c r="AG2" s="3" t="s">
        <v>531</v>
      </c>
      <c r="AH2" s="9">
        <f t="shared" ref="AH2:AK4" si="2">AA2</f>
        <v>0</v>
      </c>
      <c r="AI2" s="9">
        <f t="shared" si="2"/>
        <v>90</v>
      </c>
      <c r="AJ2" s="9">
        <f t="shared" si="2"/>
        <v>45</v>
      </c>
      <c r="AK2" s="9">
        <f t="shared" si="2"/>
        <v>-45</v>
      </c>
      <c r="AM2" s="3" t="s">
        <v>531</v>
      </c>
      <c r="AN2" s="9">
        <f t="shared" ref="AN2:AQ4" si="3">AH2</f>
        <v>0</v>
      </c>
      <c r="AO2" s="9">
        <f t="shared" si="3"/>
        <v>90</v>
      </c>
      <c r="AP2" s="9">
        <f t="shared" si="3"/>
        <v>45</v>
      </c>
      <c r="AQ2" s="9">
        <f t="shared" si="3"/>
        <v>-45</v>
      </c>
      <c r="AS2" s="3" t="s">
        <v>531</v>
      </c>
      <c r="AT2" s="9">
        <f t="shared" ref="AT2:AW4" si="4">AN2</f>
        <v>0</v>
      </c>
      <c r="AU2" s="9">
        <f t="shared" si="4"/>
        <v>90</v>
      </c>
      <c r="AV2" s="9">
        <f t="shared" si="4"/>
        <v>45</v>
      </c>
      <c r="AW2" s="9">
        <f t="shared" si="4"/>
        <v>-45</v>
      </c>
    </row>
    <row r="3" spans="1:50" ht="15.6">
      <c r="A3" s="1" t="s">
        <v>598</v>
      </c>
      <c r="B3" s="72">
        <v>0</v>
      </c>
      <c r="C3" s="72">
        <v>90</v>
      </c>
      <c r="D3" s="72">
        <v>45</v>
      </c>
      <c r="E3" s="72">
        <v>-45</v>
      </c>
      <c r="F3" s="1" t="s">
        <v>1570</v>
      </c>
      <c r="G3" s="1" t="s">
        <v>534</v>
      </c>
      <c r="H3" s="1" t="s">
        <v>1571</v>
      </c>
      <c r="I3" s="10" t="s">
        <v>1517</v>
      </c>
      <c r="K3" s="3"/>
      <c r="L3" s="3"/>
      <c r="M3" s="3"/>
      <c r="O3" s="3" t="s">
        <v>600</v>
      </c>
      <c r="P3" s="11">
        <f>$H$27</f>
        <v>5.0000000000000001E-3</v>
      </c>
      <c r="Q3" s="11">
        <f>C18</f>
        <v>5.0000000000000001E-3</v>
      </c>
      <c r="R3" s="8">
        <f t="shared" si="0"/>
        <v>1</v>
      </c>
      <c r="S3" s="3" t="s">
        <v>535</v>
      </c>
      <c r="T3" s="6" t="s">
        <v>1562</v>
      </c>
      <c r="U3" s="6" t="s">
        <v>1563</v>
      </c>
      <c r="V3" s="6" t="s">
        <v>1564</v>
      </c>
      <c r="W3" s="6" t="s">
        <v>1565</v>
      </c>
      <c r="X3" s="6"/>
      <c r="Y3" s="6"/>
      <c r="Z3" s="3" t="s">
        <v>536</v>
      </c>
      <c r="AA3" s="9">
        <f t="shared" si="1"/>
        <v>5.1666666666666666E-2</v>
      </c>
      <c r="AB3" s="9">
        <f t="shared" si="1"/>
        <v>0</v>
      </c>
      <c r="AC3" s="9">
        <f t="shared" si="1"/>
        <v>5.1666666666666666E-2</v>
      </c>
      <c r="AD3" s="9">
        <f t="shared" si="1"/>
        <v>5.1666666666666666E-2</v>
      </c>
      <c r="AE3" s="3">
        <f>X5</f>
        <v>1</v>
      </c>
      <c r="AF3" s="2"/>
      <c r="AG3" s="3" t="s">
        <v>536</v>
      </c>
      <c r="AH3" s="9">
        <f t="shared" si="2"/>
        <v>5.1666666666666666E-2</v>
      </c>
      <c r="AI3" s="9">
        <f t="shared" si="2"/>
        <v>0</v>
      </c>
      <c r="AJ3" s="9">
        <f t="shared" si="2"/>
        <v>5.1666666666666666E-2</v>
      </c>
      <c r="AK3" s="9">
        <f t="shared" si="2"/>
        <v>5.1666666666666666E-2</v>
      </c>
      <c r="AM3" s="3" t="s">
        <v>536</v>
      </c>
      <c r="AN3" s="9">
        <f t="shared" si="3"/>
        <v>5.1666666666666666E-2</v>
      </c>
      <c r="AO3" s="9">
        <f t="shared" si="3"/>
        <v>0</v>
      </c>
      <c r="AP3" s="9">
        <f t="shared" si="3"/>
        <v>5.1666666666666666E-2</v>
      </c>
      <c r="AQ3" s="9">
        <f t="shared" si="3"/>
        <v>5.1666666666666666E-2</v>
      </c>
      <c r="AS3" s="3" t="s">
        <v>536</v>
      </c>
      <c r="AT3" s="9">
        <f t="shared" si="4"/>
        <v>5.1666666666666666E-2</v>
      </c>
      <c r="AU3" s="9">
        <f t="shared" si="4"/>
        <v>0</v>
      </c>
      <c r="AV3" s="9">
        <f t="shared" si="4"/>
        <v>5.1666666666666666E-2</v>
      </c>
      <c r="AW3" s="9">
        <f t="shared" si="4"/>
        <v>5.1666666666666666E-2</v>
      </c>
    </row>
    <row r="4" spans="1:50" ht="15.6">
      <c r="A4" s="1" t="s">
        <v>1518</v>
      </c>
      <c r="B4" s="79">
        <f>1/3*0.31/2</f>
        <v>5.1666666666666666E-2</v>
      </c>
      <c r="C4" s="79">
        <v>0</v>
      </c>
      <c r="D4" s="79">
        <f>1/3*0.31/2</f>
        <v>5.1666666666666666E-2</v>
      </c>
      <c r="E4" s="79">
        <f>D4</f>
        <v>5.1666666666666666E-2</v>
      </c>
      <c r="F4" s="73">
        <v>1</v>
      </c>
      <c r="G4" s="7">
        <f>(B4+C4+D4+E4)*F4*2</f>
        <v>0.31</v>
      </c>
      <c r="H4" s="12">
        <f>G4*M9/1000</f>
        <v>3.875E-2</v>
      </c>
      <c r="I4" s="75">
        <v>0</v>
      </c>
      <c r="K4" s="3" t="s">
        <v>1553</v>
      </c>
      <c r="L4" s="3" t="s">
        <v>1554</v>
      </c>
      <c r="M4" s="3" t="s">
        <v>1555</v>
      </c>
      <c r="N4" s="13" t="s">
        <v>1556</v>
      </c>
      <c r="O4" s="3" t="s">
        <v>1557</v>
      </c>
      <c r="P4" s="7">
        <f>G26</f>
        <v>122</v>
      </c>
      <c r="Q4" s="7">
        <f>P4</f>
        <v>122</v>
      </c>
      <c r="R4" s="8">
        <f t="shared" si="0"/>
        <v>1</v>
      </c>
      <c r="S4" s="3" t="s">
        <v>537</v>
      </c>
      <c r="T4" s="14">
        <f>B3+I4</f>
        <v>0</v>
      </c>
      <c r="U4" s="14">
        <f>C3+I4</f>
        <v>90</v>
      </c>
      <c r="V4" s="14">
        <f>D3+I4</f>
        <v>45</v>
      </c>
      <c r="W4" s="14">
        <f>E3+I4</f>
        <v>-45</v>
      </c>
      <c r="X4" s="6" t="s">
        <v>1432</v>
      </c>
      <c r="Y4" s="2"/>
      <c r="Z4" s="3" t="s">
        <v>539</v>
      </c>
      <c r="AA4" s="9">
        <f>T6*AA3/AA3</f>
        <v>0</v>
      </c>
      <c r="AB4" s="9" t="e">
        <f>U6*AB3/AB3</f>
        <v>#DIV/0!</v>
      </c>
      <c r="AC4" s="9">
        <f>V6*AC3/AC3</f>
        <v>1.5707963267948966</v>
      </c>
      <c r="AD4" s="9">
        <f>W6*AD3/AD3</f>
        <v>-1.5707963267948966</v>
      </c>
      <c r="AE4" s="3" t="s">
        <v>540</v>
      </c>
      <c r="AF4" s="5">
        <f>$X$12</f>
        <v>3.875E-5</v>
      </c>
      <c r="AG4" s="3" t="s">
        <v>539</v>
      </c>
      <c r="AH4" s="9">
        <f t="shared" si="2"/>
        <v>0</v>
      </c>
      <c r="AI4" s="9" t="e">
        <f t="shared" si="2"/>
        <v>#DIV/0!</v>
      </c>
      <c r="AJ4" s="9">
        <f t="shared" si="2"/>
        <v>1.5707963267948966</v>
      </c>
      <c r="AK4" s="9">
        <f t="shared" si="2"/>
        <v>-1.5707963267948966</v>
      </c>
      <c r="AM4" s="3" t="s">
        <v>539</v>
      </c>
      <c r="AN4" s="9">
        <f t="shared" si="3"/>
        <v>0</v>
      </c>
      <c r="AO4" s="9" t="e">
        <f t="shared" si="3"/>
        <v>#DIV/0!</v>
      </c>
      <c r="AP4" s="9">
        <f t="shared" si="3"/>
        <v>1.5707963267948966</v>
      </c>
      <c r="AQ4" s="9">
        <f t="shared" si="3"/>
        <v>-1.5707963267948966</v>
      </c>
      <c r="AS4" s="3" t="s">
        <v>539</v>
      </c>
      <c r="AT4" s="9">
        <f t="shared" si="4"/>
        <v>0</v>
      </c>
      <c r="AU4" s="9" t="e">
        <f t="shared" si="4"/>
        <v>#DIV/0!</v>
      </c>
      <c r="AV4" s="9">
        <f t="shared" si="4"/>
        <v>1.5707963267948966</v>
      </c>
      <c r="AW4" s="9">
        <f t="shared" si="4"/>
        <v>-1.5707963267948966</v>
      </c>
    </row>
    <row r="5" spans="1:50" ht="15.6">
      <c r="A5" s="1" t="s">
        <v>1519</v>
      </c>
      <c r="B5" s="16"/>
      <c r="C5" s="1" t="s">
        <v>1520</v>
      </c>
      <c r="H5" s="1" t="s">
        <v>1575</v>
      </c>
      <c r="I5" s="75">
        <v>1</v>
      </c>
      <c r="K5" s="3" t="s">
        <v>298</v>
      </c>
      <c r="L5" s="4">
        <f>$B$26</f>
        <v>181</v>
      </c>
      <c r="M5" s="4">
        <f>M12*M11</f>
        <v>181.00000000000003</v>
      </c>
      <c r="N5" s="8">
        <f>M5/L5</f>
        <v>1.0000000000000002</v>
      </c>
      <c r="O5" s="3" t="s">
        <v>299</v>
      </c>
      <c r="P5" s="7">
        <f>$H$26</f>
        <v>160</v>
      </c>
      <c r="Q5" s="7">
        <f>P5-$H$29*(Q3-P3)</f>
        <v>160</v>
      </c>
      <c r="R5" s="8">
        <f t="shared" si="0"/>
        <v>1</v>
      </c>
      <c r="S5" s="3" t="s">
        <v>541</v>
      </c>
      <c r="T5" s="14">
        <f>$B$4</f>
        <v>5.1666666666666666E-2</v>
      </c>
      <c r="U5" s="14">
        <f>$C$4</f>
        <v>0</v>
      </c>
      <c r="V5" s="14">
        <f>$D$4</f>
        <v>5.1666666666666666E-2</v>
      </c>
      <c r="W5" s="14">
        <f>$E$4</f>
        <v>5.1666666666666666E-2</v>
      </c>
      <c r="X5" s="15">
        <f>F4</f>
        <v>1</v>
      </c>
      <c r="Y5" s="2"/>
      <c r="Z5" s="3"/>
      <c r="AA5" s="5"/>
      <c r="AB5" s="5"/>
      <c r="AC5" s="26">
        <f>AA8/C9/X23</f>
        <v>-2.889580297962981</v>
      </c>
      <c r="AD5" s="5"/>
      <c r="AE5" s="6"/>
    </row>
    <row r="6" spans="1:50" ht="15.6">
      <c r="A6" s="1" t="s">
        <v>1521</v>
      </c>
      <c r="B6" s="74">
        <v>590.55118110236219</v>
      </c>
      <c r="C6" s="3" t="s">
        <v>1522</v>
      </c>
      <c r="D6" s="123"/>
      <c r="E6" s="124" t="s">
        <v>1523</v>
      </c>
      <c r="F6" s="97" t="s">
        <v>1524</v>
      </c>
      <c r="G6" s="99" t="s">
        <v>1525</v>
      </c>
      <c r="H6" s="124" t="s">
        <v>1526</v>
      </c>
      <c r="I6" s="97" t="s">
        <v>1527</v>
      </c>
      <c r="J6" s="100" t="s">
        <v>724</v>
      </c>
      <c r="K6" s="3" t="s">
        <v>1579</v>
      </c>
      <c r="L6" s="4">
        <f>$C$26</f>
        <v>10.3</v>
      </c>
      <c r="M6" s="4">
        <f>(1+M15)/(1/M16+M15/M13)</f>
        <v>10.3</v>
      </c>
      <c r="N6" s="8">
        <f>M6/L6</f>
        <v>1</v>
      </c>
      <c r="O6" s="3" t="s">
        <v>1580</v>
      </c>
      <c r="P6" s="4">
        <f>(P5-P2)/(P5-P2)</f>
        <v>1</v>
      </c>
      <c r="Q6" s="4">
        <f>(Q5-Q2)/(Q5-P2)</f>
        <v>1</v>
      </c>
      <c r="R6" s="8">
        <f t="shared" si="0"/>
        <v>1</v>
      </c>
      <c r="S6" s="3" t="s">
        <v>1295</v>
      </c>
      <c r="T6" s="8">
        <f>T4*PI()/90</f>
        <v>0</v>
      </c>
      <c r="U6" s="8">
        <f>U4*PI()/90</f>
        <v>3.1415926535897931</v>
      </c>
      <c r="V6" s="8">
        <f>V4*PI()/90</f>
        <v>1.5707963267948966</v>
      </c>
      <c r="W6" s="8">
        <f>W4*PI()/90</f>
        <v>-1.5707963267948966</v>
      </c>
      <c r="X6" s="6" t="s">
        <v>1463</v>
      </c>
      <c r="Y6" s="16"/>
      <c r="Z6" s="1" t="s">
        <v>1297</v>
      </c>
      <c r="AA6" s="6"/>
      <c r="AB6" s="6"/>
      <c r="AC6" s="125" t="e">
        <f>AB8/C11</f>
        <v>#DIV/0!</v>
      </c>
      <c r="AD6" s="26" t="e">
        <f>AC6/7.0345</f>
        <v>#DIV/0!</v>
      </c>
      <c r="AE6" s="5"/>
      <c r="AG6" s="1" t="s">
        <v>1298</v>
      </c>
      <c r="AL6" s="3" t="s">
        <v>1299</v>
      </c>
      <c r="AM6" s="1" t="s">
        <v>1298</v>
      </c>
      <c r="AR6" s="3" t="s">
        <v>1299</v>
      </c>
      <c r="AS6" s="1" t="s">
        <v>1298</v>
      </c>
      <c r="AX6" s="3" t="s">
        <v>1299</v>
      </c>
    </row>
    <row r="7" spans="1:50" ht="15.6">
      <c r="A7" s="1" t="s">
        <v>725</v>
      </c>
      <c r="B7" s="74">
        <v>12</v>
      </c>
      <c r="C7" s="5">
        <f>(3*$B$7^2*$B$8+$B$7^3)*$H$4/1000/6</f>
        <v>4.4639999999999992E-2</v>
      </c>
      <c r="D7" s="101" t="s">
        <v>1467</v>
      </c>
      <c r="E7" s="126">
        <f>($B$10/3+$B$11*$B$6/8)*$B$6^3/$X$23/$C$7</f>
        <v>-197869.90369720489</v>
      </c>
      <c r="F7" s="103">
        <f>E7*G7</f>
        <v>-104632.73691466455</v>
      </c>
      <c r="G7" s="104">
        <f>AL38</f>
        <v>0.52879561246859086</v>
      </c>
      <c r="H7" s="126">
        <f>E7*$C$7/$C$9</f>
        <v>-335914.38146695954</v>
      </c>
      <c r="I7" s="103">
        <f>H7*J7</f>
        <v>-104632.73691466457</v>
      </c>
      <c r="J7" s="105">
        <f>G7*$C$9/$C$7</f>
        <v>0.31148632713409508</v>
      </c>
      <c r="K7" s="3" t="s">
        <v>259</v>
      </c>
      <c r="L7" s="4">
        <f>$D$26</f>
        <v>0.28000000000000003</v>
      </c>
      <c r="M7" s="4">
        <f>L7</f>
        <v>0.28000000000000003</v>
      </c>
      <c r="N7" s="8">
        <f>M7/L7</f>
        <v>1</v>
      </c>
      <c r="O7" s="3" t="s">
        <v>260</v>
      </c>
      <c r="P7" s="7">
        <f>P2-P4</f>
        <v>-100</v>
      </c>
      <c r="Q7" s="7">
        <f>Q2-Q4</f>
        <v>-100</v>
      </c>
      <c r="R7" s="8">
        <f t="shared" si="0"/>
        <v>1</v>
      </c>
      <c r="S7" s="3" t="s">
        <v>1300</v>
      </c>
      <c r="T7" s="8">
        <f>2*T6</f>
        <v>0</v>
      </c>
      <c r="U7" s="8">
        <f>2*U6</f>
        <v>6.2831853071795862</v>
      </c>
      <c r="V7" s="8">
        <f>2*V6</f>
        <v>3.1415926535897931</v>
      </c>
      <c r="W7" s="8">
        <f>2*W6</f>
        <v>-3.1415926535897931</v>
      </c>
      <c r="X7" s="15">
        <f>G4/X5/2</f>
        <v>0.155</v>
      </c>
      <c r="Y7" s="9"/>
      <c r="Z7" s="3"/>
      <c r="AA7" s="6" t="s">
        <v>1468</v>
      </c>
      <c r="AB7" s="6" t="s">
        <v>726</v>
      </c>
      <c r="AC7" s="19" t="s">
        <v>727</v>
      </c>
      <c r="AD7" s="19" t="s">
        <v>728</v>
      </c>
      <c r="AE7" s="6" t="s">
        <v>1303</v>
      </c>
      <c r="AF7" s="6" t="s">
        <v>1304</v>
      </c>
      <c r="AG7" s="3" t="s">
        <v>1305</v>
      </c>
      <c r="AH7" s="22">
        <f t="shared" ref="AH7:AK9" si="5">AA13/1000</f>
        <v>-1.0212619765543095E-2</v>
      </c>
      <c r="AI7" s="22" t="e">
        <f t="shared" si="5"/>
        <v>#DIV/0!</v>
      </c>
      <c r="AJ7" s="22">
        <f t="shared" si="5"/>
        <v>-1.4918686901993186E-3</v>
      </c>
      <c r="AK7" s="22">
        <f t="shared" si="5"/>
        <v>-1.4918686901993182E-3</v>
      </c>
      <c r="AL7" s="22">
        <f>($U$37+$U$38)/2</f>
        <v>6.9461741086454103E-5</v>
      </c>
      <c r="AM7" s="3" t="s">
        <v>1305</v>
      </c>
      <c r="AN7" s="22">
        <f t="shared" ref="AN7:AQ12" si="6">AH7/4</f>
        <v>-2.5531549413857738E-3</v>
      </c>
      <c r="AO7" s="22" t="e">
        <f t="shared" si="6"/>
        <v>#DIV/0!</v>
      </c>
      <c r="AP7" s="22">
        <f t="shared" si="6"/>
        <v>-3.7296717254982966E-4</v>
      </c>
      <c r="AQ7" s="22">
        <f t="shared" si="6"/>
        <v>-3.7296717254982955E-4</v>
      </c>
      <c r="AR7" s="22">
        <f>($U$37+$U$38)/2</f>
        <v>6.9461741086454103E-5</v>
      </c>
      <c r="AS7" s="3" t="s">
        <v>1305</v>
      </c>
      <c r="AT7" s="22">
        <f t="shared" ref="AT7:AW9" si="7">AA16/1000</f>
        <v>-1.2765774706928869E-3</v>
      </c>
      <c r="AU7" s="22" t="e">
        <f t="shared" si="7"/>
        <v>#DIV/0!</v>
      </c>
      <c r="AV7" s="22">
        <f t="shared" si="7"/>
        <v>-1.8648358627491483E-4</v>
      </c>
      <c r="AW7" s="22">
        <f t="shared" si="7"/>
        <v>-1.8648358627491477E-4</v>
      </c>
      <c r="AX7" s="22">
        <f>($U$37+$U$38)/2</f>
        <v>6.9461741086454103E-5</v>
      </c>
    </row>
    <row r="8" spans="1:50" ht="15.6">
      <c r="A8" s="1" t="s">
        <v>729</v>
      </c>
      <c r="B8" s="74">
        <v>12</v>
      </c>
      <c r="C8" s="16" t="s">
        <v>730</v>
      </c>
      <c r="D8" s="107" t="s">
        <v>1475</v>
      </c>
      <c r="E8" s="127">
        <f>($B$10/48+5*$B$11*$B$6/384)*$B$6^3/$X$23/$C$7</f>
        <v>-12366.868981075306</v>
      </c>
      <c r="F8" s="12">
        <f>E8*G8</f>
        <v>-26158.184228666138</v>
      </c>
      <c r="G8" s="4">
        <f>AR38</f>
        <v>2.1151824498743634</v>
      </c>
      <c r="H8" s="127">
        <f>E8*$C$7/$C$9</f>
        <v>-20994.648841684972</v>
      </c>
      <c r="I8" s="12">
        <f>H8*J8</f>
        <v>-26158.184228666141</v>
      </c>
      <c r="J8" s="108">
        <f>G8*$C$9/$C$7</f>
        <v>1.2459453085363803</v>
      </c>
      <c r="K8" s="3" t="s">
        <v>261</v>
      </c>
      <c r="L8" s="4">
        <f>$E$26</f>
        <v>7.17</v>
      </c>
      <c r="M8" s="4">
        <f>(1+M18)/(1/M19+M18*2.7/M13)</f>
        <v>7.17</v>
      </c>
      <c r="N8" s="8">
        <f>M8/L8</f>
        <v>1</v>
      </c>
      <c r="O8" s="3"/>
      <c r="P8" s="4"/>
      <c r="Q8" s="4"/>
      <c r="R8" s="4"/>
      <c r="T8" s="20"/>
      <c r="U8" s="20"/>
      <c r="V8" s="20"/>
      <c r="W8" s="21"/>
      <c r="X8" s="6"/>
      <c r="Y8" s="6"/>
      <c r="Z8" s="3">
        <v>1</v>
      </c>
      <c r="AA8" s="4">
        <f>($B$10+$B$11*$B$6/2)*$B$6</f>
        <v>-5.9055118110236222</v>
      </c>
      <c r="AB8" s="4">
        <f>AA8/C7/X23</f>
        <v>-1.7021032942571825</v>
      </c>
      <c r="AC8" s="4">
        <f>AB8*B7/2</f>
        <v>-10.212619765543096</v>
      </c>
      <c r="AD8" s="4">
        <f>AB10*B7/2</f>
        <v>-1.276577470692887</v>
      </c>
      <c r="AE8" s="16" t="s">
        <v>1476</v>
      </c>
      <c r="AF8" s="22">
        <f>(AC8+AC9)/2</f>
        <v>-1.4918686901993179</v>
      </c>
      <c r="AG8" s="3" t="s">
        <v>1307</v>
      </c>
      <c r="AH8" s="22">
        <f t="shared" si="5"/>
        <v>7.2288823851444596E-3</v>
      </c>
      <c r="AI8" s="22" t="e">
        <f t="shared" si="5"/>
        <v>#DIV/0!</v>
      </c>
      <c r="AJ8" s="22">
        <f t="shared" si="5"/>
        <v>-1.4918686901993173E-3</v>
      </c>
      <c r="AK8" s="22">
        <f t="shared" si="5"/>
        <v>-1.4918686901993178E-3</v>
      </c>
      <c r="AL8" s="22">
        <f>($U$37-$U$38)/2</f>
        <v>-7.3259303909057016E-5</v>
      </c>
      <c r="AM8" s="3" t="s">
        <v>1307</v>
      </c>
      <c r="AN8" s="22">
        <f t="shared" si="6"/>
        <v>1.8072205962861149E-3</v>
      </c>
      <c r="AO8" s="22" t="e">
        <f t="shared" si="6"/>
        <v>#DIV/0!</v>
      </c>
      <c r="AP8" s="22">
        <f t="shared" si="6"/>
        <v>-3.7296717254982933E-4</v>
      </c>
      <c r="AQ8" s="22">
        <f t="shared" si="6"/>
        <v>-3.7296717254982944E-4</v>
      </c>
      <c r="AR8" s="22">
        <f>($U$37-$U$38)/2</f>
        <v>-7.3259303909057016E-5</v>
      </c>
      <c r="AS8" s="3" t="s">
        <v>1307</v>
      </c>
      <c r="AT8" s="22">
        <f t="shared" si="7"/>
        <v>9.0361029814305745E-4</v>
      </c>
      <c r="AU8" s="22" t="e">
        <f t="shared" si="7"/>
        <v>#DIV/0!</v>
      </c>
      <c r="AV8" s="22">
        <f t="shared" si="7"/>
        <v>-1.8648358627491467E-4</v>
      </c>
      <c r="AW8" s="22">
        <f t="shared" si="7"/>
        <v>-1.8648358627491472E-4</v>
      </c>
      <c r="AX8" s="22">
        <f>($U$37-$U$38)/2</f>
        <v>-7.3259303909057016E-5</v>
      </c>
    </row>
    <row r="9" spans="1:50">
      <c r="A9" s="2" t="s">
        <v>731</v>
      </c>
      <c r="C9" s="5">
        <f>(3*$B$7^2*$B$8+$B$7^3)*PI()*$H$4/1000/32</f>
        <v>2.6295130510546567E-2</v>
      </c>
      <c r="D9" s="110" t="s">
        <v>1479</v>
      </c>
      <c r="E9" s="128">
        <f>($B$10/192+$B$11*$B$6/384)*$B$6^3/$X$23/$C$7</f>
        <v>-3091.7172452688264</v>
      </c>
      <c r="F9" s="129">
        <f>E9*G9</f>
        <v>-13079.092114333069</v>
      </c>
      <c r="G9" s="112">
        <f>AX38</f>
        <v>4.2303648997487269</v>
      </c>
      <c r="H9" s="128">
        <f>E9*$C$7/$C$9</f>
        <v>-5248.6622104212429</v>
      </c>
      <c r="I9" s="129">
        <f>H9*J9</f>
        <v>-13079.092114333071</v>
      </c>
      <c r="J9" s="113">
        <f>G9*$C$9/$C$7</f>
        <v>2.4918906170727606</v>
      </c>
      <c r="K9" s="3" t="s">
        <v>262</v>
      </c>
      <c r="L9" s="7">
        <f>$B$28</f>
        <v>125</v>
      </c>
      <c r="M9" s="7">
        <f>L9/N11</f>
        <v>125</v>
      </c>
      <c r="N9" s="8">
        <f>M9/L9</f>
        <v>1</v>
      </c>
      <c r="O9" s="1" t="s">
        <v>1531</v>
      </c>
      <c r="P9" s="4"/>
      <c r="Q9" s="4"/>
      <c r="R9" s="4"/>
      <c r="S9" s="3" t="s">
        <v>1308</v>
      </c>
      <c r="T9" s="18">
        <v>1</v>
      </c>
      <c r="U9" s="18">
        <f>T10</f>
        <v>0.66666666666666674</v>
      </c>
      <c r="V9" s="18">
        <f>U10</f>
        <v>0.66666666666666674</v>
      </c>
      <c r="W9" s="18">
        <f>V10</f>
        <v>0.33333333333333343</v>
      </c>
      <c r="X9" s="20"/>
      <c r="Y9" s="6"/>
      <c r="Z9" s="3">
        <v>2</v>
      </c>
      <c r="AA9" s="13" t="s">
        <v>732</v>
      </c>
      <c r="AB9" s="13" t="s">
        <v>733</v>
      </c>
      <c r="AC9" s="4">
        <f>-X25*AC8</f>
        <v>7.2288823851444599</v>
      </c>
      <c r="AD9" s="4">
        <f>-AD8*X25</f>
        <v>0.90361029814305749</v>
      </c>
      <c r="AE9" s="16" t="s">
        <v>1481</v>
      </c>
      <c r="AF9" s="22">
        <f>(AC8-AC9)/2</f>
        <v>-8.7207510753437774</v>
      </c>
      <c r="AG9" s="3" t="s">
        <v>1310</v>
      </c>
      <c r="AH9" s="22">
        <f t="shared" si="5"/>
        <v>-4.7534450490231911E-19</v>
      </c>
      <c r="AI9" s="22" t="e">
        <f t="shared" si="5"/>
        <v>#DIV/0!</v>
      </c>
      <c r="AJ9" s="22">
        <f t="shared" si="5"/>
        <v>1.7441502150687554E-2</v>
      </c>
      <c r="AK9" s="22">
        <f t="shared" si="5"/>
        <v>-1.7441502150687554E-2</v>
      </c>
      <c r="AL9" s="22">
        <f>$U$39/2</f>
        <v>1.599872627604576E-20</v>
      </c>
      <c r="AM9" s="3" t="s">
        <v>1310</v>
      </c>
      <c r="AN9" s="22">
        <f t="shared" si="6"/>
        <v>-1.1883612622557978E-19</v>
      </c>
      <c r="AO9" s="22" t="e">
        <f t="shared" si="6"/>
        <v>#DIV/0!</v>
      </c>
      <c r="AP9" s="22">
        <f t="shared" si="6"/>
        <v>4.3603755376718885E-3</v>
      </c>
      <c r="AQ9" s="22">
        <f t="shared" si="6"/>
        <v>-4.3603755376718885E-3</v>
      </c>
      <c r="AR9" s="22">
        <f>$U$39/2</f>
        <v>1.599872627604576E-20</v>
      </c>
      <c r="AS9" s="3" t="s">
        <v>1310</v>
      </c>
      <c r="AT9" s="22">
        <f t="shared" si="7"/>
        <v>-5.9418063112789889E-20</v>
      </c>
      <c r="AU9" s="22" t="e">
        <f t="shared" si="7"/>
        <v>#DIV/0!</v>
      </c>
      <c r="AV9" s="22">
        <f t="shared" si="7"/>
        <v>2.1801877688359442E-3</v>
      </c>
      <c r="AW9" s="22">
        <f t="shared" si="7"/>
        <v>-2.1801877688359442E-3</v>
      </c>
      <c r="AX9" s="22">
        <f>$U$39/2</f>
        <v>1.599872627604576E-20</v>
      </c>
    </row>
    <row r="10" spans="1:50" ht="15.6">
      <c r="A10" s="1" t="s">
        <v>734</v>
      </c>
      <c r="B10" s="75">
        <v>-0.01</v>
      </c>
      <c r="C10" s="2" t="s">
        <v>735</v>
      </c>
      <c r="D10" s="25">
        <f>AC12</f>
        <v>-419.73235686165765</v>
      </c>
      <c r="E10" s="1" t="s">
        <v>736</v>
      </c>
      <c r="F10" s="114">
        <f>X23</f>
        <v>77.72262217979133</v>
      </c>
      <c r="G10"/>
      <c r="H10"/>
      <c r="I10"/>
      <c r="J10"/>
      <c r="K10" s="1" t="s">
        <v>264</v>
      </c>
      <c r="L10" s="4"/>
      <c r="M10" s="4"/>
      <c r="O10" s="3" t="s">
        <v>265</v>
      </c>
      <c r="P10" s="4">
        <f>$A$29</f>
        <v>0.02</v>
      </c>
      <c r="Q10" s="4">
        <f>P10</f>
        <v>0.02</v>
      </c>
      <c r="R10" s="4">
        <f>Q10/P10</f>
        <v>1</v>
      </c>
      <c r="S10" s="3" t="s">
        <v>1311</v>
      </c>
      <c r="T10" s="18">
        <f>T9-T5/$X$7</f>
        <v>0.66666666666666674</v>
      </c>
      <c r="U10" s="18">
        <f>U9-U5/$X$7</f>
        <v>0.66666666666666674</v>
      </c>
      <c r="V10" s="18">
        <f>V9-V5/$X$7</f>
        <v>0.33333333333333343</v>
      </c>
      <c r="W10" s="18">
        <f>W9-W5/$X$7</f>
        <v>0</v>
      </c>
      <c r="Z10" s="3">
        <v>6</v>
      </c>
      <c r="AA10" s="8">
        <f>($B$10/8+$B$11*$B$6/12)*$B$6</f>
        <v>-0.73818897637795278</v>
      </c>
      <c r="AB10" s="4">
        <f>AA10/X23/C7</f>
        <v>-0.21276291178214785</v>
      </c>
      <c r="AC10" s="4">
        <f>AC8*X27</f>
        <v>-4.7534450490231913E-16</v>
      </c>
      <c r="AD10" s="4">
        <f>AD8*X27</f>
        <v>-5.9418063112789891E-17</v>
      </c>
      <c r="AE10" s="16" t="s">
        <v>1483</v>
      </c>
      <c r="AF10" s="22">
        <f>AC10/2</f>
        <v>-2.3767225245115956E-16</v>
      </c>
      <c r="AG10" s="3" t="s">
        <v>737</v>
      </c>
      <c r="AH10" s="22">
        <f t="shared" ref="AH10:AK12" si="8">-AH7</f>
        <v>1.0212619765543095E-2</v>
      </c>
      <c r="AI10" s="22" t="e">
        <f t="shared" si="8"/>
        <v>#DIV/0!</v>
      </c>
      <c r="AJ10" s="22">
        <f t="shared" si="8"/>
        <v>1.4918686901993186E-3</v>
      </c>
      <c r="AK10" s="22">
        <f t="shared" si="8"/>
        <v>1.4918686901993182E-3</v>
      </c>
      <c r="AL10" s="22"/>
      <c r="AM10" s="3" t="s">
        <v>737</v>
      </c>
      <c r="AN10" s="22">
        <f t="shared" si="6"/>
        <v>2.5531549413857738E-3</v>
      </c>
      <c r="AO10" s="22" t="e">
        <f t="shared" si="6"/>
        <v>#DIV/0!</v>
      </c>
      <c r="AP10" s="22">
        <f t="shared" si="6"/>
        <v>3.7296717254982966E-4</v>
      </c>
      <c r="AQ10" s="22">
        <f t="shared" si="6"/>
        <v>3.7296717254982955E-4</v>
      </c>
      <c r="AR10" s="22"/>
      <c r="AS10" s="3" t="s">
        <v>737</v>
      </c>
      <c r="AT10" s="22">
        <f t="shared" ref="AT10:AW12" si="9">-AT7</f>
        <v>1.2765774706928869E-3</v>
      </c>
      <c r="AU10" s="22" t="e">
        <f t="shared" si="9"/>
        <v>#DIV/0!</v>
      </c>
      <c r="AV10" s="22">
        <f t="shared" si="9"/>
        <v>1.8648358627491483E-4</v>
      </c>
      <c r="AW10" s="22">
        <f t="shared" si="9"/>
        <v>1.8648358627491477E-4</v>
      </c>
      <c r="AX10" s="22"/>
    </row>
    <row r="11" spans="1:50" ht="15.6">
      <c r="A11" s="81" t="s">
        <v>738</v>
      </c>
      <c r="B11" s="75">
        <v>0</v>
      </c>
      <c r="C11" s="130"/>
      <c r="D11" s="131"/>
      <c r="E11"/>
      <c r="F11"/>
      <c r="G11"/>
      <c r="H11"/>
      <c r="I11"/>
      <c r="J11"/>
      <c r="K11" s="3" t="s">
        <v>1532</v>
      </c>
      <c r="L11" s="4">
        <f>$C$28</f>
        <v>0.7</v>
      </c>
      <c r="M11" s="4">
        <f>$D$18</f>
        <v>0.7</v>
      </c>
      <c r="N11" s="8">
        <f t="shared" ref="N11:N19" si="10">M11/L11</f>
        <v>1</v>
      </c>
      <c r="O11" s="3" t="s">
        <v>1533</v>
      </c>
      <c r="P11" s="4">
        <f>$B$29</f>
        <v>22.5</v>
      </c>
      <c r="Q11" s="4">
        <f>P11*(1-M11)/(1-L11)</f>
        <v>22.5</v>
      </c>
      <c r="R11" s="4">
        <f>Q11/P11</f>
        <v>1</v>
      </c>
      <c r="S11" s="3" t="s">
        <v>1321</v>
      </c>
      <c r="T11" s="18">
        <f>T9-T10</f>
        <v>0.33333333333333326</v>
      </c>
      <c r="U11" s="18">
        <f>U9-U10</f>
        <v>0</v>
      </c>
      <c r="V11" s="18">
        <f>V9-V10</f>
        <v>0.33333333333333331</v>
      </c>
      <c r="W11" s="18">
        <f>W9-W10</f>
        <v>0.33333333333333343</v>
      </c>
      <c r="X11" s="6" t="s">
        <v>603</v>
      </c>
      <c r="Y11" s="6"/>
      <c r="AA11" s="4">
        <f>AA8/AA10</f>
        <v>8</v>
      </c>
      <c r="AB11" s="13" t="s">
        <v>739</v>
      </c>
      <c r="AC11" s="4">
        <f>AC8*$Y$15+$Y$17*AC9+AC10*$Y$19</f>
        <v>-793.75158750317485</v>
      </c>
      <c r="AD11" s="4">
        <f>AD8*$Y$15+$Y$17*AD9+AD10*$Y$19</f>
        <v>-99.218948437896856</v>
      </c>
      <c r="AE11" s="16" t="s">
        <v>1488</v>
      </c>
      <c r="AF11" s="22">
        <f>(AD8+AD9)/2</f>
        <v>-0.18648358627491474</v>
      </c>
      <c r="AG11" s="3" t="s">
        <v>740</v>
      </c>
      <c r="AH11" s="22">
        <f t="shared" si="8"/>
        <v>-7.2288823851444596E-3</v>
      </c>
      <c r="AI11" s="22" t="e">
        <f t="shared" si="8"/>
        <v>#DIV/0!</v>
      </c>
      <c r="AJ11" s="22">
        <f t="shared" si="8"/>
        <v>1.4918686901993173E-3</v>
      </c>
      <c r="AK11" s="22">
        <f t="shared" si="8"/>
        <v>1.4918686901993178E-3</v>
      </c>
      <c r="AL11" s="22"/>
      <c r="AM11" s="3" t="s">
        <v>740</v>
      </c>
      <c r="AN11" s="22">
        <f t="shared" si="6"/>
        <v>-1.8072205962861149E-3</v>
      </c>
      <c r="AO11" s="22" t="e">
        <f t="shared" si="6"/>
        <v>#DIV/0!</v>
      </c>
      <c r="AP11" s="22">
        <f t="shared" si="6"/>
        <v>3.7296717254982933E-4</v>
      </c>
      <c r="AQ11" s="22">
        <f t="shared" si="6"/>
        <v>3.7296717254982944E-4</v>
      </c>
      <c r="AR11" s="22"/>
      <c r="AS11" s="3" t="s">
        <v>740</v>
      </c>
      <c r="AT11" s="22">
        <f t="shared" si="9"/>
        <v>-9.0361029814305745E-4</v>
      </c>
      <c r="AU11" s="22" t="e">
        <f t="shared" si="9"/>
        <v>#DIV/0!</v>
      </c>
      <c r="AV11" s="22">
        <f t="shared" si="9"/>
        <v>1.8648358627491467E-4</v>
      </c>
      <c r="AW11" s="22">
        <f t="shared" si="9"/>
        <v>1.8648358627491472E-4</v>
      </c>
      <c r="AX11" s="22"/>
    </row>
    <row r="12" spans="1:50">
      <c r="A12" s="1" t="s">
        <v>741</v>
      </c>
      <c r="B12" s="114">
        <f t="shared" ref="B12:E13" si="11">AH38</f>
        <v>0.54841627908742296</v>
      </c>
      <c r="C12" s="114">
        <f t="shared" si="11"/>
        <v>1000000000</v>
      </c>
      <c r="D12" s="114">
        <f t="shared" si="11"/>
        <v>0.62918835721711863</v>
      </c>
      <c r="E12" s="114">
        <f t="shared" si="11"/>
        <v>0.62918835721711852</v>
      </c>
      <c r="F12" s="2" t="s">
        <v>1528</v>
      </c>
      <c r="G12" s="4">
        <f>MIN(B12:E12,B13:E13)</f>
        <v>0.52879561246859086</v>
      </c>
      <c r="H12"/>
      <c r="I12"/>
      <c r="J12"/>
      <c r="K12" s="3" t="s">
        <v>1534</v>
      </c>
      <c r="L12" s="7">
        <f>L5/L11</f>
        <v>258.57142857142861</v>
      </c>
      <c r="M12" s="7">
        <f>$F$18*Q6^$F$29</f>
        <v>258.57142857142861</v>
      </c>
      <c r="N12" s="8">
        <f t="shared" si="10"/>
        <v>1</v>
      </c>
      <c r="O12" s="2" t="s">
        <v>1535</v>
      </c>
      <c r="P12" s="4"/>
      <c r="Q12" s="4"/>
      <c r="R12" s="4"/>
      <c r="S12" s="3"/>
      <c r="T12" s="20"/>
      <c r="U12" s="20"/>
      <c r="V12" s="20"/>
      <c r="W12" s="18"/>
      <c r="X12" s="5">
        <f>H4/1000</f>
        <v>3.875E-5</v>
      </c>
      <c r="Z12" s="1" t="s">
        <v>742</v>
      </c>
      <c r="AA12" s="4"/>
      <c r="AB12" s="13" t="s">
        <v>743</v>
      </c>
      <c r="AC12" s="4">
        <f>AC11*$G$12</f>
        <v>-419.73235686165765</v>
      </c>
      <c r="AD12" s="4" t="e">
        <f>AD11*#REF!</f>
        <v>#REF!</v>
      </c>
      <c r="AE12" s="16" t="s">
        <v>1492</v>
      </c>
      <c r="AF12" s="22">
        <f>(AD8-AD9)/2</f>
        <v>-1.0900938844179722</v>
      </c>
      <c r="AG12" s="3" t="s">
        <v>744</v>
      </c>
      <c r="AH12" s="22">
        <f t="shared" si="8"/>
        <v>4.7534450490231911E-19</v>
      </c>
      <c r="AI12" s="22" t="e">
        <f t="shared" si="8"/>
        <v>#DIV/0!</v>
      </c>
      <c r="AJ12" s="22">
        <f t="shared" si="8"/>
        <v>-1.7441502150687554E-2</v>
      </c>
      <c r="AK12" s="22">
        <f t="shared" si="8"/>
        <v>1.7441502150687554E-2</v>
      </c>
      <c r="AL12" s="22"/>
      <c r="AM12" s="3" t="s">
        <v>744</v>
      </c>
      <c r="AN12" s="22">
        <f t="shared" si="6"/>
        <v>1.1883612622557978E-19</v>
      </c>
      <c r="AO12" s="22" t="e">
        <f t="shared" si="6"/>
        <v>#DIV/0!</v>
      </c>
      <c r="AP12" s="22">
        <f t="shared" si="6"/>
        <v>-4.3603755376718885E-3</v>
      </c>
      <c r="AQ12" s="22">
        <f t="shared" si="6"/>
        <v>4.3603755376718885E-3</v>
      </c>
      <c r="AR12" s="22"/>
      <c r="AS12" s="3" t="s">
        <v>744</v>
      </c>
      <c r="AT12" s="22">
        <f t="shared" si="9"/>
        <v>5.9418063112789889E-20</v>
      </c>
      <c r="AU12" s="22" t="e">
        <f t="shared" si="9"/>
        <v>#DIV/0!</v>
      </c>
      <c r="AV12" s="22">
        <f t="shared" si="9"/>
        <v>-2.1801877688359442E-3</v>
      </c>
      <c r="AW12" s="22">
        <f t="shared" si="9"/>
        <v>2.1801877688359442E-3</v>
      </c>
      <c r="AX12" s="22"/>
    </row>
    <row r="13" spans="1:50">
      <c r="A13" s="1" t="s">
        <v>745</v>
      </c>
      <c r="B13" s="8">
        <f t="shared" si="11"/>
        <v>0.90853381806052824</v>
      </c>
      <c r="C13" s="8">
        <f t="shared" si="11"/>
        <v>1000000000</v>
      </c>
      <c r="D13" s="8">
        <f t="shared" si="11"/>
        <v>0.52879561246859086</v>
      </c>
      <c r="E13" s="8">
        <f t="shared" si="11"/>
        <v>0.52879561246859097</v>
      </c>
      <c r="F13"/>
      <c r="G13"/>
      <c r="H13"/>
      <c r="I13" s="4"/>
      <c r="J13" s="4"/>
      <c r="K13" s="3" t="s">
        <v>1536</v>
      </c>
      <c r="L13" s="4">
        <f>$F$26</f>
        <v>3.4</v>
      </c>
      <c r="M13" s="4">
        <f>$E$18*Q6^$F$28</f>
        <v>3.4</v>
      </c>
      <c r="N13" s="8">
        <f t="shared" si="10"/>
        <v>1</v>
      </c>
      <c r="O13" s="3" t="s">
        <v>1537</v>
      </c>
      <c r="P13" s="4">
        <f>$C$29</f>
        <v>0</v>
      </c>
      <c r="Q13" s="4">
        <f>P13</f>
        <v>0</v>
      </c>
      <c r="R13" s="4">
        <v>1</v>
      </c>
      <c r="S13" s="3"/>
      <c r="T13" s="20"/>
      <c r="U13" s="20"/>
      <c r="V13" s="20"/>
      <c r="W13" s="18"/>
      <c r="Z13" s="3" t="s">
        <v>746</v>
      </c>
      <c r="AA13" s="4">
        <f>$AF$8+$AF$9*COS(AA4)+$AF$10*SIN(AA4)</f>
        <v>-10.212619765543096</v>
      </c>
      <c r="AB13" s="4" t="e">
        <f>$AF$8+$AF$9*COS(AB4)+$AF$10*SIN(AB4)</f>
        <v>#DIV/0!</v>
      </c>
      <c r="AC13" s="4">
        <f>$AF$8+$AF$9*COS(AC4)+$AF$10*SIN(AC4)</f>
        <v>-1.4918686901993186</v>
      </c>
      <c r="AD13" s="4">
        <f>$AF$8+$AF$9*COS(AD4)+$AF$10*SIN(AD4)</f>
        <v>-1.4918686901993181</v>
      </c>
      <c r="AE13" s="16" t="s">
        <v>1495</v>
      </c>
      <c r="AF13" s="22">
        <f>AD10/2</f>
        <v>-2.9709031556394945E-17</v>
      </c>
      <c r="AG13" s="1"/>
      <c r="AH13" s="16"/>
      <c r="AI13" s="16"/>
      <c r="AJ13" s="16"/>
      <c r="AK13" s="16"/>
      <c r="AL13" s="22"/>
      <c r="AM13" s="1"/>
      <c r="AN13" s="16"/>
      <c r="AO13" s="16"/>
      <c r="AP13" s="16"/>
      <c r="AQ13" s="16"/>
      <c r="AR13" s="22"/>
      <c r="AS13" s="1"/>
      <c r="AT13" s="16"/>
      <c r="AU13" s="16"/>
      <c r="AV13" s="16"/>
      <c r="AW13" s="16"/>
      <c r="AX13" s="22"/>
    </row>
    <row r="14" spans="1:50">
      <c r="A14"/>
      <c r="B14"/>
      <c r="C14"/>
      <c r="D14"/>
      <c r="E14"/>
      <c r="I14" s="4"/>
      <c r="J14" s="4"/>
      <c r="K14" s="3" t="s">
        <v>1538</v>
      </c>
      <c r="L14" s="4">
        <f>$E$28</f>
        <v>0.51600000000000001</v>
      </c>
      <c r="M14" s="4">
        <f>L14*Q6^$G$28</f>
        <v>0.51600000000000001</v>
      </c>
      <c r="N14" s="8">
        <f t="shared" si="10"/>
        <v>1</v>
      </c>
      <c r="O14" s="3" t="s">
        <v>1539</v>
      </c>
      <c r="P14" s="4">
        <f>$D$29</f>
        <v>0.6</v>
      </c>
      <c r="Q14" s="4">
        <v>0.6</v>
      </c>
      <c r="R14" s="4">
        <f>Q14/P14</f>
        <v>1</v>
      </c>
      <c r="S14" s="3" t="s">
        <v>1325</v>
      </c>
      <c r="T14" s="6" t="s">
        <v>1326</v>
      </c>
      <c r="U14" s="6" t="s">
        <v>1327</v>
      </c>
      <c r="V14" s="6" t="s">
        <v>1328</v>
      </c>
      <c r="W14" s="6" t="s">
        <v>1329</v>
      </c>
      <c r="X14" s="6" t="s">
        <v>1330</v>
      </c>
      <c r="Y14" s="6" t="s">
        <v>1331</v>
      </c>
      <c r="Z14" s="3" t="s">
        <v>747</v>
      </c>
      <c r="AA14" s="4">
        <f>2*$AF$8-AA13</f>
        <v>7.2288823851444599</v>
      </c>
      <c r="AB14" s="4" t="e">
        <f>2*$AF$8-AB13</f>
        <v>#DIV/0!</v>
      </c>
      <c r="AC14" s="4">
        <f>2*$AF$8-AC13</f>
        <v>-1.4918686901993172</v>
      </c>
      <c r="AD14" s="4">
        <f>2*$AF$8-AD13</f>
        <v>-1.4918686901993177</v>
      </c>
      <c r="AE14" s="22"/>
      <c r="AF14" s="22"/>
      <c r="AG14" s="3" t="s">
        <v>1333</v>
      </c>
      <c r="AH14" s="22">
        <f>$Q$33*AH7^2+2*$Q$35*AH7*AH8+$Q$34*AH8^2+$Q$36*AH9^2</f>
        <v>2.2633226478044706</v>
      </c>
      <c r="AI14" s="22" t="e">
        <f>$Q$33*AI7^2+2*$Q$35*AI7*AI8+$Q$34*AI8^2+$Q$36*AI9^2</f>
        <v>#DIV/0!</v>
      </c>
      <c r="AJ14" s="22">
        <f>$Q$33*AJ7^2+2*$Q$35*AJ7*AJ8+$Q$34*AJ8^2+$Q$36*AJ9^2</f>
        <v>3.4189419378982859</v>
      </c>
      <c r="AK14" s="22">
        <f>$Q$33*AK7^2+2*$Q$35*AK7*AK8+$Q$34*AK8^2+$Q$36*AK9^2</f>
        <v>3.4189419378982859</v>
      </c>
      <c r="AL14" s="22"/>
      <c r="AM14" s="3" t="s">
        <v>1333</v>
      </c>
      <c r="AN14" s="22">
        <f>$Q$33*AN7^2+2*$Q$35*AN7*AN8+$Q$34*AN8^2+$Q$36*AN9^2</f>
        <v>0.14145766548777941</v>
      </c>
      <c r="AO14" s="22" t="e">
        <f>$Q$33*AO7^2+2*$Q$35*AO7*AO8+$Q$34*AO8^2+$Q$36*AO9^2</f>
        <v>#DIV/0!</v>
      </c>
      <c r="AP14" s="22">
        <f>$Q$33*AP7^2+2*$Q$35*AP7*AP8+$Q$34*AP8^2+$Q$36*AP9^2</f>
        <v>0.21368387111864287</v>
      </c>
      <c r="AQ14" s="22">
        <f>$Q$33*AQ7^2+2*$Q$35*AQ7*AQ8+$Q$34*AQ8^2+$Q$36*AQ9^2</f>
        <v>0.21368387111864287</v>
      </c>
      <c r="AR14" s="22"/>
      <c r="AS14" s="3" t="s">
        <v>1333</v>
      </c>
      <c r="AT14" s="22">
        <f>$Q$33*AT7^2+2*$Q$35*AT7*AT8+$Q$34*AT8^2+$Q$36*AT9^2</f>
        <v>3.5364416371944853E-2</v>
      </c>
      <c r="AU14" s="22" t="e">
        <f>$Q$33*AU7^2+2*$Q$35*AU7*AU8+$Q$34*AU8^2+$Q$36*AU9^2</f>
        <v>#DIV/0!</v>
      </c>
      <c r="AV14" s="22">
        <f>$Q$33*AV7^2+2*$Q$35*AV7*AV8+$Q$34*AV8^2+$Q$36*AV9^2</f>
        <v>5.3420967779660718E-2</v>
      </c>
      <c r="AW14" s="22">
        <f>$Q$33*AW7^2+2*$Q$35*AW7*AW8+$Q$34*AW8^2+$Q$36*AW9^2</f>
        <v>5.3420967779660718E-2</v>
      </c>
      <c r="AX14" s="22"/>
    </row>
    <row r="15" spans="1:50">
      <c r="A15" s="1" t="s">
        <v>1544</v>
      </c>
      <c r="B15" s="132" t="s">
        <v>1545</v>
      </c>
      <c r="C15" s="29">
        <v>90</v>
      </c>
      <c r="D15" s="116" t="s">
        <v>1546</v>
      </c>
      <c r="E15" s="77">
        <f>E8</f>
        <v>-12366.868981075306</v>
      </c>
      <c r="F15" s="24">
        <f>G8</f>
        <v>2.1151824498743634</v>
      </c>
      <c r="G15" s="119">
        <f>G9</f>
        <v>4.2303648997487269</v>
      </c>
      <c r="I15" s="4"/>
      <c r="J15" s="4"/>
      <c r="K15" s="3" t="s">
        <v>1547</v>
      </c>
      <c r="L15" s="4">
        <f>L14*(1-L11)/L11</f>
        <v>0.2211428571428572</v>
      </c>
      <c r="M15" s="4">
        <f>M14*(1-M11)/M11</f>
        <v>0.2211428571428572</v>
      </c>
      <c r="N15" s="8">
        <f t="shared" si="10"/>
        <v>1</v>
      </c>
      <c r="P15" s="4"/>
      <c r="Q15" s="4"/>
      <c r="R15" s="4"/>
      <c r="S15" s="3">
        <v>11</v>
      </c>
      <c r="T15" s="5">
        <f>$M$27+$M$28*COS(T6)+$M$29*COS(T7)</f>
        <v>181.81113884441794</v>
      </c>
      <c r="U15" s="5">
        <f>$M$27+$M$28*COS(U6)+$M$29*COS(U7)</f>
        <v>10.346158729820477</v>
      </c>
      <c r="V15" s="5">
        <f>$M$27+$M$28*COS(V6)+$M$29*COS(V7)</f>
        <v>56.65778661573448</v>
      </c>
      <c r="W15" s="5">
        <f>$M$27+$M$28*COS(W6)+$M$29*COS(W7)</f>
        <v>56.65778661573448</v>
      </c>
      <c r="X15" s="5">
        <f t="shared" ref="X15:X20" si="12">($T$11*T15+$U$11*U15+$V$11*V15+$W$11*W15)*$X$12</f>
        <v>3.8120533643135391E-3</v>
      </c>
      <c r="Y15" s="4">
        <f t="shared" ref="Y15:Y20" si="13">X15/$X$12</f>
        <v>98.375570691962295</v>
      </c>
      <c r="Z15" s="3" t="s">
        <v>748</v>
      </c>
      <c r="AA15" s="4">
        <f>2*($AF$10*COS(AA4)-$AF$9*SIN(AA4))</f>
        <v>-4.7534450490231913E-16</v>
      </c>
      <c r="AB15" s="4" t="e">
        <f>2*($AF$10*COS(AB4)-$AF$9*SIN(AB4))</f>
        <v>#DIV/0!</v>
      </c>
      <c r="AC15" s="4">
        <f>2*($AF$10*COS(AC4)-$AF$9*SIN(AC4))</f>
        <v>17.441502150687555</v>
      </c>
      <c r="AD15" s="4">
        <f>2*($AF$10*COS(AD4)-$AF$9*SIN(AD4))</f>
        <v>-17.441502150687555</v>
      </c>
      <c r="AE15" s="16" t="s">
        <v>749</v>
      </c>
      <c r="AF15" s="22" t="s">
        <v>750</v>
      </c>
      <c r="AG15" s="3" t="s">
        <v>1335</v>
      </c>
      <c r="AH15" s="22">
        <f>$Q$37*AH7+$Q$38*AH8</f>
        <v>0.94638528575090319</v>
      </c>
      <c r="AI15" s="22" t="e">
        <f>$Q$37*AI7+$Q$38*AI8</f>
        <v>#DIV/0!</v>
      </c>
      <c r="AJ15" s="22">
        <f>$Q$37*AJ7+$Q$38*AJ8</f>
        <v>-0.41361075983185802</v>
      </c>
      <c r="AK15" s="22">
        <f>$Q$37*AK7+$Q$38*AK8</f>
        <v>-0.41361075983185802</v>
      </c>
      <c r="AL15" s="22"/>
      <c r="AM15" s="3" t="s">
        <v>1335</v>
      </c>
      <c r="AN15" s="22">
        <f>$Q$37*AN7+$Q$38*AN8</f>
        <v>0.2365963214377258</v>
      </c>
      <c r="AO15" s="22" t="e">
        <f>$Q$37*AO7+$Q$38*AO8</f>
        <v>#DIV/0!</v>
      </c>
      <c r="AP15" s="22">
        <f>$Q$37*AP7+$Q$38*AP8</f>
        <v>-0.10340268995796451</v>
      </c>
      <c r="AQ15" s="22">
        <f>$Q$37*AQ7+$Q$38*AQ8</f>
        <v>-0.10340268995796451</v>
      </c>
      <c r="AR15" s="22"/>
      <c r="AS15" s="3" t="s">
        <v>1335</v>
      </c>
      <c r="AT15" s="22">
        <f>$Q$37*AT7+$Q$38*AT8</f>
        <v>0.1182981607188629</v>
      </c>
      <c r="AU15" s="22" t="e">
        <f>$Q$37*AU7+$Q$38*AU8</f>
        <v>#DIV/0!</v>
      </c>
      <c r="AV15" s="22">
        <f>$Q$37*AV7+$Q$38*AV8</f>
        <v>-5.1701344978982253E-2</v>
      </c>
      <c r="AW15" s="22">
        <f>$Q$37*AW7+$Q$38*AW8</f>
        <v>-5.1701344978982253E-2</v>
      </c>
      <c r="AX15" s="22"/>
    </row>
    <row r="16" spans="1:50">
      <c r="B16" s="1" t="s">
        <v>1336</v>
      </c>
      <c r="C16" s="1" t="s">
        <v>1337</v>
      </c>
      <c r="D16" s="17" t="s">
        <v>1338</v>
      </c>
      <c r="E16" s="1" t="s">
        <v>1339</v>
      </c>
      <c r="F16" s="1" t="s">
        <v>1340</v>
      </c>
      <c r="G16" s="1" t="s">
        <v>1341</v>
      </c>
      <c r="H16" s="1" t="s">
        <v>1342</v>
      </c>
      <c r="I16" s="1" t="s">
        <v>751</v>
      </c>
      <c r="K16" s="3" t="s">
        <v>1548</v>
      </c>
      <c r="L16" s="4">
        <f>1/((1+L15)/L6-L15/L13)</f>
        <v>18.686160319541436</v>
      </c>
      <c r="M16" s="4">
        <f>L16*Q6^$F$29</f>
        <v>18.686160319541436</v>
      </c>
      <c r="N16" s="8">
        <f t="shared" si="10"/>
        <v>1</v>
      </c>
      <c r="O16" s="2" t="s">
        <v>752</v>
      </c>
      <c r="P16" s="4"/>
      <c r="Q16" s="4"/>
      <c r="R16" s="4"/>
      <c r="S16" s="3">
        <v>22</v>
      </c>
      <c r="T16" s="5">
        <f>T15-2*$M$28*COS(T6)</f>
        <v>10.346158729820473</v>
      </c>
      <c r="U16" s="5">
        <f>U15-2*$M$28*COS(U6)</f>
        <v>181.81113884441794</v>
      </c>
      <c r="V16" s="5">
        <f>V15-2*$M$28*COS(V6)</f>
        <v>56.657786615734473</v>
      </c>
      <c r="W16" s="5">
        <f>W15-2*$M$28*COS(W6)</f>
        <v>56.657786615734473</v>
      </c>
      <c r="X16" s="5">
        <f t="shared" si="12"/>
        <v>1.5972973711666553E-3</v>
      </c>
      <c r="Y16" s="4">
        <f t="shared" si="13"/>
        <v>41.220577320429811</v>
      </c>
      <c r="Z16" s="3" t="s">
        <v>753</v>
      </c>
      <c r="AA16" s="4">
        <f>$AF$11+$AF$12*COS(AA4)+$AF$13*SIN(AA4)</f>
        <v>-1.276577470692887</v>
      </c>
      <c r="AB16" s="4" t="e">
        <f>$AF$11+$AF$12*COS(AB4)+$AF$13*SIN(AB4)</f>
        <v>#DIV/0!</v>
      </c>
      <c r="AC16" s="4">
        <f>$AF$11+$AF$12*COS(AC4)+$AF$13*SIN(AC4)</f>
        <v>-0.18648358627491482</v>
      </c>
      <c r="AD16" s="4">
        <f>$AF$11+$AF$12*COS(AD4)+$AF$13*SIN(AD4)</f>
        <v>-0.18648358627491476</v>
      </c>
      <c r="AE16" s="22">
        <f>AB8*C7/C9</f>
        <v>-2.8895802979629805</v>
      </c>
      <c r="AF16" s="22">
        <f>AE16*B7/2</f>
        <v>-17.337481787777882</v>
      </c>
      <c r="AG16" s="3" t="s">
        <v>1344</v>
      </c>
      <c r="AH16" s="22">
        <f>AH15/2/AH14</f>
        <v>0.20906990142765139</v>
      </c>
      <c r="AI16" s="22" t="e">
        <f>AI15/2/AI14</f>
        <v>#DIV/0!</v>
      </c>
      <c r="AJ16" s="22">
        <f>AJ15/2/AJ14</f>
        <v>-6.0488122838101704E-2</v>
      </c>
      <c r="AK16" s="22">
        <f>AK15/2/AK14</f>
        <v>-6.0488122838101704E-2</v>
      </c>
      <c r="AL16" s="22"/>
      <c r="AM16" s="3" t="s">
        <v>1344</v>
      </c>
      <c r="AN16" s="22">
        <f>AN15/2/AN14</f>
        <v>0.83627960571060556</v>
      </c>
      <c r="AO16" s="22" t="e">
        <f>AO15/2/AO14</f>
        <v>#DIV/0!</v>
      </c>
      <c r="AP16" s="22">
        <f>AP15/2/AP14</f>
        <v>-0.24195249135240682</v>
      </c>
      <c r="AQ16" s="22">
        <f>AQ15/2/AQ14</f>
        <v>-0.24195249135240682</v>
      </c>
      <c r="AR16" s="22"/>
      <c r="AS16" s="3" t="s">
        <v>1344</v>
      </c>
      <c r="AT16" s="22">
        <f>AT15/2/AT14</f>
        <v>1.6725592114212111</v>
      </c>
      <c r="AU16" s="22" t="e">
        <f>AU15/2/AU14</f>
        <v>#DIV/0!</v>
      </c>
      <c r="AV16" s="22">
        <f>AV15/2/AV14</f>
        <v>-0.48390498270481364</v>
      </c>
      <c r="AW16" s="22">
        <f>AW15/2/AW14</f>
        <v>-0.48390498270481364</v>
      </c>
      <c r="AX16" s="22"/>
    </row>
    <row r="17" spans="1:50">
      <c r="A17" s="1" t="s">
        <v>294</v>
      </c>
      <c r="B17" s="14">
        <f>P2</f>
        <v>22</v>
      </c>
      <c r="C17" s="18">
        <f>P3</f>
        <v>5.0000000000000001E-3</v>
      </c>
      <c r="D17" s="8">
        <f>L11</f>
        <v>0.7</v>
      </c>
      <c r="E17" s="8">
        <f>L13</f>
        <v>3.4</v>
      </c>
      <c r="F17" s="25">
        <f>L12</f>
        <v>258.57142857142861</v>
      </c>
      <c r="G17" s="14">
        <f>P24</f>
        <v>40</v>
      </c>
      <c r="H17" s="25">
        <f>P23</f>
        <v>2142.8571428571431</v>
      </c>
      <c r="I17" s="4">
        <f>A30</f>
        <v>0.15</v>
      </c>
      <c r="K17" s="3" t="s">
        <v>295</v>
      </c>
      <c r="L17" s="4">
        <f>$E$29</f>
        <v>0.316</v>
      </c>
      <c r="M17" s="4">
        <f>L17*Q6^$G$28</f>
        <v>0.316</v>
      </c>
      <c r="N17" s="8">
        <f t="shared" si="10"/>
        <v>1</v>
      </c>
      <c r="O17" s="3" t="s">
        <v>296</v>
      </c>
      <c r="P17" s="7">
        <f>$A$27</f>
        <v>1500</v>
      </c>
      <c r="Q17" s="7">
        <f>Q23*M11</f>
        <v>1500</v>
      </c>
      <c r="R17" s="4">
        <f t="shared" ref="R17:R24" si="14">Q17/P17</f>
        <v>1</v>
      </c>
      <c r="S17" s="3" t="s">
        <v>1345</v>
      </c>
      <c r="T17" s="5">
        <f>$M$30-$M$29*COS(T7)</f>
        <v>2.8969244443497324</v>
      </c>
      <c r="U17" s="5">
        <f>$M$30-$M$29*COS(U7)</f>
        <v>2.8969244443497324</v>
      </c>
      <c r="V17" s="5">
        <f>$M$30-$M$29*COS(V7)</f>
        <v>42.317786615734462</v>
      </c>
      <c r="W17" s="5">
        <f>$M$30-$M$29*COS(W7)</f>
        <v>42.317786615734462</v>
      </c>
      <c r="X17" s="5">
        <f t="shared" si="12"/>
        <v>1.1306280949793244E-3</v>
      </c>
      <c r="Y17" s="4">
        <f t="shared" si="13"/>
        <v>29.177499225272886</v>
      </c>
      <c r="Z17" s="3" t="s">
        <v>754</v>
      </c>
      <c r="AA17" s="4">
        <f>2*$AF$11-AA16</f>
        <v>0.90361029814305749</v>
      </c>
      <c r="AB17" s="4" t="e">
        <f>2*$AF$11-AB16</f>
        <v>#DIV/0!</v>
      </c>
      <c r="AC17" s="4">
        <f>2*$AF$11-AC16</f>
        <v>-0.18648358627491465</v>
      </c>
      <c r="AD17" s="4">
        <f>2*$AF$11-AD16</f>
        <v>-0.18648358627491471</v>
      </c>
      <c r="AE17" s="22"/>
      <c r="AF17" s="22">
        <f>-X25*AF16</f>
        <v>12.272131889340489</v>
      </c>
      <c r="AG17" s="3" t="s">
        <v>1351</v>
      </c>
      <c r="AH17" s="22">
        <f>(AH16^2+1/AH14)^0.5-AH16</f>
        <v>0.48773604332405385</v>
      </c>
      <c r="AI17" s="22" t="e">
        <f>(AI16^2+1/AI14)^0.5-AI16</f>
        <v>#DIV/0!</v>
      </c>
      <c r="AJ17" s="22">
        <f>(AJ16^2+1/AJ14)^0.5-AJ16</f>
        <v>0.60468198747672441</v>
      </c>
      <c r="AK17" s="22">
        <f>(AK16^2+1/AK14)^0.5-AK16</f>
        <v>0.60468198747672441</v>
      </c>
      <c r="AL17" s="22"/>
      <c r="AM17" s="3" t="s">
        <v>1351</v>
      </c>
      <c r="AN17" s="22">
        <f>(AN16^2+1/AN14)^0.5-AN16</f>
        <v>1.9509441732962154</v>
      </c>
      <c r="AO17" s="22" t="e">
        <f>(AO16^2+1/AO14)^0.5-AO16</f>
        <v>#DIV/0!</v>
      </c>
      <c r="AP17" s="22">
        <f>(AP16^2+1/AP14)^0.5-AP16</f>
        <v>2.4187279499068977</v>
      </c>
      <c r="AQ17" s="22">
        <f>(AQ16^2+1/AQ14)^0.5-AQ16</f>
        <v>2.4187279499068977</v>
      </c>
      <c r="AR17" s="22"/>
      <c r="AS17" s="3" t="s">
        <v>1351</v>
      </c>
      <c r="AT17" s="22">
        <f>(AT16^2+1/AT14)^0.5-AT16</f>
        <v>3.9018883465924308</v>
      </c>
      <c r="AU17" s="22" t="e">
        <f>(AU16^2+1/AU14)^0.5-AU16</f>
        <v>#DIV/0!</v>
      </c>
      <c r="AV17" s="22">
        <f>(AV16^2+1/AV14)^0.5-AV16</f>
        <v>4.8374558998137953</v>
      </c>
      <c r="AW17" s="22">
        <f>(AW16^2+1/AW14)^0.5-AW16</f>
        <v>4.8374558998137953</v>
      </c>
      <c r="AX17" s="22"/>
    </row>
    <row r="18" spans="1:50" ht="15.6">
      <c r="A18" s="1" t="s">
        <v>297</v>
      </c>
      <c r="B18" s="72">
        <f t="shared" ref="B18:I18" si="15">B17</f>
        <v>22</v>
      </c>
      <c r="C18" s="78">
        <f t="shared" si="15"/>
        <v>5.0000000000000001E-3</v>
      </c>
      <c r="D18" s="74">
        <f t="shared" si="15"/>
        <v>0.7</v>
      </c>
      <c r="E18" s="74">
        <f t="shared" si="15"/>
        <v>3.4</v>
      </c>
      <c r="F18" s="79">
        <f t="shared" si="15"/>
        <v>258.57142857142861</v>
      </c>
      <c r="G18" s="72">
        <f t="shared" si="15"/>
        <v>40</v>
      </c>
      <c r="H18" s="28">
        <f t="shared" si="15"/>
        <v>2142.8571428571431</v>
      </c>
      <c r="I18" s="74">
        <f t="shared" si="15"/>
        <v>0.15</v>
      </c>
      <c r="K18" s="3" t="s">
        <v>301</v>
      </c>
      <c r="L18" s="4">
        <f>L17*(1-L11)/L11</f>
        <v>0.13542857142857145</v>
      </c>
      <c r="M18" s="4">
        <f>M17*(1-M11)/M11</f>
        <v>0.13542857142857145</v>
      </c>
      <c r="N18" s="8">
        <f t="shared" si="10"/>
        <v>1</v>
      </c>
      <c r="O18" s="3" t="s">
        <v>302</v>
      </c>
      <c r="P18" s="7">
        <f>$B$27</f>
        <v>1500</v>
      </c>
      <c r="Q18" s="7">
        <f>P18*R17*N8^E30</f>
        <v>1500</v>
      </c>
      <c r="R18" s="4">
        <f t="shared" si="14"/>
        <v>1</v>
      </c>
      <c r="S18" s="3">
        <v>66</v>
      </c>
      <c r="T18" s="5">
        <f>T17-$M$30+$M$31</f>
        <v>7.1700000000000053</v>
      </c>
      <c r="U18" s="5">
        <f>U17-$M$30+$M$31</f>
        <v>7.1700000000000053</v>
      </c>
      <c r="V18" s="5">
        <f>V17-$M$30+$M$31</f>
        <v>46.590862171384735</v>
      </c>
      <c r="W18" s="5">
        <f>W17-$M$30+$M$31</f>
        <v>46.590862171384735</v>
      </c>
      <c r="X18" s="5">
        <f t="shared" si="12"/>
        <v>1.2962097727607725E-3</v>
      </c>
      <c r="Y18" s="4">
        <f t="shared" si="13"/>
        <v>33.450574780923162</v>
      </c>
      <c r="Z18" s="3" t="s">
        <v>755</v>
      </c>
      <c r="AA18" s="4">
        <f>2*($AF$13*COS(AA4)-$AF$12*SIN(AA4))</f>
        <v>-5.9418063112789891E-17</v>
      </c>
      <c r="AB18" s="4" t="e">
        <f>2*($AF$13*COS(AB4)-$AF$12*SIN(AB4))</f>
        <v>#DIV/0!</v>
      </c>
      <c r="AC18" s="4">
        <f>2*($AF$13*COS(AC4)-$AF$12*SIN(AC4))</f>
        <v>2.1801877688359443</v>
      </c>
      <c r="AD18" s="4">
        <f>2*($AF$13*COS(AD4)-$AF$12*SIN(AD4))</f>
        <v>-2.1801877688359443</v>
      </c>
      <c r="AE18" s="22"/>
      <c r="AF18" s="22">
        <f>X27*AF16</f>
        <v>-8.0696989468558656E-16</v>
      </c>
      <c r="AG18" s="3" t="s">
        <v>1165</v>
      </c>
      <c r="AH18" s="22">
        <f>(AH16^2+1/AH14)^0.5+AH16</f>
        <v>0.90587584617935657</v>
      </c>
      <c r="AI18" s="22" t="e">
        <f>(AI16^2+1/AI14)^0.5+AI16</f>
        <v>#DIV/0!</v>
      </c>
      <c r="AJ18" s="22">
        <f>(AJ16^2+1/AJ14)^0.5+AJ16</f>
        <v>0.48370574180052106</v>
      </c>
      <c r="AK18" s="22">
        <f>(AK16^2+1/AK14)^0.5+AK16</f>
        <v>0.48370574180052106</v>
      </c>
      <c r="AL18" s="22"/>
      <c r="AM18" s="3" t="s">
        <v>1165</v>
      </c>
      <c r="AN18" s="22">
        <f>(AN16^2+1/AN14)^0.5+AN16</f>
        <v>3.6235033847174263</v>
      </c>
      <c r="AO18" s="22" t="e">
        <f>(AO16^2+1/AO14)^0.5+AO16</f>
        <v>#DIV/0!</v>
      </c>
      <c r="AP18" s="22">
        <f>(AP16^2+1/AP14)^0.5+AP16</f>
        <v>1.9348229672020842</v>
      </c>
      <c r="AQ18" s="22">
        <f>(AQ16^2+1/AQ14)^0.5+AQ16</f>
        <v>1.9348229672020842</v>
      </c>
      <c r="AR18" s="22"/>
      <c r="AS18" s="3" t="s">
        <v>1165</v>
      </c>
      <c r="AT18" s="22">
        <f>(AT16^2+1/AT14)^0.5+AT16</f>
        <v>7.2470067694348526</v>
      </c>
      <c r="AU18" s="22" t="e">
        <f>(AU16^2+1/AU14)^0.5+AU16</f>
        <v>#DIV/0!</v>
      </c>
      <c r="AV18" s="22">
        <f>(AV16^2+1/AV14)^0.5+AV16</f>
        <v>3.8696459344041685</v>
      </c>
      <c r="AW18" s="22">
        <f>(AW16^2+1/AW14)^0.5+AW16</f>
        <v>3.8696459344041685</v>
      </c>
      <c r="AX18" s="22"/>
    </row>
    <row r="19" spans="1:50">
      <c r="A19" s="10" t="s">
        <v>756</v>
      </c>
      <c r="B19" s="18">
        <f t="shared" ref="B19:I19" si="16">B18/B17</f>
        <v>1</v>
      </c>
      <c r="C19" s="18">
        <f t="shared" si="16"/>
        <v>1</v>
      </c>
      <c r="D19" s="18">
        <f t="shared" si="16"/>
        <v>1</v>
      </c>
      <c r="E19" s="18">
        <f t="shared" si="16"/>
        <v>1</v>
      </c>
      <c r="F19" s="18">
        <f t="shared" si="16"/>
        <v>1</v>
      </c>
      <c r="G19" s="18">
        <f t="shared" si="16"/>
        <v>1</v>
      </c>
      <c r="H19" s="11">
        <f t="shared" si="16"/>
        <v>1</v>
      </c>
      <c r="I19" s="11">
        <f t="shared" si="16"/>
        <v>1</v>
      </c>
      <c r="K19" s="3" t="s">
        <v>304</v>
      </c>
      <c r="L19" s="4">
        <f>1/((1+L18)/L8-L18*2.7/L13)</f>
        <v>19.680382632972858</v>
      </c>
      <c r="M19" s="4">
        <f>L19*Q6^$F$29</f>
        <v>19.680382632972858</v>
      </c>
      <c r="N19" s="8">
        <f t="shared" si="10"/>
        <v>1</v>
      </c>
      <c r="O19" s="3" t="s">
        <v>305</v>
      </c>
      <c r="P19" s="7">
        <f>$C$27</f>
        <v>40</v>
      </c>
      <c r="Q19" s="7">
        <f>P19*R24</f>
        <v>40</v>
      </c>
      <c r="R19" s="4">
        <f t="shared" si="14"/>
        <v>1</v>
      </c>
      <c r="S19" s="3" t="s">
        <v>1347</v>
      </c>
      <c r="T19" s="5">
        <f>$M$28*SIN(T6)/2+$M$29*SIN(T7)</f>
        <v>0</v>
      </c>
      <c r="U19" s="5">
        <f>$M$28*SIN(U6)/2+$M$29*SIN(U7)</f>
        <v>4.221105484146412E-16</v>
      </c>
      <c r="V19" s="5">
        <f>$M$28*SIN(V6)/2+$M$29*SIN(V7)</f>
        <v>42.866245028649367</v>
      </c>
      <c r="W19" s="5">
        <f>$M$28*SIN(W6)/2+$M$29*SIN(W7)</f>
        <v>-42.866245028649367</v>
      </c>
      <c r="X19" s="5">
        <f t="shared" si="12"/>
        <v>-2.0650148258027913E-19</v>
      </c>
      <c r="Y19" s="4">
        <f t="shared" si="13"/>
        <v>-5.3290705182007514E-15</v>
      </c>
      <c r="AA19" s="22"/>
      <c r="AB19" s="22"/>
      <c r="AC19" s="22"/>
      <c r="AD19" s="22"/>
      <c r="AE19" s="22" t="s">
        <v>757</v>
      </c>
      <c r="AF19" s="22">
        <f>Y15*AF16+Y17*AF17+Y19*AF18</f>
        <v>-1347.5145465404732</v>
      </c>
      <c r="AG19" s="3"/>
      <c r="AH19" s="22"/>
      <c r="AI19" s="22"/>
      <c r="AJ19" s="22"/>
      <c r="AK19" s="22"/>
      <c r="AL19" s="16"/>
      <c r="AM19" s="3"/>
      <c r="AN19" s="22"/>
      <c r="AO19" s="22"/>
      <c r="AP19" s="22"/>
      <c r="AQ19" s="22"/>
      <c r="AR19" s="16"/>
      <c r="AS19" s="3"/>
      <c r="AT19" s="22"/>
      <c r="AU19" s="22"/>
      <c r="AV19" s="22"/>
      <c r="AW19" s="22"/>
      <c r="AX19" s="16"/>
    </row>
    <row r="20" spans="1:50">
      <c r="A20" s="1" t="s">
        <v>1540</v>
      </c>
      <c r="B20" s="14">
        <f>B18-B17</f>
        <v>0</v>
      </c>
      <c r="C20" s="18">
        <f>C18-C17</f>
        <v>0</v>
      </c>
      <c r="D20" s="13" t="s">
        <v>1505</v>
      </c>
      <c r="E20" s="8">
        <f>M13</f>
        <v>3.4</v>
      </c>
      <c r="F20" s="25">
        <f>M12</f>
        <v>258.57142857142861</v>
      </c>
      <c r="G20" s="14">
        <f>Q24</f>
        <v>40</v>
      </c>
      <c r="H20" s="7">
        <f>Q23</f>
        <v>2142.8571428571431</v>
      </c>
      <c r="M20" s="4"/>
      <c r="O20" s="3" t="s">
        <v>1542</v>
      </c>
      <c r="P20" s="7">
        <f>$D$27</f>
        <v>246</v>
      </c>
      <c r="Q20" s="7">
        <f>P20*R24</f>
        <v>246</v>
      </c>
      <c r="R20" s="4">
        <f t="shared" si="14"/>
        <v>1</v>
      </c>
      <c r="S20" s="3" t="s">
        <v>1349</v>
      </c>
      <c r="T20" s="5">
        <f>$M$28*SIN(T6)-T19</f>
        <v>0</v>
      </c>
      <c r="U20" s="5">
        <f>$M$28*SIN(U6)-U19</f>
        <v>1.0081392224502176E-14</v>
      </c>
      <c r="V20" s="5">
        <f>$M$28*SIN(V6)-V19</f>
        <v>42.866245028649367</v>
      </c>
      <c r="W20" s="5">
        <f>$M$28*SIN(W6)-W19</f>
        <v>-42.866245028649367</v>
      </c>
      <c r="X20" s="5">
        <f t="shared" si="12"/>
        <v>-2.0650148258027913E-19</v>
      </c>
      <c r="Y20" s="4">
        <f t="shared" si="13"/>
        <v>-5.3290705182007514E-15</v>
      </c>
      <c r="Z20"/>
      <c r="AA20"/>
      <c r="AB20"/>
      <c r="AC20"/>
      <c r="AD20"/>
      <c r="AE20" s="2" t="s">
        <v>743</v>
      </c>
      <c r="AF20" s="22">
        <f>AF19*I8</f>
        <v>35248533.759213217</v>
      </c>
      <c r="AG20" s="3" t="s">
        <v>1511</v>
      </c>
      <c r="AH20" s="11">
        <f>MIN(AH17,AH18)</f>
        <v>0.48773604332405385</v>
      </c>
      <c r="AI20" s="11" t="e">
        <f>MIN(AI17,AI18)</f>
        <v>#DIV/0!</v>
      </c>
      <c r="AJ20" s="11">
        <f>MIN(AJ17,AJ18)</f>
        <v>0.48370574180052106</v>
      </c>
      <c r="AK20" s="11">
        <f>MIN(AK17,AK18)</f>
        <v>0.48370574180052106</v>
      </c>
      <c r="AL20" s="11" t="s">
        <v>1348</v>
      </c>
      <c r="AM20" s="3" t="s">
        <v>1511</v>
      </c>
      <c r="AN20" s="11">
        <f>MIN(AN17,AN18)</f>
        <v>1.9509441732962154</v>
      </c>
      <c r="AO20" s="11" t="e">
        <f>MIN(AO17,AO18)</f>
        <v>#DIV/0!</v>
      </c>
      <c r="AP20" s="11">
        <f>MIN(AP17,AP18)</f>
        <v>1.9348229672020842</v>
      </c>
      <c r="AQ20" s="11">
        <f>MIN(AQ17,AQ18)</f>
        <v>1.9348229672020842</v>
      </c>
      <c r="AR20" s="11" t="s">
        <v>1348</v>
      </c>
      <c r="AS20" s="3" t="s">
        <v>1511</v>
      </c>
      <c r="AT20" s="11">
        <f>MIN(AT17,AT18)</f>
        <v>3.9018883465924308</v>
      </c>
      <c r="AU20" s="11" t="e">
        <f>MIN(AU17,AU18)</f>
        <v>#DIV/0!</v>
      </c>
      <c r="AV20" s="11">
        <f>MIN(AV17,AV18)</f>
        <v>3.8696459344041685</v>
      </c>
      <c r="AW20" s="11">
        <f>MIN(AW17,AW18)</f>
        <v>3.8696459344041685</v>
      </c>
      <c r="AX20" s="11" t="s">
        <v>1348</v>
      </c>
    </row>
    <row r="21" spans="1:50">
      <c r="K21" s="2" t="s">
        <v>758</v>
      </c>
      <c r="O21" s="3" t="s">
        <v>1543</v>
      </c>
      <c r="P21" s="25">
        <f>$E$27</f>
        <v>68</v>
      </c>
      <c r="Q21" s="25">
        <f>P21*R24</f>
        <v>68</v>
      </c>
      <c r="R21" s="4">
        <f t="shared" si="14"/>
        <v>1</v>
      </c>
      <c r="S21" s="1"/>
      <c r="W21" s="6" t="s">
        <v>1353</v>
      </c>
      <c r="X21" s="5">
        <f>X15*X16*X18+2*X17*X19*X20-X16*X19^2-X18*X17^2-X15*X20^2</f>
        <v>6.2356283012609816E-9</v>
      </c>
      <c r="Z21"/>
      <c r="AA21"/>
      <c r="AB21"/>
      <c r="AC21"/>
      <c r="AD21"/>
      <c r="AE21" s="2" t="s">
        <v>759</v>
      </c>
      <c r="AF21" s="22">
        <f>AF19*J8</f>
        <v>-1678.9294274466306</v>
      </c>
      <c r="AG21" s="3" t="s">
        <v>760</v>
      </c>
      <c r="AH21" s="11">
        <f>IF(AH3=0,1000000000,AH20)</f>
        <v>0.48773604332405385</v>
      </c>
      <c r="AI21" s="11">
        <f>IF(AI3=0,1000000000,AI20)</f>
        <v>1000000000</v>
      </c>
      <c r="AJ21" s="11">
        <f>IF(AJ3=0,1000000000,AJ20)</f>
        <v>0.48370574180052106</v>
      </c>
      <c r="AK21" s="11">
        <f>IF(AK3=0,1000000000,AK20)</f>
        <v>0.48370574180052106</v>
      </c>
      <c r="AL21" s="11">
        <f>MIN(AH21:AK21)</f>
        <v>0.48370574180052106</v>
      </c>
      <c r="AM21" s="3" t="s">
        <v>760</v>
      </c>
      <c r="AN21" s="11">
        <f>IF(AN3=0,1000000000,AN20)</f>
        <v>1.9509441732962154</v>
      </c>
      <c r="AO21" s="11">
        <f>IF(AO3=0,1000000000,AO20)</f>
        <v>1000000000</v>
      </c>
      <c r="AP21" s="11">
        <f>IF(AP3=0,1000000000,AP20)</f>
        <v>1.9348229672020842</v>
      </c>
      <c r="AQ21" s="11">
        <f>IF(AQ3=0,1000000000,AQ20)</f>
        <v>1.9348229672020842</v>
      </c>
      <c r="AR21" s="11">
        <f>MIN(AN21:AQ21)</f>
        <v>1.9348229672020842</v>
      </c>
      <c r="AS21" s="3" t="s">
        <v>760</v>
      </c>
      <c r="AT21" s="11">
        <f>IF(AT3=0,1000000000,AT20)</f>
        <v>3.9018883465924308</v>
      </c>
      <c r="AU21" s="11">
        <f>IF(AU3=0,1000000000,AU20)</f>
        <v>1000000000</v>
      </c>
      <c r="AV21" s="11">
        <f>IF(AV3=0,1000000000,AV20)</f>
        <v>3.8696459344041685</v>
      </c>
      <c r="AW21" s="11">
        <f>IF(AW3=0,1000000000,AW20)</f>
        <v>3.8696459344041685</v>
      </c>
      <c r="AX21" s="11">
        <f>MIN(AT21:AW21)</f>
        <v>3.8696459344041685</v>
      </c>
    </row>
    <row r="22" spans="1:50">
      <c r="B22"/>
      <c r="C22"/>
      <c r="D22"/>
      <c r="E22"/>
      <c r="K22" s="3" t="s">
        <v>1354</v>
      </c>
      <c r="L22" s="4">
        <f>L5/(1-L7^2*L6/L5)</f>
        <v>181.81113884441791</v>
      </c>
      <c r="M22" s="4">
        <f>M5/(1-M7^2*M6/M5)</f>
        <v>181.81113884441794</v>
      </c>
      <c r="N22" s="8">
        <f>M22/L22</f>
        <v>1.0000000000000002</v>
      </c>
      <c r="O22" s="3" t="s">
        <v>1168</v>
      </c>
      <c r="P22" s="8">
        <f>$A$28</f>
        <v>-0.5</v>
      </c>
      <c r="Q22" s="8">
        <v>-0.5</v>
      </c>
      <c r="R22" s="4">
        <f t="shared" si="14"/>
        <v>1</v>
      </c>
      <c r="S22" s="3" t="s">
        <v>1355</v>
      </c>
      <c r="T22" s="6" t="s">
        <v>1169</v>
      </c>
      <c r="U22" s="6"/>
      <c r="V22" s="6" t="s">
        <v>1357</v>
      </c>
      <c r="W22" s="6"/>
      <c r="X22" s="6" t="s">
        <v>1358</v>
      </c>
      <c r="Y22" s="6"/>
      <c r="Z22"/>
      <c r="AA22"/>
      <c r="AB22"/>
      <c r="AC22"/>
      <c r="AD22"/>
      <c r="AF22" s="22"/>
      <c r="AG22" s="2" t="s">
        <v>1360</v>
      </c>
      <c r="AH22" s="11"/>
      <c r="AI22" s="11"/>
      <c r="AJ22" s="11"/>
      <c r="AK22" s="11"/>
      <c r="AL22" s="11"/>
      <c r="AM22" s="2" t="s">
        <v>1360</v>
      </c>
      <c r="AN22" s="11"/>
      <c r="AO22" s="11"/>
      <c r="AP22" s="11"/>
      <c r="AQ22" s="11"/>
      <c r="AR22" s="11"/>
      <c r="AS22" s="2" t="s">
        <v>1360</v>
      </c>
      <c r="AT22" s="11"/>
      <c r="AU22" s="11"/>
      <c r="AV22" s="11"/>
      <c r="AW22" s="11"/>
      <c r="AX22" s="11"/>
    </row>
    <row r="23" spans="1:50">
      <c r="A23"/>
      <c r="B23"/>
      <c r="C23"/>
      <c r="D23"/>
      <c r="E23"/>
      <c r="F23"/>
      <c r="G23"/>
      <c r="H23"/>
      <c r="I23"/>
      <c r="J23"/>
      <c r="K23" s="3" t="s">
        <v>1361</v>
      </c>
      <c r="L23" s="4">
        <f>L22*L6/L5</f>
        <v>10.346158729820468</v>
      </c>
      <c r="M23" s="4">
        <f>M22*M6/M5</f>
        <v>10.346158729820468</v>
      </c>
      <c r="N23" s="8">
        <f>M23/L23</f>
        <v>1</v>
      </c>
      <c r="O23" s="3" t="s">
        <v>1175</v>
      </c>
      <c r="P23" s="7">
        <f>P17/L11</f>
        <v>2142.8571428571431</v>
      </c>
      <c r="Q23" s="7">
        <f>$H$18*Q6^$G$29</f>
        <v>2142.8571428571431</v>
      </c>
      <c r="R23" s="4">
        <f t="shared" si="14"/>
        <v>1</v>
      </c>
      <c r="S23" s="3">
        <v>11</v>
      </c>
      <c r="T23" s="5">
        <f>(X16*X18-X20^2)/X21</f>
        <v>332.03269381733708</v>
      </c>
      <c r="V23" s="5">
        <f t="shared" ref="V23:V28" si="17">T23*$X$12</f>
        <v>1.2866266885421812E-2</v>
      </c>
      <c r="W23" s="11">
        <f>X23*0.15</f>
        <v>11.658393326968699</v>
      </c>
      <c r="X23" s="4">
        <f>1/V23</f>
        <v>77.72262217979133</v>
      </c>
      <c r="Z23"/>
      <c r="AA23"/>
      <c r="AB23"/>
      <c r="AC23"/>
      <c r="AD23"/>
      <c r="AF23" s="22"/>
      <c r="AG23" s="3" t="s">
        <v>1364</v>
      </c>
      <c r="AH23" s="26">
        <f>$AL$7+$AL$8*COS(AH4)+$AL$9*SIN(AH4)-$W$37</f>
        <v>-1.7975628226029129E-6</v>
      </c>
      <c r="AI23" s="22" t="e">
        <f>$AL$7+$AL$8*COS(AI4)+$AL$9*SIN(AI4)-$W$37</f>
        <v>#DIV/0!</v>
      </c>
      <c r="AJ23" s="22">
        <f>$AL$7+$AL$8*COS(AJ4)+$AL$9*SIN(AJ4)-$W$37</f>
        <v>7.1461741086454111E-5</v>
      </c>
      <c r="AK23" s="22">
        <f>$AL$7+$AL$8*COS(AK4)+$AL$9*SIN(AK4)-$W$37</f>
        <v>7.1461741086454084E-5</v>
      </c>
      <c r="AL23" s="22"/>
      <c r="AM23" s="3" t="s">
        <v>1364</v>
      </c>
      <c r="AN23" s="26">
        <f>$AL$7+$AL$8*COS(AN4)+$AL$9*SIN(AN4)-$W$37</f>
        <v>-1.7975628226029129E-6</v>
      </c>
      <c r="AO23" s="22" t="e">
        <f>$AL$7+$AL$8*COS(AO4)+$AL$9*SIN(AO4)-$W$37</f>
        <v>#DIV/0!</v>
      </c>
      <c r="AP23" s="22">
        <f>$AL$7+$AL$8*COS(AP4)+$AL$9*SIN(AP4)-$W$37</f>
        <v>7.1461741086454111E-5</v>
      </c>
      <c r="AQ23" s="22">
        <f>$AL$7+$AL$8*COS(AQ4)+$AL$9*SIN(AQ4)-$W$37</f>
        <v>7.1461741086454084E-5</v>
      </c>
      <c r="AR23" s="22"/>
      <c r="AS23" s="3" t="s">
        <v>1364</v>
      </c>
      <c r="AT23" s="26">
        <f>$AL$7+$AL$8*COS(AT4)+$AL$9*SIN(AT4)-$W$37</f>
        <v>-1.7975628226029129E-6</v>
      </c>
      <c r="AU23" s="22" t="e">
        <f>$AL$7+$AL$8*COS(AU4)+$AL$9*SIN(AU4)-$W$37</f>
        <v>#DIV/0!</v>
      </c>
      <c r="AV23" s="22">
        <f>$AL$7+$AL$8*COS(AV4)+$AL$9*SIN(AV4)-$W$37</f>
        <v>7.1461741086454111E-5</v>
      </c>
      <c r="AW23" s="22">
        <f>$AL$7+$AL$8*COS(AW4)+$AL$9*SIN(AW4)-$W$37</f>
        <v>7.1461741086454084E-5</v>
      </c>
      <c r="AX23" s="22"/>
    </row>
    <row r="24" spans="1:50">
      <c r="A24"/>
      <c r="B24"/>
      <c r="C24"/>
      <c r="D24"/>
      <c r="E24"/>
      <c r="F24"/>
      <c r="G24"/>
      <c r="J24"/>
      <c r="K24" s="3" t="s">
        <v>1365</v>
      </c>
      <c r="L24" s="4">
        <f>L23*L7</f>
        <v>2.8969244443497315</v>
      </c>
      <c r="M24" s="4">
        <f>M23*M7</f>
        <v>2.8969244443497315</v>
      </c>
      <c r="N24" s="8">
        <f>M24/L24</f>
        <v>1</v>
      </c>
      <c r="O24" s="3" t="s">
        <v>1176</v>
      </c>
      <c r="P24" s="7">
        <f>P19</f>
        <v>40</v>
      </c>
      <c r="Q24" s="7">
        <f>$G$18*Q6^$H$28</f>
        <v>40</v>
      </c>
      <c r="R24" s="4">
        <f t="shared" si="14"/>
        <v>1</v>
      </c>
      <c r="S24" s="3">
        <v>22</v>
      </c>
      <c r="T24" s="5">
        <f>(X15*X18-X19^2)/X21</f>
        <v>792.41747365050082</v>
      </c>
      <c r="V24" s="5">
        <f t="shared" si="17"/>
        <v>3.0706177103956907E-2</v>
      </c>
      <c r="W24" s="5"/>
      <c r="X24" s="4">
        <f>1/V24</f>
        <v>32.566737194749535</v>
      </c>
      <c r="Z24"/>
      <c r="AA24"/>
      <c r="AB24"/>
      <c r="AC24"/>
      <c r="AD24"/>
      <c r="AF24" s="22"/>
      <c r="AG24" s="3" t="s">
        <v>1367</v>
      </c>
      <c r="AH24" s="22">
        <f>2*$AL$7-AH23-$W$38-$W$37</f>
        <v>-6.0727895500448906E-4</v>
      </c>
      <c r="AI24" s="22" t="e">
        <f>2*$AL$7-AI23-$W$38-$W$37</f>
        <v>#DIV/0!</v>
      </c>
      <c r="AJ24" s="22">
        <f>2*$AL$7-AJ23-$W$38-$W$37</f>
        <v>-6.8053825891354605E-4</v>
      </c>
      <c r="AK24" s="22">
        <f>2*$AL$7-AK23-$W$38-$W$37</f>
        <v>-6.8053825891354605E-4</v>
      </c>
      <c r="AL24" s="22"/>
      <c r="AM24" s="3" t="s">
        <v>1367</v>
      </c>
      <c r="AN24" s="22">
        <f>2*$AL$7-AN23-$W$38-$W$37</f>
        <v>-6.0727895500448906E-4</v>
      </c>
      <c r="AO24" s="22" t="e">
        <f>2*$AL$7-AO23-$W$38-$W$37</f>
        <v>#DIV/0!</v>
      </c>
      <c r="AP24" s="22">
        <f>2*$AL$7-AP23-$W$38-$W$37</f>
        <v>-6.8053825891354605E-4</v>
      </c>
      <c r="AQ24" s="22">
        <f>2*$AL$7-AQ23-$W$38-$W$37</f>
        <v>-6.8053825891354605E-4</v>
      </c>
      <c r="AR24" s="22"/>
      <c r="AS24" s="3" t="s">
        <v>1367</v>
      </c>
      <c r="AT24" s="22">
        <f>2*$AL$7-AT23-$W$38-$W$37</f>
        <v>-6.0727895500448906E-4</v>
      </c>
      <c r="AU24" s="22" t="e">
        <f>2*$AL$7-AU23-$W$38-$W$37</f>
        <v>#DIV/0!</v>
      </c>
      <c r="AV24" s="22">
        <f>2*$AL$7-AV23-$W$38-$W$37</f>
        <v>-6.8053825891354605E-4</v>
      </c>
      <c r="AW24" s="22">
        <f>2*$AL$7-AW23-$W$38-$W$37</f>
        <v>-6.8053825891354605E-4</v>
      </c>
      <c r="AX24" s="22"/>
    </row>
    <row r="25" spans="1:50">
      <c r="A25" s="1" t="s">
        <v>1574</v>
      </c>
      <c r="J25"/>
      <c r="K25" s="3" t="s">
        <v>1370</v>
      </c>
      <c r="L25" s="4">
        <f>L8</f>
        <v>7.17</v>
      </c>
      <c r="M25" s="4">
        <f>M8</f>
        <v>7.17</v>
      </c>
      <c r="N25" s="8">
        <f>M25/L25</f>
        <v>1</v>
      </c>
      <c r="S25" s="3" t="s">
        <v>1345</v>
      </c>
      <c r="T25" s="5">
        <f>(X19*X20-X17*X18)/X21</f>
        <v>-235.02542410581665</v>
      </c>
      <c r="V25" s="5">
        <f t="shared" si="17"/>
        <v>-9.1072351841003946E-3</v>
      </c>
      <c r="W25" s="5"/>
      <c r="X25" s="4">
        <f>-V25/V23</f>
        <v>0.70783819931633729</v>
      </c>
      <c r="Z25"/>
      <c r="AA25"/>
      <c r="AB25"/>
      <c r="AC25"/>
      <c r="AD25"/>
      <c r="AF25" s="22"/>
      <c r="AG25" s="3" t="s">
        <v>1372</v>
      </c>
      <c r="AH25" s="26">
        <f>2*($AL$9*COS(AH4)-$AL$8*SIN(AH4))</f>
        <v>3.199745255209152E-20</v>
      </c>
      <c r="AI25" s="22" t="e">
        <f>2*($AL$9*COS(AI4)-$AL$8*SIN(AI4))</f>
        <v>#DIV/0!</v>
      </c>
      <c r="AJ25" s="22">
        <f>2*($AL$9*COS(AJ4)-$AL$8*SIN(AJ4))</f>
        <v>1.4651860781811403E-4</v>
      </c>
      <c r="AK25" s="22">
        <f>2*($AL$9*COS(AK4)-$AL$8*SIN(AK4))</f>
        <v>-1.4651860781811403E-4</v>
      </c>
      <c r="AL25" s="22"/>
      <c r="AM25" s="3" t="s">
        <v>1372</v>
      </c>
      <c r="AN25" s="26">
        <f>2*($AL$9*COS(AN4)-$AL$8*SIN(AN4))</f>
        <v>3.199745255209152E-20</v>
      </c>
      <c r="AO25" s="22" t="e">
        <f>2*($AL$9*COS(AO4)-$AL$8*SIN(AO4))</f>
        <v>#DIV/0!</v>
      </c>
      <c r="AP25" s="22">
        <f>2*($AL$9*COS(AP4)-$AL$8*SIN(AP4))</f>
        <v>1.4651860781811403E-4</v>
      </c>
      <c r="AQ25" s="22">
        <f>2*($AL$9*COS(AQ4)-$AL$8*SIN(AQ4))</f>
        <v>-1.4651860781811403E-4</v>
      </c>
      <c r="AR25" s="22"/>
      <c r="AS25" s="3" t="s">
        <v>1372</v>
      </c>
      <c r="AT25" s="26">
        <f>2*($AL$9*COS(AT4)-$AL$8*SIN(AT4))</f>
        <v>3.199745255209152E-20</v>
      </c>
      <c r="AU25" s="22" t="e">
        <f>2*($AL$9*COS(AU4)-$AL$8*SIN(AU4))</f>
        <v>#DIV/0!</v>
      </c>
      <c r="AV25" s="22">
        <f>2*($AL$9*COS(AV4)-$AL$8*SIN(AV4))</f>
        <v>1.4651860781811403E-4</v>
      </c>
      <c r="AW25" s="22">
        <f>2*($AL$9*COS(AW4)-$AL$8*SIN(AW4))</f>
        <v>-1.4651860781811403E-4</v>
      </c>
      <c r="AX25" s="22"/>
    </row>
    <row r="26" spans="1:50">
      <c r="A26" s="4" t="s">
        <v>1582</v>
      </c>
      <c r="B26" s="4">
        <v>181</v>
      </c>
      <c r="C26" s="4">
        <v>10.3</v>
      </c>
      <c r="D26" s="4">
        <v>0.28000000000000003</v>
      </c>
      <c r="E26" s="4">
        <v>7.17</v>
      </c>
      <c r="F26" s="4">
        <v>3.4</v>
      </c>
      <c r="G26" s="4">
        <v>122</v>
      </c>
      <c r="H26" s="4">
        <v>160</v>
      </c>
      <c r="J26"/>
      <c r="K26" s="2" t="s">
        <v>761</v>
      </c>
      <c r="L26" s="4"/>
      <c r="M26" s="4"/>
      <c r="O26" s="2" t="s">
        <v>762</v>
      </c>
      <c r="S26" s="3">
        <v>66</v>
      </c>
      <c r="T26" s="5">
        <f>(X15*X16-X17^2)/X21</f>
        <v>771.48006519818091</v>
      </c>
      <c r="V26" s="5">
        <f t="shared" si="17"/>
        <v>2.9894852526429511E-2</v>
      </c>
      <c r="W26" s="5"/>
      <c r="X26" s="4">
        <f>1/V26</f>
        <v>33.450574780923162</v>
      </c>
      <c r="Z26"/>
      <c r="AA26"/>
      <c r="AB26"/>
      <c r="AC26"/>
      <c r="AD26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</row>
    <row r="27" spans="1:50">
      <c r="A27" s="4">
        <v>1500</v>
      </c>
      <c r="B27" s="4">
        <v>1500</v>
      </c>
      <c r="C27" s="4">
        <v>40</v>
      </c>
      <c r="D27" s="4">
        <v>246</v>
      </c>
      <c r="E27" s="4">
        <v>68</v>
      </c>
      <c r="F27" s="4">
        <v>1.2</v>
      </c>
      <c r="G27" s="4">
        <v>22</v>
      </c>
      <c r="H27" s="4">
        <v>5.0000000000000001E-3</v>
      </c>
      <c r="J27"/>
      <c r="K27" s="3" t="s">
        <v>1380</v>
      </c>
      <c r="L27" s="4">
        <f>(3*L22+3*L23+2*L24+4*L25)/8</f>
        <v>76.368217701426829</v>
      </c>
      <c r="M27" s="4">
        <f>(3*M22+3*M23+2*M24+4*M25)/8</f>
        <v>76.368217701426843</v>
      </c>
      <c r="N27" s="8">
        <f>M27/L27</f>
        <v>1.0000000000000002</v>
      </c>
      <c r="O27" s="3" t="s">
        <v>1381</v>
      </c>
      <c r="P27" s="4">
        <f>1/P17/P18*1000000</f>
        <v>0.44444444444444442</v>
      </c>
      <c r="Q27" s="4">
        <f>1/Q17/Q18*1000000</f>
        <v>0.44444444444444442</v>
      </c>
      <c r="R27" s="4">
        <f t="shared" ref="R27:R38" si="18">Q27/P27</f>
        <v>1</v>
      </c>
      <c r="S27" s="3" t="s">
        <v>1347</v>
      </c>
      <c r="T27" s="5">
        <f>(X17*X20-X16*X19)/X21</f>
        <v>1.5454400543384197E-14</v>
      </c>
      <c r="V27" s="5">
        <f t="shared" si="17"/>
        <v>5.9885802105613762E-19</v>
      </c>
      <c r="W27" s="5"/>
      <c r="X27" s="4">
        <f>V27/V23</f>
        <v>4.6544815709883704E-17</v>
      </c>
      <c r="Z27"/>
      <c r="AA27"/>
      <c r="AB27"/>
      <c r="AC27"/>
      <c r="AD27"/>
      <c r="AF27" s="22"/>
      <c r="AG27" s="16" t="s">
        <v>1383</v>
      </c>
      <c r="AH27" s="26">
        <f>$Q$33*AH23^2+2*$Q$35*AH23*AH24+$Q$34*AH24^2+$Q$36*AH25^2</f>
        <v>3.9322315877551453E-3</v>
      </c>
      <c r="AI27" s="22" t="e">
        <f>$Q$33*AI23^2+2*$Q$35*AI23*AI24+$Q$34*AI24^2+$Q$36*AI25^2</f>
        <v>#DIV/0!</v>
      </c>
      <c r="AJ27" s="22">
        <f>$Q$33*AJ23^2+2*$Q$35*AJ23*AJ24+$Q$34*AJ24^2+$Q$36*AJ25^2</f>
        <v>5.5450494411086963E-3</v>
      </c>
      <c r="AK27" s="22">
        <f>$Q$33*AK23^2+2*$Q$35*AK23*AK24+$Q$34*AK24^2+$Q$36*AK25^2</f>
        <v>5.5450494411086963E-3</v>
      </c>
      <c r="AL27" s="22"/>
      <c r="AM27" s="16" t="s">
        <v>1383</v>
      </c>
      <c r="AN27" s="26">
        <f>$Q$33*AN23^2+2*$Q$35*AN23*AN24+$Q$34*AN24^2+$Q$36*AN25^2</f>
        <v>3.9322315877551453E-3</v>
      </c>
      <c r="AO27" s="22" t="e">
        <f>$Q$33*AO23^2+2*$Q$35*AO23*AO24+$Q$34*AO24^2+$Q$36*AO25^2</f>
        <v>#DIV/0!</v>
      </c>
      <c r="AP27" s="22">
        <f>$Q$33*AP23^2+2*$Q$35*AP23*AP24+$Q$34*AP24^2+$Q$36*AP25^2</f>
        <v>5.5450494411086963E-3</v>
      </c>
      <c r="AQ27" s="22">
        <f>$Q$33*AQ23^2+2*$Q$35*AQ23*AQ24+$Q$34*AQ24^2+$Q$36*AQ25^2</f>
        <v>5.5450494411086963E-3</v>
      </c>
      <c r="AR27" s="22"/>
      <c r="AS27" s="16" t="s">
        <v>1383</v>
      </c>
      <c r="AT27" s="26">
        <f>$Q$33*AT23^2+2*$Q$35*AT23*AT24+$Q$34*AT24^2+$Q$36*AT25^2</f>
        <v>3.9322315877551453E-3</v>
      </c>
      <c r="AU27" s="22" t="e">
        <f>$Q$33*AU23^2+2*$Q$35*AU23*AU24+$Q$34*AU24^2+$Q$36*AU25^2</f>
        <v>#DIV/0!</v>
      </c>
      <c r="AV27" s="22">
        <f>$Q$33*AV23^2+2*$Q$35*AV23*AV24+$Q$34*AV24^2+$Q$36*AV25^2</f>
        <v>5.5450494411086963E-3</v>
      </c>
      <c r="AW27" s="22">
        <f>$Q$33*AW23^2+2*$Q$35*AW23*AW24+$Q$34*AW24^2+$Q$36*AW25^2</f>
        <v>5.5450494411086963E-3</v>
      </c>
      <c r="AX27" s="22"/>
    </row>
    <row r="28" spans="1:50">
      <c r="A28" s="4">
        <v>-0.5</v>
      </c>
      <c r="B28" s="4">
        <v>125</v>
      </c>
      <c r="C28" s="4">
        <v>0.7</v>
      </c>
      <c r="D28" s="4">
        <v>1.6</v>
      </c>
      <c r="E28" s="4">
        <v>0.51600000000000001</v>
      </c>
      <c r="F28" s="4">
        <v>0.5</v>
      </c>
      <c r="G28" s="4">
        <v>0.2</v>
      </c>
      <c r="H28" s="4">
        <v>0.9</v>
      </c>
      <c r="J28"/>
      <c r="K28" s="3" t="s">
        <v>1384</v>
      </c>
      <c r="L28" s="4">
        <f>(L22-L23)/2</f>
        <v>85.732490057298719</v>
      </c>
      <c r="M28" s="4">
        <f>(M22-M23)/2</f>
        <v>85.732490057298733</v>
      </c>
      <c r="N28" s="8">
        <f>M28/L28</f>
        <v>1.0000000000000002</v>
      </c>
      <c r="O28" s="3" t="s">
        <v>1385</v>
      </c>
      <c r="P28" s="4">
        <f>1/P19/P20*1000000</f>
        <v>101.6260162601626</v>
      </c>
      <c r="Q28" s="4">
        <f>1/Q19/Q20*1000000</f>
        <v>101.6260162601626</v>
      </c>
      <c r="R28" s="4">
        <f t="shared" si="18"/>
        <v>1</v>
      </c>
      <c r="S28" s="3" t="s">
        <v>1349</v>
      </c>
      <c r="T28" s="5">
        <f>(X17*X19-X15*X20)/X21</f>
        <v>8.8799118034948563E-14</v>
      </c>
      <c r="V28" s="5">
        <f t="shared" si="17"/>
        <v>3.4409658238542567E-18</v>
      </c>
      <c r="W28" s="5"/>
      <c r="X28" s="4">
        <f>V28/V24</f>
        <v>1.120610296815764E-16</v>
      </c>
      <c r="Z28"/>
      <c r="AA28"/>
      <c r="AB28"/>
      <c r="AC28"/>
      <c r="AD28"/>
      <c r="AE28"/>
      <c r="AF28"/>
      <c r="AG28" s="16" t="s">
        <v>1387</v>
      </c>
      <c r="AH28" s="26">
        <f>$Q$37*AH23+$Q$38*AH24</f>
        <v>-0.13164345978455505</v>
      </c>
      <c r="AI28" s="22" t="e">
        <f>$Q$37*AI23+$Q$38*AI24</f>
        <v>#DIV/0!</v>
      </c>
      <c r="AJ28" s="22">
        <f>$Q$37*AJ23+$Q$38*AJ24</f>
        <v>-0.14306820551547658</v>
      </c>
      <c r="AK28" s="22">
        <f>$Q$37*AK23+$Q$38*AK24</f>
        <v>-0.14306820551547658</v>
      </c>
      <c r="AL28" s="22"/>
      <c r="AM28" s="16" t="s">
        <v>1387</v>
      </c>
      <c r="AN28" s="26">
        <f>$Q$37*AN23+$Q$38*AN24</f>
        <v>-0.13164345978455505</v>
      </c>
      <c r="AO28" s="22" t="e">
        <f>$Q$37*AO23+$Q$38*AO24</f>
        <v>#DIV/0!</v>
      </c>
      <c r="AP28" s="22">
        <f>$Q$37*AP23+$Q$38*AP24</f>
        <v>-0.14306820551547658</v>
      </c>
      <c r="AQ28" s="22">
        <f>$Q$37*AQ23+$Q$38*AQ24</f>
        <v>-0.14306820551547658</v>
      </c>
      <c r="AR28" s="22"/>
      <c r="AS28" s="16" t="s">
        <v>1387</v>
      </c>
      <c r="AT28" s="26">
        <f>$Q$37*AT23+$Q$38*AT24</f>
        <v>-0.13164345978455505</v>
      </c>
      <c r="AU28" s="22" t="e">
        <f>$Q$37*AU23+$Q$38*AU24</f>
        <v>#DIV/0!</v>
      </c>
      <c r="AV28" s="22">
        <f>$Q$37*AV23+$Q$38*AV24</f>
        <v>-0.14306820551547658</v>
      </c>
      <c r="AW28" s="22">
        <f>$Q$37*AW23+$Q$38*AW24</f>
        <v>-0.14306820551547658</v>
      </c>
      <c r="AX28" s="22"/>
    </row>
    <row r="29" spans="1:50">
      <c r="A29" s="4">
        <v>0.02</v>
      </c>
      <c r="B29" s="4">
        <v>22.5</v>
      </c>
      <c r="C29" s="4">
        <v>0</v>
      </c>
      <c r="D29" s="4">
        <v>0.6</v>
      </c>
      <c r="E29" s="4">
        <v>0.316</v>
      </c>
      <c r="F29" s="4">
        <v>4.0000000000000001E-3</v>
      </c>
      <c r="G29" s="4">
        <v>4.0000000000000001E-3</v>
      </c>
      <c r="H29" s="4">
        <v>2000</v>
      </c>
      <c r="J29"/>
      <c r="K29" s="3" t="s">
        <v>1388</v>
      </c>
      <c r="L29" s="4">
        <f>(L22+L23-2*L24-4*L25)/8</f>
        <v>19.710431085692363</v>
      </c>
      <c r="M29" s="4">
        <f>(M22+M23-2*M24-4*M25)/8</f>
        <v>19.710431085692367</v>
      </c>
      <c r="N29" s="8">
        <f>M29/L29</f>
        <v>1.0000000000000002</v>
      </c>
      <c r="O29" s="3" t="s">
        <v>1389</v>
      </c>
      <c r="P29" s="4">
        <f>P22*(P27*P28)^0.5</f>
        <v>-3.3603243272729659</v>
      </c>
      <c r="Q29" s="4">
        <f>Q22*(Q27*Q28)^0.5</f>
        <v>-3.3603243272729659</v>
      </c>
      <c r="R29" s="4">
        <f t="shared" si="18"/>
        <v>1</v>
      </c>
      <c r="V29" s="5"/>
      <c r="W29" s="5"/>
      <c r="X29" s="6"/>
      <c r="Z29"/>
      <c r="AA29"/>
      <c r="AB29"/>
      <c r="AC29"/>
      <c r="AD29"/>
      <c r="AE29"/>
      <c r="AF29"/>
      <c r="AG29" s="16" t="s">
        <v>1390</v>
      </c>
      <c r="AH29" s="26">
        <f>AH27+AH28</f>
        <v>-0.12771122819679989</v>
      </c>
      <c r="AI29" s="22" t="e">
        <f>AI27+AI28</f>
        <v>#DIV/0!</v>
      </c>
      <c r="AJ29" s="22">
        <f>AJ27+AJ28</f>
        <v>-0.13752315607436788</v>
      </c>
      <c r="AK29" s="22">
        <f>AK27+AK28</f>
        <v>-0.13752315607436788</v>
      </c>
      <c r="AL29" s="22"/>
      <c r="AM29" s="16" t="s">
        <v>1390</v>
      </c>
      <c r="AN29" s="26">
        <f>AN27+AN28</f>
        <v>-0.12771122819679989</v>
      </c>
      <c r="AO29" s="22" t="e">
        <f>AO27+AO28</f>
        <v>#DIV/0!</v>
      </c>
      <c r="AP29" s="22">
        <f>AP27+AP28</f>
        <v>-0.13752315607436788</v>
      </c>
      <c r="AQ29" s="22">
        <f>AQ27+AQ28</f>
        <v>-0.13752315607436788</v>
      </c>
      <c r="AR29" s="22"/>
      <c r="AS29" s="16" t="s">
        <v>1390</v>
      </c>
      <c r="AT29" s="26">
        <f>AT27+AT28</f>
        <v>-0.12771122819679989</v>
      </c>
      <c r="AU29" s="22" t="e">
        <f>AU27+AU28</f>
        <v>#DIV/0!</v>
      </c>
      <c r="AV29" s="22">
        <f>AV27+AV28</f>
        <v>-0.13752315607436788</v>
      </c>
      <c r="AW29" s="22">
        <f>AW27+AW28</f>
        <v>-0.13752315607436788</v>
      </c>
      <c r="AX29" s="22"/>
    </row>
    <row r="30" spans="1:50">
      <c r="A30" s="4">
        <v>0.15</v>
      </c>
      <c r="B30" s="4">
        <v>0.01</v>
      </c>
      <c r="C30" s="4">
        <v>1</v>
      </c>
      <c r="D30" s="4">
        <v>1</v>
      </c>
      <c r="E30" s="4">
        <v>0.1</v>
      </c>
      <c r="F30" s="4">
        <v>0.5</v>
      </c>
      <c r="G30" s="4"/>
      <c r="H30" s="4"/>
      <c r="J30"/>
      <c r="K30" s="3" t="s">
        <v>1391</v>
      </c>
      <c r="L30" s="4">
        <f>(L22+L23+6*L24-4*L25)/8</f>
        <v>22.607355530042096</v>
      </c>
      <c r="M30" s="4">
        <f>(M22+M23+6*M24-4*M25)/8</f>
        <v>22.607355530042099</v>
      </c>
      <c r="N30" s="8">
        <f>M30/L30</f>
        <v>1.0000000000000002</v>
      </c>
      <c r="O30" s="3" t="s">
        <v>1392</v>
      </c>
      <c r="P30" s="4">
        <f>1/P21^2*1000000</f>
        <v>216.26297577854672</v>
      </c>
      <c r="Q30" s="4">
        <f>1/Q21^2*1000000</f>
        <v>216.26297577854672</v>
      </c>
      <c r="R30" s="4">
        <f t="shared" si="18"/>
        <v>1</v>
      </c>
      <c r="S30" s="1" t="s">
        <v>1185</v>
      </c>
      <c r="V30" s="5"/>
      <c r="W30" s="5"/>
      <c r="X30" s="6" t="s">
        <v>1394</v>
      </c>
      <c r="Z30"/>
      <c r="AA30"/>
      <c r="AB30"/>
      <c r="AC30"/>
      <c r="AD30"/>
      <c r="AE30"/>
      <c r="AF30"/>
      <c r="AG30" s="16" t="s">
        <v>1395</v>
      </c>
      <c r="AH30" s="22">
        <f>-1+AH29</f>
        <v>-1.1277112281967998</v>
      </c>
      <c r="AI30" s="22" t="e">
        <f>-1+AI29</f>
        <v>#DIV/0!</v>
      </c>
      <c r="AJ30" s="22">
        <f>-1+AJ29</f>
        <v>-1.1375231560743679</v>
      </c>
      <c r="AK30" s="22">
        <f>-1+AK29</f>
        <v>-1.1375231560743679</v>
      </c>
      <c r="AL30" s="22"/>
      <c r="AM30" s="16" t="s">
        <v>1395</v>
      </c>
      <c r="AN30" s="22">
        <f>-1+AN29</f>
        <v>-1.1277112281967998</v>
      </c>
      <c r="AO30" s="22" t="e">
        <f>-1+AO29</f>
        <v>#DIV/0!</v>
      </c>
      <c r="AP30" s="22">
        <f>-1+AP29</f>
        <v>-1.1375231560743679</v>
      </c>
      <c r="AQ30" s="22">
        <f>-1+AQ29</f>
        <v>-1.1375231560743679</v>
      </c>
      <c r="AR30" s="22"/>
      <c r="AS30" s="16" t="s">
        <v>1395</v>
      </c>
      <c r="AT30" s="22">
        <f>-1+AT29</f>
        <v>-1.1277112281967998</v>
      </c>
      <c r="AU30" s="22" t="e">
        <f>-1+AU29</f>
        <v>#DIV/0!</v>
      </c>
      <c r="AV30" s="22">
        <f>-1+AV29</f>
        <v>-1.1375231560743679</v>
      </c>
      <c r="AW30" s="22">
        <f>-1+AW29</f>
        <v>-1.1375231560743679</v>
      </c>
      <c r="AX30" s="22"/>
    </row>
    <row r="31" spans="1:50">
      <c r="J31"/>
      <c r="K31" s="3" t="s">
        <v>1396</v>
      </c>
      <c r="L31" s="4">
        <f>(L27-L30)/2</f>
        <v>26.880431085692365</v>
      </c>
      <c r="M31" s="4">
        <f>(M27-M30)/2</f>
        <v>26.880431085692372</v>
      </c>
      <c r="N31" s="8">
        <f>M31/L31</f>
        <v>1.0000000000000002</v>
      </c>
      <c r="O31" s="3" t="s">
        <v>1397</v>
      </c>
      <c r="P31" s="4">
        <f>(1/P17-1/P18)*1000</f>
        <v>0</v>
      </c>
      <c r="Q31" s="4">
        <f>(1/Q17-1/Q18)*1000</f>
        <v>0</v>
      </c>
      <c r="R31" s="4" t="e">
        <f t="shared" si="18"/>
        <v>#DIV/0!</v>
      </c>
      <c r="S31" s="3" t="s">
        <v>1398</v>
      </c>
      <c r="T31" s="4">
        <f>T11*COS(T6)</f>
        <v>0.33333333333333326</v>
      </c>
      <c r="U31" s="4">
        <f>U11*COS(U6)</f>
        <v>0</v>
      </c>
      <c r="V31" s="4">
        <f>V11*COS(V6)</f>
        <v>2.0419140915143665E-17</v>
      </c>
      <c r="W31" s="4">
        <f>W11*COS(W6)</f>
        <v>2.0419140915143674E-17</v>
      </c>
      <c r="X31" s="4">
        <f>(T31+U31+V31+W31)</f>
        <v>0.33333333333333326</v>
      </c>
      <c r="Z31"/>
      <c r="AA31"/>
      <c r="AB31"/>
      <c r="AC31"/>
      <c r="AD31"/>
      <c r="AE31"/>
      <c r="AF31"/>
      <c r="AG31" s="16" t="s">
        <v>1399</v>
      </c>
      <c r="AH31" s="22">
        <f>2*($Q$33*AH7*AH23+$Q$34*AH8*AH24+$Q$35*(AH7*AH24+AH23*AH8)+$Q$36*AH9*AH25)</f>
        <v>-0.13132310392146468</v>
      </c>
      <c r="AI31" s="22" t="e">
        <f>2*($Q$33*AI7*AI23+$Q$34*AI8*AI24+$Q$35*(AI7*AI24+AI23*AI8)+$Q$36*AI9*AI25)</f>
        <v>#DIV/0!</v>
      </c>
      <c r="AJ31" s="22">
        <f>2*($Q$33*AJ7*AJ23+$Q$34*AJ8*AJ24+$Q$35*(AJ7*AJ24+AJ23*AJ8)+$Q$36*AJ9*AJ25)</f>
        <v>7.0373794550398897E-2</v>
      </c>
      <c r="AK31" s="22">
        <f>2*($Q$33*AK7*AK23+$Q$34*AK8*AK24+$Q$35*(AK7*AK24+AK23*AK8)+$Q$36*AK9*AK25)</f>
        <v>7.037379455039891E-2</v>
      </c>
      <c r="AL31" s="22"/>
      <c r="AM31" s="16" t="s">
        <v>1399</v>
      </c>
      <c r="AN31" s="22">
        <f>2*($Q$33*AN7*AN23+$Q$34*AN8*AN24+$Q$35*(AN7*AN24+AN23*AN8)+$Q$36*AN9*AN25)</f>
        <v>-3.283077598036617E-2</v>
      </c>
      <c r="AO31" s="22" t="e">
        <f>2*($Q$33*AO7*AO23+$Q$34*AO8*AO24+$Q$35*(AO7*AO24+AO23*AO8)+$Q$36*AO9*AO25)</f>
        <v>#DIV/0!</v>
      </c>
      <c r="AP31" s="22">
        <f>2*($Q$33*AP7*AP23+$Q$34*AP8*AP24+$Q$35*(AP7*AP24+AP23*AP8)+$Q$36*AP9*AP25)</f>
        <v>1.7593448637599724E-2</v>
      </c>
      <c r="AQ31" s="22">
        <f>2*($Q$33*AQ7*AQ23+$Q$34*AQ8*AQ24+$Q$35*(AQ7*AQ24+AQ23*AQ8)+$Q$36*AQ9*AQ25)</f>
        <v>1.7593448637599728E-2</v>
      </c>
      <c r="AR31" s="22"/>
      <c r="AS31" s="16" t="s">
        <v>1399</v>
      </c>
      <c r="AT31" s="22">
        <f>2*($Q$33*AT7*AT23+$Q$34*AT8*AT24+$Q$35*(AT7*AT24+AT23*AT8)+$Q$36*AT9*AT25)</f>
        <v>-1.6415387990183085E-2</v>
      </c>
      <c r="AU31" s="22" t="e">
        <f>2*($Q$33*AU7*AU23+$Q$34*AU8*AU24+$Q$35*(AU7*AU24+AU23*AU8)+$Q$36*AU9*AU25)</f>
        <v>#DIV/0!</v>
      </c>
      <c r="AV31" s="22">
        <f>2*($Q$33*AV7*AV23+$Q$34*AV8*AV24+$Q$35*(AV7*AV24+AV23*AV8)+$Q$36*AV9*AV25)</f>
        <v>8.7967243187998621E-3</v>
      </c>
      <c r="AW31" s="22">
        <f>2*($Q$33*AW7*AW23+$Q$34*AW8*AW24+$Q$35*(AW7*AW24+AW23*AW8)+$Q$36*AW9*AW25)</f>
        <v>8.7967243187998638E-3</v>
      </c>
      <c r="AX31" s="22"/>
    </row>
    <row r="32" spans="1:50">
      <c r="A32" s="3" t="s">
        <v>1413</v>
      </c>
      <c r="B32" s="3" t="s">
        <v>1577</v>
      </c>
      <c r="C32" s="3" t="s">
        <v>1578</v>
      </c>
      <c r="D32" s="3" t="s">
        <v>266</v>
      </c>
      <c r="E32" s="3" t="s">
        <v>267</v>
      </c>
      <c r="F32" s="3" t="s">
        <v>268</v>
      </c>
      <c r="G32" s="3" t="s">
        <v>1584</v>
      </c>
      <c r="H32" s="3" t="s">
        <v>1585</v>
      </c>
      <c r="J32"/>
      <c r="K32" s="2" t="s">
        <v>1400</v>
      </c>
      <c r="O32" s="3" t="s">
        <v>1401</v>
      </c>
      <c r="P32" s="4">
        <f>(1/P19-1/P20)*1000</f>
        <v>20.934959349593495</v>
      </c>
      <c r="Q32" s="4">
        <f>(1/Q19-1/Q20)*1000</f>
        <v>20.934959349593495</v>
      </c>
      <c r="R32" s="4">
        <f t="shared" si="18"/>
        <v>1</v>
      </c>
      <c r="S32" s="3" t="s">
        <v>1402</v>
      </c>
      <c r="T32" s="4">
        <f>T11*SIN(T6)</f>
        <v>0</v>
      </c>
      <c r="U32" s="4">
        <f>U11*SIN(U6)</f>
        <v>0</v>
      </c>
      <c r="V32" s="4">
        <f>V11*SIN(V6)</f>
        <v>0.33333333333333331</v>
      </c>
      <c r="W32" s="4">
        <f>W11*SIN(W6)</f>
        <v>-0.33333333333333343</v>
      </c>
      <c r="X32" s="4">
        <f>(T32+U32+V32+W32)</f>
        <v>-1.1102230246251565E-16</v>
      </c>
      <c r="Z32"/>
      <c r="AA32"/>
      <c r="AB32"/>
      <c r="AC32"/>
      <c r="AD32"/>
      <c r="AE32"/>
      <c r="AF32"/>
      <c r="AG32" s="16" t="s">
        <v>1403</v>
      </c>
      <c r="AH32" s="26">
        <f>AH31+AH15</f>
        <v>0.81506218182943857</v>
      </c>
      <c r="AI32" s="22" t="e">
        <f>AI31+AI15</f>
        <v>#DIV/0!</v>
      </c>
      <c r="AJ32" s="22">
        <f>AJ31+AJ15</f>
        <v>-0.34323696528145914</v>
      </c>
      <c r="AK32" s="22">
        <f>AK31+AK15</f>
        <v>-0.34323696528145908</v>
      </c>
      <c r="AL32" s="22"/>
      <c r="AM32" s="16" t="s">
        <v>1403</v>
      </c>
      <c r="AN32" s="26">
        <f>AN31+AN15</f>
        <v>0.20376554545735964</v>
      </c>
      <c r="AO32" s="22" t="e">
        <f>AO31+AO15</f>
        <v>#DIV/0!</v>
      </c>
      <c r="AP32" s="22">
        <f>AP31+AP15</f>
        <v>-8.5809241320364785E-2</v>
      </c>
      <c r="AQ32" s="22">
        <f>AQ31+AQ15</f>
        <v>-8.5809241320364771E-2</v>
      </c>
      <c r="AR32" s="22"/>
      <c r="AS32" s="16" t="s">
        <v>1403</v>
      </c>
      <c r="AT32" s="26">
        <f>AT31+AT15</f>
        <v>0.10188277272867982</v>
      </c>
      <c r="AU32" s="22" t="e">
        <f>AU31+AU15</f>
        <v>#DIV/0!</v>
      </c>
      <c r="AV32" s="22">
        <f>AV31+AV15</f>
        <v>-4.2904620660182392E-2</v>
      </c>
      <c r="AW32" s="22">
        <f>AW31+AW15</f>
        <v>-4.2904620660182385E-2</v>
      </c>
      <c r="AX32" s="22"/>
    </row>
    <row r="33" spans="1:50">
      <c r="A33" s="3" t="s">
        <v>269</v>
      </c>
      <c r="B33" s="3" t="s">
        <v>270</v>
      </c>
      <c r="C33" s="3" t="s">
        <v>271</v>
      </c>
      <c r="D33" s="3" t="s">
        <v>272</v>
      </c>
      <c r="E33" s="3" t="s">
        <v>273</v>
      </c>
      <c r="F33" s="3" t="s">
        <v>274</v>
      </c>
      <c r="G33" s="3" t="s">
        <v>1588</v>
      </c>
      <c r="H33" s="3" t="s">
        <v>275</v>
      </c>
      <c r="K33" s="3" t="s">
        <v>1404</v>
      </c>
      <c r="L33" s="4">
        <f>(1-(L30/L27)^2)*L27</f>
        <v>69.675740916648124</v>
      </c>
      <c r="M33" s="4">
        <f>(1-(M30/M27)^2)*M27</f>
        <v>69.675740916648138</v>
      </c>
      <c r="N33" s="4">
        <f>M33/L33</f>
        <v>1.0000000000000002</v>
      </c>
      <c r="O33" s="3" t="s">
        <v>1405</v>
      </c>
      <c r="P33" s="7">
        <f>(P27*L22^2+2*P29*L22*L24+P28*L24^2)</f>
        <v>12004.38353147296</v>
      </c>
      <c r="Q33" s="7">
        <f>(Q27*M22^2+2*Q29*M22*M24+Q28*M24^2)</f>
        <v>12004.38353147296</v>
      </c>
      <c r="R33" s="4">
        <f t="shared" si="18"/>
        <v>1</v>
      </c>
      <c r="S33" s="3"/>
      <c r="T33" s="6" t="s">
        <v>1406</v>
      </c>
      <c r="U33" s="6" t="s">
        <v>1407</v>
      </c>
      <c r="V33" s="6" t="s">
        <v>1408</v>
      </c>
      <c r="W33" s="6" t="s">
        <v>1409</v>
      </c>
      <c r="X33" s="6" t="s">
        <v>1410</v>
      </c>
      <c r="Y33" s="6" t="s">
        <v>1411</v>
      </c>
      <c r="Z33"/>
      <c r="AA33"/>
      <c r="AB33"/>
      <c r="AC33"/>
      <c r="AD33"/>
      <c r="AE33"/>
      <c r="AF33"/>
      <c r="AG33" s="16" t="s">
        <v>1412</v>
      </c>
      <c r="AH33" s="26">
        <f>AH32/2/AH14</f>
        <v>0.18005876948655269</v>
      </c>
      <c r="AI33" s="22" t="e">
        <f>AI32/2/AI14</f>
        <v>#DIV/0!</v>
      </c>
      <c r="AJ33" s="22">
        <f>AJ32/2/AJ14</f>
        <v>-5.0196372374263831E-2</v>
      </c>
      <c r="AK33" s="22">
        <f>AK32/2/AK14</f>
        <v>-5.0196372374263824E-2</v>
      </c>
      <c r="AL33" s="22"/>
      <c r="AM33" s="16" t="s">
        <v>1412</v>
      </c>
      <c r="AN33" s="26">
        <f>AN32/2/AN14</f>
        <v>0.72023507794621078</v>
      </c>
      <c r="AO33" s="22" t="e">
        <f>AO32/2/AO14</f>
        <v>#DIV/0!</v>
      </c>
      <c r="AP33" s="22">
        <f>AP32/2/AP14</f>
        <v>-0.20078548949705533</v>
      </c>
      <c r="AQ33" s="22">
        <f>AQ32/2/AQ14</f>
        <v>-0.2007854894970553</v>
      </c>
      <c r="AR33" s="22"/>
      <c r="AS33" s="16" t="s">
        <v>1412</v>
      </c>
      <c r="AT33" s="26">
        <f>AT32/2/AT14</f>
        <v>1.4404701558924216</v>
      </c>
      <c r="AU33" s="22" t="e">
        <f>AU32/2/AU14</f>
        <v>#DIV/0!</v>
      </c>
      <c r="AV33" s="22">
        <f>AV32/2/AV14</f>
        <v>-0.40157097899411065</v>
      </c>
      <c r="AW33" s="22">
        <f>AW32/2/AW14</f>
        <v>-0.40157097899411059</v>
      </c>
      <c r="AX33" s="22"/>
    </row>
    <row r="34" spans="1:50">
      <c r="A34" s="3" t="s">
        <v>1568</v>
      </c>
      <c r="B34" s="3" t="s">
        <v>276</v>
      </c>
      <c r="C34" s="3" t="s">
        <v>277</v>
      </c>
      <c r="D34" s="3" t="s">
        <v>278</v>
      </c>
      <c r="E34" s="3" t="s">
        <v>279</v>
      </c>
      <c r="F34" s="3" t="s">
        <v>280</v>
      </c>
      <c r="G34" s="3" t="s">
        <v>281</v>
      </c>
      <c r="H34" s="3" t="s">
        <v>282</v>
      </c>
      <c r="K34" s="3" t="s">
        <v>1414</v>
      </c>
      <c r="L34" s="4">
        <f>L30/L27</f>
        <v>0.29603094337527941</v>
      </c>
      <c r="M34" s="4">
        <f>M30/M27</f>
        <v>0.29603094337527941</v>
      </c>
      <c r="N34" s="4">
        <f>M34/L34</f>
        <v>1</v>
      </c>
      <c r="O34" s="3" t="s">
        <v>1415</v>
      </c>
      <c r="P34" s="7">
        <f>(P27*L24^2+2*P29*L24*L23+P28*L23^2)</f>
        <v>10680.652008265077</v>
      </c>
      <c r="Q34" s="7">
        <f>(Q27*M24^2+2*Q29*M24*M23+Q28*M23^2)</f>
        <v>10680.652008265077</v>
      </c>
      <c r="R34" s="4">
        <f t="shared" si="18"/>
        <v>1</v>
      </c>
      <c r="S34" s="3">
        <v>1</v>
      </c>
      <c r="T34" s="5">
        <f>(($M$22+$M$24)/2*$Q$10+($M$24+$M$23)/2*$Q$11)/1000000</f>
        <v>1.5083176634230242E-4</v>
      </c>
      <c r="U34" s="5">
        <f>(($M$22+$M$24)/2*$Q$13+($M$24+$M$23)/2*$Q$14)</f>
        <v>3.9729249522510592</v>
      </c>
      <c r="V34" s="5">
        <f>T34+T35*X31</f>
        <v>1.2349351848645407E-4</v>
      </c>
      <c r="W34" s="5">
        <f>U34+U35*X31</f>
        <v>3.2280015237039859</v>
      </c>
      <c r="X34" s="4">
        <f>(V34*V23+V35*V25+V36*V27)*1000000</f>
        <v>-3.3735654590575453E-2</v>
      </c>
      <c r="Y34" s="5">
        <f>(W34*V23+W35*V25+W36*V27)</f>
        <v>-1.4342256563320901E-3</v>
      </c>
      <c r="Z34"/>
      <c r="AA34"/>
      <c r="AB34"/>
      <c r="AC34"/>
      <c r="AD34"/>
      <c r="AE34"/>
      <c r="AF34"/>
      <c r="AG34" s="16"/>
      <c r="AH34" s="26"/>
      <c r="AI34" s="22"/>
      <c r="AJ34" s="22"/>
      <c r="AK34" s="22"/>
      <c r="AL34" s="22"/>
      <c r="AM34" s="16"/>
      <c r="AN34" s="26"/>
      <c r="AO34" s="22"/>
      <c r="AP34" s="22"/>
      <c r="AQ34" s="22"/>
      <c r="AR34" s="22"/>
      <c r="AS34" s="16"/>
      <c r="AT34" s="26"/>
      <c r="AU34" s="22"/>
      <c r="AV34" s="22"/>
      <c r="AW34" s="22"/>
      <c r="AX34" s="22"/>
    </row>
    <row r="35" spans="1:50">
      <c r="A35" s="1" t="s">
        <v>1591</v>
      </c>
      <c r="B35" s="1" t="s">
        <v>1592</v>
      </c>
      <c r="C35" s="1" t="s">
        <v>1537</v>
      </c>
      <c r="D35" s="1" t="s">
        <v>1539</v>
      </c>
      <c r="E35" s="3" t="s">
        <v>295</v>
      </c>
      <c r="F35" s="3" t="s">
        <v>283</v>
      </c>
      <c r="G35" s="3" t="s">
        <v>284</v>
      </c>
      <c r="H35" s="3" t="s">
        <v>285</v>
      </c>
      <c r="O35" s="3" t="s">
        <v>1416</v>
      </c>
      <c r="P35" s="7">
        <f>(P27*L22*L24+P29*(L22*L23+L24^2)+P28*L24*L23)</f>
        <v>-3069.103206291968</v>
      </c>
      <c r="Q35" s="7">
        <f>(Q27*M22*M24+Q29*(M22*M23+M24^2)+Q28*M24*M23)</f>
        <v>-3069.1032062919689</v>
      </c>
      <c r="R35" s="4">
        <f t="shared" si="18"/>
        <v>1.0000000000000002</v>
      </c>
      <c r="S35" s="3">
        <v>2</v>
      </c>
      <c r="T35" s="5">
        <f>(($M$22-$M$24)/2*$Q$10+($M$24-$M$23)/2*$Q$11)/1000000</f>
        <v>-8.2014743567545106E-5</v>
      </c>
      <c r="U35" s="5">
        <f>(($M$22-$M$24)/2*$Q$13+($M$24-$M$23)/2*$Q$14)</f>
        <v>-2.234770285641221</v>
      </c>
      <c r="V35" s="5">
        <f>T34-T35*X31</f>
        <v>1.7817001419815078E-4</v>
      </c>
      <c r="W35" s="5">
        <f>U34-U35*X31</f>
        <v>4.7178483807981326</v>
      </c>
      <c r="X35" s="4">
        <f>(V34*V25+V35*V24+V36*V28)*1000000</f>
        <v>4.3462354940147474</v>
      </c>
      <c r="Y35" s="5">
        <f>(W34*V25+W35*V24+W36*V28)</f>
        <v>0.11546891887939717</v>
      </c>
      <c r="Z35"/>
      <c r="AA35"/>
      <c r="AB35"/>
      <c r="AC35"/>
      <c r="AD35"/>
      <c r="AE35"/>
      <c r="AF35"/>
      <c r="AG35" s="16" t="s">
        <v>1424</v>
      </c>
      <c r="AH35" s="11">
        <f>(AH33^2-AH30/AH14)^0.5-AH33</f>
        <v>0.54841627908742296</v>
      </c>
      <c r="AI35" s="11" t="e">
        <f>(AI33^2-AI30/AI14)^0.5-AI33</f>
        <v>#DIV/0!</v>
      </c>
      <c r="AJ35" s="11">
        <f>(AJ33^2-AJ30/AJ14)^0.5-AJ33</f>
        <v>0.62918835721711863</v>
      </c>
      <c r="AK35" s="11">
        <f>(AK33^2-AK30/AK14)^0.5-AK33</f>
        <v>0.62918835721711852</v>
      </c>
      <c r="AL35" s="22"/>
      <c r="AM35" s="16" t="s">
        <v>1424</v>
      </c>
      <c r="AN35" s="11">
        <f>(AN33^2-AN30/AN14)^0.5-AN33</f>
        <v>2.1936651163496919</v>
      </c>
      <c r="AO35" s="11" t="e">
        <f>(AO33^2-AO30/AO14)^0.5-AO33</f>
        <v>#DIV/0!</v>
      </c>
      <c r="AP35" s="11">
        <f>(AP33^2-AP30/AP14)^0.5-AP33</f>
        <v>2.5167534288684745</v>
      </c>
      <c r="AQ35" s="11">
        <f>(AQ33^2-AQ30/AQ14)^0.5-AQ33</f>
        <v>2.5167534288684741</v>
      </c>
      <c r="AR35" s="22"/>
      <c r="AS35" s="16" t="s">
        <v>1424</v>
      </c>
      <c r="AT35" s="11">
        <f>(AT33^2-AT30/AT14)^0.5-AT33</f>
        <v>4.3873302326993837</v>
      </c>
      <c r="AU35" s="11" t="e">
        <f>(AU33^2-AU30/AU14)^0.5-AU33</f>
        <v>#DIV/0!</v>
      </c>
      <c r="AV35" s="11">
        <f>(AV33^2-AV30/AV14)^0.5-AV33</f>
        <v>5.0335068577369491</v>
      </c>
      <c r="AW35" s="11">
        <f>(AW33^2-AW30/AW14)^0.5-AW33</f>
        <v>5.0335068577369482</v>
      </c>
      <c r="AX35" s="22"/>
    </row>
    <row r="36" spans="1:50">
      <c r="A36" s="1" t="s">
        <v>286</v>
      </c>
      <c r="B36" s="1" t="s">
        <v>287</v>
      </c>
      <c r="C36" s="3" t="s">
        <v>288</v>
      </c>
      <c r="D36" s="3" t="s">
        <v>289</v>
      </c>
      <c r="E36" s="3" t="s">
        <v>290</v>
      </c>
      <c r="K36" s="3" t="s">
        <v>1193</v>
      </c>
      <c r="L36" s="4">
        <f>$D$28</f>
        <v>1.6</v>
      </c>
      <c r="M36" s="4">
        <f>M37*(1-$M$11)+M38*$M$11</f>
        <v>1.6</v>
      </c>
      <c r="N36" s="4">
        <f>M36/L36</f>
        <v>1</v>
      </c>
      <c r="O36" s="3" t="s">
        <v>1418</v>
      </c>
      <c r="P36" s="7">
        <f>P30*L25^2</f>
        <v>11117.841695501729</v>
      </c>
      <c r="Q36" s="7">
        <f>Q30*M25^2</f>
        <v>11117.841695501729</v>
      </c>
      <c r="R36" s="4">
        <f t="shared" si="18"/>
        <v>1</v>
      </c>
      <c r="S36" s="3">
        <v>6</v>
      </c>
      <c r="T36" s="6" t="s">
        <v>1419</v>
      </c>
      <c r="U36" s="6" t="s">
        <v>1420</v>
      </c>
      <c r="V36" s="5">
        <f>T35*X32</f>
        <v>9.1054656667416529E-21</v>
      </c>
      <c r="W36" s="5">
        <f>U35*X32</f>
        <v>2.4810934258670215E-16</v>
      </c>
      <c r="X36" s="4">
        <f>(V34*V27+V35*V28+V36*V26)*1000000</f>
        <v>9.5923856707723075E-16</v>
      </c>
      <c r="Y36" s="5">
        <f>(W34*V27+W35*V28+W36*V26)</f>
        <v>2.5584261851962921E-17</v>
      </c>
      <c r="Z36"/>
      <c r="AA36"/>
      <c r="AB36"/>
      <c r="AC36"/>
      <c r="AD36"/>
      <c r="AE36"/>
      <c r="AF36"/>
      <c r="AG36" s="16" t="s">
        <v>1196</v>
      </c>
      <c r="AH36" s="11">
        <f>(AH33^2-AH30/AH14)^0.5+AH33</f>
        <v>0.90853381806052824</v>
      </c>
      <c r="AI36" s="11" t="e">
        <f>(AI33^2-AI30/AI14)^0.5+AI33</f>
        <v>#DIV/0!</v>
      </c>
      <c r="AJ36" s="11">
        <f>(AJ33^2-AJ30/AJ14)^0.5+AJ33</f>
        <v>0.52879561246859086</v>
      </c>
      <c r="AK36" s="11">
        <f>(AK33^2-AK30/AK14)^0.5+AK33</f>
        <v>0.52879561246859097</v>
      </c>
      <c r="AL36" s="16"/>
      <c r="AM36" s="16" t="s">
        <v>1196</v>
      </c>
      <c r="AN36" s="11">
        <f>(AN33^2-AN30/AN14)^0.5+AN33</f>
        <v>3.634135272242113</v>
      </c>
      <c r="AO36" s="11" t="e">
        <f>(AO33^2-AO30/AO14)^0.5+AO33</f>
        <v>#DIV/0!</v>
      </c>
      <c r="AP36" s="11">
        <f>(AP33^2-AP30/AP14)^0.5+AP33</f>
        <v>2.1151824498743634</v>
      </c>
      <c r="AQ36" s="11">
        <f>(AQ33^2-AQ30/AQ14)^0.5+AQ33</f>
        <v>2.1151824498743639</v>
      </c>
      <c r="AR36" s="16"/>
      <c r="AS36" s="16" t="s">
        <v>1196</v>
      </c>
      <c r="AT36" s="11">
        <f>(AT33^2-AT30/AT14)^0.5+AT33</f>
        <v>7.2682705444842259</v>
      </c>
      <c r="AU36" s="11" t="e">
        <f>(AU33^2-AU30/AU14)^0.5+AU33</f>
        <v>#DIV/0!</v>
      </c>
      <c r="AV36" s="11">
        <f>(AV33^2-AV30/AV14)^0.5+AV33</f>
        <v>4.2303648997487269</v>
      </c>
      <c r="AW36" s="11">
        <f>(AW33^2-AW30/AW14)^0.5+AW33</f>
        <v>4.2303648997487278</v>
      </c>
      <c r="AX36" s="16"/>
    </row>
    <row r="37" spans="1:50">
      <c r="K37" s="3" t="s">
        <v>274</v>
      </c>
      <c r="L37" s="4">
        <f>$F$27</f>
        <v>1.2</v>
      </c>
      <c r="M37" s="4">
        <f>L37</f>
        <v>1.2</v>
      </c>
      <c r="N37" s="4">
        <f>M37/L37</f>
        <v>1</v>
      </c>
      <c r="O37" s="3" t="s">
        <v>1422</v>
      </c>
      <c r="P37" s="7">
        <f>(P31*L22+P32*L24)</f>
        <v>60.646995481305353</v>
      </c>
      <c r="Q37" s="7">
        <f>(Q31*M22+Q32*M24)</f>
        <v>60.646995481305353</v>
      </c>
      <c r="R37" s="4">
        <f t="shared" si="18"/>
        <v>1</v>
      </c>
      <c r="S37" s="3">
        <v>1</v>
      </c>
      <c r="T37" s="5">
        <f>$Q$7*V34+$Q$3*W34</f>
        <v>3.7906557698745239E-3</v>
      </c>
      <c r="U37" s="5">
        <f>$Q$7*X34/1000000+$Q$3*Y34</f>
        <v>-3.7975628226029048E-6</v>
      </c>
      <c r="V37" s="6" t="s">
        <v>1423</v>
      </c>
      <c r="W37" s="5">
        <f>$Q$7*$Q$10/1000000+$Q$3*$Q$13</f>
        <v>-1.9999999999999999E-6</v>
      </c>
      <c r="Z37"/>
      <c r="AA37"/>
      <c r="AB37"/>
      <c r="AC37"/>
      <c r="AD37"/>
      <c r="AE37"/>
      <c r="AF37" s="131"/>
      <c r="AG37" s="3" t="s">
        <v>1511</v>
      </c>
      <c r="AH37" s="11">
        <f>MIN(AH35,AH36)</f>
        <v>0.54841627908742296</v>
      </c>
      <c r="AI37" s="11" t="e">
        <f>MIN(AI35,AI36)</f>
        <v>#DIV/0!</v>
      </c>
      <c r="AJ37" s="11">
        <f>MIN(AJ35,AJ36)</f>
        <v>0.52879561246859086</v>
      </c>
      <c r="AK37" s="11">
        <f>MIN(AK35,AK36)</f>
        <v>0.52879561246859097</v>
      </c>
      <c r="AL37" s="133" t="s">
        <v>1421</v>
      </c>
      <c r="AM37" s="3" t="s">
        <v>1511</v>
      </c>
      <c r="AN37" s="11">
        <f>MIN(AN35,AN36)</f>
        <v>2.1936651163496919</v>
      </c>
      <c r="AO37" s="11" t="e">
        <f>MIN(AO35,AO36)</f>
        <v>#DIV/0!</v>
      </c>
      <c r="AP37" s="11">
        <f>MIN(AP35,AP36)</f>
        <v>2.1151824498743634</v>
      </c>
      <c r="AQ37" s="11">
        <f>MIN(AQ35,AQ36)</f>
        <v>2.1151824498743639</v>
      </c>
      <c r="AR37" s="133" t="s">
        <v>1421</v>
      </c>
      <c r="AS37" s="3" t="s">
        <v>1511</v>
      </c>
      <c r="AT37" s="11">
        <f>MIN(AT35,AT36)</f>
        <v>4.3873302326993837</v>
      </c>
      <c r="AU37" s="11" t="e">
        <f>MIN(AU35,AU36)</f>
        <v>#DIV/0!</v>
      </c>
      <c r="AV37" s="11">
        <f>MIN(AV35,AV36)</f>
        <v>4.2303648997487269</v>
      </c>
      <c r="AW37" s="11">
        <f>MIN(AW35,AW36)</f>
        <v>4.2303648997487278</v>
      </c>
      <c r="AX37" s="133" t="s">
        <v>1421</v>
      </c>
    </row>
    <row r="38" spans="1:50">
      <c r="A38"/>
      <c r="B38"/>
      <c r="C38"/>
      <c r="D38"/>
      <c r="E38"/>
      <c r="F38"/>
      <c r="G38"/>
      <c r="K38" s="3" t="s">
        <v>1195</v>
      </c>
      <c r="L38" s="4">
        <f>(L36-L37*(1-$L$11))/$L$11</f>
        <v>1.7714285714285716</v>
      </c>
      <c r="M38" s="4">
        <f>L38</f>
        <v>1.7714285714285716</v>
      </c>
      <c r="N38" s="4">
        <f>M38/L38</f>
        <v>1</v>
      </c>
      <c r="O38" s="3" t="s">
        <v>1426</v>
      </c>
      <c r="P38" s="7">
        <f>(P31*L24+P32*L23)</f>
        <v>216.59641243323335</v>
      </c>
      <c r="Q38" s="7">
        <f>(Q31*M24+Q32*M23)</f>
        <v>216.59641243323335</v>
      </c>
      <c r="R38" s="4">
        <f t="shared" si="18"/>
        <v>1</v>
      </c>
      <c r="S38" s="3">
        <v>2</v>
      </c>
      <c r="T38" s="5">
        <f>$Q$7*V35+$Q$3*W35</f>
        <v>5.7722404841755864E-3</v>
      </c>
      <c r="U38" s="5">
        <f>$Q$7*X35/1000000+$Q$3*Y35</f>
        <v>1.4272104499551112E-4</v>
      </c>
      <c r="V38" s="6" t="s">
        <v>1427</v>
      </c>
      <c r="W38" s="5">
        <f>$Q$7*$Q$11/1000000+$Q$3*$Q$14</f>
        <v>7.5000000000000023E-4</v>
      </c>
      <c r="Z38"/>
      <c r="AA38"/>
      <c r="AB38"/>
      <c r="AC38"/>
      <c r="AD38"/>
      <c r="AE38"/>
      <c r="AF38" s="134"/>
      <c r="AG38" s="1" t="s">
        <v>741</v>
      </c>
      <c r="AH38" s="11">
        <f>IF(AH3=0,1000000000,AH35)</f>
        <v>0.54841627908742296</v>
      </c>
      <c r="AI38" s="11">
        <f>IF(AI3=0,1000000000,AI35)</f>
        <v>1000000000</v>
      </c>
      <c r="AJ38" s="11">
        <f>IF(AJ3=0,1000000000,AJ35)</f>
        <v>0.62918835721711863</v>
      </c>
      <c r="AK38" s="11">
        <f>IF(AK3=0,1000000000,AK35)</f>
        <v>0.62918835721711852</v>
      </c>
      <c r="AL38" s="18">
        <f>MIN(AH38:AK38, AH39:AK39)</f>
        <v>0.52879561246859086</v>
      </c>
      <c r="AM38" s="1" t="s">
        <v>763</v>
      </c>
      <c r="AN38" s="11">
        <f>IF(AN3=0,1000000000,AN35)</f>
        <v>2.1936651163496919</v>
      </c>
      <c r="AO38" s="11">
        <f>IF(AO3=0,1000000000,AO37)</f>
        <v>1000000000</v>
      </c>
      <c r="AP38" s="11">
        <f>IF(AP3=0,1000000000,AP37)</f>
        <v>2.1151824498743634</v>
      </c>
      <c r="AQ38" s="11">
        <f>IF(AQ3=0,1000000000,AQ37)</f>
        <v>2.1151824498743639</v>
      </c>
      <c r="AR38" s="18">
        <f>MIN(AN38:AQ38,AN39:AQ39)</f>
        <v>2.1151824498743634</v>
      </c>
      <c r="AS38" s="1" t="s">
        <v>764</v>
      </c>
      <c r="AT38" s="11">
        <f>IF(AT3=0,1000000000,AT35)</f>
        <v>4.3873302326993837</v>
      </c>
      <c r="AU38" s="11">
        <f>IF(AU3=0,1000000000,AU35)</f>
        <v>1000000000</v>
      </c>
      <c r="AV38" s="11">
        <f>IF(AV3=0,1000000000,AV35)</f>
        <v>5.0335068577369491</v>
      </c>
      <c r="AW38" s="11">
        <f>IF(AW3=0,1000000000,AW35)</f>
        <v>5.0335068577369482</v>
      </c>
      <c r="AX38" s="18">
        <f>MIN(AT38:AW38,AT39:AY39)</f>
        <v>4.2303648997487269</v>
      </c>
    </row>
    <row r="39" spans="1:50">
      <c r="A39"/>
      <c r="B39"/>
      <c r="C39"/>
      <c r="D39"/>
      <c r="E39"/>
      <c r="F39"/>
      <c r="G39"/>
      <c r="M39" s="2" t="s">
        <v>234</v>
      </c>
      <c r="S39" s="3">
        <v>6</v>
      </c>
      <c r="T39" s="5">
        <f>$Q$7*V36+$Q$3*W36</f>
        <v>3.3000014625934564E-19</v>
      </c>
      <c r="U39" s="5">
        <f>$Q$7*X36/1000000+$Q$3*Y36</f>
        <v>3.199745255209152E-20</v>
      </c>
      <c r="V39" s="6" t="s">
        <v>1429</v>
      </c>
      <c r="W39" s="5">
        <f>0</f>
        <v>0</v>
      </c>
      <c r="Z39"/>
      <c r="AA39"/>
      <c r="AB39"/>
      <c r="AC39"/>
      <c r="AD39"/>
      <c r="AE39"/>
      <c r="AF39"/>
      <c r="AG39" s="1" t="s">
        <v>745</v>
      </c>
      <c r="AH39" s="11">
        <f>IF(AH3=0,1000000000,AH36)</f>
        <v>0.90853381806052824</v>
      </c>
      <c r="AI39" s="11">
        <f>IF(AI3=0,1000000000,AI36)</f>
        <v>1000000000</v>
      </c>
      <c r="AJ39" s="11">
        <f>IF(AJ3=0,1000000000,AJ36)</f>
        <v>0.52879561246859086</v>
      </c>
      <c r="AK39" s="11">
        <f>IF(AK3=0,1000000000,AK36)</f>
        <v>0.52879561246859097</v>
      </c>
      <c r="AL39" s="11"/>
      <c r="AM39" s="1" t="s">
        <v>765</v>
      </c>
      <c r="AN39" s="11">
        <f>IF(AN3=0,1000000000,AN36)</f>
        <v>3.634135272242113</v>
      </c>
      <c r="AO39" s="11">
        <f>IF(AO3=0,1000000000,AO36)</f>
        <v>1000000000</v>
      </c>
      <c r="AP39" s="11">
        <f>IF(AP3=0,1000000000,AP36)</f>
        <v>2.1151824498743634</v>
      </c>
      <c r="AQ39" s="11">
        <f>IF(AQ3=0,1000000000,AQ36)</f>
        <v>2.1151824498743639</v>
      </c>
      <c r="AR39" s="11"/>
      <c r="AS39" s="1" t="s">
        <v>766</v>
      </c>
      <c r="AT39" s="11">
        <f>IF(AT3=0,1000000000,AT36)</f>
        <v>7.2682705444842259</v>
      </c>
      <c r="AU39" s="11">
        <f>IF(AU3=0,1000000000,AU36)</f>
        <v>1000000000</v>
      </c>
      <c r="AV39" s="11">
        <f>IF(AV3=0,1000000000,AV36)</f>
        <v>4.2303648997487269</v>
      </c>
      <c r="AW39" s="11">
        <f>IF(AW3=0,1000000000,AW36)</f>
        <v>4.2303648997487278</v>
      </c>
      <c r="AX39" s="11"/>
    </row>
    <row r="40" spans="1:50" customFormat="1"/>
    <row r="41" spans="1:50" customFormat="1">
      <c r="AJ41" s="131"/>
    </row>
    <row r="42" spans="1:50" customFormat="1"/>
    <row r="43" spans="1:50" customFormat="1"/>
    <row r="44" spans="1:50" customFormat="1"/>
    <row r="45" spans="1:50" customFormat="1"/>
    <row r="46" spans="1:50" customFormat="1"/>
    <row r="47" spans="1:50" customFormat="1"/>
    <row r="48" spans="1:50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</sheetData>
  <phoneticPr fontId="5" type="noConversion"/>
  <printOptions headings="1" gridLines="1" gridLinesSet="0"/>
  <pageMargins left="0.5" right="0.75" top="1" bottom="1" header="0.5" footer="0.5"/>
  <pageSetup orientation="portrait"/>
  <headerFooter alignWithMargins="0">
    <oddHeader>&amp;F</oddHeader>
    <oddFooter>Page &amp;P</oddFooter>
  </headerFooter>
  <rowBreaks count="1" manualBreakCount="1">
    <brk id="39" max="65535" man="1"/>
  </rowBreaks>
  <colBreaks count="6" manualBreakCount="6">
    <brk id="10" max="1048575" man="1"/>
    <brk id="18" max="1048575" man="1"/>
    <brk id="25" max="1048575" man="1"/>
    <brk id="32" max="1048575" man="1"/>
    <brk id="38" max="1048575" man="1"/>
    <brk id="44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Line="0" autoPict="0" macro="[0]!SelectMaterial">
                <anchor moveWithCells="1" sizeWithCells="1">
                  <from>
                    <xdr:col>5</xdr:col>
                    <xdr:colOff>60960</xdr:colOff>
                    <xdr:row>0</xdr:row>
                    <xdr:rowOff>30480</xdr:rowOff>
                  </from>
                  <to>
                    <xdr:col>7</xdr:col>
                    <xdr:colOff>76200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160020</xdr:colOff>
                    <xdr:row>0</xdr:row>
                    <xdr:rowOff>30480</xdr:rowOff>
                  </from>
                  <to>
                    <xdr:col>9</xdr:col>
                    <xdr:colOff>350520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AK89"/>
  <sheetViews>
    <sheetView workbookViewId="0">
      <selection activeCell="D4" sqref="D4"/>
    </sheetView>
  </sheetViews>
  <sheetFormatPr defaultColWidth="11" defaultRowHeight="15"/>
  <cols>
    <col min="1" max="1" width="9.453125" style="2" customWidth="1"/>
    <col min="2" max="2" width="7.90625" style="2" customWidth="1"/>
    <col min="3" max="3" width="8.90625" style="2" customWidth="1"/>
    <col min="4" max="9" width="7.90625" style="2" customWidth="1"/>
    <col min="10" max="13" width="8.453125" style="2" customWidth="1"/>
    <col min="14" max="14" width="9.08984375" style="2" customWidth="1"/>
    <col min="15" max="15" width="8.453125" style="2" customWidth="1"/>
    <col min="16" max="16" width="9.08984375" style="2" customWidth="1"/>
    <col min="17" max="17" width="8.453125" style="2" customWidth="1"/>
    <col min="18" max="18" width="9.453125" style="2" customWidth="1"/>
    <col min="19" max="20" width="9.453125" style="5" customWidth="1"/>
    <col min="21" max="22" width="9.453125" style="2" customWidth="1"/>
    <col min="23" max="24" width="9.453125" style="5" customWidth="1"/>
    <col min="25" max="30" width="9.6328125" style="2" customWidth="1"/>
    <col min="31" max="31" width="9.6328125" style="5" customWidth="1"/>
    <col min="32" max="37" width="11.6328125" style="2" customWidth="1"/>
    <col min="38" max="38" width="0.453125" style="2" customWidth="1"/>
    <col min="39" max="52" width="16.6328125" style="2" customWidth="1"/>
    <col min="53" max="16384" width="11" style="2"/>
  </cols>
  <sheetData>
    <row r="1" spans="1:37" ht="27" customHeight="1">
      <c r="A1" s="1" t="s">
        <v>1615</v>
      </c>
      <c r="H1" s="3"/>
      <c r="J1" s="1" t="s">
        <v>1550</v>
      </c>
      <c r="K1" s="3"/>
      <c r="L1" s="3"/>
      <c r="N1" s="2" t="s">
        <v>1616</v>
      </c>
      <c r="P1" s="4"/>
      <c r="R1" s="2" t="s">
        <v>528</v>
      </c>
      <c r="Y1" s="2" t="s">
        <v>529</v>
      </c>
      <c r="AF1" s="2" t="s">
        <v>530</v>
      </c>
    </row>
    <row r="2" spans="1:37">
      <c r="A2" s="2" t="s">
        <v>1617</v>
      </c>
      <c r="B2" s="3" t="s">
        <v>1562</v>
      </c>
      <c r="C2" s="3" t="s">
        <v>1563</v>
      </c>
      <c r="D2" s="3" t="s">
        <v>1564</v>
      </c>
      <c r="E2" s="3" t="s">
        <v>1565</v>
      </c>
      <c r="G2" s="1" t="s">
        <v>1566</v>
      </c>
      <c r="H2" s="1" t="str">
        <f>A27</f>
        <v>T800S/3900[Eng]</v>
      </c>
      <c r="J2" s="1" t="str">
        <f>$A$27</f>
        <v>T800S/3900[Eng]</v>
      </c>
      <c r="K2" s="1"/>
      <c r="L2" s="3">
        <f>(1/K6-1/K12)/(1/K13-1/K6)</f>
        <v>0.7053429356920442</v>
      </c>
      <c r="N2" s="3" t="s">
        <v>596</v>
      </c>
      <c r="O2" s="7">
        <f>$G$28</f>
        <v>71.599999999999994</v>
      </c>
      <c r="P2" s="7">
        <f>B17</f>
        <v>71.599999999999994</v>
      </c>
      <c r="Q2" s="8">
        <f t="shared" ref="Q2:Q7" si="0">P2/O2</f>
        <v>1</v>
      </c>
      <c r="R2" s="1"/>
      <c r="X2" s="6"/>
      <c r="Y2" s="3" t="s">
        <v>531</v>
      </c>
      <c r="Z2" s="9">
        <f t="shared" ref="Z2:AC4" si="1">S4</f>
        <v>0</v>
      </c>
      <c r="AA2" s="9">
        <f t="shared" si="1"/>
        <v>90</v>
      </c>
      <c r="AB2" s="9">
        <f t="shared" si="1"/>
        <v>60</v>
      </c>
      <c r="AC2" s="9">
        <f t="shared" si="1"/>
        <v>-60</v>
      </c>
      <c r="AD2" s="3" t="s">
        <v>532</v>
      </c>
      <c r="AE2" s="6" t="s">
        <v>533</v>
      </c>
      <c r="AF2" s="3" t="s">
        <v>531</v>
      </c>
      <c r="AG2" s="9">
        <f t="shared" ref="AG2:AJ4" si="2">Z2</f>
        <v>0</v>
      </c>
      <c r="AH2" s="9">
        <f t="shared" si="2"/>
        <v>90</v>
      </c>
      <c r="AI2" s="9">
        <f t="shared" si="2"/>
        <v>60</v>
      </c>
      <c r="AJ2" s="9">
        <f t="shared" si="2"/>
        <v>-60</v>
      </c>
    </row>
    <row r="3" spans="1:37" ht="15.6">
      <c r="A3" s="1" t="s">
        <v>1618</v>
      </c>
      <c r="B3" s="643">
        <v>0</v>
      </c>
      <c r="C3" s="643">
        <v>90</v>
      </c>
      <c r="D3" s="643">
        <v>60</v>
      </c>
      <c r="E3" s="643">
        <f>-D3</f>
        <v>-60</v>
      </c>
      <c r="F3" s="1" t="s">
        <v>1570</v>
      </c>
      <c r="G3" s="1" t="s">
        <v>534</v>
      </c>
      <c r="H3" s="1" t="s">
        <v>1571</v>
      </c>
      <c r="I3" s="10" t="s">
        <v>1572</v>
      </c>
      <c r="J3" s="3"/>
      <c r="K3" s="3"/>
      <c r="L3" s="3"/>
      <c r="N3" s="3" t="s">
        <v>600</v>
      </c>
      <c r="O3" s="11">
        <f>$H$28</f>
        <v>5.0000000000000001E-3</v>
      </c>
      <c r="P3" s="11">
        <f>C17</f>
        <v>5.0000000000000001E-3</v>
      </c>
      <c r="Q3" s="8">
        <f t="shared" si="0"/>
        <v>1</v>
      </c>
      <c r="R3" s="3" t="s">
        <v>535</v>
      </c>
      <c r="S3" s="6" t="s">
        <v>1562</v>
      </c>
      <c r="T3" s="6" t="s">
        <v>1563</v>
      </c>
      <c r="U3" s="6" t="s">
        <v>1564</v>
      </c>
      <c r="V3" s="6" t="s">
        <v>1565</v>
      </c>
      <c r="W3" s="6"/>
      <c r="X3" s="6"/>
      <c r="Y3" s="3" t="s">
        <v>536</v>
      </c>
      <c r="Z3" s="9">
        <f t="shared" si="1"/>
        <v>1</v>
      </c>
      <c r="AA3" s="9">
        <f t="shared" si="1"/>
        <v>2</v>
      </c>
      <c r="AB3" s="9">
        <f t="shared" si="1"/>
        <v>1</v>
      </c>
      <c r="AC3" s="9">
        <f t="shared" si="1"/>
        <v>1</v>
      </c>
      <c r="AD3" s="3">
        <f>W5</f>
        <v>10</v>
      </c>
      <c r="AE3" s="9">
        <f>X5</f>
        <v>0</v>
      </c>
      <c r="AF3" s="3" t="s">
        <v>536</v>
      </c>
      <c r="AG3" s="9">
        <f t="shared" si="2"/>
        <v>1</v>
      </c>
      <c r="AH3" s="9">
        <f t="shared" si="2"/>
        <v>2</v>
      </c>
      <c r="AI3" s="9">
        <f t="shared" si="2"/>
        <v>1</v>
      </c>
      <c r="AJ3" s="9">
        <f t="shared" si="2"/>
        <v>1</v>
      </c>
    </row>
    <row r="4" spans="1:37" ht="15.6">
      <c r="A4" s="1" t="s">
        <v>244</v>
      </c>
      <c r="B4" s="644">
        <v>1</v>
      </c>
      <c r="C4" s="644">
        <v>2</v>
      </c>
      <c r="D4" s="644">
        <v>1</v>
      </c>
      <c r="E4" s="644">
        <v>1</v>
      </c>
      <c r="F4" s="645">
        <v>10</v>
      </c>
      <c r="G4" s="7">
        <f>(B4+C4+D4+E4)*F4</f>
        <v>50</v>
      </c>
      <c r="H4" s="7">
        <f>G4*L9/1000</f>
        <v>246.25</v>
      </c>
      <c r="I4" s="646">
        <v>0</v>
      </c>
      <c r="J4" s="3" t="s">
        <v>1553</v>
      </c>
      <c r="K4" s="3" t="s">
        <v>1554</v>
      </c>
      <c r="L4" s="3" t="s">
        <v>1555</v>
      </c>
      <c r="M4" s="13" t="s">
        <v>1556</v>
      </c>
      <c r="N4" s="3" t="s">
        <v>1557</v>
      </c>
      <c r="O4" s="7">
        <f>$G$27</f>
        <v>251.6</v>
      </c>
      <c r="P4" s="7">
        <f>O4</f>
        <v>251.6</v>
      </c>
      <c r="Q4" s="8">
        <f t="shared" si="0"/>
        <v>1</v>
      </c>
      <c r="R4" s="3" t="s">
        <v>537</v>
      </c>
      <c r="S4" s="14">
        <f>B3+$I$4</f>
        <v>0</v>
      </c>
      <c r="T4" s="14">
        <f>C3+$I$4</f>
        <v>90</v>
      </c>
      <c r="U4" s="14">
        <f>D3+$I$4</f>
        <v>60</v>
      </c>
      <c r="V4" s="14">
        <f>E3+$I$4</f>
        <v>-60</v>
      </c>
      <c r="W4" s="6" t="s">
        <v>1432</v>
      </c>
      <c r="X4" s="6"/>
      <c r="Y4" s="3" t="s">
        <v>539</v>
      </c>
      <c r="Z4" s="9">
        <f t="shared" si="1"/>
        <v>0</v>
      </c>
      <c r="AA4" s="9">
        <f t="shared" si="1"/>
        <v>3.1415926535897931</v>
      </c>
      <c r="AB4" s="9">
        <f t="shared" si="1"/>
        <v>2.0943951023931953</v>
      </c>
      <c r="AC4" s="9">
        <f t="shared" si="1"/>
        <v>-2.0943951023931953</v>
      </c>
      <c r="AD4" s="3" t="s">
        <v>603</v>
      </c>
      <c r="AE4" s="5">
        <f>$W$12</f>
        <v>0.24625</v>
      </c>
      <c r="AF4" s="3" t="s">
        <v>539</v>
      </c>
      <c r="AG4" s="9">
        <f t="shared" si="2"/>
        <v>0</v>
      </c>
      <c r="AH4" s="9">
        <f t="shared" si="2"/>
        <v>3.1415926535897931</v>
      </c>
      <c r="AI4" s="9">
        <f t="shared" si="2"/>
        <v>2.0943951023931953</v>
      </c>
      <c r="AJ4" s="9">
        <f t="shared" si="2"/>
        <v>-2.0943951023931953</v>
      </c>
    </row>
    <row r="5" spans="1:37" ht="15.6">
      <c r="H5" s="1" t="s">
        <v>1575</v>
      </c>
      <c r="I5" s="647">
        <v>1</v>
      </c>
      <c r="J5" s="3" t="s">
        <v>1577</v>
      </c>
      <c r="K5" s="2">
        <f>$B$27</f>
        <v>21.571428571428573</v>
      </c>
      <c r="L5" s="2">
        <f>L12*L11</f>
        <v>11.399999999999999</v>
      </c>
      <c r="M5" s="8">
        <f>L5/K5</f>
        <v>0.52847682119205286</v>
      </c>
      <c r="N5" s="3" t="s">
        <v>299</v>
      </c>
      <c r="O5" s="7">
        <f>$H$27</f>
        <v>320</v>
      </c>
      <c r="P5" s="7">
        <f>O5-$H$30*(P3-O3)</f>
        <v>320</v>
      </c>
      <c r="Q5" s="8">
        <f t="shared" si="0"/>
        <v>1</v>
      </c>
      <c r="R5" s="3" t="s">
        <v>541</v>
      </c>
      <c r="S5" s="14">
        <f>$B$4</f>
        <v>1</v>
      </c>
      <c r="T5" s="14">
        <f>$C$4</f>
        <v>2</v>
      </c>
      <c r="U5" s="14">
        <f>$D$4</f>
        <v>1</v>
      </c>
      <c r="V5" s="14">
        <f>$E$4</f>
        <v>1</v>
      </c>
      <c r="W5" s="15">
        <f>F4</f>
        <v>10</v>
      </c>
      <c r="X5" s="9"/>
      <c r="Y5" s="3"/>
      <c r="Z5" s="5"/>
      <c r="AA5" s="5"/>
      <c r="AB5" s="5"/>
      <c r="AC5" s="5"/>
      <c r="AD5" s="6"/>
    </row>
    <row r="6" spans="1:37">
      <c r="A6" s="1" t="s">
        <v>1619</v>
      </c>
      <c r="C6" s="23" t="s">
        <v>1620</v>
      </c>
      <c r="E6" s="23" t="s">
        <v>1621</v>
      </c>
      <c r="F6" s="17" t="s">
        <v>1622</v>
      </c>
      <c r="G6" s="17" t="s">
        <v>1623</v>
      </c>
      <c r="H6" s="17" t="s">
        <v>1316</v>
      </c>
      <c r="I6" s="1" t="s">
        <v>1624</v>
      </c>
      <c r="J6" s="3" t="s">
        <v>1578</v>
      </c>
      <c r="K6" s="2">
        <f>$C$27</f>
        <v>1.1714285714285713</v>
      </c>
      <c r="L6" s="2">
        <f>(1+L15)/(1/L16+L15/L13)</f>
        <v>1.1714285714285713</v>
      </c>
      <c r="M6" s="8">
        <f>L6/K6</f>
        <v>1</v>
      </c>
      <c r="N6" s="3" t="s">
        <v>1580</v>
      </c>
      <c r="O6" s="4">
        <f>(O5-O2)/(O5-O2)</f>
        <v>1</v>
      </c>
      <c r="P6" s="4">
        <f>(P5-P2)/(P5-O2)</f>
        <v>1</v>
      </c>
      <c r="Q6" s="8">
        <f t="shared" si="0"/>
        <v>1</v>
      </c>
      <c r="R6" s="3" t="s">
        <v>1295</v>
      </c>
      <c r="S6" s="8">
        <f>S4*PI()/90</f>
        <v>0</v>
      </c>
      <c r="T6" s="8">
        <f>T4*PI()/90</f>
        <v>3.1415926535897931</v>
      </c>
      <c r="U6" s="8">
        <f>U4*PI()/90</f>
        <v>2.0943951023931953</v>
      </c>
      <c r="V6" s="8">
        <f>V4*PI()/90</f>
        <v>-2.0943951023931953</v>
      </c>
      <c r="W6" s="6" t="s">
        <v>1463</v>
      </c>
      <c r="X6" s="16"/>
      <c r="Y6" s="1" t="s">
        <v>1297</v>
      </c>
      <c r="Z6" s="6"/>
      <c r="AA6" s="6"/>
      <c r="AB6" s="5"/>
      <c r="AC6" s="5"/>
      <c r="AD6" s="5"/>
      <c r="AF6" s="1" t="s">
        <v>1298</v>
      </c>
      <c r="AK6" s="3" t="s">
        <v>1299</v>
      </c>
    </row>
    <row r="7" spans="1:37" ht="15.6">
      <c r="A7" s="1" t="s">
        <v>1625</v>
      </c>
      <c r="B7" s="72">
        <v>20</v>
      </c>
      <c r="C7" s="7">
        <f>B7*(AB8/1000+B19*W34/1000000+X34*C19)*1000</f>
        <v>36631.26453602824</v>
      </c>
      <c r="D7" s="3">
        <v>1</v>
      </c>
      <c r="E7" s="7">
        <f>(B11/PI()/B8+B12*B8/4)/H4*1000</f>
        <v>8771.5736040609136</v>
      </c>
      <c r="F7" s="12">
        <f>E7*$I$24</f>
        <v>47.141572410405423</v>
      </c>
      <c r="G7" s="12">
        <f>E7*$I$23</f>
        <v>130.80597664412514</v>
      </c>
      <c r="H7" s="12">
        <f>G7*$I$5</f>
        <v>130.80597664412514</v>
      </c>
      <c r="I7" s="2">
        <f>$W$23</f>
        <v>3.403288995429576</v>
      </c>
      <c r="J7" s="3" t="s">
        <v>259</v>
      </c>
      <c r="K7" s="2">
        <f>$D$27</f>
        <v>0.33</v>
      </c>
      <c r="L7" s="2">
        <f>K7</f>
        <v>0.33</v>
      </c>
      <c r="M7" s="8">
        <f>L7/K7</f>
        <v>1</v>
      </c>
      <c r="N7" s="3" t="s">
        <v>260</v>
      </c>
      <c r="O7" s="7">
        <f>O2-O4</f>
        <v>-180</v>
      </c>
      <c r="P7" s="7">
        <f>P2-P4</f>
        <v>-180</v>
      </c>
      <c r="Q7" s="8">
        <f t="shared" si="0"/>
        <v>1</v>
      </c>
      <c r="R7" s="3" t="s">
        <v>1300</v>
      </c>
      <c r="S7" s="8">
        <f>2*S6</f>
        <v>0</v>
      </c>
      <c r="T7" s="8">
        <f>2*T6</f>
        <v>6.2831853071795862</v>
      </c>
      <c r="U7" s="8">
        <f>2*U6</f>
        <v>4.1887902047863905</v>
      </c>
      <c r="V7" s="8">
        <f>2*V6</f>
        <v>-4.1887902047863905</v>
      </c>
      <c r="W7" s="9">
        <f>G4/W5</f>
        <v>5</v>
      </c>
      <c r="X7" s="9"/>
      <c r="Y7" s="3"/>
      <c r="Z7" s="17" t="s">
        <v>1626</v>
      </c>
      <c r="AA7" s="6"/>
      <c r="AB7" s="19" t="s">
        <v>213</v>
      </c>
      <c r="AC7" s="19"/>
      <c r="AD7" s="6" t="s">
        <v>1303</v>
      </c>
      <c r="AE7" s="6" t="s">
        <v>1304</v>
      </c>
      <c r="AF7" s="3" t="s">
        <v>1305</v>
      </c>
      <c r="AG7" s="22">
        <f t="shared" ref="AG7:AJ9" si="3">Z13/1000</f>
        <v>1.8315632268014119</v>
      </c>
      <c r="AH7" s="22">
        <f t="shared" si="3"/>
        <v>2.012662887807021</v>
      </c>
      <c r="AI7" s="22">
        <f t="shared" si="3"/>
        <v>1.9673879725556185</v>
      </c>
      <c r="AJ7" s="22">
        <f t="shared" si="3"/>
        <v>1.9673879725556189</v>
      </c>
      <c r="AK7" s="22">
        <f>($T$37+$T$38)/2</f>
        <v>-1.5882782442958661E-4</v>
      </c>
    </row>
    <row r="8" spans="1:37" ht="15.6">
      <c r="A8" s="1" t="s">
        <v>1627</v>
      </c>
      <c r="B8" s="72">
        <v>72</v>
      </c>
      <c r="C8" s="7">
        <f>B8*(AB9/1000+B19*W35/1000000+X35*C19)*1000</f>
        <v>144911.72792210552</v>
      </c>
      <c r="D8" s="3">
        <v>2</v>
      </c>
      <c r="E8" s="7">
        <f>B12*B8/2/H4*1000</f>
        <v>17543.147208121827</v>
      </c>
      <c r="F8" s="12">
        <f>E8*$I$24</f>
        <v>94.283144820810847</v>
      </c>
      <c r="G8" s="12">
        <f>E8*$I$23</f>
        <v>261.61195328825028</v>
      </c>
      <c r="H8" s="12">
        <f>G8*$I$5</f>
        <v>261.61195328825028</v>
      </c>
      <c r="I8" s="2">
        <f>$W$24</f>
        <v>7.3538537340754973</v>
      </c>
      <c r="J8" s="3" t="s">
        <v>267</v>
      </c>
      <c r="K8" s="2">
        <f>$E$27</f>
        <v>0.5714285714285714</v>
      </c>
      <c r="L8" s="2">
        <f>(1+L18)/(1/L19+L18*2.7/L13)</f>
        <v>0.5714285714285714</v>
      </c>
      <c r="M8" s="8">
        <f>L8/K8</f>
        <v>1</v>
      </c>
      <c r="N8" s="3"/>
      <c r="O8" s="4"/>
      <c r="P8" s="4"/>
      <c r="Q8" s="4"/>
      <c r="S8" s="8"/>
      <c r="T8" s="8"/>
      <c r="U8" s="8"/>
      <c r="V8" s="8"/>
      <c r="W8" s="6"/>
      <c r="X8" s="6"/>
      <c r="Y8" s="3">
        <v>1</v>
      </c>
      <c r="Z8" s="4">
        <f>E7*$H$4/1000</f>
        <v>2160</v>
      </c>
      <c r="AA8" s="4"/>
      <c r="AB8" s="4">
        <f>Z8*S23+Z9*S25+Z10*S27</f>
        <v>1831.5632268014119</v>
      </c>
      <c r="AC8" s="4"/>
      <c r="AD8" s="13" t="s">
        <v>1306</v>
      </c>
      <c r="AE8" s="4">
        <f>(AB8+AB9)/2</f>
        <v>1922.1130573042165</v>
      </c>
      <c r="AF8" s="3" t="s">
        <v>1307</v>
      </c>
      <c r="AG8" s="22">
        <f t="shared" si="3"/>
        <v>2.012662887807021</v>
      </c>
      <c r="AH8" s="22">
        <f t="shared" si="3"/>
        <v>1.8315632268014119</v>
      </c>
      <c r="AI8" s="22">
        <f t="shared" si="3"/>
        <v>1.8768381420528144</v>
      </c>
      <c r="AJ8" s="22">
        <f t="shared" si="3"/>
        <v>1.876838142052814</v>
      </c>
      <c r="AK8" s="22">
        <f>($T$37-$T$38)/2</f>
        <v>-1.0782483015420901E-4</v>
      </c>
    </row>
    <row r="9" spans="1:37">
      <c r="A9" s="1" t="s">
        <v>1628</v>
      </c>
      <c r="C9" s="4">
        <f>2*B7/B8*(AB10/1000+B19*W36/1000000+X36*C19)*180/PI()</f>
        <v>-1.0985758756489543E-14</v>
      </c>
      <c r="D9" s="3">
        <v>6</v>
      </c>
      <c r="E9" s="7">
        <f>2*B13/PI()/B8^2/H4*1000</f>
        <v>0</v>
      </c>
      <c r="F9" s="4">
        <f>E9*$I$24</f>
        <v>0</v>
      </c>
      <c r="G9" s="4">
        <f>E9*$I$23</f>
        <v>0</v>
      </c>
      <c r="H9" s="4">
        <f>G9*$I$5</f>
        <v>0</v>
      </c>
      <c r="I9" s="2">
        <f>$W$26</f>
        <v>1.2948853980292248</v>
      </c>
      <c r="J9" s="3" t="s">
        <v>276</v>
      </c>
      <c r="K9" s="2">
        <f>$B$29</f>
        <v>4925</v>
      </c>
      <c r="L9" s="2">
        <f>K9/M11</f>
        <v>4925</v>
      </c>
      <c r="M9" s="8">
        <f>L9/K9</f>
        <v>1</v>
      </c>
      <c r="N9" s="1" t="s">
        <v>1629</v>
      </c>
      <c r="O9" s="4"/>
      <c r="P9" s="4"/>
      <c r="Q9" s="4"/>
      <c r="R9" s="3" t="s">
        <v>1308</v>
      </c>
      <c r="S9" s="8">
        <v>1</v>
      </c>
      <c r="T9" s="8">
        <f>S10</f>
        <v>0.8</v>
      </c>
      <c r="U9" s="8">
        <f>T10</f>
        <v>0.4</v>
      </c>
      <c r="V9" s="8">
        <f>U10</f>
        <v>0.2</v>
      </c>
      <c r="W9" s="20"/>
      <c r="X9" s="6"/>
      <c r="Y9" s="3">
        <v>2</v>
      </c>
      <c r="Z9" s="4">
        <f>E8*$H$4/1000</f>
        <v>4320</v>
      </c>
      <c r="AA9" s="4"/>
      <c r="AB9" s="4">
        <f>Z8*S25+Z9*S24+Z10*S28</f>
        <v>2012.6628878070208</v>
      </c>
      <c r="AC9" s="4"/>
      <c r="AD9" s="13" t="s">
        <v>1309</v>
      </c>
      <c r="AE9" s="4">
        <f>(AB8-AB9)/2</f>
        <v>-90.549830502804411</v>
      </c>
      <c r="AF9" s="3" t="s">
        <v>1310</v>
      </c>
      <c r="AG9" s="22">
        <f t="shared" si="3"/>
        <v>-3.4512779003497282E-16</v>
      </c>
      <c r="AH9" s="22">
        <f t="shared" si="3"/>
        <v>3.6731518702152253E-16</v>
      </c>
      <c r="AI9" s="22">
        <f t="shared" si="3"/>
        <v>0.15683690704760753</v>
      </c>
      <c r="AJ9" s="22">
        <f t="shared" si="3"/>
        <v>-0.15683690704760719</v>
      </c>
      <c r="AK9" s="22">
        <f>$T$39/2</f>
        <v>1.2875366452522054E-20</v>
      </c>
    </row>
    <row r="10" spans="1:37">
      <c r="A10" s="6"/>
      <c r="B10" s="17" t="s">
        <v>1630</v>
      </c>
      <c r="C10" s="1" t="s">
        <v>1631</v>
      </c>
      <c r="D10" s="3"/>
      <c r="E10" s="17" t="s">
        <v>1632</v>
      </c>
      <c r="F10" s="17" t="s">
        <v>1633</v>
      </c>
      <c r="G10" s="17" t="s">
        <v>1634</v>
      </c>
      <c r="H10" s="17" t="s">
        <v>1635</v>
      </c>
      <c r="I10" s="1" t="s">
        <v>1636</v>
      </c>
      <c r="J10" s="1" t="s">
        <v>264</v>
      </c>
      <c r="K10" s="4"/>
      <c r="L10" s="4"/>
      <c r="N10" s="3" t="s">
        <v>265</v>
      </c>
      <c r="O10" s="4">
        <f>$A$30</f>
        <v>0.02</v>
      </c>
      <c r="P10" s="4">
        <f>O10</f>
        <v>0.02</v>
      </c>
      <c r="Q10" s="4">
        <f>P10/O10</f>
        <v>1</v>
      </c>
      <c r="R10" s="3" t="s">
        <v>1311</v>
      </c>
      <c r="S10" s="8">
        <f>S9-S5/$W$7</f>
        <v>0.8</v>
      </c>
      <c r="T10" s="8">
        <f>T9-T5/$W$7</f>
        <v>0.4</v>
      </c>
      <c r="U10" s="8">
        <f>U9-U5/$W$7</f>
        <v>0.2</v>
      </c>
      <c r="V10" s="8">
        <f>V9-V5/$W$7</f>
        <v>0</v>
      </c>
      <c r="Y10" s="3">
        <v>6</v>
      </c>
      <c r="Z10" s="4">
        <f>E9*$H$4/1000</f>
        <v>0</v>
      </c>
      <c r="AA10" s="4"/>
      <c r="AB10" s="4">
        <f>Z8*S27+Z9*S28+Z10*S26</f>
        <v>-3.4512779003497284E-13</v>
      </c>
      <c r="AC10" s="4"/>
      <c r="AD10" s="13" t="s">
        <v>1312</v>
      </c>
      <c r="AE10" s="4">
        <f>AB10/2</f>
        <v>-1.7256389501748642E-13</v>
      </c>
      <c r="AF10" s="3"/>
      <c r="AG10" s="22"/>
      <c r="AH10" s="22"/>
      <c r="AI10" s="22"/>
      <c r="AJ10" s="22"/>
      <c r="AK10" s="22"/>
    </row>
    <row r="11" spans="1:37" ht="15.6">
      <c r="A11" s="81" t="s">
        <v>1637</v>
      </c>
      <c r="B11" s="648">
        <v>0</v>
      </c>
      <c r="C11" s="8">
        <f>B11*$I$24</f>
        <v>0</v>
      </c>
      <c r="D11" s="3">
        <v>1</v>
      </c>
      <c r="E11" s="25">
        <f>AB8</f>
        <v>1831.5632268014119</v>
      </c>
      <c r="F11" s="8">
        <f>IF(G22&lt;I23,E11,IF(G22&gt;G23,E11,AB47))*I24</f>
        <v>9.8434755698249035</v>
      </c>
      <c r="G11" s="4">
        <f>IF(G22&gt;G23,E11,AB47)*I23</f>
        <v>37.672058216031871</v>
      </c>
      <c r="H11" s="4">
        <f>G11*$I$5</f>
        <v>37.672058216031871</v>
      </c>
      <c r="I11" s="4">
        <f>$W$62/I7</f>
        <v>0.78143697570432968</v>
      </c>
      <c r="J11" s="3" t="s">
        <v>1532</v>
      </c>
      <c r="K11" s="2">
        <f>$C$29</f>
        <v>0.56999999999999995</v>
      </c>
      <c r="L11" s="2">
        <f>$D$17</f>
        <v>0.56999999999999995</v>
      </c>
      <c r="M11" s="8">
        <f t="shared" ref="M11:M19" si="4">L11/K11</f>
        <v>1</v>
      </c>
      <c r="N11" s="3" t="s">
        <v>1533</v>
      </c>
      <c r="O11" s="4">
        <f>$B$30</f>
        <v>22.5</v>
      </c>
      <c r="P11" s="4">
        <f>O11*(1-L11)/(1-K11)</f>
        <v>22.5</v>
      </c>
      <c r="Q11" s="4">
        <f>P11/O11</f>
        <v>1</v>
      </c>
      <c r="R11" s="3" t="s">
        <v>1321</v>
      </c>
      <c r="S11" s="8">
        <f>S9-S10</f>
        <v>0.19999999999999996</v>
      </c>
      <c r="T11" s="8">
        <f>T9-T10</f>
        <v>0.4</v>
      </c>
      <c r="U11" s="8">
        <f>U9-U10</f>
        <v>0.2</v>
      </c>
      <c r="V11" s="8">
        <f>V9-V10</f>
        <v>0.2</v>
      </c>
      <c r="W11" s="6" t="s">
        <v>603</v>
      </c>
      <c r="X11" s="6"/>
      <c r="Z11" s="4"/>
      <c r="AA11" s="4"/>
      <c r="AB11" s="4"/>
      <c r="AC11" s="4"/>
      <c r="AD11" s="13"/>
      <c r="AE11" s="4"/>
      <c r="AF11" s="3"/>
      <c r="AG11" s="22"/>
      <c r="AH11" s="22"/>
      <c r="AI11" s="22"/>
      <c r="AJ11" s="22"/>
      <c r="AK11" s="22"/>
    </row>
    <row r="12" spans="1:37" ht="15.6">
      <c r="A12" s="81" t="s">
        <v>1638</v>
      </c>
      <c r="B12" s="648">
        <v>120</v>
      </c>
      <c r="C12" s="8">
        <f>B12*$I$24</f>
        <v>0.64492290033679645</v>
      </c>
      <c r="D12" s="3">
        <v>2</v>
      </c>
      <c r="E12" s="25">
        <f>AB9</f>
        <v>2012.6628878070208</v>
      </c>
      <c r="F12" s="8">
        <f>IF(G22&lt;I23,E12,IF(G22&gt;G23,E12,AB48))*I24</f>
        <v>10.816769891706135</v>
      </c>
      <c r="G12" s="4">
        <f>IF(G22&gt;G23,E12,AB48)*I23</f>
        <v>31.82132167560043</v>
      </c>
      <c r="H12" s="4">
        <f>G12*$I$5</f>
        <v>31.82132167560043</v>
      </c>
      <c r="I12" s="4">
        <f>$W$63/I8</f>
        <v>0.94669468753921826</v>
      </c>
      <c r="J12" s="3" t="s">
        <v>1534</v>
      </c>
      <c r="K12" s="2">
        <f>K5/K11</f>
        <v>37.844611528822064</v>
      </c>
      <c r="L12" s="2">
        <f>$F$17*P6^$F$30</f>
        <v>20</v>
      </c>
      <c r="M12" s="8">
        <f t="shared" si="4"/>
        <v>0.52847682119205286</v>
      </c>
      <c r="N12" s="2" t="s">
        <v>1535</v>
      </c>
      <c r="O12" s="4"/>
      <c r="P12" s="4"/>
      <c r="Q12" s="4"/>
      <c r="R12" s="3"/>
      <c r="S12" s="20"/>
      <c r="T12" s="20"/>
      <c r="U12" s="20"/>
      <c r="V12" s="18"/>
      <c r="W12" s="11">
        <f>H4/1000</f>
        <v>0.24625</v>
      </c>
      <c r="Y12" s="1" t="s">
        <v>1639</v>
      </c>
      <c r="Z12" s="4"/>
      <c r="AA12" s="4"/>
      <c r="AB12" s="4"/>
      <c r="AC12" s="4"/>
      <c r="AD12" s="13"/>
      <c r="AE12" s="4"/>
      <c r="AF12" s="3"/>
      <c r="AG12" s="22"/>
      <c r="AH12" s="22"/>
      <c r="AI12" s="22"/>
      <c r="AJ12" s="22"/>
      <c r="AK12" s="22"/>
    </row>
    <row r="13" spans="1:37" ht="15.6">
      <c r="A13" s="81" t="s">
        <v>1640</v>
      </c>
      <c r="B13" s="648">
        <v>0</v>
      </c>
      <c r="C13" s="8">
        <f>B13*$I$24</f>
        <v>0</v>
      </c>
      <c r="D13" s="3">
        <v>6</v>
      </c>
      <c r="E13" s="14">
        <f>AB10</f>
        <v>-3.4512779003497284E-13</v>
      </c>
      <c r="F13" s="8">
        <f>IF(G22&lt;I23,E13,IF(G22&gt;G23,E13,AB49))*$I$24</f>
        <v>-1.8548401278015302E-15</v>
      </c>
      <c r="G13" s="4">
        <f>IF(G22&gt;G23,E13,AB49)*$I$23</f>
        <v>-7.3482608377300597E-15</v>
      </c>
      <c r="H13" s="4">
        <f>G13*$I$5</f>
        <v>-7.3482608377300597E-15</v>
      </c>
      <c r="I13" s="4">
        <f>$W$65/I9</f>
        <v>0.7425787924402405</v>
      </c>
      <c r="J13" s="3" t="s">
        <v>1536</v>
      </c>
      <c r="K13" s="2">
        <f>$F$27</f>
        <v>0.49346879535559002</v>
      </c>
      <c r="L13" s="2">
        <f>$E$17*P6^$F$29</f>
        <v>0.49346879535559002</v>
      </c>
      <c r="M13" s="8">
        <f t="shared" si="4"/>
        <v>1</v>
      </c>
      <c r="N13" s="3" t="s">
        <v>1537</v>
      </c>
      <c r="O13" s="4">
        <f>$C$30</f>
        <v>0</v>
      </c>
      <c r="P13" s="4">
        <f>O13</f>
        <v>0</v>
      </c>
      <c r="Q13" s="4">
        <v>1</v>
      </c>
      <c r="R13" s="3"/>
      <c r="S13" s="20"/>
      <c r="T13" s="20"/>
      <c r="U13" s="20"/>
      <c r="V13" s="18"/>
      <c r="Y13" s="3" t="s">
        <v>1324</v>
      </c>
      <c r="Z13" s="4">
        <f>$AE$8+$AE$9*COS(Z4)+$AE$10*SIN(Z4)</f>
        <v>1831.5632268014119</v>
      </c>
      <c r="AA13" s="4">
        <f>$AE$8+$AE$9*COS(AA4)+$AE$10*SIN(AA4)</f>
        <v>2012.662887807021</v>
      </c>
      <c r="AB13" s="4">
        <f>$AE$8+$AE$9*COS(AB4)+$AE$10*SIN(AB4)</f>
        <v>1967.3879725556185</v>
      </c>
      <c r="AC13" s="4">
        <f>$AE$8+$AE$9*COS(AC4)+$AE$10*SIN(AC4)</f>
        <v>1967.3879725556189</v>
      </c>
      <c r="AD13" s="13"/>
      <c r="AE13" s="4"/>
      <c r="AF13" s="1"/>
      <c r="AG13" s="16"/>
      <c r="AH13" s="16"/>
      <c r="AI13" s="16"/>
      <c r="AJ13" s="16"/>
      <c r="AK13" s="22"/>
    </row>
    <row r="14" spans="1:37">
      <c r="A14" s="2" t="s">
        <v>1544</v>
      </c>
      <c r="B14" s="76" t="s">
        <v>1641</v>
      </c>
      <c r="C14" s="77">
        <v>111</v>
      </c>
      <c r="D14" s="77" t="s">
        <v>1546</v>
      </c>
      <c r="E14" s="24">
        <f>E11</f>
        <v>1831.5632268014119</v>
      </c>
      <c r="F14" s="24">
        <f>E12</f>
        <v>2012.6628878070208</v>
      </c>
      <c r="G14" s="119">
        <f>E13</f>
        <v>-3.4512779003497284E-13</v>
      </c>
      <c r="J14" s="3" t="s">
        <v>1538</v>
      </c>
      <c r="K14" s="2">
        <f>$E$29</f>
        <v>0.52</v>
      </c>
      <c r="L14" s="2">
        <f>K14*P6^$G$29</f>
        <v>0.52</v>
      </c>
      <c r="M14" s="8">
        <f t="shared" si="4"/>
        <v>1</v>
      </c>
      <c r="N14" s="3" t="s">
        <v>1539</v>
      </c>
      <c r="O14" s="4">
        <f>$D$30</f>
        <v>0.6</v>
      </c>
      <c r="P14" s="4">
        <f>O14*(1-L11)/(1-K11)</f>
        <v>0.6</v>
      </c>
      <c r="Q14" s="4">
        <f>P14/O14</f>
        <v>1</v>
      </c>
      <c r="R14" s="3" t="s">
        <v>1325</v>
      </c>
      <c r="S14" s="6" t="s">
        <v>1326</v>
      </c>
      <c r="T14" s="6" t="s">
        <v>1327</v>
      </c>
      <c r="U14" s="6" t="s">
        <v>1328</v>
      </c>
      <c r="V14" s="6" t="s">
        <v>1329</v>
      </c>
      <c r="W14" s="6" t="s">
        <v>1330</v>
      </c>
      <c r="X14" s="6" t="s">
        <v>1331</v>
      </c>
      <c r="Y14" s="3" t="s">
        <v>1332</v>
      </c>
      <c r="Z14" s="4">
        <f>2*$AE$8-Z13</f>
        <v>2012.662887807021</v>
      </c>
      <c r="AA14" s="4">
        <f>2*$AE$8-AA13</f>
        <v>1831.5632268014119</v>
      </c>
      <c r="AB14" s="4">
        <f>2*$AE$8-AB13</f>
        <v>1876.8381420528144</v>
      </c>
      <c r="AC14" s="4">
        <f>2*$AE$8-AC13</f>
        <v>1876.838142052814</v>
      </c>
      <c r="AD14" s="4"/>
      <c r="AE14" s="4"/>
      <c r="AF14" s="3" t="s">
        <v>1333</v>
      </c>
      <c r="AG14" s="22">
        <f>$P$33*AG7^2+2*$P$35*AG7*AG8+$P$34*AG8^2+$P$36*AG9^2</f>
        <v>14787.247353888253</v>
      </c>
      <c r="AH14" s="22">
        <f>$P$33*AH7^2+2*$P$35*AH7*AH8+$P$34*AH8^2+$P$36*AH9^2</f>
        <v>13304.351465619999</v>
      </c>
      <c r="AI14" s="22">
        <f>$P$33*AI7^2+2*$P$35*AI7*AI8+$P$34*AI8^2+$P$36*AI9^2</f>
        <v>13696.973027459155</v>
      </c>
      <c r="AJ14" s="22">
        <f>$P$33*AJ7^2+2*$P$35*AJ7*AJ8+$P$34*AJ8^2+$P$36*AJ9^2</f>
        <v>13696.973027459153</v>
      </c>
      <c r="AK14" s="22"/>
    </row>
    <row r="15" spans="1:37">
      <c r="B15" s="1" t="s">
        <v>1336</v>
      </c>
      <c r="C15" s="1" t="s">
        <v>1337</v>
      </c>
      <c r="D15" s="17" t="s">
        <v>1338</v>
      </c>
      <c r="E15" s="1" t="s">
        <v>1339</v>
      </c>
      <c r="F15" s="1" t="s">
        <v>1340</v>
      </c>
      <c r="G15" s="1" t="s">
        <v>1341</v>
      </c>
      <c r="H15" s="1" t="s">
        <v>1342</v>
      </c>
      <c r="I15" s="1" t="s">
        <v>1642</v>
      </c>
      <c r="J15" s="3" t="s">
        <v>1547</v>
      </c>
      <c r="K15" s="2">
        <f>K14*(1-K11)/K11</f>
        <v>0.39228070175438606</v>
      </c>
      <c r="L15" s="2">
        <f>L14*(1-L11)/L11</f>
        <v>0.39228070175438606</v>
      </c>
      <c r="M15" s="8">
        <f t="shared" si="4"/>
        <v>1</v>
      </c>
      <c r="O15" s="4"/>
      <c r="P15" s="4"/>
      <c r="Q15" s="4"/>
      <c r="R15" s="3">
        <v>11</v>
      </c>
      <c r="S15" s="4">
        <f>$L$27+$L$28*COS(S6)+$L$29*COS(S7)</f>
        <v>11.529012247579493</v>
      </c>
      <c r="T15" s="4">
        <f>$L$27+$L$28*COS(T6)+$L$29*COS(T7)</f>
        <v>1.184685469049521</v>
      </c>
      <c r="U15" s="4">
        <f>$L$27+$L$28*COS(U6)+$L$29*COS(U7)</f>
        <v>1.9621250971803814</v>
      </c>
      <c r="V15" s="4">
        <f>$L$27+$L$28*COS(V6)+$L$29*COS(V7)</f>
        <v>1.9621250971803814</v>
      </c>
      <c r="W15" s="5">
        <f t="shared" ref="W15:W20" si="5">($S$11*S15+$T$11*T15+$U$11*U15+$V$11*V15)*$W$12</f>
        <v>0.87776469396693535</v>
      </c>
      <c r="X15" s="4">
        <f t="shared" ref="X15:X20" si="6">W15/$W$12</f>
        <v>3.5645266760078593</v>
      </c>
      <c r="Y15" s="3" t="s">
        <v>1334</v>
      </c>
      <c r="Z15" s="4">
        <f>2*($AE$10*COS(Z4)-$AE$9*SIN(Z4))</f>
        <v>-3.4512779003497284E-13</v>
      </c>
      <c r="AA15" s="4">
        <f>2*($AE$10*COS(AA4)-$AE$9*SIN(AA4))</f>
        <v>3.6731518702152251E-13</v>
      </c>
      <c r="AB15" s="4">
        <f>2*($AE$10*COS(AB4)-$AE$9*SIN(AB4))</f>
        <v>156.83690704760753</v>
      </c>
      <c r="AC15" s="4">
        <f>2*($AE$10*COS(AC4)-$AE$9*SIN(AC4))</f>
        <v>-156.83690704760718</v>
      </c>
      <c r="AD15" s="4"/>
      <c r="AE15" s="4"/>
      <c r="AF15" s="3" t="s">
        <v>1335</v>
      </c>
      <c r="AG15" s="22">
        <f>$P$37*AG7+$P$38*AG8</f>
        <v>88.428193276254547</v>
      </c>
      <c r="AH15" s="22">
        <f>$P$37*AH7+$P$38*AH8</f>
        <v>82.91314639649363</v>
      </c>
      <c r="AI15" s="22">
        <f>$P$37*AI7+$P$38*AI8</f>
        <v>84.291908116433859</v>
      </c>
      <c r="AJ15" s="22">
        <f>$P$37*AJ7+$P$38*AJ8</f>
        <v>84.291908116433845</v>
      </c>
      <c r="AK15" s="22"/>
    </row>
    <row r="16" spans="1:37">
      <c r="A16" s="1" t="s">
        <v>223</v>
      </c>
      <c r="B16" s="21">
        <f>O2</f>
        <v>71.599999999999994</v>
      </c>
      <c r="C16" s="21">
        <f>O3</f>
        <v>5.0000000000000001E-3</v>
      </c>
      <c r="D16" s="21">
        <f>K11</f>
        <v>0.56999999999999995</v>
      </c>
      <c r="E16" s="21">
        <f>K13</f>
        <v>0.49346879535559002</v>
      </c>
      <c r="F16" s="21">
        <f>K12</f>
        <v>37.844611528822064</v>
      </c>
      <c r="G16" s="21">
        <f>O24</f>
        <v>15.714285714285714</v>
      </c>
      <c r="H16" s="21">
        <f>O23</f>
        <v>751.87969924812035</v>
      </c>
      <c r="I16" s="2">
        <f>A31</f>
        <v>0.15</v>
      </c>
      <c r="J16" s="3" t="s">
        <v>1643</v>
      </c>
      <c r="K16" s="2">
        <f>1/((1+K15)/K6-K15/K13)</f>
        <v>2.540734310522744</v>
      </c>
      <c r="L16" s="2">
        <f>K16*P6^$F$30</f>
        <v>2.540734310522744</v>
      </c>
      <c r="M16" s="8">
        <f t="shared" si="4"/>
        <v>1</v>
      </c>
      <c r="N16" s="2" t="s">
        <v>1644</v>
      </c>
      <c r="O16" s="4"/>
      <c r="P16" s="4"/>
      <c r="Q16" s="4"/>
      <c r="R16" s="3">
        <v>22</v>
      </c>
      <c r="S16" s="4">
        <f>S15-2*$L$28*COS(S6)</f>
        <v>1.184685469049521</v>
      </c>
      <c r="T16" s="4">
        <f>T15-2*$L$28*COS(T6)</f>
        <v>11.529012247579493</v>
      </c>
      <c r="U16" s="4">
        <f>U15-2*$L$28*COS(U6)</f>
        <v>7.1342884864453646</v>
      </c>
      <c r="V16" s="4">
        <f>V15-2*$L$28*COS(V6)</f>
        <v>7.1342884864453646</v>
      </c>
      <c r="W16" s="5">
        <f t="shared" si="5"/>
        <v>1.8966808816521372</v>
      </c>
      <c r="X16" s="4">
        <f t="shared" si="6"/>
        <v>7.7022573874198468</v>
      </c>
      <c r="Y16" s="3"/>
      <c r="Z16" s="4"/>
      <c r="AA16" s="4"/>
      <c r="AB16" s="4"/>
      <c r="AC16" s="4"/>
      <c r="AD16" s="4"/>
      <c r="AE16" s="4"/>
      <c r="AF16" s="3" t="s">
        <v>1344</v>
      </c>
      <c r="AG16" s="22">
        <f>AG15/2/AG14</f>
        <v>2.9900153544467041E-3</v>
      </c>
      <c r="AH16" s="22">
        <f>AH15/2/AH14</f>
        <v>3.1160160873211634E-3</v>
      </c>
      <c r="AI16" s="22">
        <f>AI15/2/AI14</f>
        <v>3.0770268710995029E-3</v>
      </c>
      <c r="AJ16" s="22">
        <f>AJ15/2/AJ14</f>
        <v>3.0770268710995029E-3</v>
      </c>
      <c r="AK16" s="22"/>
    </row>
    <row r="17" spans="1:37" ht="15.6">
      <c r="A17" s="1" t="s">
        <v>1500</v>
      </c>
      <c r="B17" s="135">
        <f>B16</f>
        <v>71.599999999999994</v>
      </c>
      <c r="C17" s="135">
        <f>C16</f>
        <v>5.0000000000000001E-3</v>
      </c>
      <c r="D17" s="135">
        <f>D16</f>
        <v>0.56999999999999995</v>
      </c>
      <c r="E17" s="135">
        <f>E16</f>
        <v>0.49346879535559002</v>
      </c>
      <c r="F17" s="135">
        <v>20</v>
      </c>
      <c r="G17" s="135">
        <f>G16</f>
        <v>15.714285714285714</v>
      </c>
      <c r="H17" s="136">
        <f>H16</f>
        <v>751.87969924812035</v>
      </c>
      <c r="I17" s="135">
        <f>I16</f>
        <v>0.15</v>
      </c>
      <c r="J17" s="3" t="s">
        <v>295</v>
      </c>
      <c r="K17" s="2">
        <f>$E$30</f>
        <v>0.32</v>
      </c>
      <c r="L17" s="2">
        <f>K17*P6^$G$29</f>
        <v>0.32</v>
      </c>
      <c r="M17" s="8">
        <f t="shared" si="4"/>
        <v>1</v>
      </c>
      <c r="N17" s="3" t="s">
        <v>296</v>
      </c>
      <c r="O17" s="7">
        <f>$A$28</f>
        <v>428.57142857142856</v>
      </c>
      <c r="P17" s="7">
        <f>P23*L11</f>
        <v>428.57142857142856</v>
      </c>
      <c r="Q17" s="4">
        <f t="shared" ref="Q17:Q24" si="7">P17/O17</f>
        <v>1</v>
      </c>
      <c r="R17" s="3" t="s">
        <v>1345</v>
      </c>
      <c r="S17" s="4">
        <f>$L$30-$L$29*COS(S7)</f>
        <v>0.39094620478634212</v>
      </c>
      <c r="T17" s="4">
        <f>$L$30-$L$29*COS(T7)</f>
        <v>0.39094620478634212</v>
      </c>
      <c r="U17" s="4">
        <f>$L$30-$L$29*COS(U7)</f>
        <v>2.199588271287976</v>
      </c>
      <c r="V17" s="4">
        <f>$L$30-$L$29*COS(V7)</f>
        <v>2.199588271287976</v>
      </c>
      <c r="W17" s="5">
        <f t="shared" si="5"/>
        <v>0.27442174647904771</v>
      </c>
      <c r="X17" s="4">
        <f t="shared" si="6"/>
        <v>1.1144030313869957</v>
      </c>
      <c r="Y17" s="3" t="s">
        <v>1346</v>
      </c>
      <c r="Z17" s="4">
        <f>IF(ABS(Z21/Z23)&lt;0.000000001,0,Z21)</f>
        <v>2012.6638868040268</v>
      </c>
      <c r="AA17" s="4">
        <f>IF(ABS(AA21/AA23)&lt;0.000000001,0,AA21)</f>
        <v>1831.5640101487572</v>
      </c>
      <c r="AB17" s="4">
        <f>IF(ABS(AB21/AB23)&lt;0.000000001,0,AB21)</f>
        <v>1876.838979312575</v>
      </c>
      <c r="AC17" s="4">
        <f>IF(ABS(AC21/AC23)&lt;0.000000001,0,AC21)</f>
        <v>1876.8389793125746</v>
      </c>
      <c r="AD17" s="4"/>
      <c r="AE17" s="4"/>
      <c r="AF17" s="3"/>
      <c r="AG17" s="22"/>
      <c r="AH17" s="22"/>
      <c r="AI17" s="22"/>
      <c r="AJ17" s="22"/>
      <c r="AK17" s="22"/>
    </row>
    <row r="18" spans="1:37">
      <c r="A18" s="10" t="s">
        <v>1645</v>
      </c>
      <c r="B18" s="21">
        <f t="shared" ref="B18:I18" si="8">B17/B16</f>
        <v>1</v>
      </c>
      <c r="C18" s="21">
        <f t="shared" si="8"/>
        <v>1</v>
      </c>
      <c r="D18" s="21">
        <f t="shared" si="8"/>
        <v>1</v>
      </c>
      <c r="E18" s="21">
        <f t="shared" si="8"/>
        <v>1</v>
      </c>
      <c r="F18" s="21">
        <f t="shared" si="8"/>
        <v>0.52847682119205286</v>
      </c>
      <c r="G18" s="21">
        <f t="shared" si="8"/>
        <v>1</v>
      </c>
      <c r="H18" s="2">
        <f t="shared" si="8"/>
        <v>1</v>
      </c>
      <c r="I18" s="2">
        <f t="shared" si="8"/>
        <v>1</v>
      </c>
      <c r="J18" s="3" t="s">
        <v>301</v>
      </c>
      <c r="K18" s="2">
        <f>K17*(1-K11)/K11</f>
        <v>0.2414035087719299</v>
      </c>
      <c r="L18" s="2">
        <f>L17*(1-L11)/L11</f>
        <v>0.2414035087719299</v>
      </c>
      <c r="M18" s="8">
        <f t="shared" si="4"/>
        <v>1</v>
      </c>
      <c r="N18" s="3" t="s">
        <v>302</v>
      </c>
      <c r="O18" s="7">
        <f>$B$28</f>
        <v>357.14285714285717</v>
      </c>
      <c r="P18" s="7">
        <f>O18*Q17*M8^E31</f>
        <v>357.14285714285717</v>
      </c>
      <c r="Q18" s="4">
        <f t="shared" si="7"/>
        <v>1</v>
      </c>
      <c r="R18" s="3">
        <v>66</v>
      </c>
      <c r="S18" s="4">
        <f>S17-$L$30+$L$31</f>
        <v>0.57142857142857117</v>
      </c>
      <c r="T18" s="4">
        <f>T17-$L$30+$L$31</f>
        <v>0.57142857142857117</v>
      </c>
      <c r="U18" s="4">
        <f>U17-$L$30+$L$31</f>
        <v>2.380070637930205</v>
      </c>
      <c r="V18" s="4">
        <f>V17-$L$30+$L$31</f>
        <v>2.380070637930205</v>
      </c>
      <c r="W18" s="5">
        <f t="shared" si="5"/>
        <v>0.31886552926469658</v>
      </c>
      <c r="X18" s="4">
        <f t="shared" si="6"/>
        <v>1.2948853980292248</v>
      </c>
      <c r="Y18" s="3"/>
      <c r="Z18" s="4"/>
      <c r="AA18" s="4"/>
      <c r="AB18" s="4"/>
      <c r="AC18" s="4"/>
      <c r="AD18" s="4"/>
      <c r="AE18" s="4"/>
      <c r="AF18" s="3"/>
      <c r="AG18" s="22"/>
      <c r="AH18" s="11"/>
      <c r="AI18" s="22"/>
      <c r="AJ18" s="22"/>
      <c r="AK18" s="22"/>
    </row>
    <row r="19" spans="1:37">
      <c r="A19" s="1" t="s">
        <v>1504</v>
      </c>
      <c r="B19" s="14">
        <f>B17-B16</f>
        <v>0</v>
      </c>
      <c r="C19" s="18">
        <f>C17-C16</f>
        <v>0</v>
      </c>
      <c r="D19" s="13" t="s">
        <v>1505</v>
      </c>
      <c r="E19" s="8">
        <f>L13</f>
        <v>0.49346879535559002</v>
      </c>
      <c r="F19" s="25">
        <f>L12</f>
        <v>20</v>
      </c>
      <c r="G19" s="14">
        <f>P24</f>
        <v>15.714285714285714</v>
      </c>
      <c r="H19" s="7">
        <f>P23</f>
        <v>751.87969924812035</v>
      </c>
      <c r="J19" s="3" t="s">
        <v>1646</v>
      </c>
      <c r="K19" s="2">
        <f>1/((1+K18)/K8-K18*2.7/K13)</f>
        <v>1.1742272033906853</v>
      </c>
      <c r="L19" s="2">
        <f>K19*P6^$F$30</f>
        <v>1.1742272033906853</v>
      </c>
      <c r="M19" s="8">
        <f t="shared" si="4"/>
        <v>1</v>
      </c>
      <c r="N19" s="3" t="s">
        <v>305</v>
      </c>
      <c r="O19" s="7">
        <f>$C$28</f>
        <v>15.714285714285714</v>
      </c>
      <c r="P19" s="7">
        <f>O19*Q24</f>
        <v>15.714285714285714</v>
      </c>
      <c r="Q19" s="4">
        <f t="shared" si="7"/>
        <v>1</v>
      </c>
      <c r="R19" s="3" t="s">
        <v>1347</v>
      </c>
      <c r="S19" s="4">
        <f>$L$28*SIN(S6)/2+$L$29*SIN(S7)</f>
        <v>0</v>
      </c>
      <c r="T19" s="4">
        <f>$L$28*SIN(T6)/2+$L$29*SIN(T7)</f>
        <v>2.1386061477018497E-17</v>
      </c>
      <c r="U19" s="4">
        <f>$L$28*SIN(U6)/2+$L$29*SIN(U7)</f>
        <v>1.1953924598512518</v>
      </c>
      <c r="V19" s="4">
        <f>$L$28*SIN(V6)/2+$L$29*SIN(V7)</f>
        <v>-1.1953924598512518</v>
      </c>
      <c r="W19" s="5">
        <f t="shared" si="5"/>
        <v>0</v>
      </c>
      <c r="X19" s="4">
        <f t="shared" si="6"/>
        <v>0</v>
      </c>
      <c r="Y19" s="1" t="s">
        <v>1639</v>
      </c>
      <c r="Z19" s="4"/>
      <c r="AA19" s="4"/>
      <c r="AB19" s="4"/>
      <c r="AC19" s="4"/>
      <c r="AD19" s="4"/>
      <c r="AE19" s="4"/>
      <c r="AF19" s="3"/>
      <c r="AG19" s="22"/>
      <c r="AH19" s="22"/>
      <c r="AI19" s="22"/>
      <c r="AJ19" s="22"/>
      <c r="AK19" s="16" t="s">
        <v>1348</v>
      </c>
    </row>
    <row r="20" spans="1:37">
      <c r="L20" s="4"/>
      <c r="N20" s="3" t="s">
        <v>1542</v>
      </c>
      <c r="O20" s="7">
        <f>$D$28</f>
        <v>31.428571428571427</v>
      </c>
      <c r="P20" s="7">
        <f>O20*Q24</f>
        <v>31.428571428571427</v>
      </c>
      <c r="Q20" s="4">
        <f t="shared" si="7"/>
        <v>1</v>
      </c>
      <c r="R20" s="3" t="s">
        <v>1349</v>
      </c>
      <c r="S20" s="4">
        <f>$L$28*SIN(S6)-S19</f>
        <v>0</v>
      </c>
      <c r="T20" s="4">
        <f>$L$28*SIN(T6)-T19</f>
        <v>6.1228073701227435E-16</v>
      </c>
      <c r="U20" s="4">
        <f>$L$28*SIN(U6)-U19</f>
        <v>3.2838324277760491</v>
      </c>
      <c r="V20" s="4">
        <f>$L$28*SIN(V6)-V19</f>
        <v>-3.2838324277760491</v>
      </c>
      <c r="W20" s="5">
        <f t="shared" si="5"/>
        <v>5.4678483962788959E-17</v>
      </c>
      <c r="X20" s="4">
        <f t="shared" si="6"/>
        <v>2.2204460492503131E-16</v>
      </c>
      <c r="Y20" s="3" t="s">
        <v>1647</v>
      </c>
      <c r="Z20" s="4">
        <f t="shared" ref="Z20:AC22" si="9">Z13+AG23</f>
        <v>1831.5629637487573</v>
      </c>
      <c r="AA20" s="4">
        <f t="shared" si="9"/>
        <v>2012.6628404040266</v>
      </c>
      <c r="AB20" s="4">
        <f t="shared" si="9"/>
        <v>1967.3878712402091</v>
      </c>
      <c r="AC20" s="4">
        <f t="shared" si="9"/>
        <v>1967.3878712402095</v>
      </c>
      <c r="AD20" s="4"/>
      <c r="AE20" s="4"/>
      <c r="AF20" s="3" t="s">
        <v>1351</v>
      </c>
      <c r="AG20" s="11">
        <f>(AG16^2+1/AG14)^0.5-AG16</f>
        <v>5.7601863703269146E-3</v>
      </c>
      <c r="AH20" s="11">
        <f>(AH16^2+1/AH14)^0.5-AH16</f>
        <v>6.0966346923179739E-3</v>
      </c>
      <c r="AI20" s="11">
        <f>(AI16^2+1/AI14)^0.5-AI16</f>
        <v>6.004653929859818E-3</v>
      </c>
      <c r="AJ20" s="11">
        <f>(AJ16^2+1/AJ14)^0.5-AJ16</f>
        <v>6.004653929859818E-3</v>
      </c>
      <c r="AK20" s="11">
        <f>MIN(AG21:AJ21)</f>
        <v>5.7601863703269146E-3</v>
      </c>
    </row>
    <row r="21" spans="1:37">
      <c r="B21" s="3" t="s">
        <v>1562</v>
      </c>
      <c r="C21" s="3" t="s">
        <v>1563</v>
      </c>
      <c r="D21" s="3" t="s">
        <v>1564</v>
      </c>
      <c r="E21" s="3" t="s">
        <v>1565</v>
      </c>
      <c r="J21" s="2" t="s">
        <v>1648</v>
      </c>
      <c r="N21" s="3" t="s">
        <v>1543</v>
      </c>
      <c r="O21" s="25">
        <f>$E$28</f>
        <v>14</v>
      </c>
      <c r="P21" s="25">
        <f>O21*Q24</f>
        <v>14</v>
      </c>
      <c r="Q21" s="4">
        <f t="shared" si="7"/>
        <v>1</v>
      </c>
      <c r="R21" s="1"/>
      <c r="V21" s="6" t="s">
        <v>1353</v>
      </c>
      <c r="W21" s="5">
        <f>W15*W16*W18+2*W17*W19*W20-W16*W19^2-W18*W17^2-W15*W20^2</f>
        <v>0.50684703219769645</v>
      </c>
      <c r="Y21" s="3" t="s">
        <v>1649</v>
      </c>
      <c r="Z21" s="4">
        <f t="shared" si="9"/>
        <v>2012.6638868040268</v>
      </c>
      <c r="AA21" s="4">
        <f t="shared" si="9"/>
        <v>1831.5640101487572</v>
      </c>
      <c r="AB21" s="4">
        <f t="shared" si="9"/>
        <v>1876.838979312575</v>
      </c>
      <c r="AC21" s="4">
        <f t="shared" si="9"/>
        <v>1876.8389793125746</v>
      </c>
      <c r="AD21" s="4"/>
      <c r="AE21" s="4"/>
      <c r="AF21" s="3"/>
      <c r="AG21" s="11">
        <f>IF(AG3=0,1000000000,AG20)</f>
        <v>5.7601863703269146E-3</v>
      </c>
      <c r="AH21" s="11">
        <f>IF(AH3=0,1000000000,AH20)</f>
        <v>6.0966346923179739E-3</v>
      </c>
      <c r="AI21" s="11">
        <f>IF(AI3=0,1000000000,AI20)</f>
        <v>6.004653929859818E-3</v>
      </c>
      <c r="AJ21" s="11">
        <f>IF(AJ3=0,1000000000,AJ20)</f>
        <v>6.004653929859818E-3</v>
      </c>
    </row>
    <row r="22" spans="1:37">
      <c r="A22" s="1" t="s">
        <v>225</v>
      </c>
      <c r="B22" s="4">
        <f>AG38</f>
        <v>5.3743575028066372E-3</v>
      </c>
      <c r="C22" s="4">
        <f>AH38</f>
        <v>5.7678210390430546E-3</v>
      </c>
      <c r="D22" s="4">
        <f>AI38</f>
        <v>5.6595826230448482E-3</v>
      </c>
      <c r="E22" s="4">
        <f>AJ38</f>
        <v>5.6595826230448499E-3</v>
      </c>
      <c r="F22" s="2" t="s">
        <v>1528</v>
      </c>
      <c r="G22" s="11">
        <f>MIN(B22:E22)</f>
        <v>5.3743575028066372E-3</v>
      </c>
      <c r="H22" s="2" t="s">
        <v>1529</v>
      </c>
      <c r="I22" s="8">
        <f>MAX(G22,G23)</f>
        <v>1.4912486920655469E-2</v>
      </c>
      <c r="J22" s="3" t="s">
        <v>1354</v>
      </c>
      <c r="K22" s="4">
        <f>K5/(1-K7^2*K6/K5)</f>
        <v>21.699756042626884</v>
      </c>
      <c r="L22" s="4">
        <f>L5/(1-L7^2*L6/L5)</f>
        <v>11.529012247579493</v>
      </c>
      <c r="M22" s="8">
        <f>L22/K22</f>
        <v>0.53129685997077403</v>
      </c>
      <c r="N22" s="3" t="s">
        <v>1168</v>
      </c>
      <c r="O22" s="8">
        <f>$A$29</f>
        <v>-0.5</v>
      </c>
      <c r="P22" s="8">
        <v>-0.5</v>
      </c>
      <c r="Q22" s="4">
        <f t="shared" si="7"/>
        <v>1</v>
      </c>
      <c r="R22" s="3" t="s">
        <v>1355</v>
      </c>
      <c r="S22" s="6" t="s">
        <v>1169</v>
      </c>
      <c r="T22" s="6"/>
      <c r="U22" s="6" t="s">
        <v>1357</v>
      </c>
      <c r="V22" s="6"/>
      <c r="W22" s="6" t="s">
        <v>1358</v>
      </c>
      <c r="X22" s="6"/>
      <c r="Y22" s="3" t="s">
        <v>1650</v>
      </c>
      <c r="Z22" s="4">
        <f t="shared" si="9"/>
        <v>-3.4512776428423993E-13</v>
      </c>
      <c r="AA22" s="4">
        <f t="shared" si="9"/>
        <v>3.6731518769107442E-13</v>
      </c>
      <c r="AB22" s="4">
        <f t="shared" si="9"/>
        <v>156.83709380569167</v>
      </c>
      <c r="AC22" s="4">
        <f t="shared" si="9"/>
        <v>-156.83709380569132</v>
      </c>
      <c r="AD22" s="4"/>
      <c r="AE22" s="4"/>
      <c r="AF22" s="2" t="s">
        <v>1360</v>
      </c>
      <c r="AG22" s="11">
        <f>IF(AG3=0,0,AG20)</f>
        <v>5.7601863703269146E-3</v>
      </c>
      <c r="AH22" s="11">
        <f>IF(AH3=0,0,AH20)</f>
        <v>6.0966346923179739E-3</v>
      </c>
      <c r="AI22" s="11">
        <f>IF(AI3=0,0,AI20)</f>
        <v>6.004653929859818E-3</v>
      </c>
      <c r="AJ22" s="11">
        <f>IF(AJ3=0,0,AJ20)</f>
        <v>6.004653929859818E-3</v>
      </c>
    </row>
    <row r="23" spans="1:37">
      <c r="A23" s="1" t="s">
        <v>227</v>
      </c>
      <c r="B23" s="4">
        <f>AG77</f>
        <v>1.4912486920655469E-2</v>
      </c>
      <c r="C23" s="4">
        <f>AH77</f>
        <v>1.6969579585017991E-2</v>
      </c>
      <c r="D23" s="4">
        <f>AI77</f>
        <v>1.6417556669975901E-2</v>
      </c>
      <c r="E23" s="4">
        <f>AJ77</f>
        <v>1.6417556669975901E-2</v>
      </c>
      <c r="F23" s="2" t="s">
        <v>1558</v>
      </c>
      <c r="G23" s="11">
        <f>MIN(B23:E23)</f>
        <v>1.4912486920655469E-2</v>
      </c>
      <c r="H23" s="2" t="s">
        <v>1559</v>
      </c>
      <c r="I23" s="4">
        <f>I22/I5</f>
        <v>1.4912486920655469E-2</v>
      </c>
      <c r="J23" s="3" t="s">
        <v>1361</v>
      </c>
      <c r="K23" s="4">
        <f>K22*K6/K5</f>
        <v>1.1783973480102012</v>
      </c>
      <c r="L23" s="4">
        <f>L22*L6/L5</f>
        <v>1.1846854690495217</v>
      </c>
      <c r="M23" s="8">
        <f>L23/K23</f>
        <v>1.0053361636038458</v>
      </c>
      <c r="N23" s="3" t="s">
        <v>1175</v>
      </c>
      <c r="O23" s="7">
        <f>O17/K11</f>
        <v>751.87969924812035</v>
      </c>
      <c r="P23" s="7">
        <f>$H$17*P6^$G$30</f>
        <v>751.87969924812035</v>
      </c>
      <c r="Q23" s="4">
        <f t="shared" si="7"/>
        <v>1</v>
      </c>
      <c r="R23" s="3">
        <v>11</v>
      </c>
      <c r="S23" s="5">
        <f>(W16*W18-W20^2)/W21</f>
        <v>1.1932321090090596</v>
      </c>
      <c r="U23" s="5">
        <f t="shared" ref="U23:U28" si="10">S23*$W$12</f>
        <v>0.29383340684348092</v>
      </c>
      <c r="V23" s="5"/>
      <c r="W23" s="4">
        <f>1/U23</f>
        <v>3.403288995429576</v>
      </c>
      <c r="X23" s="7"/>
      <c r="Y23" s="3" t="s">
        <v>1363</v>
      </c>
      <c r="Z23" s="4">
        <f>SQRT(Z20^2+Z21^2+Z22^2)</f>
        <v>2721.2935915518606</v>
      </c>
      <c r="AA23" s="4">
        <f>SQRT(AA20^2+AA21^2+AA22^2)</f>
        <v>2721.2935219147898</v>
      </c>
      <c r="AB23" s="4">
        <f>SQRT(AB20^2+AB21^2+AB22^2)</f>
        <v>2723.552361193661</v>
      </c>
      <c r="AC23" s="4">
        <f>SQRT(AC20^2+AC21^2+AC22^2)</f>
        <v>2723.552361193661</v>
      </c>
      <c r="AD23" s="4"/>
      <c r="AE23" s="4"/>
      <c r="AF23" s="3" t="s">
        <v>1364</v>
      </c>
      <c r="AG23" s="26">
        <f>$AK$7+$AK$8*COS(AG4)+$AK$9*SIN(AG4)-$V$37</f>
        <v>-2.6305265458379564E-4</v>
      </c>
      <c r="AH23" s="22">
        <f>$AK$7+$AK$8*COS(AH4)+$AK$9*SIN(AH4)-$V$37</f>
        <v>-4.7402994275377604E-5</v>
      </c>
      <c r="AI23" s="22">
        <f>$AK$7+$AK$8*COS(AI4)+$AK$9*SIN(AI4)-$V$37</f>
        <v>-1.0131540935248212E-4</v>
      </c>
      <c r="AJ23" s="22">
        <f>$AK$7+$AK$8*COS(AJ4)+$AK$9*SIN(AJ4)-$V$37</f>
        <v>-1.0131540935248214E-4</v>
      </c>
      <c r="AK23" s="22"/>
    </row>
    <row r="24" spans="1:37">
      <c r="A24" s="2" t="s">
        <v>1368</v>
      </c>
      <c r="B24" s="13" t="str">
        <f>S47</f>
        <v>yes</v>
      </c>
      <c r="C24" s="13" t="str">
        <f>T47</f>
        <v>yes</v>
      </c>
      <c r="D24" s="13" t="str">
        <f>U47</f>
        <v>yes</v>
      </c>
      <c r="E24" s="13" t="str">
        <f>V47</f>
        <v>yes</v>
      </c>
      <c r="H24" s="2" t="s">
        <v>1369</v>
      </c>
      <c r="I24" s="4">
        <f>MIN(G22,I22/I5)</f>
        <v>5.3743575028066372E-3</v>
      </c>
      <c r="J24" s="3" t="s">
        <v>1365</v>
      </c>
      <c r="K24" s="4">
        <f>K23*K7</f>
        <v>0.38887112484336644</v>
      </c>
      <c r="L24" s="4">
        <f>L23*L7</f>
        <v>0.39094620478634218</v>
      </c>
      <c r="M24" s="8">
        <f>L24/K24</f>
        <v>1.0053361636038458</v>
      </c>
      <c r="N24" s="3" t="s">
        <v>1176</v>
      </c>
      <c r="O24" s="7">
        <f>O19</f>
        <v>15.714285714285714</v>
      </c>
      <c r="P24" s="7">
        <f>$G$17*P6^$H$29</f>
        <v>15.714285714285714</v>
      </c>
      <c r="Q24" s="4">
        <f t="shared" si="7"/>
        <v>1</v>
      </c>
      <c r="R24" s="3">
        <v>22</v>
      </c>
      <c r="S24" s="5">
        <f>(W15*W18-W19^2)/W21</f>
        <v>0.55221572966113408</v>
      </c>
      <c r="U24" s="5">
        <f t="shared" si="10"/>
        <v>0.13598312342905428</v>
      </c>
      <c r="V24" s="5"/>
      <c r="W24" s="4">
        <f>1/U24</f>
        <v>7.3538537340754973</v>
      </c>
      <c r="Z24" s="4"/>
      <c r="AA24" s="4"/>
      <c r="AB24" s="4"/>
      <c r="AC24" s="4"/>
      <c r="AD24" s="4"/>
      <c r="AE24" s="4"/>
      <c r="AF24" s="3" t="s">
        <v>1367</v>
      </c>
      <c r="AG24" s="22">
        <f>2*$AK$7-AG23-$V$38-$V$37</f>
        <v>9.9899700572462211E-4</v>
      </c>
      <c r="AH24" s="22">
        <f>2*$AK$7-AH23-$V$38-$V$37</f>
        <v>7.833473454162041E-4</v>
      </c>
      <c r="AI24" s="22">
        <f>2*$AK$7-AI23-$V$38-$V$37</f>
        <v>8.3725976049330855E-4</v>
      </c>
      <c r="AJ24" s="22">
        <f>2*$AK$7-AJ23-$V$38-$V$37</f>
        <v>8.3725976049330855E-4</v>
      </c>
      <c r="AK24" s="22"/>
    </row>
    <row r="25" spans="1:37">
      <c r="A25" s="2" t="s">
        <v>1373</v>
      </c>
      <c r="B25" s="3" t="str">
        <f>IF(B4=0,$I25,IF(S51*S52&lt;0,$G25,$H25))</f>
        <v>no</v>
      </c>
      <c r="C25" s="3" t="str">
        <f>IF(C4=0,$I25,IF(T51*T52&lt;0,$G25,$H25))</f>
        <v>no</v>
      </c>
      <c r="D25" s="3" t="str">
        <f>IF(D4=0,$I25,IF(U51*U52&lt;0,$G25,$H25))</f>
        <v>no</v>
      </c>
      <c r="E25" s="3" t="str">
        <f>IF(E4=0,$I25,IF(V51*V52&lt;0,$G25,$H25))</f>
        <v>no</v>
      </c>
      <c r="G25" s="2" t="s">
        <v>1377</v>
      </c>
      <c r="H25" s="2" t="s">
        <v>1378</v>
      </c>
      <c r="I25" s="2" t="s">
        <v>1379</v>
      </c>
      <c r="J25" s="3" t="s">
        <v>1370</v>
      </c>
      <c r="K25" s="4">
        <f>K8</f>
        <v>0.5714285714285714</v>
      </c>
      <c r="L25" s="4">
        <f>L8</f>
        <v>0.5714285714285714</v>
      </c>
      <c r="M25" s="8">
        <f>L25/K25</f>
        <v>1</v>
      </c>
      <c r="R25" s="3" t="s">
        <v>1345</v>
      </c>
      <c r="S25" s="5">
        <f>(W19*W20-W17*W18)/W21</f>
        <v>-0.17264308533753633</v>
      </c>
      <c r="U25" s="5">
        <f t="shared" si="10"/>
        <v>-4.2513359764368319E-2</v>
      </c>
      <c r="V25" s="5"/>
      <c r="W25" s="4">
        <f>-U25/U23</f>
        <v>0.1446852494448132</v>
      </c>
      <c r="AE25" s="2"/>
      <c r="AF25" s="3" t="s">
        <v>1372</v>
      </c>
      <c r="AG25" s="26">
        <f>2*($AK$9*COS(AG4)-$AK$8*SIN(AG4))</f>
        <v>2.5750732905044108E-20</v>
      </c>
      <c r="AH25" s="22">
        <f>2*($AK$9*COS(AH4)-$AK$8*SIN(AH4))</f>
        <v>6.695519077986001E-22</v>
      </c>
      <c r="AI25" s="22">
        <f>2*($AK$9*COS(AI4)-$AK$8*SIN(AI4))</f>
        <v>1.8675808414457475E-4</v>
      </c>
      <c r="AJ25" s="22">
        <f>2*($AK$9*COS(AJ4)-$AK$8*SIN(AJ4))</f>
        <v>-1.8675808414457475E-4</v>
      </c>
      <c r="AK25" s="22"/>
    </row>
    <row r="26" spans="1:37">
      <c r="A26" s="1" t="s">
        <v>1574</v>
      </c>
      <c r="J26" s="2" t="s">
        <v>1651</v>
      </c>
      <c r="K26" s="4"/>
      <c r="L26" s="4"/>
      <c r="N26" s="2" t="s">
        <v>1652</v>
      </c>
      <c r="R26" s="3">
        <v>66</v>
      </c>
      <c r="S26" s="5">
        <f>(W15*W16-W17^2)/W21</f>
        <v>3.1361182323658454</v>
      </c>
      <c r="U26" s="5">
        <f t="shared" si="10"/>
        <v>0.77226911472008941</v>
      </c>
      <c r="V26" s="5"/>
      <c r="W26" s="4">
        <f>1/U26</f>
        <v>1.2948853980292248</v>
      </c>
      <c r="AE26" s="2"/>
      <c r="AF26" s="22"/>
      <c r="AG26" s="22"/>
      <c r="AH26" s="22"/>
      <c r="AI26" s="22"/>
      <c r="AJ26" s="22"/>
      <c r="AK26" s="22"/>
    </row>
    <row r="27" spans="1:37">
      <c r="A27" s="4" t="s">
        <v>1924</v>
      </c>
      <c r="B27" s="4">
        <v>21.571428571428573</v>
      </c>
      <c r="C27" s="4">
        <v>1.1714285714285713</v>
      </c>
      <c r="D27" s="4">
        <v>0.33</v>
      </c>
      <c r="E27" s="4">
        <v>0.5714285714285714</v>
      </c>
      <c r="F27" s="4">
        <v>0.49346879535559002</v>
      </c>
      <c r="G27" s="7">
        <v>251.6</v>
      </c>
      <c r="H27" s="7">
        <v>320</v>
      </c>
      <c r="J27" s="3" t="s">
        <v>1380</v>
      </c>
      <c r="K27" s="4">
        <f>(3*K22+3*K23+2*K24+4*K25)/8</f>
        <v>8.962239588414036</v>
      </c>
      <c r="L27" s="4">
        <f>(3*L22+3*L23+2*L24+4*L25)/8</f>
        <v>5.1510874806467513</v>
      </c>
      <c r="M27" s="8">
        <f>L27/K27</f>
        <v>0.57475449410054114</v>
      </c>
      <c r="N27" s="3" t="s">
        <v>1381</v>
      </c>
      <c r="O27" s="4">
        <f>1/O17/O18*1000000</f>
        <v>6.5333333333333332</v>
      </c>
      <c r="P27" s="4">
        <f>1/P17/P18*1000000</f>
        <v>6.5333333333333332</v>
      </c>
      <c r="Q27" s="4">
        <f t="shared" ref="Q27:Q38" si="11">P27/O27</f>
        <v>1</v>
      </c>
      <c r="R27" s="3" t="s">
        <v>1347</v>
      </c>
      <c r="S27" s="5">
        <f>(W17*W20-W16*W19)/W21</f>
        <v>2.960452387149904E-17</v>
      </c>
      <c r="U27" s="5">
        <f t="shared" si="10"/>
        <v>7.2901140033566389E-18</v>
      </c>
      <c r="V27" s="5"/>
      <c r="W27" s="4">
        <f>U27/U23</f>
        <v>2.4810364763050699E-17</v>
      </c>
      <c r="AE27" s="2"/>
      <c r="AF27" s="16" t="s">
        <v>1383</v>
      </c>
      <c r="AG27" s="26">
        <f>$P$33*AG23^2+2*$P$35*AG23*AG24+$P$34*AG24^2+$P$36*AG25^2</f>
        <v>2.7386112034671101E-3</v>
      </c>
      <c r="AH27" s="22">
        <f>$P$33*AH23^2+2*$P$35*AH23*AH24+$P$34*AH24^2+$P$36*AH25^2</f>
        <v>1.7003558742422961E-3</v>
      </c>
      <c r="AI27" s="22">
        <f>$P$33*AI23^2+2*$P$35*AI23*AI24+$P$34*AI24^2+$P$36*AI25^2</f>
        <v>1.9909694915607912E-3</v>
      </c>
      <c r="AJ27" s="22">
        <f>$P$33*AJ23^2+2*$P$35*AJ23*AJ24+$P$34*AJ24^2+$P$36*AJ25^2</f>
        <v>1.9909694915607912E-3</v>
      </c>
      <c r="AK27" s="22"/>
    </row>
    <row r="28" spans="1:37">
      <c r="A28" s="12">
        <v>428.57142857142856</v>
      </c>
      <c r="B28" s="12">
        <v>357.14285714285717</v>
      </c>
      <c r="C28" s="12">
        <v>15.714285714285714</v>
      </c>
      <c r="D28" s="12">
        <v>31.428571428571427</v>
      </c>
      <c r="E28" s="12">
        <v>14</v>
      </c>
      <c r="F28" s="4">
        <v>1.2</v>
      </c>
      <c r="G28" s="4">
        <v>71.599999999999994</v>
      </c>
      <c r="H28" s="4">
        <v>5.0000000000000001E-3</v>
      </c>
      <c r="J28" s="3" t="s">
        <v>1384</v>
      </c>
      <c r="K28" s="4">
        <f>(K22-K23)/2</f>
        <v>10.260679347308342</v>
      </c>
      <c r="L28" s="4">
        <f>(L22-L23)/2</f>
        <v>5.1721633892649859</v>
      </c>
      <c r="M28" s="8">
        <f>L28/K28</f>
        <v>0.50407611564450516</v>
      </c>
      <c r="N28" s="3" t="s">
        <v>1385</v>
      </c>
      <c r="O28" s="4">
        <f>1/O19/O20*1000000</f>
        <v>2024.7933884297524</v>
      </c>
      <c r="P28" s="4">
        <f>1/P19/P20*1000000</f>
        <v>2024.7933884297524</v>
      </c>
      <c r="Q28" s="4">
        <f t="shared" si="11"/>
        <v>1</v>
      </c>
      <c r="R28" s="3" t="s">
        <v>1349</v>
      </c>
      <c r="S28" s="5">
        <f>(W17*W19-W15*W20)/W21</f>
        <v>-9.4692954073474721E-17</v>
      </c>
      <c r="U28" s="5">
        <f t="shared" si="10"/>
        <v>-2.3318139940593148E-17</v>
      </c>
      <c r="V28" s="5"/>
      <c r="W28" s="4">
        <f>U28/U24</f>
        <v>-1.7147819047382591E-16</v>
      </c>
      <c r="AE28" s="2"/>
      <c r="AF28" s="16" t="s">
        <v>1387</v>
      </c>
      <c r="AG28" s="26">
        <f>$P$37*AG23+$P$38*AG24</f>
        <v>3.5617585163842551E-2</v>
      </c>
      <c r="AH28" s="22">
        <f>$P$37*AH23+$P$38*AH24</f>
        <v>2.9050383548989124E-2</v>
      </c>
      <c r="AI28" s="22">
        <f>$P$37*AI23+$P$38*AI24</f>
        <v>3.0692183952702481E-2</v>
      </c>
      <c r="AJ28" s="22">
        <f>$P$37*AJ23+$P$38*AJ24</f>
        <v>3.0692183952702481E-2</v>
      </c>
      <c r="AK28" s="22"/>
    </row>
    <row r="29" spans="1:37">
      <c r="A29" s="4">
        <v>-0.5</v>
      </c>
      <c r="B29" s="7">
        <v>4925</v>
      </c>
      <c r="C29" s="4">
        <v>0.56999999999999995</v>
      </c>
      <c r="D29" s="4">
        <v>1.6</v>
      </c>
      <c r="E29" s="4">
        <v>0.52</v>
      </c>
      <c r="F29" s="4">
        <v>0.5</v>
      </c>
      <c r="G29" s="4">
        <v>0.2</v>
      </c>
      <c r="H29" s="4">
        <v>0.9</v>
      </c>
      <c r="J29" s="3" t="s">
        <v>1388</v>
      </c>
      <c r="K29" s="4">
        <f>(K22+K23-2*K24-4*K25)/8</f>
        <v>2.4768371069045085</v>
      </c>
      <c r="L29" s="4">
        <f>(L22+L23-2*L24-4*L25)/8</f>
        <v>1.2057613776677556</v>
      </c>
      <c r="M29" s="8">
        <f>L29/K29</f>
        <v>0.48681496829425619</v>
      </c>
      <c r="N29" s="3" t="s">
        <v>1389</v>
      </c>
      <c r="O29" s="4">
        <f>O22*(O27*O28)^0.5</f>
        <v>-57.50793453459498</v>
      </c>
      <c r="P29" s="4">
        <f>P22*(P27*P28)^0.5</f>
        <v>-57.50793453459498</v>
      </c>
      <c r="Q29" s="4">
        <f t="shared" si="11"/>
        <v>1</v>
      </c>
      <c r="U29" s="5"/>
      <c r="V29" s="5"/>
      <c r="W29" s="6"/>
      <c r="AE29" s="2"/>
      <c r="AF29" s="16" t="s">
        <v>1390</v>
      </c>
      <c r="AG29" s="26">
        <f>AG27+AG28</f>
        <v>3.8356196367309664E-2</v>
      </c>
      <c r="AH29" s="22">
        <f>AH27+AH28</f>
        <v>3.0750739423231421E-2</v>
      </c>
      <c r="AI29" s="22">
        <f>AI27+AI28</f>
        <v>3.2683153444263272E-2</v>
      </c>
      <c r="AJ29" s="22">
        <f>AJ27+AJ28</f>
        <v>3.2683153444263272E-2</v>
      </c>
      <c r="AK29" s="22"/>
    </row>
    <row r="30" spans="1:37">
      <c r="A30" s="4">
        <v>0.02</v>
      </c>
      <c r="B30" s="4">
        <v>22.5</v>
      </c>
      <c r="C30" s="4">
        <v>0</v>
      </c>
      <c r="D30" s="4">
        <v>0.6</v>
      </c>
      <c r="E30" s="4">
        <v>0.32</v>
      </c>
      <c r="F30" s="4">
        <v>0</v>
      </c>
      <c r="G30" s="4">
        <v>0</v>
      </c>
      <c r="H30" s="4">
        <v>2000</v>
      </c>
      <c r="J30" s="3" t="s">
        <v>1391</v>
      </c>
      <c r="K30" s="4">
        <f>(K22+K23+6*K24-4*K25)/8</f>
        <v>2.8657082317478748</v>
      </c>
      <c r="L30" s="4">
        <f>(L22+L23+6*L24-4*L25)/8</f>
        <v>1.5967075824540977</v>
      </c>
      <c r="M30" s="8">
        <f>L30/K30</f>
        <v>0.55717730254772713</v>
      </c>
      <c r="N30" s="3" t="s">
        <v>1392</v>
      </c>
      <c r="O30" s="4">
        <f>1/O21^2*1000000</f>
        <v>5102.0408163265301</v>
      </c>
      <c r="P30" s="4">
        <f>1/P21^2*1000000</f>
        <v>5102.0408163265301</v>
      </c>
      <c r="Q30" s="4">
        <f t="shared" si="11"/>
        <v>1</v>
      </c>
      <c r="R30" s="1" t="s">
        <v>1185</v>
      </c>
      <c r="U30" s="5"/>
      <c r="V30" s="5"/>
      <c r="W30" s="6" t="s">
        <v>1394</v>
      </c>
      <c r="AE30" s="2"/>
      <c r="AF30" s="16" t="s">
        <v>1395</v>
      </c>
      <c r="AG30" s="22">
        <f>-1+AG29</f>
        <v>-0.96164380363269031</v>
      </c>
      <c r="AH30" s="22">
        <f>-1+AH29</f>
        <v>-0.96924926057676863</v>
      </c>
      <c r="AI30" s="22">
        <f>-1+AI29</f>
        <v>-0.96731684655573669</v>
      </c>
      <c r="AJ30" s="22">
        <f>-1+AJ29</f>
        <v>-0.96731684655573669</v>
      </c>
      <c r="AK30" s="22"/>
    </row>
    <row r="31" spans="1:37">
      <c r="A31" s="4">
        <v>0.15</v>
      </c>
      <c r="B31" s="4">
        <v>0.01</v>
      </c>
      <c r="C31" s="4">
        <v>1</v>
      </c>
      <c r="D31" s="4">
        <v>1</v>
      </c>
      <c r="E31" s="4">
        <v>0</v>
      </c>
      <c r="F31" s="4"/>
      <c r="G31" s="4"/>
      <c r="H31" s="4"/>
      <c r="J31" s="3" t="s">
        <v>1653</v>
      </c>
      <c r="K31" s="4">
        <f>(K27-K30)/2</f>
        <v>3.0482656783330806</v>
      </c>
      <c r="L31" s="4">
        <f>(L27-L30)/2</f>
        <v>1.7771899490963268</v>
      </c>
      <c r="M31" s="8">
        <f>L31/K31</f>
        <v>0.58301675005840325</v>
      </c>
      <c r="N31" s="3" t="s">
        <v>1654</v>
      </c>
      <c r="O31" s="4">
        <f>(1/O17-1/O18)*1000</f>
        <v>-0.46666666666666645</v>
      </c>
      <c r="P31" s="4">
        <f>(1/P17-1/P18)*1000</f>
        <v>-0.46666666666666645</v>
      </c>
      <c r="Q31" s="4">
        <f t="shared" si="11"/>
        <v>1</v>
      </c>
      <c r="R31" s="3" t="s">
        <v>1398</v>
      </c>
      <c r="S31" s="4">
        <f>S11*COS(S6)</f>
        <v>0.19999999999999996</v>
      </c>
      <c r="T31" s="4">
        <f>T11*COS(T6)</f>
        <v>-0.4</v>
      </c>
      <c r="U31" s="4">
        <f>U11*COS(U6)</f>
        <v>-9.9999999999999964E-2</v>
      </c>
      <c r="V31" s="4">
        <f>V11*COS(V6)</f>
        <v>-9.9999999999999964E-2</v>
      </c>
      <c r="W31" s="4">
        <f>(S31+T31+U31+V31)</f>
        <v>-0.4</v>
      </c>
      <c r="AE31" s="2"/>
      <c r="AF31" s="16" t="s">
        <v>1399</v>
      </c>
      <c r="AG31" s="22">
        <f>2*($P$33*AG7*AG23+$P$34*AG8*AG24+$P$35*(AG7*AG24+AG23*AG8)+$P$36*AG9*AG25)</f>
        <v>11.031716562050034</v>
      </c>
      <c r="AH31" s="22">
        <f>2*($P$33*AH7*AH23+$P$34*AH8*AH24+$P$35*(AH7*AH24+AH23*AH8)+$P$36*AH9*AH25)</f>
        <v>8.3940026358505371</v>
      </c>
      <c r="AI31" s="22">
        <f>2*($P$33*AI7*AI23+$P$34*AI8*AI24+$P$35*(AI7*AI24+AI23*AI8)+$P$36*AI9*AI25)</f>
        <v>9.1055814943774127</v>
      </c>
      <c r="AJ31" s="22">
        <f>2*($P$33*AJ7*AJ23+$P$34*AJ8*AJ24+$P$35*(AJ7*AJ24+AJ23*AJ8)+$P$36*AJ9*AJ25)</f>
        <v>9.1055814943774109</v>
      </c>
      <c r="AK31" s="22"/>
    </row>
    <row r="32" spans="1:37">
      <c r="J32" s="2" t="s">
        <v>1400</v>
      </c>
      <c r="N32" s="3" t="s">
        <v>1655</v>
      </c>
      <c r="O32" s="4">
        <f>(1/O19-1/O20)*1000</f>
        <v>31.81818181818182</v>
      </c>
      <c r="P32" s="4">
        <f>(1/P19-1/P20)*1000</f>
        <v>31.81818181818182</v>
      </c>
      <c r="Q32" s="4">
        <f t="shared" si="11"/>
        <v>1</v>
      </c>
      <c r="R32" s="3" t="s">
        <v>1402</v>
      </c>
      <c r="S32" s="4">
        <f>S11*SIN(S6)</f>
        <v>0</v>
      </c>
      <c r="T32" s="4">
        <f>T11*SIN(T6)</f>
        <v>4.90059381963448E-17</v>
      </c>
      <c r="U32" s="4">
        <f>U11*SIN(U6)</f>
        <v>0.17320508075688776</v>
      </c>
      <c r="V32" s="4">
        <f>V11*SIN(V6)</f>
        <v>-0.17320508075688776</v>
      </c>
      <c r="W32" s="4">
        <f>(S32+T32+U32+V32)</f>
        <v>5.5511151231257827E-17</v>
      </c>
      <c r="AE32" s="2"/>
      <c r="AF32" s="16" t="s">
        <v>1403</v>
      </c>
      <c r="AG32" s="26">
        <f>AG31+AG15</f>
        <v>99.459909838304583</v>
      </c>
      <c r="AH32" s="22">
        <f>AH31+AH15</f>
        <v>91.307149032344171</v>
      </c>
      <c r="AI32" s="22">
        <f>AI31+AI15</f>
        <v>93.397489610811277</v>
      </c>
      <c r="AJ32" s="22">
        <f>AJ31+AJ15</f>
        <v>93.397489610811249</v>
      </c>
      <c r="AK32" s="22"/>
    </row>
    <row r="33" spans="1:37">
      <c r="A33" s="3" t="s">
        <v>1413</v>
      </c>
      <c r="B33" s="3" t="s">
        <v>1577</v>
      </c>
      <c r="C33" s="3" t="s">
        <v>1578</v>
      </c>
      <c r="D33" s="3" t="s">
        <v>266</v>
      </c>
      <c r="E33" s="3" t="s">
        <v>267</v>
      </c>
      <c r="F33" s="3" t="s">
        <v>268</v>
      </c>
      <c r="G33" s="3" t="s">
        <v>1584</v>
      </c>
      <c r="H33" s="3" t="s">
        <v>1585</v>
      </c>
      <c r="J33" s="3" t="s">
        <v>1184</v>
      </c>
      <c r="K33" s="4">
        <f>(1-(K30/K27)^2)*K27</f>
        <v>8.0459191097555554</v>
      </c>
      <c r="L33" s="4">
        <f>(1-(L30/L27)^2)*L27</f>
        <v>4.6561482831578536</v>
      </c>
      <c r="M33" s="4">
        <f>L33/K33</f>
        <v>0.57869687970294703</v>
      </c>
      <c r="N33" s="3" t="s">
        <v>1405</v>
      </c>
      <c r="O33" s="7">
        <f>(O27*K22^2+2*O29*K22*K24+O28*K24^2)</f>
        <v>2412.0520468144214</v>
      </c>
      <c r="P33" s="7">
        <f>(P27*L22^2+2*P29*L22*L24+P28*L24^2)</f>
        <v>659.4634338997505</v>
      </c>
      <c r="Q33" s="4">
        <f t="shared" si="11"/>
        <v>0.27340348429491762</v>
      </c>
      <c r="R33" s="3"/>
      <c r="S33" s="6" t="s">
        <v>1406</v>
      </c>
      <c r="T33" s="6" t="s">
        <v>1407</v>
      </c>
      <c r="U33" s="6" t="s">
        <v>1408</v>
      </c>
      <c r="V33" s="6" t="s">
        <v>1409</v>
      </c>
      <c r="W33" s="6" t="s">
        <v>1410</v>
      </c>
      <c r="X33" s="6" t="s">
        <v>1411</v>
      </c>
      <c r="AE33" s="2"/>
      <c r="AF33" s="16" t="s">
        <v>1412</v>
      </c>
      <c r="AG33" s="26">
        <f>AG32/2/AG14</f>
        <v>3.3630298952208966E-3</v>
      </c>
      <c r="AH33" s="22">
        <f>AH32/2/AH14</f>
        <v>3.4314768843972791E-3</v>
      </c>
      <c r="AI33" s="22">
        <f>AI32/2/AI14</f>
        <v>3.4094208050045676E-3</v>
      </c>
      <c r="AJ33" s="22">
        <f>AJ32/2/AJ14</f>
        <v>3.4094208050045667E-3</v>
      </c>
      <c r="AK33" s="22"/>
    </row>
    <row r="34" spans="1:37">
      <c r="A34" s="3" t="s">
        <v>269</v>
      </c>
      <c r="B34" s="3" t="s">
        <v>270</v>
      </c>
      <c r="C34" s="3" t="s">
        <v>271</v>
      </c>
      <c r="D34" s="3" t="s">
        <v>272</v>
      </c>
      <c r="E34" s="3" t="s">
        <v>273</v>
      </c>
      <c r="F34" s="3" t="s">
        <v>274</v>
      </c>
      <c r="G34" s="3" t="s">
        <v>1588</v>
      </c>
      <c r="H34" s="3" t="s">
        <v>275</v>
      </c>
      <c r="J34" s="3" t="s">
        <v>1656</v>
      </c>
      <c r="K34" s="4">
        <f>K30/K27</f>
        <v>0.31975358429967976</v>
      </c>
      <c r="L34" s="4">
        <f>L30/L27</f>
        <v>0.30997485258270574</v>
      </c>
      <c r="M34" s="4">
        <f>L34/K34</f>
        <v>0.96941791367752361</v>
      </c>
      <c r="N34" s="3" t="s">
        <v>1415</v>
      </c>
      <c r="O34" s="7">
        <f>(O27*K24^2+2*O29*K24*K23+O28*K23^2)</f>
        <v>2759.9517852215176</v>
      </c>
      <c r="P34" s="7">
        <f>(P27*L24^2+2*P29*L24*L23+P28*L23^2)</f>
        <v>2789.485482389895</v>
      </c>
      <c r="Q34" s="4">
        <f t="shared" si="11"/>
        <v>1.0107008018496986</v>
      </c>
      <c r="R34" s="3">
        <v>1</v>
      </c>
      <c r="S34" s="5">
        <f>(($L$22+$L$24)/2*$P$10+($L$24+$L$23)/2*$P$11)/1000000</f>
        <v>1.7845055915177127E-5</v>
      </c>
      <c r="T34" s="5">
        <f>($L$22+$L$24)/2*$P$13+($L$24+$L$23)/2*$P$14</f>
        <v>0.47268950215075911</v>
      </c>
      <c r="U34" s="5">
        <f>S34+S35*W31</f>
        <v>2.1372330340190262E-5</v>
      </c>
      <c r="V34" s="5">
        <f>T34+T35*W31</f>
        <v>0.56793821386234067</v>
      </c>
      <c r="W34" s="5">
        <f>(U34*U23+U35*U25+U36*U27)*1000000</f>
        <v>5.6712076405234404</v>
      </c>
      <c r="X34" s="5">
        <f>(V34*U23+V35*U25+V36*U27)</f>
        <v>0.1508329441420847</v>
      </c>
      <c r="AE34" s="2"/>
      <c r="AF34" s="16"/>
      <c r="AG34" s="26"/>
      <c r="AH34" s="22"/>
      <c r="AI34" s="22"/>
      <c r="AJ34" s="22"/>
      <c r="AK34" s="22"/>
    </row>
    <row r="35" spans="1:37">
      <c r="A35" s="3" t="s">
        <v>1568</v>
      </c>
      <c r="B35" s="3" t="s">
        <v>276</v>
      </c>
      <c r="C35" s="3" t="s">
        <v>277</v>
      </c>
      <c r="D35" s="3" t="s">
        <v>278</v>
      </c>
      <c r="E35" s="3" t="s">
        <v>279</v>
      </c>
      <c r="F35" s="3" t="s">
        <v>280</v>
      </c>
      <c r="G35" s="3" t="s">
        <v>281</v>
      </c>
      <c r="H35" s="3" t="s">
        <v>282</v>
      </c>
      <c r="N35" s="3" t="s">
        <v>1416</v>
      </c>
      <c r="O35" s="7">
        <f>(O27*K22*K24+O29*(K22*K23+K24^2)+O28*K24*K23)</f>
        <v>-496.24626834589242</v>
      </c>
      <c r="P35" s="7">
        <f>(P27*L22*L24+P29*(L22*L23+L24^2)+P28*L24*L23)</f>
        <v>172.97939838183345</v>
      </c>
      <c r="Q35" s="4">
        <f t="shared" si="11"/>
        <v>-0.34857571616289468</v>
      </c>
      <c r="R35" s="3">
        <v>2</v>
      </c>
      <c r="S35" s="5">
        <f>(($L$22-$L$24)/2*$P$10+($L$24-$L$23)/2*$P$11)/1000000</f>
        <v>-8.818186062532839E-6</v>
      </c>
      <c r="T35" s="5">
        <f>($L$22-$L$24)/2*$P$13+($L$24-$L$23)/2*$P$14</f>
        <v>-0.23812177927895384</v>
      </c>
      <c r="U35" s="5">
        <f>S34-S35*W31</f>
        <v>1.4317781490163992E-5</v>
      </c>
      <c r="V35" s="5">
        <f>T34-T35*W31</f>
        <v>0.37744079043917755</v>
      </c>
      <c r="W35" s="5">
        <f>(U34*U25+U35*U24+U36*U28)*1000000</f>
        <v>1.0383670788517658</v>
      </c>
      <c r="X35" s="5">
        <f>(V34*U25+V35*U24+V36*U28)</f>
        <v>2.7180615983588043E-2</v>
      </c>
      <c r="AE35" s="2"/>
      <c r="AF35" s="16"/>
      <c r="AG35" s="26"/>
      <c r="AH35" s="22"/>
      <c r="AI35" s="22"/>
      <c r="AJ35" s="22"/>
      <c r="AK35" s="22"/>
    </row>
    <row r="36" spans="1:37">
      <c r="A36" s="1" t="s">
        <v>1591</v>
      </c>
      <c r="B36" s="1" t="s">
        <v>1592</v>
      </c>
      <c r="C36" s="1" t="s">
        <v>1537</v>
      </c>
      <c r="D36" s="1" t="s">
        <v>1539</v>
      </c>
      <c r="E36" s="3" t="s">
        <v>295</v>
      </c>
      <c r="F36" s="3" t="s">
        <v>283</v>
      </c>
      <c r="G36" s="3" t="s">
        <v>284</v>
      </c>
      <c r="H36" s="3" t="s">
        <v>285</v>
      </c>
      <c r="J36" s="3" t="s">
        <v>1193</v>
      </c>
      <c r="K36" s="4">
        <f>$D$29</f>
        <v>1.6</v>
      </c>
      <c r="L36" s="4">
        <f>L37*(1-$L$11)+L38*$L$11</f>
        <v>1.6</v>
      </c>
      <c r="M36" s="4">
        <f>L36/K36</f>
        <v>1</v>
      </c>
      <c r="N36" s="3" t="s">
        <v>1418</v>
      </c>
      <c r="O36" s="7">
        <f>O30*K25^2</f>
        <v>1665.9725114535606</v>
      </c>
      <c r="P36" s="7">
        <f>P30*L25^2</f>
        <v>1665.9725114535606</v>
      </c>
      <c r="Q36" s="4">
        <f t="shared" si="11"/>
        <v>1</v>
      </c>
      <c r="R36" s="3">
        <v>6</v>
      </c>
      <c r="S36" s="6" t="s">
        <v>1419</v>
      </c>
      <c r="T36" s="6" t="s">
        <v>1420</v>
      </c>
      <c r="U36" s="5">
        <f>S35*W32</f>
        <v>-4.8950766010263041E-22</v>
      </c>
      <c r="V36" s="5">
        <f>T35*W32</f>
        <v>-1.3218414101010203E-17</v>
      </c>
      <c r="W36" s="5">
        <f>(U34*U27+U35*U28+U36*U26)*1000000</f>
        <v>-5.5608895504525411E-16</v>
      </c>
      <c r="X36" s="5">
        <f>(V34*U27+V35*U28+V36*U26)</f>
        <v>-1.4869055800620325E-17</v>
      </c>
      <c r="AE36" s="2"/>
      <c r="AF36" s="16"/>
      <c r="AG36" s="26"/>
      <c r="AH36" s="22"/>
      <c r="AI36" s="22"/>
      <c r="AJ36" s="22"/>
      <c r="AK36" s="16" t="s">
        <v>1421</v>
      </c>
    </row>
    <row r="37" spans="1:37">
      <c r="A37" s="1" t="s">
        <v>286</v>
      </c>
      <c r="B37" s="1" t="s">
        <v>287</v>
      </c>
      <c r="C37" s="3" t="s">
        <v>288</v>
      </c>
      <c r="D37" s="3" t="s">
        <v>289</v>
      </c>
      <c r="E37" s="3" t="s">
        <v>290</v>
      </c>
      <c r="J37" s="3" t="s">
        <v>274</v>
      </c>
      <c r="K37" s="4">
        <f>$F$28</f>
        <v>1.2</v>
      </c>
      <c r="L37" s="4">
        <f>K37</f>
        <v>1.2</v>
      </c>
      <c r="M37" s="4">
        <f>L37/K37</f>
        <v>1</v>
      </c>
      <c r="N37" s="3" t="s">
        <v>1422</v>
      </c>
      <c r="O37" s="7">
        <f>(O31*K22+O32*K24)</f>
        <v>2.2466193342145733</v>
      </c>
      <c r="P37" s="7">
        <f>(P31*L22+P32*L24)</f>
        <v>7.0589917094828847</v>
      </c>
      <c r="Q37" s="4">
        <f t="shared" si="11"/>
        <v>3.1420506366961964</v>
      </c>
      <c r="R37" s="3">
        <v>1</v>
      </c>
      <c r="S37" s="5">
        <f>$P$7*U34+$P$3*V34</f>
        <v>-1.0073283919225435E-3</v>
      </c>
      <c r="T37" s="5">
        <f>$P$7*W34/1000000+$P$3*X34</f>
        <v>-2.6665265458379562E-4</v>
      </c>
      <c r="U37" s="6" t="s">
        <v>1423</v>
      </c>
      <c r="V37" s="5">
        <f>$P$7*$P$10/1000000+$P$3*$P$13</f>
        <v>-3.6000000000000003E-6</v>
      </c>
      <c r="AE37" s="2"/>
      <c r="AF37" s="3" t="s">
        <v>1424</v>
      </c>
      <c r="AG37" s="82">
        <f>(AG33^2-AG30/AG14)^0.5-AG33</f>
        <v>5.3743575028066372E-3</v>
      </c>
      <c r="AH37" s="11">
        <f>(AH33^2-AH30/AH14)^0.5-AH33</f>
        <v>5.7678210390430546E-3</v>
      </c>
      <c r="AI37" s="11">
        <f>(AI33^2-AI30/AI14)^0.5-AI33</f>
        <v>5.6595826230448482E-3</v>
      </c>
      <c r="AJ37" s="11">
        <f>(AJ33^2-AJ30/AJ14)^0.5-AJ33</f>
        <v>5.6595826230448499E-3</v>
      </c>
      <c r="AK37" s="82">
        <f>MIN(AG38:AJ38)</f>
        <v>5.3743575028066372E-3</v>
      </c>
    </row>
    <row r="38" spans="1:37">
      <c r="J38" s="3" t="s">
        <v>1195</v>
      </c>
      <c r="K38" s="4">
        <f>(K36-K37*(1-$K$11))/$K$11</f>
        <v>1.9017543859649126</v>
      </c>
      <c r="L38" s="4">
        <f>K38</f>
        <v>1.9017543859649126</v>
      </c>
      <c r="M38" s="4">
        <f>L38/K38</f>
        <v>1</v>
      </c>
      <c r="N38" s="3" t="s">
        <v>1426</v>
      </c>
      <c r="O38" s="7">
        <f>(O31*K24+O32*K23)</f>
        <v>37.312987881458291</v>
      </c>
      <c r="P38" s="7">
        <f>(P31*L24+P32*L23)</f>
        <v>37.512096089342066</v>
      </c>
      <c r="Q38" s="4">
        <f t="shared" si="11"/>
        <v>1.0053361636038458</v>
      </c>
      <c r="R38" s="3">
        <v>2</v>
      </c>
      <c r="S38" s="5">
        <f>$P$7*U35+$P$3*V35</f>
        <v>-6.8999671603363084E-4</v>
      </c>
      <c r="T38" s="5">
        <f>$P$7*W35/1000000+$P$3*X35</f>
        <v>-5.1002994275377604E-5</v>
      </c>
      <c r="U38" s="6" t="s">
        <v>1427</v>
      </c>
      <c r="V38" s="5">
        <f>$P$7*$P$11/1000000+$P$3*$P$14</f>
        <v>-1.0499999999999997E-3</v>
      </c>
      <c r="AE38" s="2"/>
      <c r="AF38" s="3"/>
      <c r="AG38" s="11">
        <f>IF(AG3=0,1000000000,AG37)</f>
        <v>5.3743575028066372E-3</v>
      </c>
      <c r="AH38" s="11">
        <f>IF(AH3=0,1000000000,AH37)</f>
        <v>5.7678210390430546E-3</v>
      </c>
      <c r="AI38" s="11">
        <f>IF(AI3=0,1000000000,AI37)</f>
        <v>5.6595826230448482E-3</v>
      </c>
      <c r="AJ38" s="11">
        <f>IF(AJ3=0,1000000000,AJ37)</f>
        <v>5.6595826230448499E-3</v>
      </c>
    </row>
    <row r="39" spans="1:37">
      <c r="L39" s="2" t="s">
        <v>234</v>
      </c>
      <c r="R39" s="3">
        <v>6</v>
      </c>
      <c r="S39" s="5">
        <f>$P$7*U36+$P$3*V36</f>
        <v>2.2019308313422459E-20</v>
      </c>
      <c r="T39" s="5">
        <f>$P$7*W36/1000000+$P$3*X36</f>
        <v>2.5750732905044108E-20</v>
      </c>
      <c r="U39" s="6" t="s">
        <v>1429</v>
      </c>
      <c r="V39" s="5">
        <f>0</f>
        <v>0</v>
      </c>
      <c r="AE39" s="2"/>
      <c r="AG39" s="11">
        <f>IF(AG3=0,0,AG37)</f>
        <v>5.3743575028066372E-3</v>
      </c>
      <c r="AH39" s="11">
        <f>IF(AH3=0,0,AH37)</f>
        <v>5.7678210390430546E-3</v>
      </c>
      <c r="AI39" s="11">
        <f>IF(AI3=0,0,AI37)</f>
        <v>5.6595826230448482E-3</v>
      </c>
      <c r="AJ39" s="11">
        <f>IF(AJ3=0,0,AJ37)</f>
        <v>5.6595826230448499E-3</v>
      </c>
    </row>
    <row r="40" spans="1:37">
      <c r="J40" s="1" t="s">
        <v>291</v>
      </c>
      <c r="K40" s="3"/>
      <c r="L40" s="3"/>
      <c r="N40" s="2" t="s">
        <v>1616</v>
      </c>
      <c r="P40" s="4"/>
      <c r="R40" s="2" t="s">
        <v>1430</v>
      </c>
      <c r="Y40" s="2" t="s">
        <v>529</v>
      </c>
      <c r="AE40" s="7"/>
      <c r="AF40" s="2" t="s">
        <v>530</v>
      </c>
    </row>
    <row r="41" spans="1:37">
      <c r="J41" s="1" t="str">
        <f>$A$27</f>
        <v>T800S/3900[Eng]</v>
      </c>
      <c r="K41" s="1"/>
      <c r="L41" s="3"/>
      <c r="N41" s="3" t="s">
        <v>596</v>
      </c>
      <c r="O41" s="7">
        <f>O2</f>
        <v>71.599999999999994</v>
      </c>
      <c r="P41" s="7">
        <f>$B$17</f>
        <v>71.599999999999994</v>
      </c>
      <c r="Q41" s="8">
        <f t="shared" ref="Q41:Q46" si="12">P41/O41</f>
        <v>1</v>
      </c>
      <c r="R41" s="1"/>
      <c r="X41" s="6"/>
      <c r="Y41" s="3" t="s">
        <v>531</v>
      </c>
      <c r="Z41" s="13">
        <f t="shared" ref="Z41:AC43" si="13">S43</f>
        <v>0</v>
      </c>
      <c r="AA41" s="13">
        <f t="shared" si="13"/>
        <v>90</v>
      </c>
      <c r="AB41" s="13">
        <f t="shared" si="13"/>
        <v>60</v>
      </c>
      <c r="AC41" s="13">
        <f t="shared" si="13"/>
        <v>-60</v>
      </c>
      <c r="AD41" s="13" t="s">
        <v>532</v>
      </c>
      <c r="AE41" s="13" t="s">
        <v>533</v>
      </c>
      <c r="AF41" s="3" t="s">
        <v>531</v>
      </c>
      <c r="AG41" s="9">
        <f t="shared" ref="AG41:AJ43" si="14">Z41</f>
        <v>0</v>
      </c>
      <c r="AH41" s="9">
        <f t="shared" si="14"/>
        <v>90</v>
      </c>
      <c r="AI41" s="9">
        <f t="shared" si="14"/>
        <v>60</v>
      </c>
      <c r="AJ41" s="9">
        <f t="shared" si="14"/>
        <v>-60</v>
      </c>
    </row>
    <row r="42" spans="1:37">
      <c r="J42" s="3"/>
      <c r="K42" s="3"/>
      <c r="L42" s="3"/>
      <c r="N42" s="3" t="s">
        <v>600</v>
      </c>
      <c r="O42" s="11">
        <f>O3</f>
        <v>5.0000000000000001E-3</v>
      </c>
      <c r="P42" s="11">
        <f>$C$17</f>
        <v>5.0000000000000001E-3</v>
      </c>
      <c r="Q42" s="8">
        <f t="shared" si="12"/>
        <v>1</v>
      </c>
      <c r="R42" s="3" t="s">
        <v>535</v>
      </c>
      <c r="S42" s="6" t="s">
        <v>1562</v>
      </c>
      <c r="T42" s="6" t="s">
        <v>1563</v>
      </c>
      <c r="U42" s="6" t="s">
        <v>1564</v>
      </c>
      <c r="V42" s="6" t="s">
        <v>1565</v>
      </c>
      <c r="W42" s="6"/>
      <c r="X42" s="6"/>
      <c r="Y42" s="3" t="s">
        <v>536</v>
      </c>
      <c r="Z42" s="13">
        <f t="shared" si="13"/>
        <v>1</v>
      </c>
      <c r="AA42" s="13">
        <f t="shared" si="13"/>
        <v>2</v>
      </c>
      <c r="AB42" s="13">
        <f t="shared" si="13"/>
        <v>1</v>
      </c>
      <c r="AC42" s="13">
        <f t="shared" si="13"/>
        <v>1</v>
      </c>
      <c r="AD42" s="13">
        <f>W44</f>
        <v>10</v>
      </c>
      <c r="AE42" s="13">
        <f>X44</f>
        <v>0</v>
      </c>
      <c r="AF42" s="3" t="s">
        <v>536</v>
      </c>
      <c r="AG42" s="9">
        <f t="shared" si="14"/>
        <v>1</v>
      </c>
      <c r="AH42" s="9">
        <f t="shared" si="14"/>
        <v>2</v>
      </c>
      <c r="AI42" s="9">
        <f t="shared" si="14"/>
        <v>1</v>
      </c>
      <c r="AJ42" s="9">
        <f t="shared" si="14"/>
        <v>1</v>
      </c>
    </row>
    <row r="43" spans="1:37">
      <c r="J43" s="3" t="s">
        <v>1553</v>
      </c>
      <c r="K43" s="3" t="s">
        <v>1554</v>
      </c>
      <c r="L43" s="3" t="s">
        <v>1555</v>
      </c>
      <c r="M43" s="13" t="s">
        <v>1556</v>
      </c>
      <c r="N43" s="3" t="s">
        <v>1557</v>
      </c>
      <c r="O43" s="7">
        <f>$G$27</f>
        <v>251.6</v>
      </c>
      <c r="P43" s="7">
        <f>O43</f>
        <v>251.6</v>
      </c>
      <c r="Q43" s="8">
        <f t="shared" si="12"/>
        <v>1</v>
      </c>
      <c r="R43" s="3" t="s">
        <v>537</v>
      </c>
      <c r="S43" s="14">
        <f>S4</f>
        <v>0</v>
      </c>
      <c r="T43" s="14">
        <f>T4</f>
        <v>90</v>
      </c>
      <c r="U43" s="14">
        <f>U4</f>
        <v>60</v>
      </c>
      <c r="V43" s="14">
        <f>V4</f>
        <v>-60</v>
      </c>
      <c r="W43" s="6" t="s">
        <v>1432</v>
      </c>
      <c r="X43" s="6"/>
      <c r="Y43" s="3" t="s">
        <v>539</v>
      </c>
      <c r="Z43" s="13">
        <f t="shared" si="13"/>
        <v>0</v>
      </c>
      <c r="AA43" s="13">
        <f t="shared" si="13"/>
        <v>3.1415926535897931</v>
      </c>
      <c r="AB43" s="13">
        <f t="shared" si="13"/>
        <v>2.0943951023931953</v>
      </c>
      <c r="AC43" s="13">
        <f t="shared" si="13"/>
        <v>-2.0943951023931953</v>
      </c>
      <c r="AD43" s="13" t="s">
        <v>603</v>
      </c>
      <c r="AE43" s="4">
        <f>$W$12</f>
        <v>0.24625</v>
      </c>
      <c r="AF43" s="3" t="s">
        <v>539</v>
      </c>
      <c r="AG43" s="9">
        <f t="shared" si="14"/>
        <v>0</v>
      </c>
      <c r="AH43" s="9">
        <f t="shared" si="14"/>
        <v>3.1415926535897931</v>
      </c>
      <c r="AI43" s="9">
        <f t="shared" si="14"/>
        <v>2.0943951023931953</v>
      </c>
      <c r="AJ43" s="9">
        <f t="shared" si="14"/>
        <v>-2.0943951023931953</v>
      </c>
    </row>
    <row r="44" spans="1:37">
      <c r="J44" s="3" t="s">
        <v>1577</v>
      </c>
      <c r="K44" s="4">
        <f>$B$27</f>
        <v>21.571428571428573</v>
      </c>
      <c r="L44" s="4">
        <f>L51*L50</f>
        <v>11.399999999999999</v>
      </c>
      <c r="M44" s="8">
        <f>L44/K44</f>
        <v>0.52847682119205286</v>
      </c>
      <c r="N44" s="3" t="s">
        <v>299</v>
      </c>
      <c r="O44" s="7">
        <f>$H$27</f>
        <v>320</v>
      </c>
      <c r="P44" s="7">
        <f>O44-$H$30*(P42-O42)</f>
        <v>320</v>
      </c>
      <c r="Q44" s="8">
        <f t="shared" si="12"/>
        <v>1</v>
      </c>
      <c r="R44" s="3" t="s">
        <v>541</v>
      </c>
      <c r="S44" s="14">
        <f>B4</f>
        <v>1</v>
      </c>
      <c r="T44" s="14">
        <f>C4</f>
        <v>2</v>
      </c>
      <c r="U44" s="14">
        <f>D4</f>
        <v>1</v>
      </c>
      <c r="V44" s="14">
        <f>E4</f>
        <v>1</v>
      </c>
      <c r="W44" s="15">
        <f>F4</f>
        <v>10</v>
      </c>
      <c r="X44" s="9"/>
      <c r="Y44" s="3"/>
      <c r="Z44" s="4"/>
      <c r="AA44" s="4"/>
      <c r="AB44" s="4"/>
      <c r="AC44" s="4"/>
      <c r="AD44" s="13"/>
      <c r="AE44" s="4"/>
    </row>
    <row r="45" spans="1:37">
      <c r="J45" s="3" t="s">
        <v>1578</v>
      </c>
      <c r="K45" s="4">
        <f>$C$27</f>
        <v>1.1714285714285713</v>
      </c>
      <c r="L45" s="4">
        <f>(1+L54)/(1/L55+L54/L52)</f>
        <v>0.24455055722907723</v>
      </c>
      <c r="M45" s="8">
        <f>L45/K45</f>
        <v>0.20876267080530986</v>
      </c>
      <c r="N45" s="3" t="s">
        <v>1580</v>
      </c>
      <c r="O45" s="4">
        <f>(O44-O41)/(O44-O41)</f>
        <v>1</v>
      </c>
      <c r="P45" s="4">
        <f>(P44-P41)/(P44-O41)</f>
        <v>1</v>
      </c>
      <c r="Q45" s="8">
        <f t="shared" si="12"/>
        <v>1</v>
      </c>
      <c r="R45" s="3" t="s">
        <v>1295</v>
      </c>
      <c r="S45" s="8">
        <f>S43*PI()/90</f>
        <v>0</v>
      </c>
      <c r="T45" s="8">
        <f>T43*PI()/90</f>
        <v>3.1415926535897931</v>
      </c>
      <c r="U45" s="8">
        <f>U43*PI()/90</f>
        <v>2.0943951023931953</v>
      </c>
      <c r="V45" s="8">
        <f>V43*PI()/90</f>
        <v>-2.0943951023931953</v>
      </c>
      <c r="W45" s="6" t="s">
        <v>1433</v>
      </c>
      <c r="X45" s="16"/>
      <c r="Y45" s="1" t="s">
        <v>1434</v>
      </c>
      <c r="Z45" s="13"/>
      <c r="AA45" s="13"/>
      <c r="AB45" s="4"/>
      <c r="AC45" s="4"/>
      <c r="AD45" s="4"/>
      <c r="AE45" s="4"/>
      <c r="AF45" s="1" t="s">
        <v>1298</v>
      </c>
      <c r="AK45" s="3" t="s">
        <v>1299</v>
      </c>
    </row>
    <row r="46" spans="1:37">
      <c r="J46" s="3" t="s">
        <v>259</v>
      </c>
      <c r="K46" s="4">
        <f>$D$27</f>
        <v>0.33</v>
      </c>
      <c r="L46" s="4">
        <f>K46*I17</f>
        <v>4.9500000000000002E-2</v>
      </c>
      <c r="M46" s="8">
        <f>L46/K46</f>
        <v>0.15</v>
      </c>
      <c r="N46" s="3" t="s">
        <v>260</v>
      </c>
      <c r="O46" s="7">
        <f>O41-O43</f>
        <v>-180</v>
      </c>
      <c r="P46" s="7">
        <f>P41-P43</f>
        <v>-180</v>
      </c>
      <c r="Q46" s="8">
        <f t="shared" si="12"/>
        <v>1</v>
      </c>
      <c r="R46" s="3" t="s">
        <v>1300</v>
      </c>
      <c r="S46" s="8">
        <f>2*S45</f>
        <v>0</v>
      </c>
      <c r="T46" s="8">
        <f>2*T45</f>
        <v>6.2831853071795862</v>
      </c>
      <c r="U46" s="8">
        <f>2*U45</f>
        <v>4.1887902047863905</v>
      </c>
      <c r="V46" s="8">
        <f>2*V45</f>
        <v>-4.1887902047863905</v>
      </c>
      <c r="W46" s="9">
        <f>G4/W44</f>
        <v>5</v>
      </c>
      <c r="X46" s="9"/>
      <c r="Y46" s="3"/>
      <c r="Z46" s="10" t="s">
        <v>1657</v>
      </c>
      <c r="AA46" s="13"/>
      <c r="AB46" s="13" t="s">
        <v>213</v>
      </c>
      <c r="AC46" s="13"/>
      <c r="AD46" s="13" t="s">
        <v>1303</v>
      </c>
      <c r="AE46" s="13" t="s">
        <v>1304</v>
      </c>
      <c r="AF46" s="3" t="s">
        <v>1305</v>
      </c>
      <c r="AG46" s="22">
        <f t="shared" ref="AG46:AJ48" si="15">Z52/1000</f>
        <v>2.5262089694678518</v>
      </c>
      <c r="AH46" s="22">
        <f t="shared" si="15"/>
        <v>2.1338708858496513</v>
      </c>
      <c r="AI46" s="22">
        <f t="shared" si="15"/>
        <v>2.2319554067542011</v>
      </c>
      <c r="AJ46" s="22">
        <f t="shared" si="15"/>
        <v>2.2319554067542011</v>
      </c>
      <c r="AK46" s="22">
        <f>($T$87+$T$88)/2</f>
        <v>-3.8234711731356604E-5</v>
      </c>
    </row>
    <row r="47" spans="1:37">
      <c r="J47" s="3" t="s">
        <v>267</v>
      </c>
      <c r="K47" s="4">
        <f>$E$27</f>
        <v>0.5714285714285714</v>
      </c>
      <c r="L47" s="4">
        <f>(1+L57)/(1/L58+L57*2.7/L52)</f>
        <v>0.12854731362274566</v>
      </c>
      <c r="M47" s="8">
        <f>L47/K47</f>
        <v>0.22495779883980491</v>
      </c>
      <c r="N47" s="3"/>
      <c r="O47" s="4"/>
      <c r="P47" s="4"/>
      <c r="Q47" s="4"/>
      <c r="R47" s="2" t="s">
        <v>1658</v>
      </c>
      <c r="S47" s="8" t="str">
        <f>IF(B4=0,$I25,IF(S51&gt;0,$G25,$H25))</f>
        <v>yes</v>
      </c>
      <c r="T47" s="8" t="str">
        <f>IF(C4=0,$I25,IF(T51&gt;0,$G25,$H25))</f>
        <v>yes</v>
      </c>
      <c r="U47" s="8" t="str">
        <f>IF(D4=0,$I25,IF(U51&gt;0,$G25,$H25))</f>
        <v>yes</v>
      </c>
      <c r="V47" s="8" t="str">
        <f>IF(E4=0,$I25,IF(V51&gt;0,$G25,$H25))</f>
        <v>yes</v>
      </c>
      <c r="W47" s="6"/>
      <c r="X47" s="6"/>
      <c r="Y47" s="3">
        <v>1</v>
      </c>
      <c r="Z47" s="4">
        <f>Z8</f>
        <v>2160</v>
      </c>
      <c r="AA47" s="4"/>
      <c r="AB47" s="4">
        <f>Z47*S62+Z48*S64+Z49*S66</f>
        <v>2526.2089694678516</v>
      </c>
      <c r="AC47" s="4"/>
      <c r="AD47" s="13" t="s">
        <v>1306</v>
      </c>
      <c r="AE47" s="4">
        <f>(AB47+AB48)/2</f>
        <v>2330.0399276587514</v>
      </c>
      <c r="AF47" s="3" t="s">
        <v>1307</v>
      </c>
      <c r="AG47" s="22">
        <f t="shared" si="15"/>
        <v>2.1338708858496513</v>
      </c>
      <c r="AH47" s="22">
        <f t="shared" si="15"/>
        <v>2.5262089694678518</v>
      </c>
      <c r="AI47" s="22">
        <f t="shared" si="15"/>
        <v>2.4281244485633016</v>
      </c>
      <c r="AJ47" s="22">
        <f t="shared" si="15"/>
        <v>2.4281244485633016</v>
      </c>
      <c r="AK47" s="22">
        <f>($T$87-$T$88)/2</f>
        <v>-3.0384149237212238E-5</v>
      </c>
    </row>
    <row r="48" spans="1:37">
      <c r="J48" s="3" t="s">
        <v>276</v>
      </c>
      <c r="K48" s="7">
        <f>$B$29</f>
        <v>4925</v>
      </c>
      <c r="L48" s="7">
        <f>K48/M50</f>
        <v>4925</v>
      </c>
      <c r="M48" s="8">
        <f>L48/K48</f>
        <v>1</v>
      </c>
      <c r="N48" s="1" t="s">
        <v>1629</v>
      </c>
      <c r="O48" s="4"/>
      <c r="P48" s="4"/>
      <c r="Q48" s="4"/>
      <c r="R48" s="3" t="s">
        <v>1308</v>
      </c>
      <c r="S48" s="8">
        <v>1</v>
      </c>
      <c r="T48" s="8">
        <f>S49</f>
        <v>0.8</v>
      </c>
      <c r="U48" s="8">
        <f>T49</f>
        <v>0.4</v>
      </c>
      <c r="V48" s="8">
        <f>U49</f>
        <v>0.2</v>
      </c>
      <c r="W48" s="20"/>
      <c r="X48" s="6"/>
      <c r="Y48" s="3">
        <v>2</v>
      </c>
      <c r="Z48" s="4">
        <f>Z9</f>
        <v>4320</v>
      </c>
      <c r="AA48" s="4"/>
      <c r="AB48" s="4">
        <f>Z47*S64+Z48*S63+Z49*S67</f>
        <v>2133.8708858496516</v>
      </c>
      <c r="AC48" s="4"/>
      <c r="AD48" s="13" t="s">
        <v>1309</v>
      </c>
      <c r="AE48" s="4">
        <f>(AB47-AB48)/2</f>
        <v>196.16904180910001</v>
      </c>
      <c r="AF48" s="3" t="s">
        <v>1310</v>
      </c>
      <c r="AG48" s="22">
        <f t="shared" si="15"/>
        <v>-4.9275891250250783E-16</v>
      </c>
      <c r="AH48" s="22">
        <f t="shared" si="15"/>
        <v>4.4469167280784314E-16</v>
      </c>
      <c r="AI48" s="22">
        <f t="shared" si="15"/>
        <v>-0.33977474728546436</v>
      </c>
      <c r="AJ48" s="22">
        <f t="shared" si="15"/>
        <v>0.33977474728546481</v>
      </c>
      <c r="AK48" s="22">
        <f>$T$89/2</f>
        <v>9.0643596639335679E-22</v>
      </c>
    </row>
    <row r="49" spans="10:37">
      <c r="J49" s="1" t="s">
        <v>264</v>
      </c>
      <c r="K49" s="4"/>
      <c r="L49" s="4"/>
      <c r="N49" s="3" t="s">
        <v>265</v>
      </c>
      <c r="O49" s="4">
        <f>$A$30</f>
        <v>0.02</v>
      </c>
      <c r="P49" s="4">
        <f>O49</f>
        <v>0.02</v>
      </c>
      <c r="Q49" s="4">
        <f>P49/O49</f>
        <v>1</v>
      </c>
      <c r="R49" s="3" t="s">
        <v>1311</v>
      </c>
      <c r="S49" s="8">
        <f>S48-S44/$W$46</f>
        <v>0.8</v>
      </c>
      <c r="T49" s="8">
        <f>T48-T44/$W$46</f>
        <v>0.4</v>
      </c>
      <c r="U49" s="8">
        <f>U48-U44/$W$46</f>
        <v>0.2</v>
      </c>
      <c r="V49" s="8">
        <f>V48-V44/$W$46</f>
        <v>0</v>
      </c>
      <c r="Y49" s="3">
        <v>6</v>
      </c>
      <c r="Z49" s="4">
        <f>Z10</f>
        <v>0</v>
      </c>
      <c r="AA49" s="4"/>
      <c r="AB49" s="4">
        <f>Z47*S66+Z48*S67+Z49*S65</f>
        <v>-4.9275891250250779E-13</v>
      </c>
      <c r="AC49" s="4"/>
      <c r="AD49" s="13" t="s">
        <v>1312</v>
      </c>
      <c r="AE49" s="4">
        <f>AB49/2</f>
        <v>-2.4637945625125389E-13</v>
      </c>
      <c r="AF49" s="3"/>
      <c r="AG49" s="22"/>
      <c r="AH49" s="22"/>
      <c r="AI49" s="22"/>
      <c r="AJ49" s="22"/>
      <c r="AK49" s="22"/>
    </row>
    <row r="50" spans="10:37">
      <c r="J50" s="3" t="s">
        <v>1532</v>
      </c>
      <c r="K50" s="4">
        <f>$C$29</f>
        <v>0.56999999999999995</v>
      </c>
      <c r="L50" s="4">
        <f>$D$17</f>
        <v>0.56999999999999995</v>
      </c>
      <c r="M50" s="8">
        <f t="shared" ref="M50:M58" si="16">L50/K50</f>
        <v>1</v>
      </c>
      <c r="N50" s="3" t="s">
        <v>1533</v>
      </c>
      <c r="O50" s="4">
        <f>$B$30</f>
        <v>22.5</v>
      </c>
      <c r="P50" s="4">
        <f>O50*(1-L50)/(1-K50)</f>
        <v>22.5</v>
      </c>
      <c r="Q50" s="4">
        <f>P50/O50</f>
        <v>1</v>
      </c>
      <c r="R50" s="3" t="s">
        <v>1321</v>
      </c>
      <c r="S50" s="8">
        <f>S48-S49</f>
        <v>0.19999999999999996</v>
      </c>
      <c r="T50" s="8">
        <f>T48-T49</f>
        <v>0.4</v>
      </c>
      <c r="U50" s="8">
        <f>U48-U49</f>
        <v>0.2</v>
      </c>
      <c r="V50" s="8">
        <f>V48-V49</f>
        <v>0.2</v>
      </c>
      <c r="W50" s="6" t="s">
        <v>540</v>
      </c>
      <c r="X50" s="6"/>
      <c r="Z50" s="4"/>
      <c r="AA50" s="4"/>
      <c r="AB50" s="4"/>
      <c r="AC50" s="4"/>
      <c r="AD50" s="13"/>
      <c r="AE50" s="4"/>
      <c r="AF50" s="3"/>
      <c r="AG50" s="22"/>
      <c r="AH50" s="22"/>
      <c r="AI50" s="22"/>
      <c r="AJ50" s="22"/>
      <c r="AK50" s="22"/>
    </row>
    <row r="51" spans="10:37">
      <c r="J51" s="3" t="s">
        <v>1534</v>
      </c>
      <c r="K51" s="7">
        <f>K44/K50</f>
        <v>37.844611528822064</v>
      </c>
      <c r="L51" s="7">
        <f>$F$17*P45^$F$30</f>
        <v>20</v>
      </c>
      <c r="M51" s="8">
        <f t="shared" si="16"/>
        <v>0.52847682119205286</v>
      </c>
      <c r="N51" s="2" t="s">
        <v>1535</v>
      </c>
      <c r="O51" s="4"/>
      <c r="P51" s="4"/>
      <c r="Q51" s="4"/>
      <c r="R51" s="1" t="s">
        <v>1456</v>
      </c>
      <c r="S51" s="8">
        <f>Z17</f>
        <v>2012.6638868040268</v>
      </c>
      <c r="T51" s="8">
        <f>AA17</f>
        <v>1831.5640101487572</v>
      </c>
      <c r="U51" s="8">
        <f>AB17</f>
        <v>1876.838979312575</v>
      </c>
      <c r="V51" s="8">
        <f>AC17</f>
        <v>1876.8389793125746</v>
      </c>
      <c r="W51" s="11">
        <f>H4/1000</f>
        <v>0.24625</v>
      </c>
      <c r="Y51" s="1" t="s">
        <v>1639</v>
      </c>
      <c r="Z51" s="4"/>
      <c r="AA51" s="4"/>
      <c r="AB51" s="4"/>
      <c r="AC51" s="4"/>
      <c r="AD51" s="13"/>
      <c r="AE51" s="4"/>
      <c r="AF51" s="3"/>
      <c r="AG51" s="22"/>
      <c r="AH51" s="22"/>
      <c r="AI51" s="22"/>
      <c r="AJ51" s="22"/>
      <c r="AK51" s="22"/>
    </row>
    <row r="52" spans="10:37">
      <c r="J52" s="3" t="s">
        <v>1536</v>
      </c>
      <c r="K52" s="4">
        <f>$F$27</f>
        <v>0.49346879535559002</v>
      </c>
      <c r="L52" s="4">
        <f>$E$17*$I$17*P45^$F$29</f>
        <v>7.4020319303338494E-2</v>
      </c>
      <c r="M52" s="8">
        <f t="shared" si="16"/>
        <v>0.15</v>
      </c>
      <c r="N52" s="3" t="s">
        <v>1537</v>
      </c>
      <c r="O52" s="4">
        <f>$C$30</f>
        <v>0</v>
      </c>
      <c r="P52" s="4">
        <f>O52</f>
        <v>0</v>
      </c>
      <c r="Q52" s="4">
        <v>1</v>
      </c>
      <c r="R52" s="1" t="s">
        <v>1457</v>
      </c>
      <c r="S52" s="8">
        <f>Z56</f>
        <v>2133.8719279990887</v>
      </c>
      <c r="T52" s="8">
        <f>AA56</f>
        <v>2526.2099508489905</v>
      </c>
      <c r="U52" s="8">
        <f>AB56</f>
        <v>2428.1254451365153</v>
      </c>
      <c r="V52" s="8">
        <f>AC56</f>
        <v>2428.1254451365153</v>
      </c>
      <c r="Y52" s="3" t="s">
        <v>1324</v>
      </c>
      <c r="Z52" s="4">
        <f>$AE$47+$AE$48*COS(Z43)+$AE$49*SIN(Z43)</f>
        <v>2526.2089694678516</v>
      </c>
      <c r="AA52" s="4">
        <f>$AE$47+$AE$48*COS(AA43)+$AE$49*SIN(AA43)</f>
        <v>2133.8708858496511</v>
      </c>
      <c r="AB52" s="4">
        <f>$AE$47+$AE$48*COS(AB43)+$AE$49*SIN(AB43)</f>
        <v>2231.9554067542012</v>
      </c>
      <c r="AC52" s="4">
        <f>$AE$47+$AE$48*COS(AC43)+$AE$49*SIN(AC43)</f>
        <v>2231.9554067542012</v>
      </c>
      <c r="AD52" s="13"/>
      <c r="AE52" s="4"/>
      <c r="AF52" s="1"/>
      <c r="AG52" s="16"/>
      <c r="AH52" s="16"/>
      <c r="AI52" s="16"/>
      <c r="AJ52" s="16"/>
      <c r="AK52" s="22"/>
    </row>
    <row r="53" spans="10:37">
      <c r="J53" s="3" t="s">
        <v>1538</v>
      </c>
      <c r="K53" s="4">
        <f>E29</f>
        <v>0.52</v>
      </c>
      <c r="L53" s="4">
        <f>K53*P45^$G$29</f>
        <v>0.52</v>
      </c>
      <c r="M53" s="8">
        <f t="shared" si="16"/>
        <v>1</v>
      </c>
      <c r="N53" s="3" t="s">
        <v>1539</v>
      </c>
      <c r="O53" s="4">
        <f>$D$30</f>
        <v>0.6</v>
      </c>
      <c r="P53" s="4">
        <f>O53*(1-L50)/(1-K50)</f>
        <v>0.6</v>
      </c>
      <c r="Q53" s="4">
        <f>P53/O53</f>
        <v>1</v>
      </c>
      <c r="R53" s="3" t="s">
        <v>1325</v>
      </c>
      <c r="S53" s="6" t="s">
        <v>1326</v>
      </c>
      <c r="T53" s="6" t="s">
        <v>1327</v>
      </c>
      <c r="U53" s="6" t="s">
        <v>1328</v>
      </c>
      <c r="V53" s="6" t="s">
        <v>1329</v>
      </c>
      <c r="W53" s="6" t="s">
        <v>1330</v>
      </c>
      <c r="X53" s="6" t="s">
        <v>1331</v>
      </c>
      <c r="Y53" s="3" t="s">
        <v>1332</v>
      </c>
      <c r="Z53" s="4">
        <f>2*$AE$47-Z52</f>
        <v>2133.8708858496511</v>
      </c>
      <c r="AA53" s="4">
        <f>2*$AE$47-AA52</f>
        <v>2526.2089694678516</v>
      </c>
      <c r="AB53" s="4">
        <f>2*$AE$47-AB52</f>
        <v>2428.1244485633015</v>
      </c>
      <c r="AC53" s="4">
        <f>2*$AE$47-AC52</f>
        <v>2428.1244485633015</v>
      </c>
      <c r="AD53" s="4"/>
      <c r="AE53" s="4"/>
      <c r="AF53" s="3" t="s">
        <v>1333</v>
      </c>
      <c r="AG53" s="11">
        <f>IF(AG8&gt;0,$P$72*AG46^2+2*$P$74*AG46*AG47+$P$73*AG47^2+$P$75*AG48^2,$P$33*AG46^2+2*$P$35*AG46*AG47+$P$34*AG47^2+$P$36*AG48^2)</f>
        <v>4215.1883423496338</v>
      </c>
      <c r="AH53" s="11">
        <f>IF(AH8&gt;0,$P$72*AH46^2+2*$P$74*AH46*AH47+$P$73*AH47^2+$P$75*AH48^2,$P$33*AH46^2+2*$P$35*AH46*AH47+$P$34*AH47^2+$P$36*AH48^2)</f>
        <v>2911.9235858181128</v>
      </c>
      <c r="AI53" s="11">
        <f>IF(AI8&gt;0,$P$72*AI46^2+2*$P$74*AI46*AI47+$P$73*AI47^2+$P$75*AI48^2,$P$33*AI46^2+2*$P$35*AI46*AI47+$P$34*AI47^2+$P$36*AI48^2)</f>
        <v>3211.0708270066925</v>
      </c>
      <c r="AJ53" s="11">
        <f>IF(AJ8&gt;0,$P$72*AJ46^2+2*$P$74*AJ46*AJ47+$P$73*AJ47^2+$P$75*AJ48^2,$P$33*AJ46^2+2*$P$35*AJ46*AJ47+$P$34*AJ47^2+$P$36*AJ48^2)</f>
        <v>3211.0708270066925</v>
      </c>
      <c r="AK53" s="22"/>
    </row>
    <row r="54" spans="10:37">
      <c r="J54" s="3" t="s">
        <v>1547</v>
      </c>
      <c r="K54" s="4">
        <f>K53*(1-K50)/K50</f>
        <v>0.39228070175438606</v>
      </c>
      <c r="L54" s="4">
        <f>L53*(1-L50)/L50</f>
        <v>0.39228070175438606</v>
      </c>
      <c r="M54" s="8">
        <f t="shared" si="16"/>
        <v>1</v>
      </c>
      <c r="O54" s="4"/>
      <c r="P54" s="4"/>
      <c r="Q54" s="4"/>
      <c r="R54" s="3">
        <v>11</v>
      </c>
      <c r="S54" s="4">
        <f>IF(S51&gt;0,$L$66+$L$67*COS(S45)+$L$68*COS(S46),S15)</f>
        <v>11.400599241500352</v>
      </c>
      <c r="T54" s="4">
        <f>IF(T51&gt;0,$L$66+$L$67*COS(T45)+$L$68*COS(T46),T15)</f>
        <v>0.24456341203985077</v>
      </c>
      <c r="U54" s="4">
        <f>IF(U51&gt;0,$L$66+$L$67*COS(U45)+$L$68*COS(U46),U15)</f>
        <v>0.95105456541923783</v>
      </c>
      <c r="V54" s="4">
        <f>IF(V51&gt;0,$L$66+$L$67*COS(V45)+$L$68*COS(V46),V15)</f>
        <v>0.95105456541923783</v>
      </c>
      <c r="W54" s="5">
        <f t="shared" ref="W54:W59" si="17">($S$50*S54+$T$50*T54+$U$50*U54+$V$50*V54)*$W$51</f>
        <v>0.67924788342361242</v>
      </c>
      <c r="X54" s="4">
        <f t="shared" ref="X54:X59" si="18">W54/$W$51</f>
        <v>2.7583670392837054</v>
      </c>
      <c r="Y54" s="3" t="s">
        <v>1334</v>
      </c>
      <c r="Z54" s="4">
        <f>2*($AE$49*COS(Z43)-$AE$48*SIN(Z43))</f>
        <v>-4.9275891250250779E-13</v>
      </c>
      <c r="AA54" s="4">
        <f>2*($AE$49*COS(AA43)-$AE$48*SIN(AA43))</f>
        <v>4.4469167280784309E-13</v>
      </c>
      <c r="AB54" s="4">
        <f>2*($AE$49*COS(AB43)-$AE$48*SIN(AB43))</f>
        <v>-339.77474728546434</v>
      </c>
      <c r="AC54" s="4">
        <f>2*($AE$49*COS(AC43)-$AE$48*SIN(AC43))</f>
        <v>339.7747472854648</v>
      </c>
      <c r="AD54" s="4"/>
      <c r="AE54" s="4"/>
      <c r="AF54" s="3" t="s">
        <v>1335</v>
      </c>
      <c r="AG54" s="11">
        <f>IF(AG8&gt;0,$P$76*AG46+$P$77*AG47,$P$37*AG46+$P$38*AG47)</f>
        <v>4.1257214829375037</v>
      </c>
      <c r="AH54" s="11">
        <f>IF(AH8&gt;0,$P$76*AH46+$P$77*AH47,$P$37*AH46+$P$38*AH47)</f>
        <v>9.1127332051297181</v>
      </c>
      <c r="AI54" s="11">
        <f>IF(AI8&gt;0,$P$76*AI46+$P$77*AI47,$P$37*AI46+$P$38*AI47)</f>
        <v>7.8659802745816627</v>
      </c>
      <c r="AJ54" s="11">
        <f>IF(AJ8&gt;0,$P$76*AJ46+$P$77*AJ47,$P$37*AJ46+$P$38*AJ47)</f>
        <v>7.8659802745816627</v>
      </c>
      <c r="AK54" s="22"/>
    </row>
    <row r="55" spans="10:37">
      <c r="J55" s="3" t="s">
        <v>1643</v>
      </c>
      <c r="K55" s="4">
        <f>1/((1+K54)/K45-K54/K52)</f>
        <v>2.540734310522744</v>
      </c>
      <c r="L55" s="4">
        <f>K55*P45^$F$30</f>
        <v>2.540734310522744</v>
      </c>
      <c r="M55" s="8">
        <f t="shared" si="16"/>
        <v>1</v>
      </c>
      <c r="N55" s="2" t="s">
        <v>1644</v>
      </c>
      <c r="O55" s="4"/>
      <c r="P55" s="4"/>
      <c r="Q55" s="4"/>
      <c r="R55" s="3">
        <v>22</v>
      </c>
      <c r="S55" s="4">
        <f>IF(S51&gt;0,S54-2*$L$67*COS(S45),S16)</f>
        <v>0.24456341203985232</v>
      </c>
      <c r="T55" s="4">
        <f>IF(T51&gt;0,T54-2*$L$67*COS(T45),T16)</f>
        <v>11.40059924150035</v>
      </c>
      <c r="U55" s="4">
        <f>IF(U51&gt;0,U54-2*$L$67*COS(U45),U16)</f>
        <v>6.5290724801494848</v>
      </c>
      <c r="V55" s="4">
        <f>IF(V51&gt;0,V54-2*$L$67*COS(V45),V16)</f>
        <v>6.5290724801494848</v>
      </c>
      <c r="W55" s="5">
        <f t="shared" si="17"/>
        <v>1.7781174126254715</v>
      </c>
      <c r="X55" s="4">
        <f t="shared" si="18"/>
        <v>7.220781371067905</v>
      </c>
      <c r="Y55" s="3"/>
      <c r="Z55" s="4"/>
      <c r="AA55" s="4"/>
      <c r="AB55" s="4"/>
      <c r="AC55" s="4"/>
      <c r="AD55" s="4"/>
      <c r="AE55" s="4"/>
      <c r="AF55" s="3" t="s">
        <v>1344</v>
      </c>
      <c r="AG55" s="11">
        <f>AG54/2/AG53</f>
        <v>4.8938756086966927E-4</v>
      </c>
      <c r="AH55" s="11">
        <f>AH54/2/AH53</f>
        <v>1.5647273935194064E-3</v>
      </c>
      <c r="AI55" s="11">
        <f>AI54/2/AI53</f>
        <v>1.2248219828140945E-3</v>
      </c>
      <c r="AJ55" s="11">
        <f>AJ54/2/AJ53</f>
        <v>1.2248219828140945E-3</v>
      </c>
      <c r="AK55" s="22"/>
    </row>
    <row r="56" spans="10:37">
      <c r="J56" s="3" t="s">
        <v>295</v>
      </c>
      <c r="K56" s="4">
        <f>E30</f>
        <v>0.32</v>
      </c>
      <c r="L56" s="4">
        <f>K56*P45^$G$29</f>
        <v>0.32</v>
      </c>
      <c r="M56" s="8">
        <f t="shared" si="16"/>
        <v>1</v>
      </c>
      <c r="N56" s="3" t="s">
        <v>296</v>
      </c>
      <c r="O56" s="7">
        <f>$A$28</f>
        <v>428.57142857142856</v>
      </c>
      <c r="P56" s="7">
        <f>P62*L50</f>
        <v>428.57142857142856</v>
      </c>
      <c r="Q56" s="4">
        <f t="shared" ref="Q56:Q63" si="19">P56/O56</f>
        <v>1</v>
      </c>
      <c r="R56" s="3" t="s">
        <v>1345</v>
      </c>
      <c r="S56" s="4">
        <f>IF(S51&gt;0,$L$69-$L$68*COS(S46),S17)</f>
        <v>1.2105888895972639E-2</v>
      </c>
      <c r="T56" s="4">
        <f>IF(T51&gt;0,$L$69-$L$68*COS(T46),T17)</f>
        <v>1.2105888895972639E-2</v>
      </c>
      <c r="U56" s="4">
        <f>IF(U51&gt;0,$L$69-$L$68*COS(U46),U17)</f>
        <v>2.0946236928817119</v>
      </c>
      <c r="V56" s="4">
        <f>IF(V51&gt;0,$L$69-$L$68*COS(V46),V17)</f>
        <v>2.0946236928817119</v>
      </c>
      <c r="W56" s="5">
        <f t="shared" si="17"/>
        <v>0.20810907883322857</v>
      </c>
      <c r="X56" s="4">
        <f t="shared" si="18"/>
        <v>0.84511301049026832</v>
      </c>
      <c r="Y56" s="3" t="s">
        <v>1346</v>
      </c>
      <c r="Z56" s="4">
        <f>IF(ABS(Z60/Z62)&lt;0.000000001,0,Z60)</f>
        <v>2133.8719279990887</v>
      </c>
      <c r="AA56" s="4">
        <f>IF(ABS(AA60/AA62)&lt;0.000000001,0,AA60)</f>
        <v>2526.2099508489905</v>
      </c>
      <c r="AB56" s="4">
        <f>IF(ABS(AB60/AB62)&lt;0.000000001,0,AB60)</f>
        <v>2428.1254451365153</v>
      </c>
      <c r="AC56" s="4">
        <f>IF(ABS(AC60/AC62)&lt;0.000000001,0,AC60)</f>
        <v>2428.1254451365153</v>
      </c>
      <c r="AD56" s="4"/>
      <c r="AE56" s="4"/>
      <c r="AF56" s="3"/>
      <c r="AG56" s="22"/>
      <c r="AH56" s="22"/>
      <c r="AI56" s="22"/>
      <c r="AJ56" s="22"/>
      <c r="AK56" s="22"/>
    </row>
    <row r="57" spans="10:37">
      <c r="J57" s="3" t="s">
        <v>301</v>
      </c>
      <c r="K57" s="4">
        <f>K56*(1-K50)/K50</f>
        <v>0.2414035087719299</v>
      </c>
      <c r="L57" s="4">
        <f>L56*(1-L50)/L50</f>
        <v>0.2414035087719299</v>
      </c>
      <c r="M57" s="8">
        <f t="shared" si="16"/>
        <v>1</v>
      </c>
      <c r="N57" s="3" t="s">
        <v>302</v>
      </c>
      <c r="O57" s="7">
        <f>$B$28</f>
        <v>357.14285714285717</v>
      </c>
      <c r="P57" s="7">
        <f>O57*Q56*M47^E31</f>
        <v>357.14285714285717</v>
      </c>
      <c r="Q57" s="4">
        <f t="shared" si="19"/>
        <v>1</v>
      </c>
      <c r="R57" s="3">
        <v>66</v>
      </c>
      <c r="S57" s="4">
        <f>IF(S51&gt;0,S56-$L$69+$L$70,S18)</f>
        <v>0.12854731362274596</v>
      </c>
      <c r="T57" s="4">
        <f>IF(T51&gt;0,T56-$L$69+$L$70,T18)</f>
        <v>0.12854731362274596</v>
      </c>
      <c r="U57" s="4">
        <f>IF(U51&gt;0,U56-$L$69+$L$70,U18)</f>
        <v>2.2110651176084852</v>
      </c>
      <c r="V57" s="4">
        <f>IF(V51&gt;0,V56-$L$69+$L$70,V18)</f>
        <v>2.2110651176084852</v>
      </c>
      <c r="W57" s="5">
        <f t="shared" si="17"/>
        <v>0.23678277967219652</v>
      </c>
      <c r="X57" s="4">
        <f t="shared" si="18"/>
        <v>0.96155443521704176</v>
      </c>
      <c r="Y57" s="3"/>
      <c r="Z57" s="4"/>
      <c r="AA57" s="4"/>
      <c r="AB57" s="4"/>
      <c r="AC57" s="4"/>
      <c r="AD57" s="4"/>
      <c r="AE57" s="4"/>
      <c r="AF57" s="3"/>
      <c r="AG57" s="22"/>
      <c r="AH57" s="22"/>
      <c r="AI57" s="22"/>
      <c r="AJ57" s="22"/>
      <c r="AK57" s="22"/>
    </row>
    <row r="58" spans="10:37">
      <c r="J58" s="3" t="s">
        <v>1646</v>
      </c>
      <c r="K58" s="4">
        <f>1/((1+K57)/K47-K57*2.7/K52)</f>
        <v>1.1742272033906853</v>
      </c>
      <c r="L58" s="4">
        <f>K58*P45^$F$30</f>
        <v>1.1742272033906853</v>
      </c>
      <c r="M58" s="8">
        <f t="shared" si="16"/>
        <v>1</v>
      </c>
      <c r="N58" s="3" t="s">
        <v>305</v>
      </c>
      <c r="O58" s="7">
        <f>$C$28</f>
        <v>15.714285714285714</v>
      </c>
      <c r="P58" s="7">
        <f>O58*Q63</f>
        <v>15.714285714285714</v>
      </c>
      <c r="Q58" s="4">
        <f t="shared" si="19"/>
        <v>1</v>
      </c>
      <c r="R58" s="3" t="s">
        <v>1347</v>
      </c>
      <c r="S58" s="4">
        <f>IF(S51&gt;0,$L$67*SIN(S45)/2+$L$68*SIN(S46),S19)</f>
        <v>0</v>
      </c>
      <c r="T58" s="4">
        <f>IF(T51&gt;0,$L$67*SIN(T45)/2+$L$68*SIN(T46),T19)</f>
        <v>1.5092055011757518E-18</v>
      </c>
      <c r="U58" s="4">
        <f>IF(U51&gt;0,$L$67*SIN(U45)/2+$L$68*SIN(U46),U19)</f>
        <v>1.2130103937371945</v>
      </c>
      <c r="V58" s="4">
        <f>IF(V51&gt;0,$L$67*SIN(V45)/2+$L$68*SIN(V46),V19)</f>
        <v>-1.2130103937371945</v>
      </c>
      <c r="W58" s="5">
        <f t="shared" si="17"/>
        <v>0</v>
      </c>
      <c r="X58" s="4">
        <f t="shared" si="18"/>
        <v>0</v>
      </c>
      <c r="Y58" s="1" t="s">
        <v>1639</v>
      </c>
      <c r="Z58" s="4"/>
      <c r="AA58" s="4"/>
      <c r="AB58" s="4"/>
      <c r="AC58" s="4"/>
      <c r="AD58" s="4"/>
      <c r="AE58" s="4"/>
      <c r="AF58" s="3"/>
      <c r="AG58" s="22"/>
      <c r="AH58" s="22"/>
      <c r="AI58" s="22"/>
      <c r="AJ58" s="22"/>
      <c r="AK58" s="16" t="s">
        <v>574</v>
      </c>
    </row>
    <row r="59" spans="10:37">
      <c r="L59" s="4"/>
      <c r="N59" s="3" t="s">
        <v>1542</v>
      </c>
      <c r="O59" s="7">
        <f>$D$28</f>
        <v>31.428571428571427</v>
      </c>
      <c r="P59" s="7">
        <f>O59*Q63</f>
        <v>31.428571428571427</v>
      </c>
      <c r="Q59" s="4">
        <f t="shared" si="19"/>
        <v>1</v>
      </c>
      <c r="R59" s="3" t="s">
        <v>1349</v>
      </c>
      <c r="S59" s="4">
        <f>IF(S51&gt;0,$L$67*SIN(S45)-S58,S20)</f>
        <v>0</v>
      </c>
      <c r="T59" s="4">
        <f>IF(T51&gt;0,$L$67*SIN(T45)-T58,T20)</f>
        <v>6.8188079746726109E-16</v>
      </c>
      <c r="U59" s="4">
        <f>IF(U51&gt;0,$L$67*SIN(U45)-U58,U20)</f>
        <v>3.6176948231839026</v>
      </c>
      <c r="V59" s="4">
        <f>IF(V51&gt;0,$L$67*SIN(V45)-V58,V20)</f>
        <v>-3.6176948231839026</v>
      </c>
      <c r="W59" s="5">
        <f t="shared" si="17"/>
        <v>5.4678483962788959E-17</v>
      </c>
      <c r="X59" s="4">
        <f t="shared" si="18"/>
        <v>2.2204460492503131E-16</v>
      </c>
      <c r="Y59" s="3" t="s">
        <v>1647</v>
      </c>
      <c r="Z59" s="4">
        <f t="shared" ref="Z59:AC61" si="20">Z52+AG62</f>
        <v>2526.2089044489908</v>
      </c>
      <c r="AA59" s="4">
        <f t="shared" si="20"/>
        <v>2133.8708815990885</v>
      </c>
      <c r="AB59" s="4">
        <f t="shared" si="20"/>
        <v>2231.9553873115642</v>
      </c>
      <c r="AC59" s="4">
        <f t="shared" si="20"/>
        <v>2231.9553873115642</v>
      </c>
      <c r="AD59" s="4"/>
      <c r="AE59" s="4"/>
      <c r="AF59" s="3" t="s">
        <v>1351</v>
      </c>
      <c r="AG59" s="11">
        <f>(AG55^2+1/AG53)^0.5-AG55</f>
        <v>1.4920895486265493E-2</v>
      </c>
      <c r="AH59" s="11">
        <f>(AH55^2+1/AH53)^0.5-AH55</f>
        <v>1.7032691159535065E-2</v>
      </c>
      <c r="AI59" s="11">
        <f>(AI55^2+1/AI53)^0.5-AI55</f>
        <v>1.6464801554064875E-2</v>
      </c>
      <c r="AJ59" s="11">
        <f>(AJ55^2+1/AJ53)^0.5-AJ55</f>
        <v>1.6464801554064875E-2</v>
      </c>
      <c r="AK59" s="11">
        <f>MIN(AG60:AJ60)</f>
        <v>1.4920895486265493E-2</v>
      </c>
    </row>
    <row r="60" spans="10:37">
      <c r="J60" s="2" t="s">
        <v>1648</v>
      </c>
      <c r="N60" s="3" t="s">
        <v>1543</v>
      </c>
      <c r="O60" s="25">
        <f>$E$28</f>
        <v>14</v>
      </c>
      <c r="P60" s="25">
        <f>O60*Q63</f>
        <v>14</v>
      </c>
      <c r="Q60" s="4">
        <f t="shared" si="19"/>
        <v>1</v>
      </c>
      <c r="R60" s="1"/>
      <c r="V60" s="6" t="s">
        <v>1353</v>
      </c>
      <c r="W60" s="5">
        <f>W54*W55*W57+2*W56*W58*W59-W55*W58^2-W57*W56^2-W54*W59^2</f>
        <v>0.27572717754530646</v>
      </c>
      <c r="Y60" s="3" t="s">
        <v>1649</v>
      </c>
      <c r="Z60" s="4">
        <f t="shared" si="20"/>
        <v>2133.8719279990887</v>
      </c>
      <c r="AA60" s="4">
        <f t="shared" si="20"/>
        <v>2526.2099508489905</v>
      </c>
      <c r="AB60" s="4">
        <f t="shared" si="20"/>
        <v>2428.1254451365153</v>
      </c>
      <c r="AC60" s="4">
        <f t="shared" si="20"/>
        <v>2428.1254451365153</v>
      </c>
      <c r="AD60" s="4"/>
      <c r="AE60" s="4"/>
      <c r="AF60" s="3"/>
      <c r="AG60" s="11">
        <f>IF(AG42=0,1000000000,AG59)</f>
        <v>1.4920895486265493E-2</v>
      </c>
      <c r="AH60" s="11">
        <f>IF(AH42=0,1000000000,AH59)</f>
        <v>1.7032691159535065E-2</v>
      </c>
      <c r="AI60" s="11">
        <f>IF(AI42=0,1000000000,AI59)</f>
        <v>1.6464801554064875E-2</v>
      </c>
      <c r="AJ60" s="11">
        <f>IF(AJ42=0,1000000000,AJ59)</f>
        <v>1.6464801554064875E-2</v>
      </c>
    </row>
    <row r="61" spans="10:37">
      <c r="J61" s="3" t="s">
        <v>1354</v>
      </c>
      <c r="K61" s="4">
        <f>K44/(1-K46^2*K45/K44)</f>
        <v>21.699756042626884</v>
      </c>
      <c r="L61" s="4">
        <f>L44/(1-L46^2*L45/L44)</f>
        <v>11.40059924150035</v>
      </c>
      <c r="M61" s="8">
        <f>L61/K61</f>
        <v>0.52537914339244529</v>
      </c>
      <c r="N61" s="3" t="s">
        <v>1168</v>
      </c>
      <c r="O61" s="8">
        <f>$A$29</f>
        <v>-0.5</v>
      </c>
      <c r="P61" s="8">
        <v>-0.5</v>
      </c>
      <c r="Q61" s="4">
        <f t="shared" si="19"/>
        <v>1</v>
      </c>
      <c r="R61" s="3" t="s">
        <v>1355</v>
      </c>
      <c r="S61" s="6" t="s">
        <v>1169</v>
      </c>
      <c r="T61" s="6"/>
      <c r="U61" s="6" t="s">
        <v>1357</v>
      </c>
      <c r="V61" s="6"/>
      <c r="W61" s="6" t="s">
        <v>1358</v>
      </c>
      <c r="X61" s="6"/>
      <c r="Y61" s="3" t="s">
        <v>1650</v>
      </c>
      <c r="Z61" s="4">
        <f t="shared" si="20"/>
        <v>-4.9275891068963585E-13</v>
      </c>
      <c r="AA61" s="4">
        <f t="shared" si="20"/>
        <v>4.4469167843998987E-13</v>
      </c>
      <c r="AB61" s="4">
        <f t="shared" si="20"/>
        <v>-339.77469465857411</v>
      </c>
      <c r="AC61" s="4">
        <f t="shared" si="20"/>
        <v>339.77469465857456</v>
      </c>
      <c r="AD61" s="4"/>
      <c r="AE61" s="4"/>
      <c r="AF61" s="2" t="s">
        <v>1360</v>
      </c>
      <c r="AG61" s="11">
        <f>IF(AG42=0,0,AG59)</f>
        <v>1.4920895486265493E-2</v>
      </c>
      <c r="AH61" s="11">
        <f>IF(AH42=0,0,AH59)</f>
        <v>1.7032691159535065E-2</v>
      </c>
      <c r="AI61" s="11">
        <f>IF(AI42=0,0,AI59)</f>
        <v>1.6464801554064875E-2</v>
      </c>
      <c r="AJ61" s="11">
        <f>IF(AJ42=0,0,AJ59)</f>
        <v>1.6464801554064875E-2</v>
      </c>
    </row>
    <row r="62" spans="10:37">
      <c r="J62" s="3" t="s">
        <v>1361</v>
      </c>
      <c r="K62" s="4">
        <f>K61*K45/K44</f>
        <v>1.1783973480102012</v>
      </c>
      <c r="L62" s="4">
        <f>L61*L45/L44</f>
        <v>0.24456341203985141</v>
      </c>
      <c r="M62" s="8">
        <f>L62/K62</f>
        <v>0.20753900409977352</v>
      </c>
      <c r="N62" s="3" t="s">
        <v>1175</v>
      </c>
      <c r="O62" s="7">
        <f>O56/K50</f>
        <v>751.87969924812035</v>
      </c>
      <c r="P62" s="7">
        <f>$H$17*P45^$G$30</f>
        <v>751.87969924812035</v>
      </c>
      <c r="Q62" s="4">
        <f t="shared" si="19"/>
        <v>1</v>
      </c>
      <c r="R62" s="3">
        <v>11</v>
      </c>
      <c r="S62" s="5">
        <f>(W55*W57-W59^2)/W60</f>
        <v>1.5269716510836566</v>
      </c>
      <c r="U62" s="5">
        <f t="shared" ref="U62:U67" si="21">S62*$W$51</f>
        <v>0.37601676907935044</v>
      </c>
      <c r="V62" s="5"/>
      <c r="W62" s="4">
        <f>1/U62</f>
        <v>2.6594558600363141</v>
      </c>
      <c r="X62" s="7"/>
      <c r="Y62" s="3" t="s">
        <v>1363</v>
      </c>
      <c r="Z62" s="4">
        <f>SQRT(Z59^2+Z60^2+Z61^2)</f>
        <v>3306.8324472249751</v>
      </c>
      <c r="AA62" s="4">
        <f>SQRT(AA59^2+AA60^2+AA61^2)</f>
        <v>3306.8325713747486</v>
      </c>
      <c r="AB62" s="4">
        <f>SQRT(AB59^2+AB60^2+AB61^2)</f>
        <v>3315.5489547582984</v>
      </c>
      <c r="AC62" s="4">
        <f>SQRT(AC59^2+AC60^2+AC61^2)</f>
        <v>3315.5489547582984</v>
      </c>
      <c r="AD62" s="4"/>
      <c r="AE62" s="4"/>
      <c r="AF62" s="3" t="s">
        <v>1364</v>
      </c>
      <c r="AG62" s="26">
        <f>$AK$46+$AK$47*COS(AG43)+$AK$48*SIN(AG43)-$V$87</f>
        <v>-6.5018860968568839E-5</v>
      </c>
      <c r="AH62" s="22">
        <f>$AK$46+$AK$47*COS(AH43)+$AK$48*SIN(AH43)-$V$87</f>
        <v>-4.2505624941443659E-6</v>
      </c>
      <c r="AI62" s="22">
        <f>$AK$46+$AK$47*COS(AI43)+$AK$48*SIN(AI43)-$V$87</f>
        <v>-1.9442637112750491E-5</v>
      </c>
      <c r="AJ62" s="22">
        <f>$AK$46+$AK$47*COS(AJ43)+$AK$48*SIN(AJ43)-$V$87</f>
        <v>-1.9442637112750491E-5</v>
      </c>
      <c r="AK62" s="22"/>
    </row>
    <row r="63" spans="10:37">
      <c r="J63" s="3" t="s">
        <v>1365</v>
      </c>
      <c r="K63" s="4">
        <f>K62*K46</f>
        <v>0.38887112484336644</v>
      </c>
      <c r="L63" s="4">
        <f>L62*L46</f>
        <v>1.2105888895972645E-2</v>
      </c>
      <c r="M63" s="8">
        <f>L63/K63</f>
        <v>3.1130850614966028E-2</v>
      </c>
      <c r="N63" s="3" t="s">
        <v>1176</v>
      </c>
      <c r="O63" s="7">
        <f>O58</f>
        <v>15.714285714285714</v>
      </c>
      <c r="P63" s="7">
        <f>$G$17*P45^$H$29</f>
        <v>15.714285714285714</v>
      </c>
      <c r="Q63" s="4">
        <f t="shared" si="19"/>
        <v>1</v>
      </c>
      <c r="R63" s="3">
        <v>22</v>
      </c>
      <c r="S63" s="5">
        <f>(W54*W57-W58^2)/W60</f>
        <v>0.58330920932548036</v>
      </c>
      <c r="U63" s="5">
        <f t="shared" si="21"/>
        <v>0.14363989279639955</v>
      </c>
      <c r="V63" s="5"/>
      <c r="W63" s="4">
        <f>1/U63</f>
        <v>6.961854262989716</v>
      </c>
      <c r="Z63" s="4"/>
      <c r="AA63" s="4"/>
      <c r="AB63" s="4"/>
      <c r="AC63" s="4"/>
      <c r="AD63" s="4"/>
      <c r="AE63" s="4"/>
      <c r="AF63" s="3" t="s">
        <v>1367</v>
      </c>
      <c r="AG63" s="22">
        <f>2*$AK$46-AG62-$V$88-$V$87</f>
        <v>1.0421494375058554E-3</v>
      </c>
      <c r="AH63" s="22">
        <f>2*$AK$46-AH62-$V$88-$V$87</f>
        <v>9.8138113903143104E-4</v>
      </c>
      <c r="AI63" s="22">
        <f>2*$AK$46-AI62-$V$88-$V$87</f>
        <v>9.9657321365003706E-4</v>
      </c>
      <c r="AJ63" s="22">
        <f>2*$AK$46-AJ62-$V$88-$V$87</f>
        <v>9.9657321365003706E-4</v>
      </c>
      <c r="AK63" s="22"/>
    </row>
    <row r="64" spans="10:37">
      <c r="J64" s="3" t="s">
        <v>1370</v>
      </c>
      <c r="K64" s="4">
        <f>K47</f>
        <v>0.5714285714285714</v>
      </c>
      <c r="L64" s="4">
        <f>L47</f>
        <v>0.12854731362274566</v>
      </c>
      <c r="M64" s="8">
        <f>L64/K64</f>
        <v>0.22495779883980491</v>
      </c>
      <c r="R64" s="3" t="s">
        <v>1345</v>
      </c>
      <c r="S64" s="5">
        <f>(W58*W59-W56*W57)/W60</f>
        <v>-0.17871523075760345</v>
      </c>
      <c r="U64" s="5">
        <f t="shared" si="21"/>
        <v>-4.4008625574059851E-2</v>
      </c>
      <c r="V64" s="5"/>
      <c r="W64" s="4">
        <f>-U64/U62</f>
        <v>0.11703899717507746</v>
      </c>
      <c r="Z64" s="4"/>
      <c r="AA64" s="4"/>
      <c r="AB64" s="4"/>
      <c r="AC64" s="4"/>
      <c r="AD64" s="4"/>
      <c r="AE64" s="4"/>
      <c r="AF64" s="3" t="s">
        <v>1372</v>
      </c>
      <c r="AG64" s="26">
        <f>2*($AK$48*COS(AG43)-$AK$47*SIN(AG43))</f>
        <v>1.8128719327867136E-21</v>
      </c>
      <c r="AH64" s="22">
        <f>2*($AK$48*COS(AH43)-$AK$47*SIN(AH43))</f>
        <v>5.6321467655499857E-21</v>
      </c>
      <c r="AI64" s="22">
        <f>2*($AK$48*COS(AI43)-$AK$47*SIN(AI43))</f>
        <v>5.2626890223606746E-5</v>
      </c>
      <c r="AJ64" s="22">
        <f>2*($AK$48*COS(AJ43)-$AK$47*SIN(AJ43))</f>
        <v>-5.2626890223606746E-5</v>
      </c>
      <c r="AK64" s="22"/>
    </row>
    <row r="65" spans="10:37">
      <c r="J65" s="2" t="s">
        <v>1651</v>
      </c>
      <c r="K65" s="4"/>
      <c r="L65" s="4"/>
      <c r="N65" s="2" t="s">
        <v>1652</v>
      </c>
      <c r="R65" s="3">
        <v>66</v>
      </c>
      <c r="S65" s="5">
        <f>(W54*W55-W56^2)/W60</f>
        <v>4.2232800940355792</v>
      </c>
      <c r="U65" s="5">
        <f t="shared" si="21"/>
        <v>1.0399827231562613</v>
      </c>
      <c r="V65" s="5"/>
      <c r="W65" s="4">
        <f>1/U65</f>
        <v>0.96155443521704187</v>
      </c>
      <c r="Z65" s="4"/>
      <c r="AA65" s="4"/>
      <c r="AB65" s="4"/>
      <c r="AC65" s="4"/>
      <c r="AD65" s="4"/>
      <c r="AE65" s="4"/>
      <c r="AF65" s="22"/>
      <c r="AG65" s="22"/>
      <c r="AH65" s="22"/>
      <c r="AI65" s="22"/>
      <c r="AJ65" s="22"/>
      <c r="AK65" s="22"/>
    </row>
    <row r="66" spans="10:37">
      <c r="J66" s="3" t="s">
        <v>1380</v>
      </c>
      <c r="K66" s="4">
        <f>(3*K61+3*K62+2*K63+4*K64)/8</f>
        <v>8.962239588414036</v>
      </c>
      <c r="L66" s="4">
        <f>(3*L61+3*L62+2*L63+4*L64)/8</f>
        <v>4.4342361241129415</v>
      </c>
      <c r="M66" s="8">
        <f>L66/K66</f>
        <v>0.49476875510506485</v>
      </c>
      <c r="N66" s="3" t="s">
        <v>1381</v>
      </c>
      <c r="O66" s="4">
        <f>1/O56/O57*1000000</f>
        <v>6.5333333333333332</v>
      </c>
      <c r="P66" s="4">
        <f>1/P56/P57*1000000</f>
        <v>6.5333333333333332</v>
      </c>
      <c r="Q66" s="4">
        <f t="shared" ref="Q66:Q77" si="22">P66/O66</f>
        <v>1</v>
      </c>
      <c r="R66" s="3" t="s">
        <v>1347</v>
      </c>
      <c r="S66" s="5">
        <f>(W56*W59-W55*W58)/W60</f>
        <v>4.1269377327244797E-17</v>
      </c>
      <c r="U66" s="5">
        <f t="shared" si="21"/>
        <v>1.0162584166834031E-17</v>
      </c>
      <c r="V66" s="5"/>
      <c r="W66" s="4">
        <f>U66/U62</f>
        <v>2.7026944015599027E-17</v>
      </c>
      <c r="Z66" s="4"/>
      <c r="AA66" s="4"/>
      <c r="AB66" s="4"/>
      <c r="AC66" s="4"/>
      <c r="AD66" s="4"/>
      <c r="AE66" s="4"/>
      <c r="AF66" s="16" t="s">
        <v>1383</v>
      </c>
      <c r="AG66" s="11">
        <f>IF(AG8&gt;0,$P$72*AG62^2+2*$P$74*AG62*AG63+$P$73*AG63^2+$P$75*AG64^2,$P$33*AG62^2+2*$P$35*AG62*AG63+$P$34*AG63^2+$P$36*AG64^2)</f>
        <v>1.5548067515173988E-4</v>
      </c>
      <c r="AH66" s="11">
        <f>IF(AH8&gt;0,$P$72*AH62^2+2*$P$74*AH62*AH63+$P$73*AH63^2+$P$75*AH64^2,$P$33*AH62^2+2*$P$35*AH62*AH63+$P$34*AH63^2+$P$36*AH64^2)</f>
        <v>1.1760600464744395E-4</v>
      </c>
      <c r="AI66" s="11">
        <f>IF(AI8&gt;0,$P$72*AI62^2+2*$P$74*AI62*AI63+$P$73*AI63^2+$P$75*AI64^2,$P$33*AI62^2+2*$P$35*AI62*AI63+$P$34*AI63^2+$P$36*AI64^2)</f>
        <v>1.2643487983477386E-4</v>
      </c>
      <c r="AJ66" s="11">
        <f>IF(AJ8&gt;0,$P$72*AJ62^2+2*$P$74*AJ62*AJ63+$P$73*AJ63^2+$P$75*AJ64^2,$P$33*AJ62^2+2*$P$35*AJ62*AJ63+$P$34*AJ63^2+$P$36*AJ64^2)</f>
        <v>1.2643487983477386E-4</v>
      </c>
      <c r="AK66" s="22"/>
    </row>
    <row r="67" spans="10:37">
      <c r="J67" s="3" t="s">
        <v>1384</v>
      </c>
      <c r="K67" s="4">
        <f>(K61-K62)/2</f>
        <v>10.260679347308342</v>
      </c>
      <c r="L67" s="4">
        <f>(L61-L62)/2</f>
        <v>5.5780179147302498</v>
      </c>
      <c r="M67" s="8">
        <f>L67/K67</f>
        <v>0.54363046791765468</v>
      </c>
      <c r="N67" s="3" t="s">
        <v>1385</v>
      </c>
      <c r="O67" s="4">
        <f>1/O58/O59*1000000</f>
        <v>2024.7933884297524</v>
      </c>
      <c r="P67" s="4">
        <f>1/P58/P59*1000000</f>
        <v>2024.7933884297524</v>
      </c>
      <c r="Q67" s="4">
        <f t="shared" si="22"/>
        <v>1</v>
      </c>
      <c r="R67" s="3" t="s">
        <v>1349</v>
      </c>
      <c r="S67" s="5">
        <f>(W56*W58-W54*W59)/W60</f>
        <v>-1.3469925174290661E-16</v>
      </c>
      <c r="U67" s="5">
        <f t="shared" si="21"/>
        <v>-3.316969074169075E-17</v>
      </c>
      <c r="V67" s="5"/>
      <c r="W67" s="4">
        <f>U67/U63</f>
        <v>-2.3092255289209024E-16</v>
      </c>
      <c r="Z67" s="4"/>
      <c r="AA67" s="4"/>
      <c r="AB67" s="4"/>
      <c r="AC67" s="4"/>
      <c r="AD67" s="4"/>
      <c r="AE67" s="4"/>
      <c r="AF67" s="16" t="s">
        <v>1387</v>
      </c>
      <c r="AG67" s="11">
        <f>IF(AG8&gt;0,$P$76*AG62+$P$77*AG63,$P$37*AG62+$P$38*AG63)</f>
        <v>8.4245381622067347E-3</v>
      </c>
      <c r="AH67" s="11">
        <f>IF(AH8&gt;0,$P$76*AH62+$P$77*AH63,$P$37*AH62+$P$38*AH63)</f>
        <v>7.6521119576567287E-3</v>
      </c>
      <c r="AI67" s="11">
        <f>IF(AI8&gt;0,$P$76*AI62+$P$77*AI63,$P$37*AI62+$P$38*AI63)</f>
        <v>7.84521850879423E-3</v>
      </c>
      <c r="AJ67" s="11">
        <f>IF(AJ8&gt;0,$P$76*AJ62+$P$77*AJ63,$P$37*AJ62+$P$38*AJ63)</f>
        <v>7.84521850879423E-3</v>
      </c>
      <c r="AK67" s="22"/>
    </row>
    <row r="68" spans="10:37">
      <c r="J68" s="3" t="s">
        <v>1388</v>
      </c>
      <c r="K68" s="4">
        <f>(K61+K62-2*K63-4*K64)/8</f>
        <v>2.4768371069045085</v>
      </c>
      <c r="L68" s="4">
        <f>(L61+L62-2*L63-4*L64)/8</f>
        <v>1.388345202657159</v>
      </c>
      <c r="M68" s="8">
        <f>L68/K68</f>
        <v>0.56053149348698161</v>
      </c>
      <c r="N68" s="3" t="s">
        <v>1389</v>
      </c>
      <c r="O68" s="4">
        <f>O61*(O66*O67)^0.5</f>
        <v>-57.50793453459498</v>
      </c>
      <c r="P68" s="4">
        <f>P61*(P66*P67)^0.5</f>
        <v>-57.50793453459498</v>
      </c>
      <c r="Q68" s="4">
        <f t="shared" si="22"/>
        <v>1</v>
      </c>
      <c r="U68" s="5"/>
      <c r="V68" s="5"/>
      <c r="W68" s="6"/>
      <c r="AE68" s="2"/>
      <c r="AF68" s="16" t="s">
        <v>1390</v>
      </c>
      <c r="AG68" s="11">
        <f>AG66+AG67</f>
        <v>8.5800188373584742E-3</v>
      </c>
      <c r="AH68" s="11">
        <f>AH66+AH67</f>
        <v>7.7697179623041727E-3</v>
      </c>
      <c r="AI68" s="11">
        <f>AI66+AI67</f>
        <v>7.9716533886290044E-3</v>
      </c>
      <c r="AJ68" s="11">
        <f>AJ66+AJ67</f>
        <v>7.9716533886290044E-3</v>
      </c>
      <c r="AK68" s="22"/>
    </row>
    <row r="69" spans="10:37">
      <c r="J69" s="3" t="s">
        <v>1391</v>
      </c>
      <c r="K69" s="4">
        <f>(K61+K62+6*K63-4*K64)/8</f>
        <v>2.8657082317478748</v>
      </c>
      <c r="L69" s="4">
        <f>(L61+L62+6*L63-4*L64)/8</f>
        <v>1.4004510915531316</v>
      </c>
      <c r="M69" s="8">
        <f>L69/K69</f>
        <v>0.48869283901207128</v>
      </c>
      <c r="N69" s="3" t="s">
        <v>1392</v>
      </c>
      <c r="O69" s="4">
        <f>1/O60^2*1000000</f>
        <v>5102.0408163265301</v>
      </c>
      <c r="P69" s="4">
        <f>1/P60^2*1000000</f>
        <v>5102.0408163265301</v>
      </c>
      <c r="Q69" s="4">
        <f t="shared" si="22"/>
        <v>1</v>
      </c>
      <c r="R69" s="1" t="s">
        <v>1393</v>
      </c>
      <c r="U69" s="5"/>
      <c r="V69" s="5"/>
      <c r="W69" s="6"/>
      <c r="Y69" s="3"/>
      <c r="AE69" s="2"/>
      <c r="AF69" s="16" t="s">
        <v>1395</v>
      </c>
      <c r="AG69" s="11">
        <f>-1+AG68</f>
        <v>-0.99141998116264152</v>
      </c>
      <c r="AH69" s="11">
        <f>-1+AH68</f>
        <v>-0.99223028203769581</v>
      </c>
      <c r="AI69" s="11">
        <f>-1+AI68</f>
        <v>-0.99202834661137096</v>
      </c>
      <c r="AJ69" s="11">
        <f>-1+AJ68</f>
        <v>-0.99202834661137096</v>
      </c>
      <c r="AK69" s="22"/>
    </row>
    <row r="70" spans="10:37">
      <c r="J70" s="3" t="s">
        <v>1653</v>
      </c>
      <c r="K70" s="4">
        <f>(K66-K69)/2</f>
        <v>3.0482656783330806</v>
      </c>
      <c r="L70" s="4">
        <f>(L66-L69)/2</f>
        <v>1.516892516279905</v>
      </c>
      <c r="M70" s="8">
        <f>L70/K70</f>
        <v>0.49762477301827751</v>
      </c>
      <c r="N70" s="3" t="s">
        <v>1654</v>
      </c>
      <c r="O70" s="4">
        <f>(1/O56-1/O57)*1000</f>
        <v>-0.46666666666666645</v>
      </c>
      <c r="P70" s="4">
        <f>(1/P56-1/P57)*1000</f>
        <v>-0.46666666666666645</v>
      </c>
      <c r="Q70" s="4">
        <f t="shared" si="22"/>
        <v>1</v>
      </c>
      <c r="R70" s="1" t="s">
        <v>577</v>
      </c>
      <c r="S70" s="5">
        <f>($P49+$P50)/2000000+($P49-$P50)/2000000*COS(S45)</f>
        <v>1.9999999999999809E-8</v>
      </c>
      <c r="T70" s="5">
        <f>($P49+$P50)/2000000+($P49-$P50)/2000000*COS(T45)</f>
        <v>2.2500000000000001E-5</v>
      </c>
      <c r="U70" s="5">
        <f>($P49+$P50)/2000000+($P49-$P50)/2000000*COS(U45)</f>
        <v>1.6879999999999998E-5</v>
      </c>
      <c r="V70" s="5">
        <f>($P49+$P50)/2000000+($P49-$P50)/2000000*COS(V45)</f>
        <v>1.6879999999999998E-5</v>
      </c>
      <c r="W70" s="6"/>
      <c r="Y70" s="3"/>
      <c r="AE70" s="2"/>
      <c r="AF70" s="16" t="s">
        <v>1399</v>
      </c>
      <c r="AG70" s="11">
        <f>IF(AG8&gt;0,2*($P$72*AG46*AG62+$P$73*AG47*AG63+$P$74*(AG46*AG63+AG62*AG47)+$P$75*AG48*AG64),2*($P$33*AG46*AG62+$P$34*AG47*AG63+$P$35*(AG46*AG63+AG62*AG47)+$P$36*AG48*AG64))</f>
        <v>-0.50212431952523306</v>
      </c>
      <c r="AH70" s="11">
        <f>IF(AH8&gt;0,2*($P$72*AH46*AH62+$P$73*AH47*AH63+$P$74*(AH46*AH63+AH62*AH47)+$P$75*AH48*AH64),2*($P$33*AH46*AH62+$P$34*AH47*AH63+$P$35*(AH46*AH63+AH62*AH47)+$P$36*AH48*AH64))</f>
        <v>-5.5734728581167459E-2</v>
      </c>
      <c r="AI70" s="11">
        <f>IF(AI8&gt;0,2*($P$72*AI46*AI62+$P$73*AI47*AI63+$P$74*(AI46*AI63+AI62*AI47)+$P$75*AI48*AI64),2*($P$33*AI46*AI62+$P$34*AI47*AI63+$P$35*(AI46*AI63+AI62*AI47)+$P$36*AI48*AI64))</f>
        <v>-0.15907074840692637</v>
      </c>
      <c r="AJ70" s="11">
        <f>IF(AJ8&gt;0,2*($P$72*AJ46*AJ62+$P$73*AJ47*AJ63+$P$74*(AJ46*AJ63+AJ62*AJ47)+$P$75*AJ48*AJ64),2*($P$33*AJ46*AJ62+$P$34*AJ47*AJ63+$P$35*(AJ46*AJ63+AJ62*AJ47)+$P$36*AJ48*AJ64))</f>
        <v>-0.15907074840692637</v>
      </c>
      <c r="AK70" s="22"/>
    </row>
    <row r="71" spans="10:37">
      <c r="J71" s="2" t="s">
        <v>1400</v>
      </c>
      <c r="N71" s="3" t="s">
        <v>1655</v>
      </c>
      <c r="O71" s="4">
        <f>(1/O58-1/O59)*1000</f>
        <v>31.81818181818182</v>
      </c>
      <c r="P71" s="4">
        <f>(1/P58-1/P59)*1000</f>
        <v>31.81818181818182</v>
      </c>
      <c r="Q71" s="4">
        <f t="shared" si="22"/>
        <v>1</v>
      </c>
      <c r="R71" s="1" t="s">
        <v>578</v>
      </c>
      <c r="S71" s="5">
        <f>($P49+$P50)/2000000+($P50-$P49)/2000000*COS(S45)</f>
        <v>2.2500000000000001E-5</v>
      </c>
      <c r="T71" s="5">
        <f>($P49+$P50)/2000000+($P50-$P49)/2000000*COS(T45)</f>
        <v>1.9999999999999809E-8</v>
      </c>
      <c r="U71" s="5">
        <f>($P49+$P50)/2000000+($P50-$P49)/2000000*COS(U45)</f>
        <v>5.6400000000000028E-6</v>
      </c>
      <c r="V71" s="5">
        <f>($P49+$P50)/2000000+($P50-$P49)/2000000*COS(V45)</f>
        <v>5.6400000000000028E-6</v>
      </c>
      <c r="W71" s="6"/>
      <c r="Y71" s="3"/>
      <c r="AE71" s="2"/>
      <c r="AF71" s="16" t="s">
        <v>1403</v>
      </c>
      <c r="AG71" s="26">
        <f>AG70+AG54</f>
        <v>3.6235971634122706</v>
      </c>
      <c r="AH71" s="22">
        <f>AH70+AH54</f>
        <v>9.0569984765485501</v>
      </c>
      <c r="AI71" s="22">
        <f>AI70+AI54</f>
        <v>7.7069095261747362</v>
      </c>
      <c r="AJ71" s="22">
        <f>AJ70+AJ54</f>
        <v>7.7069095261747362</v>
      </c>
      <c r="AK71" s="22"/>
    </row>
    <row r="72" spans="10:37">
      <c r="J72" s="3" t="s">
        <v>1184</v>
      </c>
      <c r="K72" s="4">
        <f>(1-(K69/K66)^2)*K66</f>
        <v>8.0459191097555554</v>
      </c>
      <c r="L72" s="4">
        <f>(1-(L69/L66)^2)*L66</f>
        <v>3.9919359838098125</v>
      </c>
      <c r="M72" s="4">
        <f>L72/K72</f>
        <v>0.49614418556229956</v>
      </c>
      <c r="N72" s="3" t="s">
        <v>1405</v>
      </c>
      <c r="O72" s="7">
        <f>(O66*K61^2+2*O68*K61*K63+O67*K63^2)</f>
        <v>2412.0520468144214</v>
      </c>
      <c r="P72" s="7">
        <f>(P66*L61^2+2*P68*L61*L63+P67*L63^2)</f>
        <v>833.5841592332132</v>
      </c>
      <c r="Q72" s="4">
        <f t="shared" si="22"/>
        <v>0.34559128205136425</v>
      </c>
      <c r="R72" s="1" t="s">
        <v>579</v>
      </c>
      <c r="S72" s="5">
        <f>($P49-$P50)*SIN(S45)/1000000</f>
        <v>0</v>
      </c>
      <c r="T72" s="5">
        <f>($P49-$P50)*SIN(T45)/1000000</f>
        <v>-2.754133726634578E-21</v>
      </c>
      <c r="U72" s="5">
        <f>($P49-$P50)*SIN(U45)/1000000</f>
        <v>-1.9468251077074181E-5</v>
      </c>
      <c r="V72" s="5">
        <f>($P49-$P50)*SIN(V45)/1000000</f>
        <v>1.9468251077074181E-5</v>
      </c>
      <c r="W72" s="6"/>
      <c r="Y72" s="3"/>
      <c r="AE72" s="2"/>
      <c r="AF72" s="16" t="s">
        <v>1412</v>
      </c>
      <c r="AG72" s="26">
        <f>AG71/2/AG53</f>
        <v>4.2982624607853251E-4</v>
      </c>
      <c r="AH72" s="22">
        <f>AH71/2/AH53</f>
        <v>1.5551573057512019E-3</v>
      </c>
      <c r="AI72" s="22">
        <f>AI71/2/AI53</f>
        <v>1.2000528704250025E-3</v>
      </c>
      <c r="AJ72" s="22">
        <f>AJ71/2/AJ53</f>
        <v>1.2000528704250025E-3</v>
      </c>
      <c r="AK72" s="22"/>
    </row>
    <row r="73" spans="10:37">
      <c r="J73" s="3" t="s">
        <v>1656</v>
      </c>
      <c r="K73" s="4">
        <f>K69/K66</f>
        <v>0.31975358429967976</v>
      </c>
      <c r="L73" s="4">
        <f>L69/L66</f>
        <v>0.31582690960853793</v>
      </c>
      <c r="M73" s="4">
        <f>L73/K73</f>
        <v>0.98771968514522834</v>
      </c>
      <c r="N73" s="3" t="s">
        <v>1415</v>
      </c>
      <c r="O73" s="7">
        <f>(O66*K63^2+2*O68*K63*K62+O67*K62^2)</f>
        <v>2759.9517852215176</v>
      </c>
      <c r="P73" s="7">
        <f>(P66*L63^2+2*P68*L63*L62+P67*L62^2)</f>
        <v>120.76588376292217</v>
      </c>
      <c r="Q73" s="4">
        <f t="shared" si="22"/>
        <v>4.3756519374569196E-2</v>
      </c>
      <c r="R73" s="1" t="s">
        <v>580</v>
      </c>
      <c r="S73" s="5">
        <f>($P52+$P53)/2+($P52-$P53)/2*COS(S45)</f>
        <v>0</v>
      </c>
      <c r="T73" s="5">
        <f>($P52+$P53)/2+($P52-$P53)/2*COS(T45)</f>
        <v>0.6</v>
      </c>
      <c r="U73" s="5">
        <f>($P52+$P53)/2+($P52-$P53)/2*COS(U45)</f>
        <v>0.44999999999999996</v>
      </c>
      <c r="V73" s="5">
        <f>($P52+$P53)/2+($P52-$P53)/2*COS(V45)</f>
        <v>0.44999999999999996</v>
      </c>
      <c r="W73" s="6"/>
      <c r="Y73" s="3"/>
      <c r="AE73" s="2"/>
      <c r="AF73" s="16"/>
      <c r="AG73" s="26"/>
      <c r="AH73" s="22"/>
      <c r="AI73" s="22"/>
      <c r="AJ73" s="22"/>
      <c r="AK73" s="22"/>
    </row>
    <row r="74" spans="10:37">
      <c r="N74" s="3" t="s">
        <v>1416</v>
      </c>
      <c r="O74" s="7">
        <f>(O66*K61*K63+O68*(K61*K62+K63^2)+O67*K63*K62)</f>
        <v>-496.24626834589242</v>
      </c>
      <c r="P74" s="7">
        <f>(P66*L61*L63+P68*(L61*L62+L63^2)+P67*L63*L62)</f>
        <v>-153.45388040501575</v>
      </c>
      <c r="Q74" s="4">
        <f t="shared" si="22"/>
        <v>0.30922928834611546</v>
      </c>
      <c r="R74" s="1" t="s">
        <v>581</v>
      </c>
      <c r="S74" s="5">
        <f>($P52+$P53)/2+($P53-$P52)/2*COS(S45)</f>
        <v>0.6</v>
      </c>
      <c r="T74" s="5">
        <f>($P52+$P53)/2+($P53-$P52)/2*COS(T45)</f>
        <v>0</v>
      </c>
      <c r="U74" s="5">
        <f>($P52+$P53)/2+($P53-$P52)/2*COS(U45)</f>
        <v>0.15000000000000005</v>
      </c>
      <c r="V74" s="5">
        <f>($P52+$P53)/2+($P53-$P52)/2*COS(V45)</f>
        <v>0.15000000000000005</v>
      </c>
      <c r="W74" s="6"/>
      <c r="Y74" s="3"/>
      <c r="AE74" s="2"/>
      <c r="AF74" s="16"/>
      <c r="AG74" s="26"/>
      <c r="AH74" s="22"/>
      <c r="AI74" s="22"/>
      <c r="AJ74" s="22"/>
      <c r="AK74" s="22"/>
    </row>
    <row r="75" spans="10:37">
      <c r="J75" s="3" t="s">
        <v>1193</v>
      </c>
      <c r="K75" s="4">
        <f>$D$29</f>
        <v>1.6</v>
      </c>
      <c r="L75" s="4">
        <f>L76*(1-$L$50)+L77*$L$50</f>
        <v>1.6</v>
      </c>
      <c r="M75" s="4">
        <f>L75/K75</f>
        <v>1</v>
      </c>
      <c r="N75" s="3" t="s">
        <v>1418</v>
      </c>
      <c r="O75" s="7">
        <f>O69*K64^2</f>
        <v>1665.9725114535606</v>
      </c>
      <c r="P75" s="7">
        <f>P69*L64^2</f>
        <v>84.308223671553733</v>
      </c>
      <c r="Q75" s="4">
        <f t="shared" si="22"/>
        <v>5.0606011258850142E-2</v>
      </c>
      <c r="R75" s="1" t="s">
        <v>582</v>
      </c>
      <c r="S75" s="5">
        <f>($P52-$P53)*SIN(S45)</f>
        <v>0</v>
      </c>
      <c r="T75" s="5">
        <f>($P52-$P53)*SIN(T45)</f>
        <v>-7.3508907294517201E-17</v>
      </c>
      <c r="U75" s="5">
        <f>($P52-$P53)*SIN(U45)</f>
        <v>-0.51961524227066325</v>
      </c>
      <c r="V75" s="5">
        <f>($P52-$P53)*SIN(V45)</f>
        <v>0.51961524227066325</v>
      </c>
      <c r="W75" s="6"/>
      <c r="Y75" s="3"/>
      <c r="AE75" s="2"/>
      <c r="AF75" s="16"/>
      <c r="AG75" s="26"/>
      <c r="AH75" s="22"/>
      <c r="AI75" s="22"/>
      <c r="AJ75" s="22"/>
      <c r="AK75" s="16" t="s">
        <v>583</v>
      </c>
    </row>
    <row r="76" spans="10:37">
      <c r="J76" s="3" t="s">
        <v>274</v>
      </c>
      <c r="K76" s="4">
        <f>$F$28</f>
        <v>1.2</v>
      </c>
      <c r="L76" s="4">
        <f>K76</f>
        <v>1.2</v>
      </c>
      <c r="M76" s="4">
        <f>L76/K76</f>
        <v>1</v>
      </c>
      <c r="N76" s="3" t="s">
        <v>1422</v>
      </c>
      <c r="O76" s="7">
        <f>(O70*K61+O71*K63)</f>
        <v>2.2466193342145733</v>
      </c>
      <c r="P76" s="7">
        <f>(P70*L61+P71*L63)</f>
        <v>-4.9350922720707286</v>
      </c>
      <c r="Q76" s="4">
        <f t="shared" si="22"/>
        <v>-2.196674886979042</v>
      </c>
      <c r="R76" s="3" t="s">
        <v>584</v>
      </c>
      <c r="S76" s="11">
        <f>(S54*S70+S56*S71+S58*S72)*S50</f>
        <v>1.0007889699787783E-7</v>
      </c>
      <c r="T76" s="11">
        <f>(T54*T70+T56*T71+T58*T72)*T50</f>
        <v>2.201167555469825E-6</v>
      </c>
      <c r="U76" s="11">
        <f>(U54*U70+U56*U71+U58*U72)*U50</f>
        <v>8.5045755755065531E-7</v>
      </c>
      <c r="V76" s="11">
        <f>(V54*V70+V56*V71+V58*V72)*V50</f>
        <v>8.5045755755065531E-7</v>
      </c>
      <c r="W76"/>
      <c r="Y76" s="5"/>
      <c r="AF76" s="3" t="s">
        <v>1424</v>
      </c>
      <c r="AG76" s="11">
        <f>(AG72^2-AG69/AG53)^0.5-AG72</f>
        <v>1.4912486920655469E-2</v>
      </c>
      <c r="AH76" s="11">
        <f>(AH72^2-AH69/AH53)^0.5-AH72</f>
        <v>1.6969579585017991E-2</v>
      </c>
      <c r="AI76" s="11">
        <f>(AI72^2-AI69/AI53)^0.5-AI72</f>
        <v>1.6417556669975901E-2</v>
      </c>
      <c r="AJ76" s="11">
        <f>(AJ72^2-AJ69/AJ53)^0.5-AJ72</f>
        <v>1.6417556669975901E-2</v>
      </c>
      <c r="AK76" s="82">
        <f>MIN(AG77:AJ77)</f>
        <v>1.4912486920655469E-2</v>
      </c>
    </row>
    <row r="77" spans="10:37">
      <c r="J77" s="3" t="s">
        <v>1195</v>
      </c>
      <c r="K77" s="4">
        <f>(K75-K76*(1-$K$50))/$K$50</f>
        <v>1.9017543859649126</v>
      </c>
      <c r="L77" s="4">
        <f>K77</f>
        <v>1.9017543859649126</v>
      </c>
      <c r="M77" s="4">
        <f>L77/K77</f>
        <v>1</v>
      </c>
      <c r="N77" s="3" t="s">
        <v>1426</v>
      </c>
      <c r="O77" s="7">
        <f>(O70*K63+O71*K62)</f>
        <v>37.312987881458291</v>
      </c>
      <c r="P77" s="7">
        <f>(P70*L63+P71*L62)</f>
        <v>7.7759136955407886</v>
      </c>
      <c r="Q77" s="4">
        <f t="shared" si="22"/>
        <v>0.2083969721278961</v>
      </c>
      <c r="R77" s="3" t="s">
        <v>585</v>
      </c>
      <c r="S77" s="11">
        <f>(S56*S70+S55*S71+S59*S72)*S50</f>
        <v>1.100583777734919E-6</v>
      </c>
      <c r="T77" s="11">
        <f>(T56*T70+T55*T71+T59*T72)*T50</f>
        <v>2.0015779399575566E-7</v>
      </c>
      <c r="U77" s="11">
        <f>(U56*U70+U55*U71+U59*U72)*U50</f>
        <v>3.5020511718214002E-7</v>
      </c>
      <c r="V77" s="11">
        <f>(V56*V70+V55*V71+V59*V72)*V50</f>
        <v>3.5020511718214002E-7</v>
      </c>
      <c r="W77"/>
      <c r="Y77" s="5"/>
      <c r="AF77" s="3"/>
      <c r="AG77" s="11">
        <f>IF(AG42=0,1000000000,AG76)</f>
        <v>1.4912486920655469E-2</v>
      </c>
      <c r="AH77" s="11">
        <f>IF(AH42=0,1000000000,AH76)</f>
        <v>1.6969579585017991E-2</v>
      </c>
      <c r="AI77" s="11">
        <f>IF(AI42=0,1000000000,AI76)</f>
        <v>1.6417556669975901E-2</v>
      </c>
      <c r="AJ77" s="11">
        <f>IF(AJ42=0,1000000000,AJ76)</f>
        <v>1.6417556669975901E-2</v>
      </c>
    </row>
    <row r="78" spans="10:37">
      <c r="R78" s="3" t="s">
        <v>586</v>
      </c>
      <c r="S78" s="11">
        <f>(S58*S70+S59*S71+S57*S72)*S50</f>
        <v>0</v>
      </c>
      <c r="T78" s="11">
        <f>(T58*T70+T59*T71+T57*T72)*T50</f>
        <v>-1.2257670087635108E-22</v>
      </c>
      <c r="U78" s="11">
        <f>(U58*U70+U59*U71+U57*U72)*U50</f>
        <v>-4.3323132166429691E-7</v>
      </c>
      <c r="V78" s="11">
        <f>(V58*V70+V59*V71+V57*V72)*V50</f>
        <v>4.3323132166429691E-7</v>
      </c>
      <c r="W78"/>
      <c r="Y78" s="5"/>
      <c r="AG78" s="11">
        <f>IF(AG42=0,0,AG76)</f>
        <v>1.4912486920655469E-2</v>
      </c>
      <c r="AH78" s="11">
        <f>IF(AH42=0,0,AH76)</f>
        <v>1.6969579585017991E-2</v>
      </c>
      <c r="AI78" s="11">
        <f>IF(AI42=0,0,AI76)</f>
        <v>1.6417556669975901E-2</v>
      </c>
      <c r="AJ78" s="11">
        <f>IF(AJ42=0,0,AJ76)</f>
        <v>1.6417556669975901E-2</v>
      </c>
    </row>
    <row r="79" spans="10:37">
      <c r="R79" s="3" t="s">
        <v>587</v>
      </c>
      <c r="S79" s="11">
        <f>(S54*S73+S56*S74+S58*S75)*S50</f>
        <v>1.4527066675167162E-3</v>
      </c>
      <c r="T79" s="11">
        <f>(T54*T73+T56*T74+T58*T75)*T50</f>
        <v>5.8695218889564187E-2</v>
      </c>
      <c r="U79" s="11">
        <f>(U54*U73+U56*U74+U58*U75)*U50</f>
        <v>2.2373883750465808E-2</v>
      </c>
      <c r="V79" s="11">
        <f>(V54*V73+V56*V74+V58*V75)*V50</f>
        <v>2.2373883750465808E-2</v>
      </c>
      <c r="W79"/>
      <c r="X79" s="2"/>
    </row>
    <row r="80" spans="10:37">
      <c r="R80" s="3" t="s">
        <v>588</v>
      </c>
      <c r="S80" s="11">
        <f>(S56*S73+S55*S74+S59*S75)*S50</f>
        <v>2.9347609444782274E-2</v>
      </c>
      <c r="T80" s="11">
        <f>(T56*T73+T55*T74+T59*T75)*T50</f>
        <v>2.9054133350334332E-3</v>
      </c>
      <c r="U80" s="11">
        <f>(U56*U73+U55*U74+U59*U75)*U50</f>
        <v>8.4264323618330923E-3</v>
      </c>
      <c r="V80" s="11">
        <f>(V56*V73+V55*V74+V59*V75)*V50</f>
        <v>8.4264323618330923E-3</v>
      </c>
      <c r="W80"/>
      <c r="X80" s="2"/>
      <c r="Y80" s="5"/>
    </row>
    <row r="81" spans="18:25">
      <c r="R81" s="2" t="s">
        <v>589</v>
      </c>
      <c r="S81" s="2">
        <f>(S58*S73+S59*S74+S57*S75)*S50</f>
        <v>0</v>
      </c>
      <c r="T81" s="2">
        <f>(T58*T73+T59*T74+T57*T75)*T50</f>
        <v>-3.417539703739284E-18</v>
      </c>
      <c r="U81" s="2">
        <f>(U58*U73+U59*U74+U57*U75)*U50</f>
        <v>-1.2078847220604505E-2</v>
      </c>
      <c r="V81" s="2">
        <f>(V58*V73+V59*V74+V57*V75)*V50</f>
        <v>1.2078847220604505E-2</v>
      </c>
      <c r="W81"/>
      <c r="X81" s="2"/>
      <c r="Y81" s="5"/>
    </row>
    <row r="82" spans="18:25">
      <c r="R82" s="3"/>
      <c r="S82" s="6" t="s">
        <v>1408</v>
      </c>
      <c r="T82" s="6" t="s">
        <v>1409</v>
      </c>
      <c r="U82" s="6" t="s">
        <v>1410</v>
      </c>
      <c r="V82" s="6" t="s">
        <v>1411</v>
      </c>
      <c r="W82"/>
      <c r="X82"/>
      <c r="Y82" s="5"/>
    </row>
    <row r="83" spans="18:25">
      <c r="R83" s="3">
        <v>1</v>
      </c>
      <c r="S83" s="22">
        <f>SUM(S76:V76)</f>
        <v>4.0021615675690135E-6</v>
      </c>
      <c r="T83" s="11">
        <f>SUM(S79:V79)</f>
        <v>0.10489569305801252</v>
      </c>
      <c r="U83" s="11">
        <f>(U62*S83+U64*S84+U66*S85)*1000000</f>
        <v>1.4168119214195625</v>
      </c>
      <c r="V83" s="11">
        <f>U62*T83+U64*T84+U66*T85</f>
        <v>3.7281456977390479E-2</v>
      </c>
      <c r="W83"/>
      <c r="X83"/>
      <c r="Y83" s="5"/>
    </row>
    <row r="84" spans="18:25">
      <c r="R84" s="3">
        <v>2</v>
      </c>
      <c r="S84" s="22">
        <f>SUM(S77:V77)</f>
        <v>2.0011518060949548E-6</v>
      </c>
      <c r="T84" s="11">
        <f>SUM(S80:V80)</f>
        <v>4.9105887503481882E-2</v>
      </c>
      <c r="U84" s="11">
        <f>(S83*U64+U63*S84+U67*S85)*1000000</f>
        <v>0.11131560098276348</v>
      </c>
      <c r="V84" s="11">
        <f>U64*T83+U63*T84+U67*T85</f>
        <v>2.4372491365506118E-3</v>
      </c>
      <c r="W84"/>
      <c r="X84"/>
    </row>
    <row r="85" spans="18:25">
      <c r="R85" s="3">
        <v>6</v>
      </c>
      <c r="S85" s="22">
        <f>SUM(S78:V78)</f>
        <v>0</v>
      </c>
      <c r="T85" s="11">
        <f>SUM(S81:V81)</f>
        <v>0</v>
      </c>
      <c r="U85" s="11">
        <f>(U66*S83+U67*S84+U65*S85)*1000000</f>
        <v>-2.570528275565702E-17</v>
      </c>
      <c r="V85" s="11">
        <f>U66*T83+U67*T84+U65*T85</f>
        <v>-5.6281579264631012E-19</v>
      </c>
      <c r="W85"/>
      <c r="X85"/>
    </row>
    <row r="86" spans="18:25">
      <c r="S86" s="6" t="s">
        <v>1419</v>
      </c>
      <c r="T86" s="6" t="s">
        <v>1420</v>
      </c>
    </row>
    <row r="87" spans="18:25">
      <c r="R87" s="3">
        <v>1</v>
      </c>
      <c r="S87" s="5">
        <f>$P$46*S83+$P$42*T83</f>
        <v>-1.9591061687235982E-4</v>
      </c>
      <c r="T87" s="5">
        <f>$P$46*U83/1000000+$P$42*V83</f>
        <v>-6.8618860968568845E-5</v>
      </c>
      <c r="U87" s="6" t="s">
        <v>1423</v>
      </c>
      <c r="V87" s="5">
        <f>$P$46*$P$49/1000000+$P$42*$P$52</f>
        <v>-3.6000000000000003E-6</v>
      </c>
    </row>
    <row r="88" spans="18:25">
      <c r="R88" s="3">
        <v>2</v>
      </c>
      <c r="S88" s="5">
        <f>$P$46*S84+$P$42*T84</f>
        <v>-1.1467788757968243E-4</v>
      </c>
      <c r="T88" s="5">
        <f>$P$46*U84/1000000+$P$42*V84</f>
        <v>-7.8505624941443678E-6</v>
      </c>
      <c r="U88" s="6" t="s">
        <v>1427</v>
      </c>
      <c r="V88" s="5">
        <f>$P$46*$P$50/1000000+$P$42*$P$53</f>
        <v>-1.0499999999999997E-3</v>
      </c>
    </row>
    <row r="89" spans="18:25">
      <c r="R89" s="3">
        <v>6</v>
      </c>
      <c r="S89" s="5">
        <f>$P$46*S85+$P$42*T85</f>
        <v>0</v>
      </c>
      <c r="T89" s="5">
        <f>$P$46*U85/1000000+$P$42*V85</f>
        <v>1.8128719327867136E-21</v>
      </c>
      <c r="U89" s="6" t="s">
        <v>1429</v>
      </c>
      <c r="V89" s="5">
        <f>0</f>
        <v>0</v>
      </c>
    </row>
  </sheetData>
  <phoneticPr fontId="5" type="noConversion"/>
  <printOptions headings="1" gridLines="1" gridLinesSet="0"/>
  <pageMargins left="0.5" right="0.75" top="1" bottom="1" header="0.5" footer="0.5"/>
  <pageSetup orientation="portrait"/>
  <headerFooter alignWithMargins="0">
    <oddHeader>&amp;F</oddHeader>
    <oddFooter>Page &amp;P</oddFooter>
  </headerFooter>
  <rowBreaks count="2" manualBreakCount="2">
    <brk id="39" max="65535" man="1"/>
    <brk id="78" max="65535" man="1"/>
  </rowBreaks>
  <colBreaks count="4" manualBreakCount="4">
    <brk id="9" max="1048575" man="1"/>
    <brk id="17" max="1048575" man="1"/>
    <brk id="24" max="1048575" man="1"/>
    <brk id="31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Line="0" autoPict="0" macro="[0]!SelectMaterial">
                <anchor moveWithCells="1" sizeWithCells="1">
                  <from>
                    <xdr:col>5</xdr:col>
                    <xdr:colOff>83820</xdr:colOff>
                    <xdr:row>0</xdr:row>
                    <xdr:rowOff>38100</xdr:rowOff>
                  </from>
                  <to>
                    <xdr:col>6</xdr:col>
                    <xdr:colOff>495300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76200</xdr:colOff>
                    <xdr:row>0</xdr:row>
                    <xdr:rowOff>7620</xdr:rowOff>
                  </from>
                  <to>
                    <xdr:col>8</xdr:col>
                    <xdr:colOff>617220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autoPageBreaks="0"/>
  </sheetPr>
  <dimension ref="A1:BA870"/>
  <sheetViews>
    <sheetView workbookViewId="0"/>
  </sheetViews>
  <sheetFormatPr defaultColWidth="14" defaultRowHeight="12.6"/>
  <cols>
    <col min="1" max="1" width="7.08984375" style="138" customWidth="1"/>
    <col min="2" max="2" width="6" style="138" customWidth="1"/>
    <col min="3" max="3" width="7.90625" style="138" customWidth="1"/>
    <col min="4" max="4" width="8.453125" style="138" customWidth="1"/>
    <col min="5" max="5" width="7.6328125" style="138" customWidth="1"/>
    <col min="6" max="7" width="7.08984375" style="138" customWidth="1"/>
    <col min="8" max="8" width="7.6328125" style="138" customWidth="1"/>
    <col min="9" max="9" width="7.08984375" style="138" customWidth="1"/>
    <col min="10" max="10" width="6.6328125" style="138" customWidth="1"/>
    <col min="11" max="11" width="7.08984375" style="138" customWidth="1"/>
    <col min="12" max="17" width="6.6328125" style="138" customWidth="1"/>
    <col min="18" max="18" width="7.08984375" style="138" customWidth="1"/>
    <col min="19" max="20" width="7.08984375" style="141" customWidth="1"/>
    <col min="21" max="21" width="8.6328125" style="138" customWidth="1"/>
    <col min="22" max="22" width="7.08984375" style="138" customWidth="1"/>
    <col min="23" max="24" width="7.08984375" style="141" customWidth="1"/>
    <col min="25" max="25" width="7.08984375" style="138" customWidth="1"/>
    <col min="26" max="28" width="7.6328125" style="138" customWidth="1"/>
    <col min="29" max="29" width="10" style="138" customWidth="1"/>
    <col min="30" max="31" width="7.6328125" style="138" customWidth="1"/>
    <col min="32" max="32" width="7.6328125" style="141" customWidth="1"/>
    <col min="33" max="33" width="7.6328125" style="138" customWidth="1"/>
    <col min="34" max="34" width="9.90625" style="138" customWidth="1"/>
    <col min="35" max="38" width="7.6328125" style="138" customWidth="1"/>
    <col min="39" max="39" width="8.453125" style="138" customWidth="1"/>
    <col min="40" max="40" width="8.08984375" style="138" customWidth="1"/>
    <col min="41" max="41" width="8.90625" style="138" customWidth="1"/>
    <col min="42" max="43" width="8.6328125" style="138" customWidth="1"/>
    <col min="44" max="45" width="9.6328125" style="138" customWidth="1"/>
    <col min="46" max="46" width="10.08984375" style="138" customWidth="1"/>
    <col min="47" max="47" width="10" style="138" customWidth="1"/>
    <col min="48" max="53" width="6.6328125" style="138" customWidth="1"/>
    <col min="54" max="16384" width="14" style="138"/>
  </cols>
  <sheetData>
    <row r="1" spans="1:53" ht="24" customHeight="1">
      <c r="A1" s="137" t="s">
        <v>631</v>
      </c>
      <c r="I1" s="138" t="s">
        <v>632</v>
      </c>
      <c r="J1" s="137" t="s">
        <v>633</v>
      </c>
      <c r="K1" s="139"/>
      <c r="L1" s="139"/>
      <c r="N1" s="138" t="s">
        <v>1551</v>
      </c>
      <c r="P1" s="140"/>
      <c r="R1" s="138" t="s">
        <v>634</v>
      </c>
      <c r="Z1" s="138" t="s">
        <v>635</v>
      </c>
      <c r="AG1" s="138" t="s">
        <v>636</v>
      </c>
      <c r="AM1" s="138" t="s">
        <v>637</v>
      </c>
      <c r="AN1" s="141"/>
      <c r="AO1" s="141"/>
      <c r="AR1" s="141"/>
      <c r="AS1" s="141"/>
      <c r="AV1" s="142"/>
    </row>
    <row r="2" spans="1:53">
      <c r="A2" s="138" t="s">
        <v>638</v>
      </c>
      <c r="C2" s="143" t="s">
        <v>1562</v>
      </c>
      <c r="D2" s="143" t="s">
        <v>1563</v>
      </c>
      <c r="E2" s="143" t="s">
        <v>1564</v>
      </c>
      <c r="F2" s="143" t="s">
        <v>1565</v>
      </c>
      <c r="I2" s="142">
        <v>10</v>
      </c>
      <c r="J2" s="139" t="str">
        <f>A111</f>
        <v>T3/N52[SI]</v>
      </c>
      <c r="K2" s="137"/>
      <c r="L2" s="139"/>
      <c r="N2" s="139" t="s">
        <v>596</v>
      </c>
      <c r="O2" s="144">
        <f>G112</f>
        <v>22</v>
      </c>
      <c r="P2" s="144">
        <f>B60</f>
        <v>22</v>
      </c>
      <c r="Q2" s="145">
        <f t="shared" ref="Q2:Q7" si="0">P2/O2</f>
        <v>1</v>
      </c>
      <c r="R2" s="137"/>
      <c r="X2" s="143"/>
      <c r="Z2" s="139" t="s">
        <v>531</v>
      </c>
      <c r="AA2" s="146">
        <f t="shared" ref="AA2:AD4" si="1">S4</f>
        <v>45</v>
      </c>
      <c r="AB2" s="146">
        <f t="shared" si="1"/>
        <v>90</v>
      </c>
      <c r="AC2" s="146">
        <f t="shared" si="1"/>
        <v>45</v>
      </c>
      <c r="AD2" s="146">
        <f t="shared" si="1"/>
        <v>-45</v>
      </c>
      <c r="AE2" s="139" t="s">
        <v>532</v>
      </c>
      <c r="AF2" s="143" t="s">
        <v>533</v>
      </c>
      <c r="AG2" s="139" t="s">
        <v>531</v>
      </c>
      <c r="AH2" s="146">
        <f t="shared" ref="AH2:AK4" si="2">AA2</f>
        <v>45</v>
      </c>
      <c r="AI2" s="146">
        <f t="shared" si="2"/>
        <v>90</v>
      </c>
      <c r="AJ2" s="146">
        <f t="shared" si="2"/>
        <v>45</v>
      </c>
      <c r="AK2" s="146">
        <f t="shared" si="2"/>
        <v>-45</v>
      </c>
      <c r="AM2" s="137"/>
      <c r="AN2" s="141"/>
      <c r="AO2" s="141"/>
      <c r="AR2" s="141"/>
      <c r="AS2" s="143"/>
      <c r="AV2" s="147"/>
      <c r="AW2" s="147"/>
      <c r="AX2" s="147"/>
      <c r="BA2" s="147"/>
    </row>
    <row r="3" spans="1:53">
      <c r="A3" s="139" t="s">
        <v>639</v>
      </c>
      <c r="B3" s="137" t="s">
        <v>640</v>
      </c>
      <c r="C3" s="148">
        <v>45</v>
      </c>
      <c r="D3" s="148">
        <v>90</v>
      </c>
      <c r="E3" s="148">
        <v>45</v>
      </c>
      <c r="F3" s="148">
        <v>-45</v>
      </c>
      <c r="G3" s="137" t="s">
        <v>641</v>
      </c>
      <c r="H3" s="137" t="s">
        <v>642</v>
      </c>
      <c r="I3" s="137" t="s">
        <v>643</v>
      </c>
      <c r="J3" s="139"/>
      <c r="K3" s="139"/>
      <c r="L3" s="139"/>
      <c r="N3" s="139" t="s">
        <v>600</v>
      </c>
      <c r="O3" s="147">
        <f>H112</f>
        <v>5.0000000000000001E-3</v>
      </c>
      <c r="P3" s="147">
        <f>C60</f>
        <v>5.0000000000000001E-3</v>
      </c>
      <c r="Q3" s="145">
        <f t="shared" si="0"/>
        <v>1</v>
      </c>
      <c r="R3" s="139" t="s">
        <v>243</v>
      </c>
      <c r="S3" s="143" t="s">
        <v>1562</v>
      </c>
      <c r="T3" s="143" t="s">
        <v>1563</v>
      </c>
      <c r="U3" s="143" t="s">
        <v>1564</v>
      </c>
      <c r="V3" s="143" t="s">
        <v>1565</v>
      </c>
      <c r="W3" s="143"/>
      <c r="X3" s="143"/>
      <c r="Z3" s="139" t="s">
        <v>536</v>
      </c>
      <c r="AA3" s="146">
        <f t="shared" si="1"/>
        <v>2</v>
      </c>
      <c r="AB3" s="146">
        <f t="shared" si="1"/>
        <v>0</v>
      </c>
      <c r="AC3" s="146">
        <f t="shared" si="1"/>
        <v>0</v>
      </c>
      <c r="AD3" s="146">
        <f t="shared" si="1"/>
        <v>0</v>
      </c>
      <c r="AE3" s="139">
        <f>W5</f>
        <v>1</v>
      </c>
      <c r="AF3" s="146">
        <f>X5</f>
        <v>0</v>
      </c>
      <c r="AG3" s="139" t="s">
        <v>536</v>
      </c>
      <c r="AH3" s="146">
        <f t="shared" si="2"/>
        <v>2</v>
      </c>
      <c r="AI3" s="146">
        <f t="shared" si="2"/>
        <v>0</v>
      </c>
      <c r="AJ3" s="146">
        <f t="shared" si="2"/>
        <v>0</v>
      </c>
      <c r="AK3" s="146">
        <f t="shared" si="2"/>
        <v>0</v>
      </c>
      <c r="AM3" s="139" t="s">
        <v>243</v>
      </c>
      <c r="AN3" s="143" t="s">
        <v>1562</v>
      </c>
      <c r="AO3" s="143" t="s">
        <v>1563</v>
      </c>
      <c r="AP3" s="143" t="s">
        <v>1564</v>
      </c>
      <c r="AQ3" s="143" t="s">
        <v>1565</v>
      </c>
      <c r="AR3" s="143"/>
      <c r="AS3" s="143"/>
      <c r="AV3" s="147"/>
      <c r="AW3" s="147"/>
      <c r="AX3" s="147"/>
      <c r="BA3" s="147"/>
    </row>
    <row r="4" spans="1:53">
      <c r="A4" s="137" t="str">
        <f>J2</f>
        <v>T3/N52[SI]</v>
      </c>
      <c r="B4" s="137" t="s">
        <v>644</v>
      </c>
      <c r="C4" s="149">
        <v>2</v>
      </c>
      <c r="D4" s="149">
        <v>0</v>
      </c>
      <c r="E4" s="149">
        <v>0</v>
      </c>
      <c r="F4" s="149">
        <v>0</v>
      </c>
      <c r="G4" s="150">
        <v>1</v>
      </c>
      <c r="H4" s="151">
        <f>2*(C4+D4+E4+F4)*G4</f>
        <v>4</v>
      </c>
      <c r="I4" s="152">
        <v>0</v>
      </c>
      <c r="J4" s="139" t="s">
        <v>1553</v>
      </c>
      <c r="K4" s="139" t="s">
        <v>1554</v>
      </c>
      <c r="L4" s="139" t="s">
        <v>1555</v>
      </c>
      <c r="M4" s="153" t="s">
        <v>1556</v>
      </c>
      <c r="N4" s="139" t="s">
        <v>1557</v>
      </c>
      <c r="O4" s="144">
        <f>G111</f>
        <v>122</v>
      </c>
      <c r="P4" s="144">
        <f>O4</f>
        <v>122</v>
      </c>
      <c r="Q4" s="145">
        <f t="shared" si="0"/>
        <v>1</v>
      </c>
      <c r="R4" s="139" t="s">
        <v>537</v>
      </c>
      <c r="S4" s="154">
        <f>C3+I4</f>
        <v>45</v>
      </c>
      <c r="T4" s="154">
        <f>D3+I4</f>
        <v>90</v>
      </c>
      <c r="U4" s="154">
        <f>E3+I4</f>
        <v>45</v>
      </c>
      <c r="V4" s="154">
        <f>F3+I4</f>
        <v>-45</v>
      </c>
      <c r="W4" s="143" t="s">
        <v>538</v>
      </c>
      <c r="X4" s="143"/>
      <c r="Z4" s="139" t="s">
        <v>539</v>
      </c>
      <c r="AA4" s="146">
        <f t="shared" si="1"/>
        <v>1.5707963267948966</v>
      </c>
      <c r="AB4" s="146">
        <f t="shared" si="1"/>
        <v>3.1415926535897931</v>
      </c>
      <c r="AC4" s="146">
        <f t="shared" si="1"/>
        <v>1.5707963267948966</v>
      </c>
      <c r="AD4" s="146">
        <f t="shared" si="1"/>
        <v>-1.5707963267948966</v>
      </c>
      <c r="AE4" s="139" t="s">
        <v>540</v>
      </c>
      <c r="AF4" s="141">
        <f>X8</f>
        <v>5.0000000000000001E-4</v>
      </c>
      <c r="AG4" s="139" t="s">
        <v>539</v>
      </c>
      <c r="AH4" s="146">
        <f t="shared" si="2"/>
        <v>1.5707963267948966</v>
      </c>
      <c r="AI4" s="146">
        <f t="shared" si="2"/>
        <v>3.1415926535897931</v>
      </c>
      <c r="AJ4" s="146">
        <f t="shared" si="2"/>
        <v>1.5707963267948966</v>
      </c>
      <c r="AK4" s="146">
        <f t="shared" si="2"/>
        <v>-1.5707963267948966</v>
      </c>
      <c r="AM4" s="139" t="s">
        <v>537</v>
      </c>
      <c r="AN4" s="154">
        <f t="shared" ref="AN4:AQ5" si="3">S4</f>
        <v>45</v>
      </c>
      <c r="AO4" s="154">
        <f t="shared" si="3"/>
        <v>90</v>
      </c>
      <c r="AP4" s="154">
        <f t="shared" si="3"/>
        <v>45</v>
      </c>
      <c r="AQ4" s="154">
        <f t="shared" si="3"/>
        <v>-45</v>
      </c>
      <c r="AR4" s="143" t="s">
        <v>538</v>
      </c>
      <c r="AS4" s="155" t="s">
        <v>645</v>
      </c>
      <c r="AT4" s="143" t="s">
        <v>646</v>
      </c>
      <c r="AV4" s="147"/>
      <c r="AW4" s="147"/>
      <c r="AX4" s="147"/>
      <c r="BA4" s="147"/>
    </row>
    <row r="5" spans="1:53">
      <c r="A5" s="139" t="s">
        <v>647</v>
      </c>
      <c r="B5" s="137" t="s">
        <v>640</v>
      </c>
      <c r="C5" s="148">
        <v>0</v>
      </c>
      <c r="D5" s="148">
        <v>-30</v>
      </c>
      <c r="E5" s="148">
        <v>45</v>
      </c>
      <c r="F5" s="148">
        <v>-45</v>
      </c>
      <c r="G5" s="137" t="s">
        <v>641</v>
      </c>
      <c r="H5" s="137" t="s">
        <v>642</v>
      </c>
      <c r="I5" s="137" t="s">
        <v>643</v>
      </c>
      <c r="J5" s="139" t="s">
        <v>298</v>
      </c>
      <c r="K5" s="140">
        <f>B111</f>
        <v>181</v>
      </c>
      <c r="L5" s="140">
        <f>L12*L11</f>
        <v>181.00000000000003</v>
      </c>
      <c r="M5" s="145">
        <f>L5/K5</f>
        <v>1.0000000000000002</v>
      </c>
      <c r="N5" s="139" t="s">
        <v>299</v>
      </c>
      <c r="O5" s="144">
        <f>H111</f>
        <v>160</v>
      </c>
      <c r="P5" s="144">
        <f>O5-H114*(P3)</f>
        <v>150</v>
      </c>
      <c r="Q5" s="145">
        <f t="shared" si="0"/>
        <v>0.9375</v>
      </c>
      <c r="R5" s="139" t="s">
        <v>541</v>
      </c>
      <c r="S5" s="154">
        <f>C4</f>
        <v>2</v>
      </c>
      <c r="T5" s="154">
        <f>D4</f>
        <v>0</v>
      </c>
      <c r="U5" s="154">
        <f>E4</f>
        <v>0</v>
      </c>
      <c r="V5" s="154">
        <f>F4</f>
        <v>0</v>
      </c>
      <c r="W5" s="156">
        <f>G4</f>
        <v>1</v>
      </c>
      <c r="X5" s="146"/>
      <c r="Z5" s="139"/>
      <c r="AA5" s="141">
        <f>AA4/2</f>
        <v>0.78539816339744828</v>
      </c>
      <c r="AB5" s="141">
        <f>AB4/2</f>
        <v>1.5707963267948966</v>
      </c>
      <c r="AC5" s="141">
        <f>AC4/2</f>
        <v>0.78539816339744828</v>
      </c>
      <c r="AD5" s="141">
        <f>AD4/2</f>
        <v>-0.78539816339744828</v>
      </c>
      <c r="AE5" s="143"/>
      <c r="AL5" s="139"/>
      <c r="AM5" s="139" t="s">
        <v>541</v>
      </c>
      <c r="AN5" s="154">
        <f t="shared" si="3"/>
        <v>2</v>
      </c>
      <c r="AO5" s="154">
        <f t="shared" si="3"/>
        <v>0</v>
      </c>
      <c r="AP5" s="154">
        <f t="shared" si="3"/>
        <v>0</v>
      </c>
      <c r="AQ5" s="154">
        <f t="shared" si="3"/>
        <v>0</v>
      </c>
      <c r="AR5" s="156">
        <f>W5</f>
        <v>1</v>
      </c>
      <c r="AS5" s="146">
        <f>SUM(AN5:AQ5)</f>
        <v>2</v>
      </c>
      <c r="AT5" s="157">
        <f>$Y$8</f>
        <v>5.0000000000000001E-4</v>
      </c>
      <c r="AV5" s="147"/>
      <c r="AY5" s="147">
        <v>5.3016666666666676</v>
      </c>
      <c r="AZ5" s="138">
        <v>1.8683333333333334</v>
      </c>
    </row>
    <row r="6" spans="1:53">
      <c r="A6" s="137" t="str">
        <f>J54</f>
        <v>T3/N52[SI]</v>
      </c>
      <c r="B6" s="137" t="s">
        <v>644</v>
      </c>
      <c r="C6" s="149">
        <v>0</v>
      </c>
      <c r="D6" s="149">
        <v>0</v>
      </c>
      <c r="E6" s="149">
        <v>0</v>
      </c>
      <c r="F6" s="149">
        <v>0</v>
      </c>
      <c r="G6" s="150">
        <v>0</v>
      </c>
      <c r="H6" s="151">
        <f>2*(C6+D6+E6+F6)*G6</f>
        <v>0</v>
      </c>
      <c r="I6" s="152">
        <v>0</v>
      </c>
      <c r="J6" s="139" t="s">
        <v>1579</v>
      </c>
      <c r="K6" s="140">
        <f>C111</f>
        <v>10.3</v>
      </c>
      <c r="L6" s="140">
        <f>(1+L15)/(1/L16+L15/L13)</f>
        <v>10.3</v>
      </c>
      <c r="M6" s="145">
        <f>L6/K6</f>
        <v>1</v>
      </c>
      <c r="N6" s="139" t="s">
        <v>1580</v>
      </c>
      <c r="O6" s="140">
        <f>(O5-O2)/(O5-O2)</f>
        <v>1</v>
      </c>
      <c r="P6" s="140">
        <f>(P5-P2)/(P5-O2)</f>
        <v>1</v>
      </c>
      <c r="Q6" s="145">
        <f t="shared" si="0"/>
        <v>1</v>
      </c>
      <c r="R6" s="139" t="s">
        <v>1295</v>
      </c>
      <c r="S6" s="158">
        <f>S4*PI()/90</f>
        <v>1.5707963267948966</v>
      </c>
      <c r="T6" s="158">
        <f>T4*PI()/90</f>
        <v>3.1415926535897931</v>
      </c>
      <c r="U6" s="158">
        <f>U4*PI()/90</f>
        <v>1.5707963267948966</v>
      </c>
      <c r="V6" s="158">
        <f>V4*PI()/90</f>
        <v>-1.5707963267948966</v>
      </c>
      <c r="W6" s="143"/>
      <c r="X6" s="159"/>
      <c r="Y6" s="139"/>
      <c r="Z6" s="137" t="s">
        <v>1297</v>
      </c>
      <c r="AA6" s="143"/>
      <c r="AB6" s="143"/>
      <c r="AC6" s="141"/>
      <c r="AD6" s="141"/>
      <c r="AE6" s="141"/>
      <c r="AG6" s="137" t="s">
        <v>1298</v>
      </c>
      <c r="AL6" s="139"/>
      <c r="AM6" s="138" t="s">
        <v>648</v>
      </c>
      <c r="AN6" s="158">
        <f>AN4*PI()/180</f>
        <v>0.78539816339744828</v>
      </c>
      <c r="AO6" s="158">
        <f>AO4*PI()/180</f>
        <v>1.5707963267948966</v>
      </c>
      <c r="AP6" s="158">
        <f>AP4*PI()/180</f>
        <v>0.78539816339744828</v>
      </c>
      <c r="AQ6" s="158">
        <f>AQ4*PI()/180</f>
        <v>-0.78539816339744828</v>
      </c>
      <c r="AS6" s="160" t="s">
        <v>649</v>
      </c>
      <c r="AT6" s="139" t="s">
        <v>632</v>
      </c>
      <c r="AV6" s="147"/>
      <c r="AY6" s="138">
        <v>1.8683333333333334</v>
      </c>
      <c r="AZ6" s="147">
        <v>5.3016666666666694</v>
      </c>
    </row>
    <row r="7" spans="1:53">
      <c r="A7" s="139" t="s">
        <v>650</v>
      </c>
      <c r="B7" s="137" t="s">
        <v>640</v>
      </c>
      <c r="C7" s="148">
        <v>0</v>
      </c>
      <c r="D7" s="148">
        <v>90</v>
      </c>
      <c r="E7" s="148">
        <v>0</v>
      </c>
      <c r="F7" s="148">
        <v>90</v>
      </c>
      <c r="G7" s="137" t="s">
        <v>641</v>
      </c>
      <c r="H7" s="137" t="s">
        <v>642</v>
      </c>
      <c r="I7" s="137" t="s">
        <v>643</v>
      </c>
      <c r="J7" s="139" t="s">
        <v>259</v>
      </c>
      <c r="K7" s="140">
        <f>D111</f>
        <v>0.28000000000000003</v>
      </c>
      <c r="L7" s="140">
        <f>K7*I60</f>
        <v>0.28000000000000003</v>
      </c>
      <c r="M7" s="145">
        <f>L7/K7</f>
        <v>1</v>
      </c>
      <c r="N7" s="139" t="s">
        <v>260</v>
      </c>
      <c r="O7" s="144">
        <f>O2-O4</f>
        <v>-100</v>
      </c>
      <c r="P7" s="144">
        <f>P2-P4</f>
        <v>-100</v>
      </c>
      <c r="Q7" s="145">
        <f t="shared" si="0"/>
        <v>1</v>
      </c>
      <c r="R7" s="139" t="s">
        <v>1300</v>
      </c>
      <c r="S7" s="158">
        <f>2*S6</f>
        <v>3.1415926535897931</v>
      </c>
      <c r="T7" s="158">
        <f>2*T6</f>
        <v>6.2831853071795862</v>
      </c>
      <c r="U7" s="158">
        <f>2*U6</f>
        <v>3.1415926535897931</v>
      </c>
      <c r="V7" s="158">
        <f>2*V6</f>
        <v>-3.1415926535897931</v>
      </c>
      <c r="W7" s="138" t="s">
        <v>651</v>
      </c>
      <c r="X7" s="143" t="s">
        <v>652</v>
      </c>
      <c r="Y7" s="143" t="s">
        <v>646</v>
      </c>
      <c r="Z7" s="139"/>
      <c r="AA7" s="143" t="s">
        <v>1301</v>
      </c>
      <c r="AB7" s="143"/>
      <c r="AC7" s="161" t="s">
        <v>977</v>
      </c>
      <c r="AD7" s="161"/>
      <c r="AE7" s="143" t="s">
        <v>1303</v>
      </c>
      <c r="AF7" s="143" t="s">
        <v>1304</v>
      </c>
      <c r="AG7" s="139" t="s">
        <v>1305</v>
      </c>
      <c r="AH7" s="147">
        <f t="shared" ref="AH7:AK9" si="4">AA13/1000</f>
        <v>3.9779005524862047E-3</v>
      </c>
      <c r="AI7" s="147">
        <f t="shared" si="4"/>
        <v>-1.997584803985265E-2</v>
      </c>
      <c r="AJ7" s="147">
        <f t="shared" si="4"/>
        <v>3.9779005524862047E-3</v>
      </c>
      <c r="AK7" s="147">
        <f t="shared" si="4"/>
        <v>9.5540417314809695E-2</v>
      </c>
      <c r="AM7" s="139" t="s">
        <v>653</v>
      </c>
      <c r="AN7" s="158">
        <f>COS(AN4*PI()/180)</f>
        <v>0.70710678118654757</v>
      </c>
      <c r="AO7" s="158">
        <f>COS(AO4*PI()/180)</f>
        <v>6.1257422745431001E-17</v>
      </c>
      <c r="AP7" s="158">
        <f>COS(AP4*PI()/180)</f>
        <v>0.70710678118654757</v>
      </c>
      <c r="AQ7" s="158">
        <f>COS(AQ4*PI()/180)</f>
        <v>0.70710678118654757</v>
      </c>
      <c r="AR7" s="143"/>
      <c r="AS7" s="162">
        <f>$L9/1000000/$AT$5*2/AT7</f>
        <v>0.05</v>
      </c>
      <c r="AT7" s="138">
        <f>I2</f>
        <v>10</v>
      </c>
      <c r="AV7" s="147"/>
      <c r="AW7" s="147"/>
      <c r="AX7" s="147"/>
      <c r="BA7" s="147"/>
    </row>
    <row r="8" spans="1:53">
      <c r="A8" s="137" t="str">
        <f>J106</f>
        <v>T3/N52[SI]</v>
      </c>
      <c r="B8" s="137" t="s">
        <v>644</v>
      </c>
      <c r="C8" s="149">
        <v>0</v>
      </c>
      <c r="D8" s="149">
        <v>0</v>
      </c>
      <c r="E8" s="149">
        <v>0</v>
      </c>
      <c r="F8" s="149">
        <v>0</v>
      </c>
      <c r="G8" s="150">
        <v>1</v>
      </c>
      <c r="H8" s="151">
        <f>2*(C8+D8+E8+F8)*G8</f>
        <v>0</v>
      </c>
      <c r="I8" s="152">
        <v>0</v>
      </c>
      <c r="J8" s="139" t="s">
        <v>261</v>
      </c>
      <c r="K8" s="140">
        <f>E111</f>
        <v>7.17</v>
      </c>
      <c r="L8" s="140">
        <f>(1+L18)/(1/L19+L18*2.7/L13)</f>
        <v>7.17</v>
      </c>
      <c r="M8" s="145">
        <f>L8/K8</f>
        <v>1</v>
      </c>
      <c r="N8" s="139"/>
      <c r="O8" s="140"/>
      <c r="P8" s="140"/>
      <c r="Q8" s="140"/>
      <c r="R8" s="139" t="s">
        <v>1321</v>
      </c>
      <c r="S8" s="158">
        <f>2*W5*S5*L9/1000000/Y8</f>
        <v>1</v>
      </c>
      <c r="T8" s="158">
        <f>2*W5*T5*L9/1000000/Y8</f>
        <v>0</v>
      </c>
      <c r="U8" s="158">
        <f>2*W5*U5*L9/1000000/Y8</f>
        <v>0</v>
      </c>
      <c r="V8" s="158">
        <f>2*W5*V5*L9/1000000/Y8</f>
        <v>0</v>
      </c>
      <c r="W8" s="147">
        <f>SUM(S8:V8)</f>
        <v>1</v>
      </c>
      <c r="X8" s="163">
        <f>2*W5*SUM(S5:V5)*L9/1000000</f>
        <v>5.0000000000000001E-4</v>
      </c>
      <c r="Y8" s="147">
        <f>X8+X60+X112+X164+X216+X268+X320+X372+X424+X476+X528+X580+X632+X684+X736+X788</f>
        <v>5.0000000000000001E-4</v>
      </c>
      <c r="Z8" s="139">
        <v>1</v>
      </c>
      <c r="AA8" s="140">
        <f>$B$37</f>
        <v>1</v>
      </c>
      <c r="AB8" s="163"/>
      <c r="AC8" s="140">
        <f>AA8*S17+AA9*S19+AA10*S21</f>
        <v>119.49416590714854</v>
      </c>
      <c r="AD8" s="163"/>
      <c r="AE8" s="159" t="s">
        <v>1306</v>
      </c>
      <c r="AF8" s="163">
        <f>IF(X8=0,0,(AC8+AC9)/2)</f>
        <v>49.759158933647946</v>
      </c>
      <c r="AG8" s="139" t="s">
        <v>1307</v>
      </c>
      <c r="AH8" s="147">
        <f t="shared" si="4"/>
        <v>9.5540417314809681E-2</v>
      </c>
      <c r="AI8" s="147">
        <f t="shared" si="4"/>
        <v>0.11949416590714854</v>
      </c>
      <c r="AJ8" s="147">
        <f t="shared" si="4"/>
        <v>9.5540417314809681E-2</v>
      </c>
      <c r="AK8" s="147">
        <f t="shared" si="4"/>
        <v>3.97790055248619E-3</v>
      </c>
      <c r="AM8" s="139" t="s">
        <v>654</v>
      </c>
      <c r="AN8" s="158">
        <f>SIN(AN4*PI()/180)</f>
        <v>0.70710678118654746</v>
      </c>
      <c r="AO8" s="158">
        <f>SIN(AO4*PI()/180)</f>
        <v>1</v>
      </c>
      <c r="AP8" s="158">
        <f>SIN(AP4*PI()/180)</f>
        <v>0.70710678118654746</v>
      </c>
      <c r="AQ8" s="158">
        <f>SIN(AQ4*PI()/180)</f>
        <v>-0.70710678118654746</v>
      </c>
      <c r="AS8" s="160" t="s">
        <v>655</v>
      </c>
      <c r="AV8" s="142"/>
    </row>
    <row r="9" spans="1:53">
      <c r="A9" s="139" t="s">
        <v>656</v>
      </c>
      <c r="B9" s="137" t="s">
        <v>640</v>
      </c>
      <c r="C9" s="148">
        <v>0</v>
      </c>
      <c r="D9" s="148">
        <v>90</v>
      </c>
      <c r="E9" s="148">
        <v>0</v>
      </c>
      <c r="F9" s="148">
        <v>90</v>
      </c>
      <c r="G9" s="137" t="s">
        <v>641</v>
      </c>
      <c r="H9" s="137" t="s">
        <v>642</v>
      </c>
      <c r="I9" s="137" t="s">
        <v>643</v>
      </c>
      <c r="J9" s="139" t="s">
        <v>262</v>
      </c>
      <c r="K9" s="144">
        <f>B113</f>
        <v>125</v>
      </c>
      <c r="L9" s="144">
        <f>K9/M11</f>
        <v>125</v>
      </c>
      <c r="M9" s="145">
        <f>L9/K9</f>
        <v>1</v>
      </c>
      <c r="N9" s="137" t="s">
        <v>1531</v>
      </c>
      <c r="O9" s="140"/>
      <c r="P9" s="140"/>
      <c r="Q9" s="140"/>
      <c r="R9" s="139" t="s">
        <v>1325</v>
      </c>
      <c r="S9" s="143" t="s">
        <v>1326</v>
      </c>
      <c r="T9" s="143" t="s">
        <v>1327</v>
      </c>
      <c r="U9" s="143" t="s">
        <v>1328</v>
      </c>
      <c r="V9" s="143" t="s">
        <v>1329</v>
      </c>
      <c r="W9" s="143" t="s">
        <v>1330</v>
      </c>
      <c r="X9" s="139" t="s">
        <v>172</v>
      </c>
      <c r="Y9" s="139"/>
      <c r="Z9" s="139">
        <v>2</v>
      </c>
      <c r="AA9" s="140">
        <f>$B$38</f>
        <v>0</v>
      </c>
      <c r="AB9" s="163"/>
      <c r="AC9" s="140">
        <f>AA8*S19+AA9*S18+AA10*S22</f>
        <v>-19.975848039852647</v>
      </c>
      <c r="AD9" s="163"/>
      <c r="AE9" s="159" t="s">
        <v>1309</v>
      </c>
      <c r="AF9" s="163">
        <f>IF(X8=0,0,(AC8-AC9)/2)</f>
        <v>69.735006973500589</v>
      </c>
      <c r="AG9" s="139" t="s">
        <v>1310</v>
      </c>
      <c r="AH9" s="147">
        <f t="shared" si="4"/>
        <v>-0.13947001394700118</v>
      </c>
      <c r="AI9" s="147">
        <f t="shared" si="4"/>
        <v>9.1562516762323479E-2</v>
      </c>
      <c r="AJ9" s="147">
        <f t="shared" si="4"/>
        <v>-0.13947001394700118</v>
      </c>
      <c r="AK9" s="147">
        <f t="shared" si="4"/>
        <v>0.13947001394700118</v>
      </c>
      <c r="AM9" s="139" t="s">
        <v>657</v>
      </c>
      <c r="AN9" s="158">
        <f>S44</f>
        <v>5.3016666666666676</v>
      </c>
      <c r="AO9" s="158">
        <f>T44</f>
        <v>3.433333333333334</v>
      </c>
      <c r="AP9" s="158">
        <f>U44</f>
        <v>5.3016666666666676</v>
      </c>
      <c r="AQ9" s="158">
        <f>V44</f>
        <v>5.3016666666666676</v>
      </c>
      <c r="AR9" s="147"/>
      <c r="AS9" s="138">
        <f>AS5*AS7*AR5</f>
        <v>0.1</v>
      </c>
    </row>
    <row r="10" spans="1:53">
      <c r="A10" s="137" t="str">
        <f>J158</f>
        <v>T3/N52[SI]</v>
      </c>
      <c r="B10" s="137" t="s">
        <v>644</v>
      </c>
      <c r="C10" s="149">
        <v>0</v>
      </c>
      <c r="D10" s="149">
        <v>0</v>
      </c>
      <c r="E10" s="149">
        <v>0</v>
      </c>
      <c r="F10" s="149">
        <v>0</v>
      </c>
      <c r="G10" s="150">
        <v>1</v>
      </c>
      <c r="H10" s="151">
        <f>2*(C10+D10+E10+F10)*G10</f>
        <v>0</v>
      </c>
      <c r="I10" s="152">
        <v>0</v>
      </c>
      <c r="J10" s="137" t="s">
        <v>264</v>
      </c>
      <c r="K10" s="140"/>
      <c r="L10" s="140"/>
      <c r="N10" s="139" t="s">
        <v>265</v>
      </c>
      <c r="O10" s="140">
        <f>A114</f>
        <v>0.02</v>
      </c>
      <c r="P10" s="140">
        <f>O10</f>
        <v>0.02</v>
      </c>
      <c r="Q10" s="140">
        <f>P10/O10</f>
        <v>1</v>
      </c>
      <c r="R10" s="139">
        <v>11</v>
      </c>
      <c r="S10" s="140">
        <f>L27+L28*COS(S6)+L29*COS(S7)</f>
        <v>56.65778661573448</v>
      </c>
      <c r="T10" s="140">
        <f>L27+L28*COS(T6)+L29*COS(T7)</f>
        <v>10.346158729820477</v>
      </c>
      <c r="U10" s="140">
        <f>L27+L28*COS(U6)+L29*COS(U7)</f>
        <v>56.65778661573448</v>
      </c>
      <c r="V10" s="140">
        <f>L27+L28*COS(V6)+L29*COS(V7)</f>
        <v>56.65778661573448</v>
      </c>
      <c r="W10" s="163">
        <f>(S8*S10+T8*T10+U8*U10+V8*V10)</f>
        <v>56.65778661573448</v>
      </c>
      <c r="X10" s="147">
        <f t="shared" ref="X10:X15" si="5">(W10+W62+W114+W166+W218+W270+W322+W374+W426+W478+W530+W582+W634+W686+W738+W790)*Y$8</f>
        <v>2.8328893307867239E-2</v>
      </c>
      <c r="Z10" s="139">
        <v>6</v>
      </c>
      <c r="AA10" s="140">
        <f>$B$39</f>
        <v>0</v>
      </c>
      <c r="AB10" s="163"/>
      <c r="AC10" s="140">
        <f>AA8*S21+AA9*S22+AA10*S20</f>
        <v>-91.562516762323497</v>
      </c>
      <c r="AD10" s="163"/>
      <c r="AE10" s="159" t="s">
        <v>1312</v>
      </c>
      <c r="AF10" s="163">
        <f>IF(X8=0,0,AC10/2)</f>
        <v>-45.781258381161749</v>
      </c>
      <c r="AG10" s="139"/>
      <c r="AH10" s="163"/>
      <c r="AI10" s="163"/>
      <c r="AJ10" s="163"/>
      <c r="AK10" s="163"/>
      <c r="AL10" s="163"/>
      <c r="AM10" s="139" t="s">
        <v>658</v>
      </c>
      <c r="AN10" s="158">
        <f>S43</f>
        <v>5.3016666666666667</v>
      </c>
      <c r="AO10" s="158">
        <f>T43</f>
        <v>7.17</v>
      </c>
      <c r="AP10" s="158">
        <f>U43</f>
        <v>5.3016666666666667</v>
      </c>
      <c r="AQ10" s="158">
        <f>V43</f>
        <v>5.3016666666666667</v>
      </c>
    </row>
    <row r="11" spans="1:53">
      <c r="A11" s="139" t="s">
        <v>659</v>
      </c>
      <c r="B11" s="137" t="s">
        <v>640</v>
      </c>
      <c r="C11" s="148">
        <v>0</v>
      </c>
      <c r="D11" s="148">
        <v>90</v>
      </c>
      <c r="E11" s="148">
        <v>0</v>
      </c>
      <c r="F11" s="148">
        <v>90</v>
      </c>
      <c r="G11" s="137" t="s">
        <v>641</v>
      </c>
      <c r="H11" s="137" t="s">
        <v>642</v>
      </c>
      <c r="I11" s="137" t="s">
        <v>643</v>
      </c>
      <c r="J11" s="139" t="s">
        <v>1532</v>
      </c>
      <c r="K11" s="140">
        <f>C113</f>
        <v>0.7</v>
      </c>
      <c r="L11" s="140">
        <f>D60</f>
        <v>0.7</v>
      </c>
      <c r="M11" s="145">
        <f t="shared" ref="M11:M20" si="6">L11/K11</f>
        <v>1</v>
      </c>
      <c r="N11" s="139" t="s">
        <v>1533</v>
      </c>
      <c r="O11" s="140">
        <f>B114</f>
        <v>22.5</v>
      </c>
      <c r="P11" s="140">
        <f>O11*(1-L11)/(1-K11)</f>
        <v>22.5</v>
      </c>
      <c r="Q11" s="140">
        <f>P11/O11</f>
        <v>1</v>
      </c>
      <c r="R11" s="139">
        <v>22</v>
      </c>
      <c r="S11" s="140">
        <f>S10-2*L28*COS(S6)</f>
        <v>56.657786615734473</v>
      </c>
      <c r="T11" s="140">
        <f>T10-2*L28*COS(T6)</f>
        <v>181.81113884441794</v>
      </c>
      <c r="U11" s="140">
        <f>U10-2*L28*COS(U6)</f>
        <v>56.657786615734473</v>
      </c>
      <c r="V11" s="140">
        <f>V10-2*L28*COS(V6)</f>
        <v>56.657786615734473</v>
      </c>
      <c r="W11" s="163">
        <f>(S8*S11+T8*T11+U8*U11+V8*V11)</f>
        <v>56.657786615734473</v>
      </c>
      <c r="X11" s="147">
        <f t="shared" si="5"/>
        <v>2.8328893307867236E-2</v>
      </c>
      <c r="AA11" s="163"/>
      <c r="AB11" s="163"/>
      <c r="AC11" s="163"/>
      <c r="AD11" s="163"/>
      <c r="AE11" s="159"/>
      <c r="AF11" s="163"/>
      <c r="AG11" s="139"/>
      <c r="AH11" s="163"/>
      <c r="AI11" s="163"/>
      <c r="AJ11" s="163"/>
      <c r="AK11" s="163"/>
      <c r="AL11" s="163"/>
      <c r="AM11" s="139" t="s">
        <v>660</v>
      </c>
      <c r="AN11" s="158">
        <f>S49</f>
        <v>1.868333333333333</v>
      </c>
      <c r="AO11" s="158">
        <f>T49</f>
        <v>2.2889856965876046E-16</v>
      </c>
      <c r="AP11" s="158">
        <f>U49</f>
        <v>1.868333333333333</v>
      </c>
      <c r="AQ11" s="158">
        <f>V49</f>
        <v>-1.868333333333333</v>
      </c>
    </row>
    <row r="12" spans="1:53">
      <c r="A12" s="137" t="str">
        <f>J210</f>
        <v>T3/N52[SI]</v>
      </c>
      <c r="B12" s="137" t="s">
        <v>644</v>
      </c>
      <c r="C12" s="149">
        <v>0</v>
      </c>
      <c r="D12" s="149">
        <v>0</v>
      </c>
      <c r="E12" s="149">
        <v>0</v>
      </c>
      <c r="F12" s="149">
        <v>0</v>
      </c>
      <c r="G12" s="150">
        <v>1</v>
      </c>
      <c r="H12" s="151">
        <f>2*(C12+D12+E12+F12)*G12</f>
        <v>0</v>
      </c>
      <c r="I12" s="152">
        <v>0</v>
      </c>
      <c r="J12" s="139" t="s">
        <v>1534</v>
      </c>
      <c r="K12" s="144">
        <f>K5/K11</f>
        <v>258.57142857142861</v>
      </c>
      <c r="L12" s="144">
        <f>F60*P6^F114</f>
        <v>258.57142857142861</v>
      </c>
      <c r="M12" s="145">
        <f t="shared" si="6"/>
        <v>1</v>
      </c>
      <c r="N12" s="138" t="s">
        <v>1535</v>
      </c>
      <c r="O12" s="140"/>
      <c r="P12" s="140"/>
      <c r="Q12" s="140"/>
      <c r="R12" s="139" t="s">
        <v>1345</v>
      </c>
      <c r="S12" s="140">
        <f>L30-L29*COS(S7)</f>
        <v>42.317786615734462</v>
      </c>
      <c r="T12" s="140">
        <f>L30-L29*COS(T7)</f>
        <v>2.8969244443497324</v>
      </c>
      <c r="U12" s="140">
        <f>L30-L29*COS(U7)</f>
        <v>42.317786615734462</v>
      </c>
      <c r="V12" s="140">
        <f>L30-L29*COS(V7)</f>
        <v>42.317786615734462</v>
      </c>
      <c r="W12" s="163">
        <f>(S8*S12+T8*T12+U8*U12+V8*V12)</f>
        <v>42.317786615734462</v>
      </c>
      <c r="X12" s="147">
        <f t="shared" si="5"/>
        <v>2.1158893307867233E-2</v>
      </c>
      <c r="Z12" s="137" t="s">
        <v>1323</v>
      </c>
      <c r="AA12" s="163"/>
      <c r="AB12" s="163"/>
      <c r="AC12" s="163"/>
      <c r="AD12" s="163"/>
      <c r="AE12" s="159" t="s">
        <v>661</v>
      </c>
      <c r="AF12" s="163">
        <f>L7/L5*L22+L20/L6*L24</f>
        <v>0.42188220063345594</v>
      </c>
      <c r="AG12" s="139"/>
      <c r="AH12" s="163"/>
      <c r="AI12" s="163"/>
      <c r="AJ12" s="163"/>
      <c r="AK12" s="163"/>
      <c r="AL12" s="163"/>
      <c r="AM12" s="139" t="s">
        <v>662</v>
      </c>
      <c r="AN12" s="158">
        <f>AN9/(AN9*AN10-AN11^2)</f>
        <v>0.21536607493466572</v>
      </c>
      <c r="AO12" s="158">
        <f>AO9/(AO9*AO10-AO11^2)</f>
        <v>0.1394700139470014</v>
      </c>
      <c r="AP12" s="158">
        <f>AP9/(AP9*AP10-AP11^2)</f>
        <v>0.21536607493466572</v>
      </c>
      <c r="AQ12" s="158">
        <f>AQ9/(AQ9*AQ10-AQ11^2)</f>
        <v>0.21536607493466572</v>
      </c>
    </row>
    <row r="13" spans="1:53">
      <c r="A13" s="139" t="s">
        <v>663</v>
      </c>
      <c r="B13" s="137" t="s">
        <v>640</v>
      </c>
      <c r="C13" s="148">
        <v>0</v>
      </c>
      <c r="D13" s="148">
        <v>90</v>
      </c>
      <c r="E13" s="148">
        <v>0</v>
      </c>
      <c r="F13" s="148">
        <v>90</v>
      </c>
      <c r="G13" s="137" t="s">
        <v>641</v>
      </c>
      <c r="H13" s="137" t="s">
        <v>642</v>
      </c>
      <c r="I13" s="137" t="s">
        <v>643</v>
      </c>
      <c r="J13" s="139" t="s">
        <v>1536</v>
      </c>
      <c r="K13" s="140">
        <f>F111</f>
        <v>3.4</v>
      </c>
      <c r="L13" s="140">
        <f>E60*P6^F113*I60</f>
        <v>3.4</v>
      </c>
      <c r="M13" s="145">
        <f t="shared" si="6"/>
        <v>1</v>
      </c>
      <c r="N13" s="139" t="s">
        <v>1537</v>
      </c>
      <c r="O13" s="140">
        <f>C114</f>
        <v>0</v>
      </c>
      <c r="P13" s="140">
        <f>O13</f>
        <v>0</v>
      </c>
      <c r="Q13" s="140">
        <v>1</v>
      </c>
      <c r="R13" s="139">
        <v>66</v>
      </c>
      <c r="S13" s="140">
        <f>S12-L30+L31</f>
        <v>46.590862171384735</v>
      </c>
      <c r="T13" s="140">
        <f>T12-L30+L31</f>
        <v>7.1700000000000053</v>
      </c>
      <c r="U13" s="140">
        <f>U12-L30+L31</f>
        <v>46.590862171384735</v>
      </c>
      <c r="V13" s="140">
        <f>V12-L30+L31</f>
        <v>46.590862171384735</v>
      </c>
      <c r="W13" s="163">
        <f>(S8*S13+T8*T13+U8*U13+V8*V13)</f>
        <v>46.590862171384735</v>
      </c>
      <c r="X13" s="147">
        <f t="shared" si="5"/>
        <v>2.3295431085692368E-2</v>
      </c>
      <c r="Z13" s="139" t="s">
        <v>1324</v>
      </c>
      <c r="AA13" s="147">
        <f>(AF8+AF9*COS(AA4)+AF10*SIN(AA4))</f>
        <v>3.9779005524862043</v>
      </c>
      <c r="AB13" s="147">
        <f>(AF8+AF9*COS(AB4)+AF10*SIN(AB4))</f>
        <v>-19.97584803985265</v>
      </c>
      <c r="AC13" s="147">
        <f>(AF8+AF9*COS(AC4)+AF10*SIN(AC4))</f>
        <v>3.9779005524862043</v>
      </c>
      <c r="AD13" s="147">
        <f>(AF8+AF9*COS(AD4)+AF10*SIN(AD4))</f>
        <v>95.540417314809702</v>
      </c>
      <c r="AE13" s="159" t="s">
        <v>664</v>
      </c>
      <c r="AF13" s="163">
        <f>L7/L5*L24+L20/L6*L23</f>
        <v>0.50672214511948566</v>
      </c>
      <c r="AG13" s="137"/>
      <c r="AH13" s="159"/>
      <c r="AI13" s="159"/>
      <c r="AJ13" s="159"/>
      <c r="AK13" s="159"/>
      <c r="AL13" s="163"/>
      <c r="AM13" s="139" t="s">
        <v>665</v>
      </c>
      <c r="AN13" s="158">
        <f>AN10/(AN9*AN10-AN11^2)</f>
        <v>0.21536607493466567</v>
      </c>
      <c r="AO13" s="158">
        <f>AO10/(AO9*AO10-AO11^2)</f>
        <v>0.29126213592233002</v>
      </c>
      <c r="AP13" s="158">
        <f>AP10/(AP9*AP10-AP11^2)</f>
        <v>0.21536607493466567</v>
      </c>
      <c r="AQ13" s="158">
        <f>AQ10/(AQ9*AQ10-AQ11^2)</f>
        <v>0.21536607493466567</v>
      </c>
    </row>
    <row r="14" spans="1:53">
      <c r="A14" s="137" t="str">
        <f>J262</f>
        <v>T3/N52[SI]</v>
      </c>
      <c r="B14" s="137" t="s">
        <v>644</v>
      </c>
      <c r="C14" s="149">
        <v>0</v>
      </c>
      <c r="D14" s="149">
        <v>0</v>
      </c>
      <c r="E14" s="149">
        <v>0</v>
      </c>
      <c r="F14" s="149">
        <v>0</v>
      </c>
      <c r="G14" s="150">
        <v>1</v>
      </c>
      <c r="H14" s="151">
        <f>2*(C14+D14+E14+F14)*G14</f>
        <v>0</v>
      </c>
      <c r="I14" s="152">
        <v>0</v>
      </c>
      <c r="J14" s="139" t="s">
        <v>1538</v>
      </c>
      <c r="K14" s="140">
        <f>E113</f>
        <v>0.51600000000000001</v>
      </c>
      <c r="L14" s="140">
        <f>K14*P6^G113</f>
        <v>0.51600000000000001</v>
      </c>
      <c r="M14" s="145">
        <f t="shared" si="6"/>
        <v>1</v>
      </c>
      <c r="N14" s="139" t="s">
        <v>1539</v>
      </c>
      <c r="O14" s="140">
        <f>D114</f>
        <v>0.6</v>
      </c>
      <c r="P14" s="140">
        <f>O14*(1-L11)/(1-K11)</f>
        <v>0.6</v>
      </c>
      <c r="Q14" s="140">
        <f>P14/O14</f>
        <v>1</v>
      </c>
      <c r="R14" s="139" t="s">
        <v>1347</v>
      </c>
      <c r="S14" s="140">
        <f>L28*SIN(S6)/2+L29*SIN(S7)</f>
        <v>42.866245028649367</v>
      </c>
      <c r="T14" s="140">
        <f>L28*SIN(T6)/2+L29*SIN(T7)</f>
        <v>4.221105484146412E-16</v>
      </c>
      <c r="U14" s="140">
        <f>L28*SIN(U6)/2+L29*SIN(U7)</f>
        <v>42.866245028649367</v>
      </c>
      <c r="V14" s="140">
        <f>L28*SIN(V6)/2+L29*SIN(V7)</f>
        <v>-42.866245028649367</v>
      </c>
      <c r="W14" s="163">
        <f>(S8*S14+T8*T14+U8*U14+V8*V14)</f>
        <v>42.866245028649367</v>
      </c>
      <c r="X14" s="147">
        <f t="shared" si="5"/>
        <v>2.1433122514324682E-2</v>
      </c>
      <c r="Z14" s="139" t="s">
        <v>1332</v>
      </c>
      <c r="AA14" s="147">
        <f>2*AF8-AA13</f>
        <v>95.540417314809687</v>
      </c>
      <c r="AB14" s="147">
        <f>2*AF8-AB13</f>
        <v>119.49416590714854</v>
      </c>
      <c r="AC14" s="147">
        <f>2*AF8-AC13</f>
        <v>95.540417314809687</v>
      </c>
      <c r="AD14" s="147">
        <f>2*AF8-AD13</f>
        <v>3.9779005524861901</v>
      </c>
      <c r="AE14" s="159"/>
      <c r="AF14" s="163"/>
      <c r="AG14" s="139" t="s">
        <v>1333</v>
      </c>
      <c r="AH14" s="163">
        <f>P33*AH7^2+2*P35*AH7*AH8+P34*AH8^2+P36*AH9^2</f>
        <v>311.61278782860683</v>
      </c>
      <c r="AI14" s="163">
        <f>P33*AI7^2+2*P35*AI7*AI8+P34*AI8^2+P36*AI9^2</f>
        <v>265.15812203447194</v>
      </c>
      <c r="AJ14" s="163">
        <f>P33*AJ7^2+2*P35*AJ7*AJ8+P34*AJ8^2+P36*AJ9^2</f>
        <v>311.61278782860683</v>
      </c>
      <c r="AK14" s="163">
        <f>P33*AK7^2+2*P35*AK7*AK8+P34*AK8^2+P36*AK9^2</f>
        <v>323.67482491423351</v>
      </c>
      <c r="AL14" s="163"/>
      <c r="AM14" s="138" t="s">
        <v>666</v>
      </c>
      <c r="AN14" s="141">
        <f>-AN11/(AN9*AN10-AN11^2)</f>
        <v>-7.5896060987664313E-2</v>
      </c>
      <c r="AO14" s="141">
        <f>-AO11/(AO9*AO10-AO11^2)</f>
        <v>-9.2983941852687333E-18</v>
      </c>
      <c r="AP14" s="141">
        <f>-AP11/(AP9*AP10-AP11^2)</f>
        <v>-7.5896060987664313E-2</v>
      </c>
      <c r="AQ14" s="141">
        <f>-AQ11/(AQ9*AQ10-AQ11^2)</f>
        <v>7.5896060987664313E-2</v>
      </c>
      <c r="AR14" s="141"/>
      <c r="AS14" s="141"/>
    </row>
    <row r="15" spans="1:53">
      <c r="A15" s="139" t="s">
        <v>667</v>
      </c>
      <c r="B15" s="137" t="s">
        <v>640</v>
      </c>
      <c r="C15" s="148">
        <v>0</v>
      </c>
      <c r="D15" s="148">
        <v>90</v>
      </c>
      <c r="E15" s="148">
        <v>0</v>
      </c>
      <c r="F15" s="148">
        <v>90</v>
      </c>
      <c r="G15" s="137" t="s">
        <v>641</v>
      </c>
      <c r="H15" s="137" t="s">
        <v>642</v>
      </c>
      <c r="I15" s="137" t="s">
        <v>643</v>
      </c>
      <c r="J15" s="139" t="s">
        <v>1547</v>
      </c>
      <c r="K15" s="140">
        <f>K14*(1-K11)/K11</f>
        <v>0.2211428571428572</v>
      </c>
      <c r="L15" s="140">
        <f>L14*(1-L11)/L11</f>
        <v>0.2211428571428572</v>
      </c>
      <c r="M15" s="145">
        <f t="shared" si="6"/>
        <v>1</v>
      </c>
      <c r="O15" s="140"/>
      <c r="P15" s="140"/>
      <c r="Q15" s="140"/>
      <c r="R15" s="139" t="s">
        <v>1349</v>
      </c>
      <c r="S15" s="140">
        <f>L28*SIN(S6)-S14</f>
        <v>42.866245028649367</v>
      </c>
      <c r="T15" s="140">
        <f>L28*SIN(T6)-T14</f>
        <v>1.0081392224502176E-14</v>
      </c>
      <c r="U15" s="140">
        <f>L28*SIN(U6)-U14</f>
        <v>42.866245028649367</v>
      </c>
      <c r="V15" s="140">
        <f>L28*SIN(V6)-V14</f>
        <v>-42.866245028649367</v>
      </c>
      <c r="W15" s="163">
        <f>(S8*S15+T8*T15+U8*U15+V8*V15)</f>
        <v>42.866245028649367</v>
      </c>
      <c r="X15" s="147">
        <f t="shared" si="5"/>
        <v>2.1433122514324682E-2</v>
      </c>
      <c r="Z15" s="139" t="s">
        <v>1334</v>
      </c>
      <c r="AA15" s="147">
        <f>(2*(AF10*COS(AA4)-AF9*SIN(AA4)))</f>
        <v>-139.47001394700118</v>
      </c>
      <c r="AB15" s="147">
        <f>(2*(AF10*COS(AB4)-AF9*SIN(AB4)))</f>
        <v>91.562516762323483</v>
      </c>
      <c r="AC15" s="147">
        <f>(2*(AF10*COS(AC4)-AF9*SIN(AC4)))</f>
        <v>-139.47001394700118</v>
      </c>
      <c r="AD15" s="147">
        <f>(2*(AF10*COS(AD4)-AF9*SIN(AD4)))</f>
        <v>139.47001394700118</v>
      </c>
      <c r="AE15" s="159"/>
      <c r="AF15" s="163" t="s">
        <v>668</v>
      </c>
      <c r="AG15" s="139" t="s">
        <v>1335</v>
      </c>
      <c r="AH15" s="163">
        <f>P37*AH7+P38*AH8</f>
        <v>20.934959349593459</v>
      </c>
      <c r="AI15" s="163">
        <f>P37*AI7+P38*AI8</f>
        <v>24.670532476381773</v>
      </c>
      <c r="AJ15" s="163">
        <f>P37*AJ7+P38*AJ8</f>
        <v>20.934959349593459</v>
      </c>
      <c r="AK15" s="163">
        <f>P37*AK7+P38*AK8</f>
        <v>6.6558382458579777</v>
      </c>
      <c r="AL15" s="163"/>
      <c r="AM15" s="138" t="s">
        <v>637</v>
      </c>
      <c r="AN15" s="141"/>
      <c r="AO15" s="141"/>
      <c r="AR15" s="141"/>
      <c r="AS15" s="141"/>
    </row>
    <row r="16" spans="1:53">
      <c r="A16" s="137" t="str">
        <f>J314</f>
        <v>T3/N52[SI]</v>
      </c>
      <c r="B16" s="137" t="s">
        <v>644</v>
      </c>
      <c r="C16" s="149">
        <v>0</v>
      </c>
      <c r="D16" s="149">
        <v>0</v>
      </c>
      <c r="E16" s="149">
        <v>0</v>
      </c>
      <c r="F16" s="149">
        <v>0</v>
      </c>
      <c r="G16" s="150">
        <v>1</v>
      </c>
      <c r="H16" s="151">
        <f>2*(C16+D16+E16+F16)*G16</f>
        <v>0</v>
      </c>
      <c r="I16" s="152">
        <v>0</v>
      </c>
      <c r="J16" s="139" t="s">
        <v>1643</v>
      </c>
      <c r="K16" s="140">
        <f>1/((1+K15)/K6-K15/K13)</f>
        <v>18.686160319541436</v>
      </c>
      <c r="L16" s="140">
        <f>K16*P6^F114</f>
        <v>18.686160319541436</v>
      </c>
      <c r="M16" s="145">
        <f t="shared" si="6"/>
        <v>1</v>
      </c>
      <c r="N16" s="138" t="s">
        <v>176</v>
      </c>
      <c r="O16" s="140"/>
      <c r="P16" s="140"/>
      <c r="Q16" s="140"/>
      <c r="R16" s="139" t="s">
        <v>1355</v>
      </c>
      <c r="S16" s="143" t="s">
        <v>182</v>
      </c>
      <c r="T16" s="143" t="s">
        <v>669</v>
      </c>
      <c r="U16" s="143" t="s">
        <v>670</v>
      </c>
      <c r="V16" s="139" t="s">
        <v>187</v>
      </c>
      <c r="W16" s="143" t="s">
        <v>1353</v>
      </c>
      <c r="X16" s="141">
        <f>X10*X11*X13+2*X12*X14*X15-X11*X14^2-X13*X12^2-X10*X15^2</f>
        <v>1.6783668018498917E-6</v>
      </c>
      <c r="Z16" s="139" t="s">
        <v>671</v>
      </c>
      <c r="AA16" s="164">
        <f>S34*S8</f>
        <v>1.9999999999999574E-2</v>
      </c>
      <c r="AB16" s="164">
        <f>T34*T8</f>
        <v>0</v>
      </c>
      <c r="AC16" s="164">
        <f>U34*U8</f>
        <v>0</v>
      </c>
      <c r="AD16" s="164">
        <f>V34*V8</f>
        <v>0</v>
      </c>
      <c r="AE16" s="164">
        <f>W8*(P11+P10*AF12+AF13*P11)-AF12*SUM(AA16:AD16)-AF13*SUM(AA17:AD17)</f>
        <v>22.500000000000014</v>
      </c>
      <c r="AF16" s="147">
        <f>AE16+AE68+AE120+AE172+AE224+AE276+AE328+AE380+AE432+AE484+AE536+AE588+AE640+AE692+AE744+AE796</f>
        <v>22.500000000000014</v>
      </c>
      <c r="AG16" s="139" t="s">
        <v>1344</v>
      </c>
      <c r="AH16" s="163">
        <f>AH15/2/AH14</f>
        <v>3.3591303321460764E-2</v>
      </c>
      <c r="AI16" s="163">
        <f>AI15/2/AI14</f>
        <v>4.6520416359666465E-2</v>
      </c>
      <c r="AJ16" s="163">
        <f>AJ15/2/AJ14</f>
        <v>3.3591303321460764E-2</v>
      </c>
      <c r="AK16" s="163">
        <f>AK15/2/AK14</f>
        <v>1.0281674281621415E-2</v>
      </c>
      <c r="AL16" s="163"/>
      <c r="AM16" s="137"/>
      <c r="AN16" s="141"/>
      <c r="AO16" s="141"/>
      <c r="AR16" s="141"/>
      <c r="AS16" s="143"/>
      <c r="AV16" s="138" t="s">
        <v>672</v>
      </c>
    </row>
    <row r="17" spans="1:53">
      <c r="A17" s="139" t="s">
        <v>673</v>
      </c>
      <c r="B17" s="137" t="s">
        <v>640</v>
      </c>
      <c r="C17" s="148">
        <v>0</v>
      </c>
      <c r="D17" s="148">
        <v>90</v>
      </c>
      <c r="E17" s="148">
        <v>0</v>
      </c>
      <c r="F17" s="148">
        <v>90</v>
      </c>
      <c r="G17" s="137" t="s">
        <v>641</v>
      </c>
      <c r="H17" s="137" t="s">
        <v>642</v>
      </c>
      <c r="I17" s="137" t="s">
        <v>643</v>
      </c>
      <c r="J17" s="139" t="s">
        <v>295</v>
      </c>
      <c r="K17" s="140">
        <f>E114</f>
        <v>0.316</v>
      </c>
      <c r="L17" s="140">
        <f>K17*P6^G113</f>
        <v>0.316</v>
      </c>
      <c r="M17" s="145">
        <f t="shared" si="6"/>
        <v>1</v>
      </c>
      <c r="N17" s="139" t="s">
        <v>296</v>
      </c>
      <c r="O17" s="144">
        <f>A112</f>
        <v>1500</v>
      </c>
      <c r="P17" s="144">
        <f>P23*L11</f>
        <v>1500</v>
      </c>
      <c r="Q17" s="140">
        <f t="shared" ref="Q17:Q24" si="7">P17/O17</f>
        <v>1</v>
      </c>
      <c r="R17" s="139">
        <v>11</v>
      </c>
      <c r="S17" s="141">
        <f>IF(X16=0,1E+99,(X11*X13-X15^2)/X16)</f>
        <v>119.49416590714854</v>
      </c>
      <c r="T17" s="164">
        <f>S17*Y8</f>
        <v>5.9747082953574275E-2</v>
      </c>
      <c r="U17" s="140">
        <f>1/T17</f>
        <v>16.737218799067353</v>
      </c>
      <c r="V17" s="140">
        <f>X10/Y8</f>
        <v>56.65778661573448</v>
      </c>
      <c r="W17" s="140" t="s">
        <v>674</v>
      </c>
      <c r="X17" s="143">
        <f>V17*V18-V19^2</f>
        <v>1419.3097201392661</v>
      </c>
      <c r="Y17" s="139"/>
      <c r="Z17" s="139" t="s">
        <v>675</v>
      </c>
      <c r="AA17" s="164">
        <f>S35*S8</f>
        <v>22.499999999999975</v>
      </c>
      <c r="AB17" s="164">
        <f>T35*T8</f>
        <v>0</v>
      </c>
      <c r="AC17" s="164">
        <f>U35*U8</f>
        <v>0</v>
      </c>
      <c r="AD17" s="164">
        <f>V35*V8</f>
        <v>0</v>
      </c>
      <c r="AE17" s="164"/>
      <c r="AF17" s="164" t="s">
        <v>676</v>
      </c>
      <c r="AG17" s="139"/>
      <c r="AH17" s="163"/>
      <c r="AI17" s="163"/>
      <c r="AJ17" s="163"/>
      <c r="AK17" s="163"/>
      <c r="AL17" s="163"/>
      <c r="AM17" s="139" t="s">
        <v>243</v>
      </c>
      <c r="AN17" s="143" t="s">
        <v>1562</v>
      </c>
      <c r="AO17" s="143" t="s">
        <v>1563</v>
      </c>
      <c r="AP17" s="143" t="s">
        <v>1564</v>
      </c>
      <c r="AQ17" s="143" t="s">
        <v>1565</v>
      </c>
      <c r="AR17" s="143"/>
      <c r="AS17" s="143"/>
      <c r="AV17" s="138">
        <f>1/K5</f>
        <v>5.5248618784530384E-3</v>
      </c>
      <c r="AW17" s="138">
        <f>-K7/K5</f>
        <v>-1.5469613259668511E-3</v>
      </c>
      <c r="AX17" s="138">
        <f>AW17</f>
        <v>-1.5469613259668511E-3</v>
      </c>
      <c r="AY17" s="138">
        <v>0</v>
      </c>
      <c r="AZ17" s="138">
        <v>0</v>
      </c>
      <c r="BA17" s="138">
        <v>0</v>
      </c>
    </row>
    <row r="18" spans="1:53">
      <c r="A18" s="137" t="str">
        <f>J366</f>
        <v>T3/N52[SI]</v>
      </c>
      <c r="B18" s="137" t="s">
        <v>644</v>
      </c>
      <c r="C18" s="149">
        <v>0</v>
      </c>
      <c r="D18" s="149">
        <v>0</v>
      </c>
      <c r="E18" s="149">
        <v>0</v>
      </c>
      <c r="F18" s="149">
        <v>0</v>
      </c>
      <c r="G18" s="150">
        <v>1</v>
      </c>
      <c r="H18" s="151">
        <f>2*(C18+D18+E18+F18)*G18</f>
        <v>0</v>
      </c>
      <c r="I18" s="152">
        <v>0</v>
      </c>
      <c r="J18" s="139" t="s">
        <v>301</v>
      </c>
      <c r="K18" s="140">
        <f>K17*(1-K11)/K11</f>
        <v>0.13542857142857145</v>
      </c>
      <c r="L18" s="140">
        <f>L17*(1-L11)/L11</f>
        <v>0.13542857142857145</v>
      </c>
      <c r="M18" s="145">
        <f t="shared" si="6"/>
        <v>1</v>
      </c>
      <c r="N18" s="139" t="s">
        <v>302</v>
      </c>
      <c r="O18" s="144">
        <f>B112</f>
        <v>1500</v>
      </c>
      <c r="P18" s="144">
        <f>O18*Q17*M8^F115</f>
        <v>1500</v>
      </c>
      <c r="Q18" s="140">
        <f t="shared" si="7"/>
        <v>1</v>
      </c>
      <c r="R18" s="139">
        <v>22</v>
      </c>
      <c r="S18" s="141">
        <f>IF(X16=0,1E+99,(X10*X13-X14^2)/X16)</f>
        <v>119.49416590714861</v>
      </c>
      <c r="T18" s="164">
        <f>S18*Y8</f>
        <v>5.974708295357431E-2</v>
      </c>
      <c r="U18" s="140">
        <f>1/T18</f>
        <v>16.737218799067342</v>
      </c>
      <c r="V18" s="140">
        <f>X11/Y8</f>
        <v>56.657786615734473</v>
      </c>
      <c r="W18" s="140"/>
      <c r="X18" s="140"/>
      <c r="Y18" s="140"/>
      <c r="Z18" s="139" t="s">
        <v>677</v>
      </c>
      <c r="AA18" s="164">
        <f>S36*S8</f>
        <v>0</v>
      </c>
      <c r="AB18" s="164">
        <f>T36*T8</f>
        <v>0</v>
      </c>
      <c r="AC18" s="164">
        <f>U36*U8</f>
        <v>0</v>
      </c>
      <c r="AD18" s="164">
        <f>V36*V8</f>
        <v>0</v>
      </c>
      <c r="AE18" s="164">
        <f>W8*(P14+P13*AF12+AF13*P14)-AF12*SUM(AA18:AD18)-AF13*SUM(AA19:AD19)</f>
        <v>0.60000000000000031</v>
      </c>
      <c r="AF18" s="147">
        <f>AE18+AE70+AE122+AE174+AE226+AE278+AE330+AE382+AE434+AE486+AE538+AE590+AE642+AE694+AE746+AE798</f>
        <v>0.60000000000000031</v>
      </c>
      <c r="AG18" s="139"/>
      <c r="AH18" s="163"/>
      <c r="AI18" s="147"/>
      <c r="AJ18" s="163"/>
      <c r="AK18" s="163"/>
      <c r="AL18" s="163"/>
      <c r="AM18" s="139" t="s">
        <v>537</v>
      </c>
      <c r="AN18" s="154">
        <f t="shared" ref="AN18:AQ19" si="8">S56</f>
        <v>0</v>
      </c>
      <c r="AO18" s="154">
        <f t="shared" si="8"/>
        <v>-30</v>
      </c>
      <c r="AP18" s="154">
        <f t="shared" si="8"/>
        <v>45</v>
      </c>
      <c r="AQ18" s="154">
        <f t="shared" si="8"/>
        <v>-45</v>
      </c>
      <c r="AR18" s="143" t="s">
        <v>538</v>
      </c>
      <c r="AS18" s="143" t="s">
        <v>652</v>
      </c>
      <c r="AV18" s="138">
        <f>AW17</f>
        <v>-1.5469613259668511E-3</v>
      </c>
      <c r="AW18" s="138">
        <f>1/K6</f>
        <v>9.7087378640776698E-2</v>
      </c>
      <c r="AX18" s="138">
        <f>AW19</f>
        <v>-4.8543689320388349E-2</v>
      </c>
      <c r="AY18" s="138">
        <v>0</v>
      </c>
      <c r="AZ18" s="138">
        <v>0</v>
      </c>
      <c r="BA18" s="138">
        <v>0</v>
      </c>
    </row>
    <row r="19" spans="1:53">
      <c r="A19" s="139" t="s">
        <v>678</v>
      </c>
      <c r="B19" s="137" t="s">
        <v>640</v>
      </c>
      <c r="C19" s="148">
        <v>0</v>
      </c>
      <c r="D19" s="148">
        <v>90</v>
      </c>
      <c r="E19" s="148">
        <v>0</v>
      </c>
      <c r="F19" s="148">
        <v>90</v>
      </c>
      <c r="G19" s="137" t="s">
        <v>641</v>
      </c>
      <c r="H19" s="137" t="s">
        <v>642</v>
      </c>
      <c r="I19" s="137" t="s">
        <v>643</v>
      </c>
      <c r="J19" s="139" t="s">
        <v>304</v>
      </c>
      <c r="K19" s="140">
        <f>1/((1+K18)/K8-K18*2.7/K13)</f>
        <v>19.680382632972858</v>
      </c>
      <c r="L19" s="140">
        <f>K19*P6^F114</f>
        <v>19.680382632972858</v>
      </c>
      <c r="M19" s="145">
        <f t="shared" si="6"/>
        <v>1</v>
      </c>
      <c r="N19" s="139" t="s">
        <v>305</v>
      </c>
      <c r="O19" s="144">
        <f>C112</f>
        <v>40</v>
      </c>
      <c r="P19" s="144">
        <f>O19*Q24</f>
        <v>40</v>
      </c>
      <c r="Q19" s="140">
        <f t="shared" si="7"/>
        <v>1</v>
      </c>
      <c r="R19" s="139" t="s">
        <v>1345</v>
      </c>
      <c r="S19" s="141">
        <f>IF(X16=0,1E+99,(X14*X15-X12*X13)/X16)</f>
        <v>-19.975848039852647</v>
      </c>
      <c r="T19" s="164">
        <f>S19*Y8</f>
        <v>-9.9879240199263232E-3</v>
      </c>
      <c r="U19" s="140">
        <f>-T19/T17</f>
        <v>0.16717006966996723</v>
      </c>
      <c r="V19" s="140">
        <f>X12/Y8</f>
        <v>42.317786615734462</v>
      </c>
      <c r="W19" s="140"/>
      <c r="X19" s="140"/>
      <c r="Y19" s="140"/>
      <c r="Z19" s="138" t="s">
        <v>679</v>
      </c>
      <c r="AA19" s="164">
        <f>S37*S8</f>
        <v>0.59999999999999931</v>
      </c>
      <c r="AB19" s="164">
        <f>T37*T8</f>
        <v>0</v>
      </c>
      <c r="AC19" s="164">
        <f>U37*U8</f>
        <v>0</v>
      </c>
      <c r="AD19" s="164">
        <f>V37*V8</f>
        <v>0</v>
      </c>
      <c r="AE19" s="164"/>
      <c r="AF19" s="164" t="s">
        <v>680</v>
      </c>
      <c r="AG19" s="139"/>
      <c r="AH19" s="163"/>
      <c r="AI19" s="163"/>
      <c r="AJ19" s="163"/>
      <c r="AK19" s="163"/>
      <c r="AL19" s="159" t="s">
        <v>1348</v>
      </c>
      <c r="AM19" s="139" t="s">
        <v>541</v>
      </c>
      <c r="AN19" s="154">
        <f t="shared" si="8"/>
        <v>0</v>
      </c>
      <c r="AO19" s="154">
        <f t="shared" si="8"/>
        <v>0</v>
      </c>
      <c r="AP19" s="154">
        <f t="shared" si="8"/>
        <v>0</v>
      </c>
      <c r="AQ19" s="154">
        <f t="shared" si="8"/>
        <v>0</v>
      </c>
      <c r="AR19" s="156">
        <f>W57</f>
        <v>0</v>
      </c>
      <c r="AS19" s="146">
        <f>SUM(AN19:AQ19)</f>
        <v>0</v>
      </c>
      <c r="AT19" s="139"/>
      <c r="AV19" s="138">
        <f>AV18</f>
        <v>-1.5469613259668511E-3</v>
      </c>
      <c r="AW19" s="138">
        <f>-K20/K6</f>
        <v>-4.8543689320388349E-2</v>
      </c>
      <c r="AX19" s="138">
        <f>AW18</f>
        <v>9.7087378640776698E-2</v>
      </c>
      <c r="AY19" s="138">
        <v>0</v>
      </c>
      <c r="AZ19" s="138">
        <v>0</v>
      </c>
      <c r="BA19" s="138">
        <v>0</v>
      </c>
    </row>
    <row r="20" spans="1:53">
      <c r="A20" s="137" t="str">
        <f>J418</f>
        <v>T3/N52[SI]</v>
      </c>
      <c r="B20" s="137" t="s">
        <v>644</v>
      </c>
      <c r="C20" s="149">
        <v>0</v>
      </c>
      <c r="D20" s="149">
        <v>0</v>
      </c>
      <c r="E20" s="149">
        <v>0</v>
      </c>
      <c r="F20" s="149">
        <v>0</v>
      </c>
      <c r="G20" s="150">
        <v>1</v>
      </c>
      <c r="H20" s="151">
        <f>2*(C20+D20+E20+F20)*G20</f>
        <v>0</v>
      </c>
      <c r="I20" s="152">
        <v>0</v>
      </c>
      <c r="J20" s="139" t="s">
        <v>681</v>
      </c>
      <c r="K20" s="140">
        <f>F115</f>
        <v>0.5</v>
      </c>
      <c r="L20" s="140">
        <f>K20</f>
        <v>0.5</v>
      </c>
      <c r="M20" s="140">
        <f t="shared" si="6"/>
        <v>1</v>
      </c>
      <c r="N20" s="139" t="s">
        <v>1542</v>
      </c>
      <c r="O20" s="144">
        <f>D112</f>
        <v>246</v>
      </c>
      <c r="P20" s="144">
        <f>O20*Q24</f>
        <v>246</v>
      </c>
      <c r="Q20" s="140">
        <f t="shared" si="7"/>
        <v>1</v>
      </c>
      <c r="R20" s="139">
        <v>66</v>
      </c>
      <c r="S20" s="141">
        <f>IF(X16=0,1E+99,(X10*X11-X12^2)/X16)</f>
        <v>211.41232634232665</v>
      </c>
      <c r="T20" s="164">
        <f>S20*Y8</f>
        <v>0.10570616317116333</v>
      </c>
      <c r="U20" s="140">
        <f>1/T20</f>
        <v>9.460186331621582</v>
      </c>
      <c r="V20" s="140">
        <f>X13/Y8</f>
        <v>46.590862171384735</v>
      </c>
      <c r="W20" s="138"/>
      <c r="X20" s="140"/>
      <c r="Y20" s="140"/>
      <c r="Z20" s="139" t="s">
        <v>682</v>
      </c>
      <c r="AA20" s="164">
        <f>S8*(AA13+S38/1000)</f>
        <v>4.1533904899131153</v>
      </c>
      <c r="AB20" s="164">
        <f>T8*(AB13+T38/1000)</f>
        <v>0</v>
      </c>
      <c r="AC20" s="164">
        <f>U8*(AC13+U38/1000)</f>
        <v>0</v>
      </c>
      <c r="AD20" s="164">
        <f>V8*(AD13+V38/1000)</f>
        <v>0</v>
      </c>
      <c r="AE20" s="164">
        <f>W8*((1+AF13)*(P11*P7/1000000+P14*P3)+AF12*(P10*P7/1000000+P13*P3))*1000-AF12*SUM(AA20:AD20)-AF13*SUM(AA21:AD21)</f>
        <v>-49.325592409917007</v>
      </c>
      <c r="AF20" s="147">
        <f>AE20+AE72+AE124+AE176+AE228+AE280+AE332+AE384+AE436+AE488+AE540+AE592+AE644+AE696+AE748+AE800</f>
        <v>-49.325592409917007</v>
      </c>
      <c r="AG20" s="139" t="s">
        <v>1351</v>
      </c>
      <c r="AH20" s="147">
        <f>(AH16^2+1/AH14)^0.5-AH16</f>
        <v>3.2268294142299231E-2</v>
      </c>
      <c r="AI20" s="147">
        <f>(AI16^2+1/AI14)^0.5-AI16</f>
        <v>3.0521674330429675E-2</v>
      </c>
      <c r="AJ20" s="147">
        <f>(AJ16^2+1/AJ14)^0.5-AJ16</f>
        <v>3.2268294142299231E-2</v>
      </c>
      <c r="AK20" s="147">
        <f>(AK16^2+1/AK14)^0.5-AK16</f>
        <v>4.6244720479549958E-2</v>
      </c>
      <c r="AL20" s="147">
        <f>MIN(AH21:AK21)</f>
        <v>3.2268294142299231E-2</v>
      </c>
      <c r="AM20" s="138" t="s">
        <v>648</v>
      </c>
      <c r="AN20" s="158">
        <f>AN18*PI()/180</f>
        <v>0</v>
      </c>
      <c r="AO20" s="158">
        <f>AO18*PI()/180</f>
        <v>-0.52359877559829882</v>
      </c>
      <c r="AP20" s="158">
        <f>AP18*PI()/180</f>
        <v>0.78539816339744828</v>
      </c>
      <c r="AQ20" s="158">
        <f>AQ18*PI()/180</f>
        <v>-0.78539816339744828</v>
      </c>
      <c r="AS20" s="159" t="s">
        <v>683</v>
      </c>
      <c r="AT20" s="143"/>
      <c r="AV20" s="138">
        <v>0</v>
      </c>
      <c r="AW20" s="138">
        <v>0</v>
      </c>
      <c r="AX20" s="138">
        <v>0</v>
      </c>
      <c r="AY20" s="138">
        <f>2*(1+K20)/K6</f>
        <v>0.29126213592233008</v>
      </c>
      <c r="AZ20" s="138">
        <v>0</v>
      </c>
      <c r="BA20" s="138">
        <v>0</v>
      </c>
    </row>
    <row r="21" spans="1:53">
      <c r="A21" s="139" t="s">
        <v>684</v>
      </c>
      <c r="B21" s="137" t="s">
        <v>640</v>
      </c>
      <c r="C21" s="148">
        <v>0</v>
      </c>
      <c r="D21" s="148">
        <v>90</v>
      </c>
      <c r="E21" s="148">
        <v>0</v>
      </c>
      <c r="F21" s="148">
        <v>90</v>
      </c>
      <c r="G21" s="137" t="s">
        <v>641</v>
      </c>
      <c r="H21" s="137" t="s">
        <v>642</v>
      </c>
      <c r="I21" s="137" t="s">
        <v>643</v>
      </c>
      <c r="J21" s="138" t="s">
        <v>1507</v>
      </c>
      <c r="N21" s="139" t="s">
        <v>1543</v>
      </c>
      <c r="O21" s="165">
        <f>E112</f>
        <v>68</v>
      </c>
      <c r="P21" s="165">
        <f>O21*Q24</f>
        <v>68</v>
      </c>
      <c r="Q21" s="140">
        <f t="shared" si="7"/>
        <v>1</v>
      </c>
      <c r="R21" s="139" t="s">
        <v>1347</v>
      </c>
      <c r="S21" s="141">
        <f>IF(X16=0,1E+99,(X12*X15-X11*X14)/X16)</f>
        <v>-91.562516762323497</v>
      </c>
      <c r="T21" s="164">
        <f>S21*Y8</f>
        <v>-4.5781258381161746E-2</v>
      </c>
      <c r="U21" s="140">
        <f>T21/T17</f>
        <v>-0.7662509384221402</v>
      </c>
      <c r="V21" s="140">
        <f>X14/Y8</f>
        <v>42.866245028649367</v>
      </c>
      <c r="W21" s="138"/>
      <c r="X21" s="138"/>
      <c r="Z21" s="139" t="s">
        <v>685</v>
      </c>
      <c r="AA21" s="164">
        <f>S8*(AA14+S39/1000)</f>
        <v>96.112927377382775</v>
      </c>
      <c r="AB21" s="164">
        <f>T8*(AB14+T39/1000)</f>
        <v>0</v>
      </c>
      <c r="AC21" s="164">
        <f>U8*(AC14+U39/1000)</f>
        <v>0</v>
      </c>
      <c r="AD21" s="164">
        <f>V8*(AD14+V39/1000)</f>
        <v>0</v>
      </c>
      <c r="AE21" s="164"/>
      <c r="AF21" s="164"/>
      <c r="AG21" s="139"/>
      <c r="AH21" s="147">
        <f>IF(AH3=0,1000000000,AH20)</f>
        <v>3.2268294142299231E-2</v>
      </c>
      <c r="AI21" s="147">
        <f>IF(AI3=0,1000000000,AI20)</f>
        <v>1000000000</v>
      </c>
      <c r="AJ21" s="147">
        <f>IF(AJ3=0,1000000000,AJ20)</f>
        <v>1000000000</v>
      </c>
      <c r="AK21" s="147">
        <f>IF(AK3=0,1000000000,AK20)</f>
        <v>1000000000</v>
      </c>
      <c r="AM21" s="139" t="s">
        <v>653</v>
      </c>
      <c r="AN21" s="158">
        <f>COS(AN18*PI()/180)</f>
        <v>1</v>
      </c>
      <c r="AO21" s="158">
        <f>COS(AO18*PI()/180)</f>
        <v>0.86602540378443871</v>
      </c>
      <c r="AP21" s="158">
        <f>COS(AP18*PI()/180)</f>
        <v>0.70710678118654757</v>
      </c>
      <c r="AQ21" s="158">
        <f>COS(AQ18*PI()/180)</f>
        <v>0.70710678118654757</v>
      </c>
      <c r="AR21" s="143"/>
      <c r="AS21" s="162">
        <f>$L61/1000000/$AT$5*2/AT7</f>
        <v>0.05</v>
      </c>
      <c r="AT21" s="147"/>
      <c r="AV21" s="138">
        <v>0</v>
      </c>
      <c r="AW21" s="138">
        <v>0</v>
      </c>
      <c r="AX21" s="138">
        <v>0</v>
      </c>
      <c r="AY21" s="138">
        <v>0</v>
      </c>
      <c r="AZ21" s="138">
        <f>1/K8</f>
        <v>0.1394700139470014</v>
      </c>
      <c r="BA21" s="138">
        <v>0</v>
      </c>
    </row>
    <row r="22" spans="1:53">
      <c r="A22" s="137" t="str">
        <f>J470</f>
        <v>T3/N52[SI]</v>
      </c>
      <c r="B22" s="137" t="s">
        <v>644</v>
      </c>
      <c r="C22" s="149">
        <v>0</v>
      </c>
      <c r="D22" s="149">
        <v>0</v>
      </c>
      <c r="E22" s="149">
        <v>0</v>
      </c>
      <c r="F22" s="149">
        <v>0</v>
      </c>
      <c r="G22" s="150">
        <v>1</v>
      </c>
      <c r="H22" s="151">
        <f>2*(C22+D22+E22+F22)*G22</f>
        <v>0</v>
      </c>
      <c r="I22" s="152">
        <v>0</v>
      </c>
      <c r="J22" s="139" t="s">
        <v>1354</v>
      </c>
      <c r="K22" s="140">
        <f>K5/(1-K7^2*K6/K5)</f>
        <v>181.81113884441791</v>
      </c>
      <c r="L22" s="140">
        <f>L5/(1-L7^2*L6/L5)</f>
        <v>181.81113884441794</v>
      </c>
      <c r="M22" s="145">
        <f>L22/K22</f>
        <v>1.0000000000000002</v>
      </c>
      <c r="N22" s="139" t="s">
        <v>1168</v>
      </c>
      <c r="O22" s="145">
        <f>A113</f>
        <v>-0.5</v>
      </c>
      <c r="P22" s="145">
        <f>O22*I60</f>
        <v>-0.5</v>
      </c>
      <c r="Q22" s="140">
        <f t="shared" si="7"/>
        <v>1</v>
      </c>
      <c r="R22" s="139" t="s">
        <v>1349</v>
      </c>
      <c r="S22" s="141">
        <f>IF(X16=0,1E+99,(X12*X14-X10*X15)/X16)</f>
        <v>-91.562516762323554</v>
      </c>
      <c r="T22" s="164">
        <f>S22*Y8</f>
        <v>-4.5781258381161781E-2</v>
      </c>
      <c r="U22" s="140">
        <f>T22/T17</f>
        <v>-0.76625093842214076</v>
      </c>
      <c r="V22" s="140">
        <f>X15/Y8</f>
        <v>42.866245028649367</v>
      </c>
      <c r="W22" s="138"/>
      <c r="X22" s="138"/>
      <c r="Z22" s="138" t="s">
        <v>686</v>
      </c>
      <c r="AA22" s="140">
        <f>($AF12*COS(AA5)^2+$AF13*SIN(AA5)^2)*S8</f>
        <v>0.4643021728764708</v>
      </c>
      <c r="AB22" s="140">
        <f>($AF12*COS(AB5)^2+$AF13*SIN(AB5)^2)*T8</f>
        <v>0</v>
      </c>
      <c r="AC22" s="140">
        <f>($AF12*COS(AC5)^2+$AF13*SIN(AC5)^2)*U8</f>
        <v>0</v>
      </c>
      <c r="AD22" s="140">
        <f>($AF12*COS(AD5)^2+$AF13*SIN(AD5)^2)*V8</f>
        <v>0</v>
      </c>
      <c r="AE22" s="163">
        <f>SUM(AA22:AD22)</f>
        <v>0.4643021728764708</v>
      </c>
      <c r="AF22" s="163" t="s">
        <v>687</v>
      </c>
      <c r="AG22" s="138" t="s">
        <v>1360</v>
      </c>
      <c r="AH22" s="147">
        <f>IF(AH3=0,0,AH20)</f>
        <v>3.2268294142299231E-2</v>
      </c>
      <c r="AI22" s="147">
        <f>IF(AI3=0,0,AI20)</f>
        <v>0</v>
      </c>
      <c r="AJ22" s="147">
        <f>IF(AJ3=0,0,AJ20)</f>
        <v>0</v>
      </c>
      <c r="AK22" s="147">
        <f>IF(AK3=0,0,AK20)</f>
        <v>0</v>
      </c>
      <c r="AM22" s="139" t="s">
        <v>654</v>
      </c>
      <c r="AN22" s="158">
        <f>SIN(AN18*PI()/180)</f>
        <v>0</v>
      </c>
      <c r="AO22" s="158">
        <f>SIN(AO18*PI()/180)</f>
        <v>-0.49999999999999994</v>
      </c>
      <c r="AP22" s="158">
        <f>SIN(AP18*PI()/180)</f>
        <v>0.70710678118654746</v>
      </c>
      <c r="AQ22" s="158">
        <f>SIN(AQ18*PI()/180)</f>
        <v>-0.70710678118654746</v>
      </c>
      <c r="AS22" s="160" t="s">
        <v>655</v>
      </c>
      <c r="AV22" s="138">
        <v>0</v>
      </c>
      <c r="AW22" s="138">
        <v>0</v>
      </c>
      <c r="AX22" s="138">
        <v>0</v>
      </c>
      <c r="AY22" s="138">
        <v>0</v>
      </c>
      <c r="AZ22" s="138">
        <v>0</v>
      </c>
      <c r="BA22" s="138">
        <f>1/K8</f>
        <v>0.1394700139470014</v>
      </c>
    </row>
    <row r="23" spans="1:53">
      <c r="A23" s="139" t="s">
        <v>688</v>
      </c>
      <c r="B23" s="137" t="s">
        <v>640</v>
      </c>
      <c r="C23" s="148">
        <v>0</v>
      </c>
      <c r="D23" s="148">
        <v>90</v>
      </c>
      <c r="E23" s="148">
        <v>0</v>
      </c>
      <c r="F23" s="148">
        <v>90</v>
      </c>
      <c r="G23" s="137" t="s">
        <v>641</v>
      </c>
      <c r="H23" s="137" t="s">
        <v>642</v>
      </c>
      <c r="I23" s="137" t="s">
        <v>643</v>
      </c>
      <c r="J23" s="139" t="s">
        <v>1361</v>
      </c>
      <c r="K23" s="140">
        <f>K22*K6/K5</f>
        <v>10.346158729820468</v>
      </c>
      <c r="L23" s="140">
        <f>L22*L6/L5</f>
        <v>10.346158729820468</v>
      </c>
      <c r="M23" s="145">
        <f>L23/K23</f>
        <v>1</v>
      </c>
      <c r="N23" s="139" t="s">
        <v>1175</v>
      </c>
      <c r="O23" s="144">
        <f>O17/K11</f>
        <v>2142.8571428571431</v>
      </c>
      <c r="P23" s="144">
        <f>H60*P6^G114</f>
        <v>2142.8571428571431</v>
      </c>
      <c r="Q23" s="140">
        <f t="shared" si="7"/>
        <v>1</v>
      </c>
      <c r="T23" s="147"/>
      <c r="U23" s="141"/>
      <c r="V23" s="141"/>
      <c r="W23" s="138"/>
      <c r="X23" s="138"/>
      <c r="Z23" s="138" t="s">
        <v>689</v>
      </c>
      <c r="AA23" s="140">
        <f>($AF12*SIN(AA5)^2+$AF13*COS(AA5)^2)*S8</f>
        <v>0.4643021728764708</v>
      </c>
      <c r="AB23" s="140">
        <f>($AF12*SIN(AB5)^2+$AF13*COS(AB5)^2)*T8</f>
        <v>0</v>
      </c>
      <c r="AC23" s="140">
        <f>($AF12*SIN(AC5)^2+$AF13*COS(AC5)^2)*U8</f>
        <v>0</v>
      </c>
      <c r="AD23" s="140">
        <f>($AF12*SIN(AD5)^2+$AF13*COS(AD5)^2)*V8</f>
        <v>0</v>
      </c>
      <c r="AE23" s="163">
        <f>SUM(AA23:AD23)</f>
        <v>0.4643021728764708</v>
      </c>
      <c r="AF23" s="163">
        <f>AE22+AE74+AE126+AE178+AE230+AE282+AE334+AE386+AE438+AE490+AE542+AE594+AE646+AE698+AE750+AE802</f>
        <v>0.4643021728764708</v>
      </c>
      <c r="AG23" s="139" t="s">
        <v>1364</v>
      </c>
      <c r="AH23" s="138">
        <f>(S38-P10*P7)/1000000-P13*P3</f>
        <v>1.7748993742691118E-4</v>
      </c>
      <c r="AI23" s="138">
        <f>(T38-P10*P7)/1000000-P13*P3</f>
        <v>3.7599999999999965E-4</v>
      </c>
      <c r="AJ23" s="157">
        <f>(U38-P10*P7)/1000000-P13*P3</f>
        <v>1.7748993742691118E-4</v>
      </c>
      <c r="AK23" s="157">
        <f>(V38-P10*P7)/1000000-P13*P3</f>
        <v>5.7451006257308796E-4</v>
      </c>
      <c r="AL23" s="163"/>
      <c r="AM23" s="139" t="s">
        <v>690</v>
      </c>
      <c r="AN23" s="158">
        <f>S96</f>
        <v>7.17</v>
      </c>
      <c r="AO23" s="158">
        <f>T96</f>
        <v>6.2358333333333338</v>
      </c>
      <c r="AP23" s="158">
        <f>U96</f>
        <v>5.3016666666666676</v>
      </c>
      <c r="AQ23" s="158">
        <f>V96</f>
        <v>5.3016666666666676</v>
      </c>
      <c r="AR23" s="147"/>
      <c r="AS23" s="138">
        <f>AS19*AS21*AR19</f>
        <v>0</v>
      </c>
    </row>
    <row r="24" spans="1:53">
      <c r="A24" s="137" t="str">
        <f>J522</f>
        <v>T3/N52[SI]</v>
      </c>
      <c r="B24" s="137" t="s">
        <v>644</v>
      </c>
      <c r="C24" s="149">
        <v>0</v>
      </c>
      <c r="D24" s="149">
        <v>0</v>
      </c>
      <c r="E24" s="149">
        <v>0</v>
      </c>
      <c r="F24" s="149">
        <v>0</v>
      </c>
      <c r="G24" s="150">
        <v>1</v>
      </c>
      <c r="H24" s="151">
        <f>2*(C24+D24+E24+F24)*G24</f>
        <v>0</v>
      </c>
      <c r="I24" s="152">
        <v>0</v>
      </c>
      <c r="J24" s="139" t="s">
        <v>1365</v>
      </c>
      <c r="K24" s="140">
        <f>K23*K7</f>
        <v>2.8969244443497315</v>
      </c>
      <c r="L24" s="140">
        <f>L23*L7</f>
        <v>2.8969244443497315</v>
      </c>
      <c r="M24" s="145">
        <f>L24/K24</f>
        <v>1</v>
      </c>
      <c r="N24" s="139" t="s">
        <v>1176</v>
      </c>
      <c r="O24" s="144">
        <f>O19</f>
        <v>40</v>
      </c>
      <c r="P24" s="144">
        <f>G60*P6^H113</f>
        <v>40</v>
      </c>
      <c r="Q24" s="140">
        <f t="shared" si="7"/>
        <v>1</v>
      </c>
      <c r="R24" s="137" t="s">
        <v>1185</v>
      </c>
      <c r="U24" s="141"/>
      <c r="W24" s="138"/>
      <c r="X24" s="138"/>
      <c r="AA24" s="140"/>
      <c r="AE24" s="163"/>
      <c r="AF24" s="163" t="s">
        <v>691</v>
      </c>
      <c r="AG24" s="139" t="s">
        <v>1367</v>
      </c>
      <c r="AH24" s="138">
        <f>(S39-P11*P7)/1000000-P14*P3</f>
        <v>-1.77489937426912E-4</v>
      </c>
      <c r="AI24" s="138">
        <f>(T39-P11*P7)/1000000-P14*P3</f>
        <v>-3.7600000000000047E-4</v>
      </c>
      <c r="AJ24" s="157">
        <f>(U39-P11*P7)/1000000-P14*P3</f>
        <v>-1.77489937426912E-4</v>
      </c>
      <c r="AK24" s="157">
        <f>(V39-P11*P7)/1000000-P14*P3</f>
        <v>-5.7451006257308894E-4</v>
      </c>
      <c r="AL24" s="163"/>
      <c r="AM24" s="139" t="s">
        <v>692</v>
      </c>
      <c r="AN24" s="158">
        <f>S95</f>
        <v>3.433333333333334</v>
      </c>
      <c r="AO24" s="158">
        <f>T95</f>
        <v>4.3675000000000006</v>
      </c>
      <c r="AP24" s="158">
        <f>U95</f>
        <v>5.3016666666666667</v>
      </c>
      <c r="AQ24" s="158">
        <f>V95</f>
        <v>5.3016666666666667</v>
      </c>
      <c r="AV24" s="138" t="s">
        <v>693</v>
      </c>
      <c r="AW24" s="138" t="s">
        <v>234</v>
      </c>
    </row>
    <row r="25" spans="1:53">
      <c r="A25" s="139" t="s">
        <v>694</v>
      </c>
      <c r="B25" s="137" t="s">
        <v>640</v>
      </c>
      <c r="C25" s="148">
        <v>0</v>
      </c>
      <c r="D25" s="148">
        <v>90</v>
      </c>
      <c r="E25" s="148">
        <v>0</v>
      </c>
      <c r="F25" s="148">
        <v>90</v>
      </c>
      <c r="G25" s="137" t="s">
        <v>641</v>
      </c>
      <c r="H25" s="137" t="s">
        <v>642</v>
      </c>
      <c r="I25" s="137" t="s">
        <v>643</v>
      </c>
      <c r="J25" s="139" t="s">
        <v>1370</v>
      </c>
      <c r="K25" s="140">
        <f>K8</f>
        <v>7.17</v>
      </c>
      <c r="L25" s="140">
        <f>L8</f>
        <v>7.17</v>
      </c>
      <c r="M25" s="145">
        <f>L25/K25</f>
        <v>1</v>
      </c>
      <c r="R25" s="143" t="s">
        <v>695</v>
      </c>
      <c r="S25" s="147">
        <f>S8*COS(S6)</f>
        <v>6.1257422745431001E-17</v>
      </c>
      <c r="T25" s="147">
        <f>T8*COS(T6)</f>
        <v>0</v>
      </c>
      <c r="U25" s="147">
        <f>U8*COS(U6)</f>
        <v>0</v>
      </c>
      <c r="V25" s="147">
        <f>V8*COS(V6)</f>
        <v>0</v>
      </c>
      <c r="W25" s="147">
        <f>SUM(S25:V25)</f>
        <v>6.1257422745431001E-17</v>
      </c>
      <c r="X25" s="138"/>
      <c r="AF25" s="163">
        <f>AE23+AE75+AE127+AE179+AE231+AE283+AE335+AE387+AE439+AE491+AE543+AE595+AE647+AE699+AE751+AE803</f>
        <v>0.4643021728764708</v>
      </c>
      <c r="AG25" s="139" t="s">
        <v>1372</v>
      </c>
      <c r="AH25" s="138">
        <f>S53/1000000</f>
        <v>0</v>
      </c>
      <c r="AI25" s="138">
        <f>T53/1000000</f>
        <v>0</v>
      </c>
      <c r="AJ25" s="157">
        <f>U53/1000000</f>
        <v>0</v>
      </c>
      <c r="AK25" s="157">
        <f>V53/1000000</f>
        <v>0</v>
      </c>
      <c r="AL25" s="163"/>
      <c r="AM25" s="139" t="s">
        <v>660</v>
      </c>
      <c r="AN25" s="158">
        <f>S101</f>
        <v>0</v>
      </c>
      <c r="AO25" s="158">
        <f>T101</f>
        <v>-1.6180241294039257</v>
      </c>
      <c r="AP25" s="158">
        <f>U101</f>
        <v>1.868333333333333</v>
      </c>
      <c r="AQ25" s="158">
        <f>V101</f>
        <v>-1.868333333333333</v>
      </c>
      <c r="AV25" s="138">
        <f t="array" ref="AV25:BA30">MINVERSE(AV17:BA22)</f>
        <v>184.28877056365897</v>
      </c>
      <c r="AW25" s="138">
        <v>5.8728045779623459</v>
      </c>
      <c r="AX25" s="138">
        <v>5.8728045779623459</v>
      </c>
      <c r="AY25" s="138">
        <v>0</v>
      </c>
      <c r="AZ25" s="138">
        <v>0</v>
      </c>
      <c r="BA25" s="138">
        <v>0</v>
      </c>
    </row>
    <row r="26" spans="1:53">
      <c r="A26" s="137" t="str">
        <f>J574</f>
        <v>T3/N52[SI]</v>
      </c>
      <c r="B26" s="137" t="s">
        <v>644</v>
      </c>
      <c r="C26" s="149">
        <v>0</v>
      </c>
      <c r="D26" s="149">
        <v>0</v>
      </c>
      <c r="E26" s="149">
        <v>0</v>
      </c>
      <c r="F26" s="149">
        <v>0</v>
      </c>
      <c r="G26" s="150">
        <v>1</v>
      </c>
      <c r="H26" s="151">
        <f>2*(C26+D26+E26+F26)*G26</f>
        <v>0</v>
      </c>
      <c r="I26" s="152">
        <v>0</v>
      </c>
      <c r="J26" s="138" t="s">
        <v>1510</v>
      </c>
      <c r="K26" s="140"/>
      <c r="L26" s="140"/>
      <c r="N26" s="138" t="s">
        <v>1375</v>
      </c>
      <c r="R26" s="139" t="s">
        <v>696</v>
      </c>
      <c r="S26" s="147">
        <f>S8*SIN(S6)</f>
        <v>1</v>
      </c>
      <c r="T26" s="147">
        <f>T8*SIN(T6)</f>
        <v>0</v>
      </c>
      <c r="U26" s="147">
        <f>U8*SIN(U6)</f>
        <v>0</v>
      </c>
      <c r="V26" s="147">
        <f>V8*SIN(V6)</f>
        <v>0</v>
      </c>
      <c r="W26" s="147">
        <f>SUM(S26:V26)</f>
        <v>1</v>
      </c>
      <c r="X26" s="138"/>
      <c r="AF26" s="163"/>
      <c r="AG26" s="163"/>
      <c r="AH26" s="163"/>
      <c r="AI26" s="163"/>
      <c r="AJ26" s="163"/>
      <c r="AK26" s="163"/>
      <c r="AL26" s="163"/>
      <c r="AM26" s="139" t="s">
        <v>662</v>
      </c>
      <c r="AN26" s="158">
        <f>AN23/(AN23*AN24-AN25^2)</f>
        <v>0.29126213592233002</v>
      </c>
      <c r="AO26" s="158">
        <f>AO23/(AO23*AO24-AO25^2)</f>
        <v>0.25331410542849786</v>
      </c>
      <c r="AP26" s="158">
        <f>AP23/(AP23*AP24-AP25^2)</f>
        <v>0.21536607493466572</v>
      </c>
      <c r="AQ26" s="158">
        <f>AQ23/(AQ23*AQ24-AQ25^2)</f>
        <v>0.21536607493466572</v>
      </c>
      <c r="AV26" s="138">
        <v>5.8728045779623477</v>
      </c>
      <c r="AW26" s="138">
        <v>13.920484365408949</v>
      </c>
      <c r="AX26" s="138">
        <v>7.053817698742284</v>
      </c>
      <c r="AY26" s="138">
        <v>0</v>
      </c>
      <c r="AZ26" s="138">
        <v>0</v>
      </c>
      <c r="BA26" s="138">
        <v>0</v>
      </c>
    </row>
    <row r="27" spans="1:53">
      <c r="A27" s="139" t="s">
        <v>697</v>
      </c>
      <c r="B27" s="137" t="s">
        <v>640</v>
      </c>
      <c r="C27" s="148">
        <v>0</v>
      </c>
      <c r="D27" s="148">
        <v>90</v>
      </c>
      <c r="E27" s="148">
        <v>0</v>
      </c>
      <c r="F27" s="148">
        <v>90</v>
      </c>
      <c r="G27" s="137" t="s">
        <v>641</v>
      </c>
      <c r="H27" s="137" t="s">
        <v>642</v>
      </c>
      <c r="I27" s="137" t="s">
        <v>643</v>
      </c>
      <c r="J27" s="139" t="s">
        <v>1380</v>
      </c>
      <c r="K27" s="140">
        <f>(3*K22+3*K23+2*K24+4*K25)/8</f>
        <v>76.368217701426829</v>
      </c>
      <c r="L27" s="140">
        <f>(3*L22+3*L23+2*L24+4*L25)/8</f>
        <v>76.368217701426843</v>
      </c>
      <c r="M27" s="145">
        <f>L27/K27</f>
        <v>1.0000000000000002</v>
      </c>
      <c r="N27" s="139" t="s">
        <v>1381</v>
      </c>
      <c r="O27" s="140">
        <f>1/O17/O18*1000000</f>
        <v>0.44444444444444442</v>
      </c>
      <c r="P27" s="140">
        <f>1/P17/P18*1000000</f>
        <v>0.44444444444444442</v>
      </c>
      <c r="Q27" s="140">
        <f>P27/O27</f>
        <v>1</v>
      </c>
      <c r="R27" s="139"/>
      <c r="S27" s="138" t="s">
        <v>698</v>
      </c>
      <c r="T27" s="137" t="s">
        <v>699</v>
      </c>
      <c r="U27" s="143" t="s">
        <v>700</v>
      </c>
      <c r="V27" s="137" t="s">
        <v>701</v>
      </c>
      <c r="W27" s="137" t="s">
        <v>702</v>
      </c>
      <c r="X27" s="138" t="s">
        <v>703</v>
      </c>
      <c r="Y27" s="137" t="s">
        <v>704</v>
      </c>
      <c r="Z27" s="137" t="s">
        <v>705</v>
      </c>
      <c r="AA27" s="138" t="s">
        <v>706</v>
      </c>
      <c r="AB27" s="139"/>
      <c r="AC27" s="139"/>
      <c r="AF27" s="138"/>
      <c r="AG27" s="159" t="s">
        <v>1383</v>
      </c>
      <c r="AH27" s="166">
        <f>P33*AH23^2+2*P35*AH23*AH24+P34*AH24^2+P36*AH25^2</f>
        <v>9.080093069063817E-4</v>
      </c>
      <c r="AI27" s="163">
        <f>P33*AI23^2+2*P35*AI23*AI24+P34*AI24^2+P36*AI25^2</f>
        <v>4.0749146542514731E-3</v>
      </c>
      <c r="AJ27" s="163">
        <f>P33*AJ23^2+2*P35*AJ23*AJ24+P34*AJ24^2+P36*AJ25^2</f>
        <v>9.080093069063817E-4</v>
      </c>
      <c r="AK27" s="163">
        <f>P33*AK23^2+2*P35*AK23*AK24+P34*AK24^2+P36*AK25^2</f>
        <v>9.5134514664324942E-3</v>
      </c>
      <c r="AL27" s="163"/>
      <c r="AM27" s="139" t="s">
        <v>665</v>
      </c>
      <c r="AN27" s="158">
        <f>AN24/(AN23*AN24-AN25^2)</f>
        <v>0.1394700139470014</v>
      </c>
      <c r="AO27" s="158">
        <f>AO24/(AO23*AO24-AO25^2)</f>
        <v>0.17741804444083353</v>
      </c>
      <c r="AP27" s="158">
        <f>AP24/(AP23*AP24-AP25^2)</f>
        <v>0.21536607493466567</v>
      </c>
      <c r="AQ27" s="158">
        <f>AQ24/(AQ23*AQ24-AQ25^2)</f>
        <v>0.21536607493466567</v>
      </c>
      <c r="AV27" s="138">
        <v>5.8728045779623468</v>
      </c>
      <c r="AW27" s="138">
        <v>7.0538176987422831</v>
      </c>
      <c r="AX27" s="138">
        <v>13.920484365408949</v>
      </c>
      <c r="AY27" s="138">
        <v>0</v>
      </c>
      <c r="AZ27" s="138">
        <v>0</v>
      </c>
      <c r="BA27" s="138">
        <v>0</v>
      </c>
    </row>
    <row r="28" spans="1:53">
      <c r="A28" s="137" t="str">
        <f>J626</f>
        <v>T3/N52[SI]</v>
      </c>
      <c r="B28" s="137" t="s">
        <v>644</v>
      </c>
      <c r="C28" s="149">
        <v>0</v>
      </c>
      <c r="D28" s="149">
        <v>0</v>
      </c>
      <c r="E28" s="149">
        <v>0</v>
      </c>
      <c r="F28" s="149">
        <v>0</v>
      </c>
      <c r="G28" s="150">
        <v>1</v>
      </c>
      <c r="H28" s="151">
        <f>2*(C28+D28+E28+F28)*G28</f>
        <v>0</v>
      </c>
      <c r="I28" s="152">
        <v>0</v>
      </c>
      <c r="J28" s="139" t="s">
        <v>1384</v>
      </c>
      <c r="K28" s="140">
        <f>(K22-K23)/2</f>
        <v>85.732490057298719</v>
      </c>
      <c r="L28" s="140">
        <f>(L22-L23)/2</f>
        <v>85.732490057298733</v>
      </c>
      <c r="M28" s="145">
        <f>L28/K28</f>
        <v>1.0000000000000002</v>
      </c>
      <c r="N28" s="139" t="s">
        <v>1385</v>
      </c>
      <c r="O28" s="140">
        <f>1/O19/O20*1000000</f>
        <v>101.6260162601626</v>
      </c>
      <c r="P28" s="140">
        <f>1/P19/P20*1000000</f>
        <v>101.6260162601626</v>
      </c>
      <c r="Q28" s="140">
        <f>P28/O28</f>
        <v>1</v>
      </c>
      <c r="R28" s="139">
        <v>1</v>
      </c>
      <c r="S28" s="138">
        <f>(S32*W8+S33*W25)</f>
        <v>1.5083176634230242E-4</v>
      </c>
      <c r="T28" s="138">
        <f>S28+S80+S132+S184+S236+S288+S340+S392+S444+S496+S548+S600+S652+S704+S756+S808</f>
        <v>1.5083176634230242E-4</v>
      </c>
      <c r="U28" s="138">
        <f>(T32*W8+T33*W25)</f>
        <v>3.9729249522510592</v>
      </c>
      <c r="V28" s="147">
        <f>U28+U80+U132+U184+U236+U288+U340+U392+U444+U496+U548+U600+U652+U704+U756+U808</f>
        <v>3.9729249522510592</v>
      </c>
      <c r="W28" s="138">
        <f>S28*P7+U28*P3</f>
        <v>4.7814481270250543E-3</v>
      </c>
      <c r="X28" s="147">
        <f>W28+W80+W132+W184+W236+W288+W340+W392+W444+W496+W548+W600+W652+W704+W756+W808</f>
        <v>4.7814481270250543E-3</v>
      </c>
      <c r="Y28" s="138">
        <f>(T17*T28+T19*T29+T21*T30)*1000000</f>
        <v>11.259999999999984</v>
      </c>
      <c r="Z28" s="138">
        <f>(T17*V28+T19*V29+T21*V30)</f>
        <v>0.29999999999999954</v>
      </c>
      <c r="AA28" s="138">
        <f>(T17*X28+T19*X29+T21*X30)*1000000</f>
        <v>373.99999999999937</v>
      </c>
      <c r="AB28" s="147"/>
      <c r="AC28" s="147"/>
      <c r="AF28" s="138"/>
      <c r="AG28" s="159" t="s">
        <v>1387</v>
      </c>
      <c r="AH28" s="166">
        <f>P37*AH23+P38*AH24</f>
        <v>-2.7679452256561158E-2</v>
      </c>
      <c r="AI28" s="163">
        <f>P37*AI23+P38*AI24</f>
        <v>-5.8636980773925054E-2</v>
      </c>
      <c r="AJ28" s="163">
        <f>P37*AJ23+P38*AJ24</f>
        <v>-2.7679452256561158E-2</v>
      </c>
      <c r="AK28" s="163">
        <f>P37*AK23+P38*AK24</f>
        <v>-8.9594509291288954E-2</v>
      </c>
      <c r="AL28" s="163"/>
      <c r="AM28" s="138" t="s">
        <v>666</v>
      </c>
      <c r="AN28" s="141">
        <f>-AN25/(AN23*AN24-AN25^2)</f>
        <v>0</v>
      </c>
      <c r="AO28" s="141">
        <f>-AO25/(AO23*AO24-AO25^2)</f>
        <v>6.5727916862490354E-2</v>
      </c>
      <c r="AP28" s="141">
        <f>-AP25/(AP23*AP24-AP25^2)</f>
        <v>-7.5896060987664313E-2</v>
      </c>
      <c r="AQ28" s="141">
        <f>-AQ25/(AQ23*AQ24-AQ25^2)</f>
        <v>7.5896060987664313E-2</v>
      </c>
      <c r="AV28" s="138">
        <v>0</v>
      </c>
      <c r="AW28" s="138">
        <v>0</v>
      </c>
      <c r="AX28" s="138">
        <v>0</v>
      </c>
      <c r="AY28" s="138">
        <v>3.4333333333333336</v>
      </c>
      <c r="AZ28" s="138">
        <v>0</v>
      </c>
      <c r="BA28" s="138">
        <v>0</v>
      </c>
    </row>
    <row r="29" spans="1:53">
      <c r="A29" s="139" t="s">
        <v>707</v>
      </c>
      <c r="B29" s="137" t="s">
        <v>640</v>
      </c>
      <c r="C29" s="148">
        <v>0</v>
      </c>
      <c r="D29" s="148">
        <v>90</v>
      </c>
      <c r="E29" s="148">
        <v>0</v>
      </c>
      <c r="F29" s="148">
        <v>90</v>
      </c>
      <c r="G29" s="137" t="s">
        <v>641</v>
      </c>
      <c r="H29" s="137" t="s">
        <v>642</v>
      </c>
      <c r="I29" s="137" t="s">
        <v>643</v>
      </c>
      <c r="J29" s="139" t="s">
        <v>1388</v>
      </c>
      <c r="K29" s="140">
        <f>(K22+K23-2*K24-4*K25)/8</f>
        <v>19.710431085692363</v>
      </c>
      <c r="L29" s="140">
        <f>(L22+L23-2*L24-4*L25)/8</f>
        <v>19.710431085692367</v>
      </c>
      <c r="M29" s="145">
        <f>L29/K29</f>
        <v>1.0000000000000002</v>
      </c>
      <c r="N29" s="139" t="s">
        <v>1389</v>
      </c>
      <c r="O29" s="140">
        <f>O22*(O27*O28)^0.5</f>
        <v>-3.3603243272729659</v>
      </c>
      <c r="P29" s="140">
        <f>P22*(P27*P28)^0.5</f>
        <v>-3.3603243272729659</v>
      </c>
      <c r="Q29" s="140">
        <f>P29/O29</f>
        <v>1</v>
      </c>
      <c r="R29" s="139">
        <v>2</v>
      </c>
      <c r="S29" s="138">
        <f>(S32*W8-S33*W25)</f>
        <v>1.5083176634230242E-4</v>
      </c>
      <c r="T29" s="138">
        <f>S29+S81+S133+S185+S237+S289+S341+S393+S445+S497+S549+S601+S653+S705+S757+S809</f>
        <v>1.5083176634230242E-4</v>
      </c>
      <c r="U29" s="138">
        <f>(T32*W8-T33*W25)</f>
        <v>3.9729249522510592</v>
      </c>
      <c r="V29" s="147">
        <f>U29+U81+U133+U185+U237+U289+U341+U393+U445+U497+U549+U601+U653+U705+U757+U809</f>
        <v>3.9729249522510592</v>
      </c>
      <c r="W29" s="138">
        <f>S29*P7+U29*P3</f>
        <v>4.7814481270250543E-3</v>
      </c>
      <c r="X29" s="147">
        <f>W29+W81+W133+W185+W237+W289+W341+W393+W445+W497+W549+W601+W653+W705+W757+W809</f>
        <v>4.7814481270250543E-3</v>
      </c>
      <c r="Y29" s="138">
        <f>(T19*T28+T18*T29+T22*T30)*1000000</f>
        <v>11.259999999999993</v>
      </c>
      <c r="Z29" s="138">
        <f>(T19*V28+T18*V29+T22*V30)</f>
        <v>0.29999999999999977</v>
      </c>
      <c r="AA29" s="138">
        <f>(T19*X28+T18*X29+T22*X30)*1000000</f>
        <v>373.99999999999966</v>
      </c>
      <c r="AB29" s="147"/>
      <c r="AC29" s="147"/>
      <c r="AF29" s="138"/>
      <c r="AG29" s="159" t="s">
        <v>1390</v>
      </c>
      <c r="AH29" s="166">
        <f>AH27+AH28</f>
        <v>-2.6771442949654778E-2</v>
      </c>
      <c r="AI29" s="163">
        <f>AI27+AI28</f>
        <v>-5.4562066119673583E-2</v>
      </c>
      <c r="AJ29" s="163">
        <f>AJ27+AJ28</f>
        <v>-2.6771442949654778E-2</v>
      </c>
      <c r="AK29" s="163">
        <f>AK27+AK28</f>
        <v>-8.0081057824856458E-2</v>
      </c>
      <c r="AL29" s="163"/>
      <c r="AM29" s="138" t="s">
        <v>637</v>
      </c>
      <c r="AN29" s="141"/>
      <c r="AO29" s="141"/>
      <c r="AR29" s="141"/>
      <c r="AS29" s="141"/>
      <c r="AV29" s="138">
        <v>0</v>
      </c>
      <c r="AW29" s="138">
        <v>0</v>
      </c>
      <c r="AX29" s="138">
        <v>0</v>
      </c>
      <c r="AY29" s="138">
        <v>0</v>
      </c>
      <c r="AZ29" s="138">
        <v>7.17</v>
      </c>
      <c r="BA29" s="138">
        <v>0</v>
      </c>
    </row>
    <row r="30" spans="1:53">
      <c r="A30" s="137" t="str">
        <f>J678</f>
        <v>T3/N52[SI]</v>
      </c>
      <c r="B30" s="137" t="s">
        <v>644</v>
      </c>
      <c r="C30" s="149">
        <v>0</v>
      </c>
      <c r="D30" s="149">
        <v>0</v>
      </c>
      <c r="E30" s="149">
        <v>0</v>
      </c>
      <c r="F30" s="149">
        <v>0</v>
      </c>
      <c r="G30" s="150">
        <v>1</v>
      </c>
      <c r="H30" s="151">
        <f>2*(C30+D30+E30+F30)*G30</f>
        <v>0</v>
      </c>
      <c r="I30" s="152">
        <v>0</v>
      </c>
      <c r="J30" s="139" t="s">
        <v>1391</v>
      </c>
      <c r="K30" s="140">
        <f>(K22+K23+6*K24-4*K25)/8</f>
        <v>22.607355530042096</v>
      </c>
      <c r="L30" s="140">
        <f>(L22+L23+6*L24-4*L25)/8</f>
        <v>22.607355530042099</v>
      </c>
      <c r="M30" s="145">
        <f>L30/K30</f>
        <v>1.0000000000000002</v>
      </c>
      <c r="N30" s="139" t="s">
        <v>1392</v>
      </c>
      <c r="O30" s="140">
        <f>1/O21^2*1000000</f>
        <v>216.26297577854672</v>
      </c>
      <c r="P30" s="140">
        <f>1/P21^2*1000000</f>
        <v>216.26297577854672</v>
      </c>
      <c r="Q30" s="140">
        <f>P30/O30</f>
        <v>1</v>
      </c>
      <c r="R30" s="139">
        <v>6</v>
      </c>
      <c r="S30" s="139">
        <f>S33*W26</f>
        <v>-8.2014743567545106E-5</v>
      </c>
      <c r="T30" s="138">
        <f>S30+S82+S134+S186+S238+S290+S342+S394+S446+S498+S550+S602+S654+S706+S758+S810</f>
        <v>-8.2014743567545106E-5</v>
      </c>
      <c r="U30" s="139">
        <f>T33*W26</f>
        <v>-2.234770285641221</v>
      </c>
      <c r="V30" s="147">
        <f>U30+U82+U134+U186+U238+U290+U342+U394+U446+U498+U550+U602+U654+U706+U758+U810</f>
        <v>-2.234770285641221</v>
      </c>
      <c r="W30" s="138">
        <f>S30*P7+U30*P3</f>
        <v>-2.9723770714515964E-3</v>
      </c>
      <c r="X30" s="147">
        <f>W30+W82+W134+W186+W238+W290+W342+W394+W446+W498+W550+W602+W654+W706+W758+W810</f>
        <v>-2.9723770714515964E-3</v>
      </c>
      <c r="Y30" s="138">
        <f>(T21*T28+T22*T29+T20*T30)*1000000</f>
        <v>-22.479999999999976</v>
      </c>
      <c r="Z30" s="138">
        <f>(T21*V28+T22*V29+T20*V30)</f>
        <v>-0.5999999999999992</v>
      </c>
      <c r="AA30" s="138">
        <f>(T21*X30+T22*X29+T20*X30)*1000000</f>
        <v>-397.02012514617672</v>
      </c>
      <c r="AB30" s="147"/>
      <c r="AC30" s="147"/>
      <c r="AF30" s="138"/>
      <c r="AG30" s="159" t="s">
        <v>1395</v>
      </c>
      <c r="AH30" s="166">
        <f>-1+AH29</f>
        <v>-1.0267714429496548</v>
      </c>
      <c r="AI30" s="163">
        <f>-1+AI29</f>
        <v>-1.0545620661196735</v>
      </c>
      <c r="AJ30" s="163">
        <f>-1+AJ29</f>
        <v>-1.0267714429496548</v>
      </c>
      <c r="AK30" s="163">
        <f>-1+AK29</f>
        <v>-1.0800810578248565</v>
      </c>
      <c r="AL30" s="163"/>
      <c r="AM30" s="137"/>
      <c r="AN30" s="141"/>
      <c r="AO30" s="141"/>
      <c r="AR30" s="141"/>
      <c r="AS30" s="143"/>
      <c r="AV30" s="138">
        <v>0</v>
      </c>
      <c r="AW30" s="138">
        <v>0</v>
      </c>
      <c r="AX30" s="138">
        <v>0</v>
      </c>
      <c r="AY30" s="138">
        <v>0</v>
      </c>
      <c r="AZ30" s="138">
        <v>0</v>
      </c>
      <c r="BA30" s="138">
        <v>7.17</v>
      </c>
    </row>
    <row r="31" spans="1:53">
      <c r="A31" s="139" t="s">
        <v>708</v>
      </c>
      <c r="B31" s="137" t="s">
        <v>640</v>
      </c>
      <c r="C31" s="148">
        <v>0</v>
      </c>
      <c r="D31" s="148">
        <v>90</v>
      </c>
      <c r="E31" s="148">
        <v>0</v>
      </c>
      <c r="F31" s="148">
        <v>90</v>
      </c>
      <c r="G31" s="137" t="s">
        <v>641</v>
      </c>
      <c r="H31" s="137" t="s">
        <v>642</v>
      </c>
      <c r="I31" s="137" t="s">
        <v>643</v>
      </c>
      <c r="J31" s="139" t="s">
        <v>1396</v>
      </c>
      <c r="K31" s="140">
        <f>(K27-K30)/2</f>
        <v>26.880431085692365</v>
      </c>
      <c r="L31" s="140">
        <f>(L27-L30)/2</f>
        <v>26.880431085692372</v>
      </c>
      <c r="M31" s="145">
        <f>L31/K31</f>
        <v>1.0000000000000002</v>
      </c>
      <c r="N31" s="139" t="s">
        <v>1397</v>
      </c>
      <c r="O31" s="140">
        <f>(1/O17-1/O18)*1000</f>
        <v>0</v>
      </c>
      <c r="P31" s="140">
        <f>(1/P17-1/P18)*1000</f>
        <v>0</v>
      </c>
      <c r="Q31" s="140">
        <f>IF(O31=0,1,P31/O31)</f>
        <v>1</v>
      </c>
      <c r="R31" s="143"/>
      <c r="S31" s="143" t="s">
        <v>709</v>
      </c>
      <c r="T31" s="143" t="s">
        <v>710</v>
      </c>
      <c r="U31" s="143"/>
      <c r="V31" s="141"/>
      <c r="W31" s="138"/>
      <c r="X31" s="139" t="s">
        <v>711</v>
      </c>
      <c r="Y31" s="138">
        <f>(Y28+Y29)/2</f>
        <v>11.259999999999987</v>
      </c>
      <c r="Z31" s="138">
        <f>(Z28+Z29)/2</f>
        <v>0.29999999999999966</v>
      </c>
      <c r="AA31" s="138">
        <f>(AA28+AA29)/2</f>
        <v>373.99999999999955</v>
      </c>
      <c r="AF31" s="138"/>
      <c r="AG31" s="159" t="s">
        <v>1399</v>
      </c>
      <c r="AH31" s="166">
        <f>2*(P33*AH7*AH23+P34*AH8*AH24+P35*(AH7*AH24+AH23*AH8)+P36*AH9*AH25)</f>
        <v>-0.44503703375766546</v>
      </c>
      <c r="AI31" s="163">
        <f>2*(P33*AI7*AI23+P34*AI8*AI24+P35*(AI7*AI24+AI23*AI8)+P36*AI9*AI25)</f>
        <v>-1.4619791508940565</v>
      </c>
      <c r="AJ31" s="163">
        <f>2*(P33*AJ7*AJ23+P34*AJ8*AJ24+P35*(AJ7*AJ24+AJ23*AJ8)+P36*AJ9*AJ25)</f>
        <v>-0.44503703375766546</v>
      </c>
      <c r="AK31" s="163">
        <f>2*(P33*AK7*AK23+P34*AK8*AK24+P35*(AK7*AK24+AK23*AK8)+P36*AK9*AK25)</f>
        <v>1.5918893125865532</v>
      </c>
      <c r="AL31" s="163"/>
      <c r="AM31" s="139" t="s">
        <v>243</v>
      </c>
      <c r="AN31" s="143" t="s">
        <v>1562</v>
      </c>
      <c r="AO31" s="143" t="s">
        <v>1563</v>
      </c>
      <c r="AP31" s="143" t="s">
        <v>1564</v>
      </c>
      <c r="AQ31" s="143" t="s">
        <v>1565</v>
      </c>
      <c r="AR31" s="143"/>
      <c r="AS31" s="143"/>
    </row>
    <row r="32" spans="1:53">
      <c r="A32" s="137" t="str">
        <f>J730</f>
        <v>T3/N52[SI]</v>
      </c>
      <c r="B32" s="137" t="s">
        <v>644</v>
      </c>
      <c r="C32" s="149">
        <v>0</v>
      </c>
      <c r="D32" s="149">
        <v>0</v>
      </c>
      <c r="E32" s="149">
        <v>0</v>
      </c>
      <c r="F32" s="149">
        <v>0</v>
      </c>
      <c r="G32" s="150">
        <v>1</v>
      </c>
      <c r="H32" s="151">
        <f>2*(C32+D32+E32+F32)*G32</f>
        <v>0</v>
      </c>
      <c r="I32" s="152">
        <v>0</v>
      </c>
      <c r="J32" s="138" t="s">
        <v>1400</v>
      </c>
      <c r="N32" s="139" t="s">
        <v>1401</v>
      </c>
      <c r="O32" s="140">
        <f>(1/O19-1/O20)*1000</f>
        <v>20.934959349593495</v>
      </c>
      <c r="P32" s="140">
        <f>(1/P19-1/P20)*1000</f>
        <v>20.934959349593495</v>
      </c>
      <c r="Q32" s="140">
        <f t="shared" ref="Q32:Q38" si="9">P32/O32</f>
        <v>1</v>
      </c>
      <c r="R32" s="167" t="s">
        <v>711</v>
      </c>
      <c r="S32" s="138">
        <f>((K22+K24)*P10+(L24+L23)*P11)/2/1000000</f>
        <v>1.5083176634230242E-4</v>
      </c>
      <c r="T32" s="138">
        <f>((L22+L24)*P13+(L24+L23)*P14)/2</f>
        <v>3.9729249522510592</v>
      </c>
      <c r="U32" s="143"/>
      <c r="V32" s="141"/>
      <c r="W32" s="138"/>
      <c r="X32" s="143" t="s">
        <v>712</v>
      </c>
      <c r="Y32" s="164">
        <f>(Y28-Y29)/2</f>
        <v>-4.4408920985006262E-15</v>
      </c>
      <c r="Z32" s="164">
        <f>(Z28-Z29)/2</f>
        <v>-1.1102230246251565E-16</v>
      </c>
      <c r="AA32" s="164">
        <f>(AA28-AA29)/2</f>
        <v>-1.4210854715202004E-13</v>
      </c>
      <c r="AF32" s="138"/>
      <c r="AG32" s="159" t="s">
        <v>1403</v>
      </c>
      <c r="AH32" s="166">
        <f>AH31+AH15</f>
        <v>20.489922315835795</v>
      </c>
      <c r="AI32" s="163">
        <f>AI31+AI15</f>
        <v>23.208553325487717</v>
      </c>
      <c r="AJ32" s="163">
        <f>AJ31+AJ15</f>
        <v>20.489922315835795</v>
      </c>
      <c r="AK32" s="163">
        <f>AK31+AK15</f>
        <v>8.2477275584445309</v>
      </c>
      <c r="AL32" s="163"/>
      <c r="AM32" s="139" t="s">
        <v>537</v>
      </c>
      <c r="AN32" s="154">
        <f t="shared" ref="AN32:AQ33" si="10">S108</f>
        <v>0</v>
      </c>
      <c r="AO32" s="154">
        <f t="shared" si="10"/>
        <v>90</v>
      </c>
      <c r="AP32" s="154">
        <f t="shared" si="10"/>
        <v>0</v>
      </c>
      <c r="AQ32" s="154">
        <f t="shared" si="10"/>
        <v>90</v>
      </c>
      <c r="AR32" s="143" t="s">
        <v>538</v>
      </c>
      <c r="AS32" s="143" t="s">
        <v>652</v>
      </c>
    </row>
    <row r="33" spans="1:45">
      <c r="A33" s="139" t="s">
        <v>713</v>
      </c>
      <c r="B33" s="137" t="s">
        <v>640</v>
      </c>
      <c r="C33" s="148">
        <v>0</v>
      </c>
      <c r="D33" s="148">
        <v>90</v>
      </c>
      <c r="E33" s="148">
        <v>0</v>
      </c>
      <c r="F33" s="148">
        <v>90</v>
      </c>
      <c r="G33" s="137" t="s">
        <v>641</v>
      </c>
      <c r="H33" s="137" t="s">
        <v>642</v>
      </c>
      <c r="I33" s="137" t="s">
        <v>643</v>
      </c>
      <c r="J33" s="139" t="s">
        <v>1404</v>
      </c>
      <c r="K33" s="140">
        <f>(1-(K30/K27)^2)*K27</f>
        <v>69.675740916648124</v>
      </c>
      <c r="L33" s="140">
        <f>(1-(L30/L27)^2)*L27</f>
        <v>69.675740916648138</v>
      </c>
      <c r="M33" s="140">
        <f>L33/K33</f>
        <v>1.0000000000000002</v>
      </c>
      <c r="N33" s="139" t="s">
        <v>1405</v>
      </c>
      <c r="O33" s="144">
        <f>(O27*K22^2+2*O29*K22*K24+O28*K24^2)</f>
        <v>12004.38353147296</v>
      </c>
      <c r="P33" s="144">
        <f>(P27*L22^2+2*P29*L22*L24+P28*L24^2)</f>
        <v>12004.38353147296</v>
      </c>
      <c r="Q33" s="140">
        <f t="shared" si="9"/>
        <v>1</v>
      </c>
      <c r="R33" s="167" t="s">
        <v>712</v>
      </c>
      <c r="S33" s="138">
        <f>((L22-L24)*P10+(L24-L23)*P11)/2/1000000</f>
        <v>-8.2014743567545106E-5</v>
      </c>
      <c r="T33" s="138">
        <f>((L22-L24)*P13+(L24-L23)*P14)/2</f>
        <v>-2.234770285641221</v>
      </c>
      <c r="U33" s="143"/>
      <c r="V33" s="141"/>
      <c r="W33" s="138"/>
      <c r="X33" s="143" t="s">
        <v>714</v>
      </c>
      <c r="Y33" s="164">
        <f>Y30/2</f>
        <v>-11.239999999999988</v>
      </c>
      <c r="Z33" s="164">
        <f>Z30/2</f>
        <v>-0.2999999999999996</v>
      </c>
      <c r="AA33" s="164">
        <f>AA30/2</f>
        <v>-198.51006257308836</v>
      </c>
      <c r="AG33" s="159" t="s">
        <v>1412</v>
      </c>
      <c r="AH33" s="166">
        <f>AH32/2/AH14</f>
        <v>3.2877216719208673E-2</v>
      </c>
      <c r="AI33" s="163">
        <f>AI32/2/AI14</f>
        <v>4.3763610081818435E-2</v>
      </c>
      <c r="AJ33" s="163">
        <f>AJ32/2/AJ14</f>
        <v>3.2877216719208673E-2</v>
      </c>
      <c r="AK33" s="163">
        <f>AK32/2/AK14</f>
        <v>1.274076159712142E-2</v>
      </c>
      <c r="AL33" s="163"/>
      <c r="AM33" s="139" t="s">
        <v>541</v>
      </c>
      <c r="AN33" s="154">
        <f t="shared" si="10"/>
        <v>0</v>
      </c>
      <c r="AO33" s="154">
        <f t="shared" si="10"/>
        <v>0</v>
      </c>
      <c r="AP33" s="154">
        <f t="shared" si="10"/>
        <v>0</v>
      </c>
      <c r="AQ33" s="154">
        <f t="shared" si="10"/>
        <v>0</v>
      </c>
      <c r="AR33" s="156">
        <f>W109</f>
        <v>1</v>
      </c>
      <c r="AS33" s="146">
        <f>SUM(AN33:AQ33)</f>
        <v>0</v>
      </c>
    </row>
    <row r="34" spans="1:45">
      <c r="A34" s="137" t="str">
        <f>J782</f>
        <v>T3/N52[SI]</v>
      </c>
      <c r="B34" s="137" t="s">
        <v>644</v>
      </c>
      <c r="C34" s="149">
        <v>0</v>
      </c>
      <c r="D34" s="149">
        <v>0</v>
      </c>
      <c r="E34" s="149">
        <v>0</v>
      </c>
      <c r="F34" s="149">
        <v>0</v>
      </c>
      <c r="G34" s="150">
        <v>1</v>
      </c>
      <c r="H34" s="151">
        <f>2*(C34+D34+E34+F34)*G34</f>
        <v>0</v>
      </c>
      <c r="I34" s="152">
        <v>0</v>
      </c>
      <c r="J34" s="139" t="s">
        <v>1414</v>
      </c>
      <c r="K34" s="140">
        <f>K30/K27</f>
        <v>0.29603094337527941</v>
      </c>
      <c r="L34" s="140">
        <f>L30/L27</f>
        <v>0.29603094337527941</v>
      </c>
      <c r="M34" s="140">
        <f>L34/K34</f>
        <v>1</v>
      </c>
      <c r="N34" s="139" t="s">
        <v>1415</v>
      </c>
      <c r="O34" s="144">
        <f>(O27*K24^2+2*O29*K24*K23+O28*K23^2)</f>
        <v>10680.652008265077</v>
      </c>
      <c r="P34" s="144">
        <f>(P27*L24^2+2*P29*L24*L23+P28*L23^2)</f>
        <v>10680.652008265077</v>
      </c>
      <c r="Q34" s="140">
        <f t="shared" si="9"/>
        <v>1</v>
      </c>
      <c r="R34" s="139" t="s">
        <v>715</v>
      </c>
      <c r="S34" s="138">
        <f>Y31+Y32*COS(S6)+Y33*SIN(S6)</f>
        <v>1.9999999999999574E-2</v>
      </c>
      <c r="T34" s="138">
        <f>Y31+Y32*COS(T6)+Y33*SIN(T6)</f>
        <v>11.259999999999989</v>
      </c>
      <c r="U34" s="138">
        <f>Y31+Y32*COS(U6)+Y33*SIN(U6)</f>
        <v>1.9999999999999574E-2</v>
      </c>
      <c r="V34" s="138">
        <f>Y31+Y32*COS(V6)+Y33*SIN(V6)</f>
        <v>22.499999999999975</v>
      </c>
      <c r="W34" s="138"/>
      <c r="Y34" s="164"/>
      <c r="AC34" s="140"/>
      <c r="AG34" s="159"/>
      <c r="AH34" s="147"/>
      <c r="AI34" s="163"/>
      <c r="AJ34" s="163"/>
      <c r="AK34" s="163"/>
      <c r="AL34" s="163"/>
      <c r="AM34" s="138" t="s">
        <v>648</v>
      </c>
      <c r="AN34" s="158">
        <f>AN32*PI()/180</f>
        <v>0</v>
      </c>
      <c r="AO34" s="158">
        <f>AO32*PI()/180</f>
        <v>1.5707963267948966</v>
      </c>
      <c r="AP34" s="158">
        <f>AP32*PI()/180</f>
        <v>0</v>
      </c>
      <c r="AQ34" s="158">
        <f>AQ32*PI()/180</f>
        <v>1.5707963267948966</v>
      </c>
      <c r="AS34" s="159" t="s">
        <v>683</v>
      </c>
    </row>
    <row r="35" spans="1:45">
      <c r="A35" s="137"/>
      <c r="B35" s="137"/>
      <c r="C35" s="149"/>
      <c r="D35" s="149"/>
      <c r="E35" s="149"/>
      <c r="F35" s="149"/>
      <c r="G35" s="150"/>
      <c r="H35" s="151"/>
      <c r="I35" s="152"/>
      <c r="J35" s="139" t="s">
        <v>716</v>
      </c>
      <c r="K35" s="138">
        <f>(1-L7^2*L6/L5)*L6/(1-L7^2*L6/L5-L20^2-L7^2*L6/L5-2*L7^2*L6/L5*L20)</f>
        <v>13.920484365408951</v>
      </c>
      <c r="N35" s="139" t="s">
        <v>1416</v>
      </c>
      <c r="O35" s="144">
        <f>(O27*K22*K24+O29*(K22*K23+K24^2)+O28*K24*K23)</f>
        <v>-3069.103206291968</v>
      </c>
      <c r="P35" s="144">
        <f>(P27*L22*L24+P29*(L22*L23+L24^2)+P28*L24*L23)</f>
        <v>-3069.1032062919689</v>
      </c>
      <c r="Q35" s="140">
        <f t="shared" si="9"/>
        <v>1.0000000000000002</v>
      </c>
      <c r="R35" s="139" t="s">
        <v>717</v>
      </c>
      <c r="S35" s="138">
        <f>2*Y31-S34</f>
        <v>22.499999999999975</v>
      </c>
      <c r="T35" s="138">
        <f>2*Y31-T34</f>
        <v>11.259999999999986</v>
      </c>
      <c r="U35" s="138">
        <f>2*Y31-U34</f>
        <v>22.499999999999975</v>
      </c>
      <c r="V35" s="138">
        <f>2*Y31-V34</f>
        <v>1.9999999999999574E-2</v>
      </c>
      <c r="W35" s="138"/>
      <c r="Y35" s="164"/>
      <c r="AC35" s="140"/>
      <c r="AG35" s="159"/>
      <c r="AH35" s="147"/>
      <c r="AI35" s="163"/>
      <c r="AJ35" s="163"/>
      <c r="AK35" s="163"/>
      <c r="AL35" s="163"/>
      <c r="AM35" s="139" t="s">
        <v>653</v>
      </c>
      <c r="AN35" s="158">
        <f>COS(AN32*PI()/180)</f>
        <v>1</v>
      </c>
      <c r="AO35" s="158">
        <f>COS(AO32*PI()/180)</f>
        <v>6.1257422745431001E-17</v>
      </c>
      <c r="AP35" s="158">
        <f>COS(AP32*PI()/180)</f>
        <v>1</v>
      </c>
      <c r="AQ35" s="158">
        <f>COS(AQ32*PI()/180)</f>
        <v>6.1257422745431001E-17</v>
      </c>
      <c r="AR35" s="143"/>
      <c r="AS35" s="162">
        <f>$L113/1000000/AT5*2/AT7</f>
        <v>0.05</v>
      </c>
    </row>
    <row r="36" spans="1:45">
      <c r="A36" s="137" t="s">
        <v>718</v>
      </c>
      <c r="B36" s="159"/>
      <c r="C36" s="160" t="s">
        <v>719</v>
      </c>
      <c r="D36" s="155" t="s">
        <v>720</v>
      </c>
      <c r="E36" s="155" t="s">
        <v>721</v>
      </c>
      <c r="F36" s="155" t="s">
        <v>722</v>
      </c>
      <c r="G36" s="155" t="s">
        <v>723</v>
      </c>
      <c r="H36" s="160" t="s">
        <v>122</v>
      </c>
      <c r="I36" s="137" t="s">
        <v>123</v>
      </c>
      <c r="J36" s="139" t="s">
        <v>1193</v>
      </c>
      <c r="K36" s="140">
        <f>D113</f>
        <v>1.6</v>
      </c>
      <c r="L36" s="140">
        <f>L37*(1-L11)+L38*L11</f>
        <v>1.6</v>
      </c>
      <c r="M36" s="140">
        <f>L36/K36</f>
        <v>1</v>
      </c>
      <c r="N36" s="139" t="s">
        <v>1418</v>
      </c>
      <c r="O36" s="144">
        <f>O30*K25^2</f>
        <v>11117.841695501729</v>
      </c>
      <c r="P36" s="144">
        <f>P30*L25^2</f>
        <v>11117.841695501729</v>
      </c>
      <c r="Q36" s="140">
        <f t="shared" si="9"/>
        <v>1</v>
      </c>
      <c r="R36" s="139" t="s">
        <v>124</v>
      </c>
      <c r="S36" s="138">
        <f>Z31+Z32*COS(S6)+Z33*SIN(S6)</f>
        <v>0</v>
      </c>
      <c r="T36" s="138">
        <f>Z31+Z32*COS(T6)+Z33*SIN(T6)</f>
        <v>0.29999999999999971</v>
      </c>
      <c r="U36" s="138">
        <f>Z31+Z32*COS(U6)+Z33*SIN(U6)</f>
        <v>0</v>
      </c>
      <c r="V36" s="138">
        <f>Z31+Z32*COS(V6)+Z33*SIN(V6)</f>
        <v>0.5999999999999992</v>
      </c>
      <c r="W36" s="138"/>
      <c r="Y36" s="164"/>
      <c r="Z36" s="164"/>
      <c r="AA36" s="164"/>
      <c r="AB36" s="164"/>
      <c r="AC36" s="140"/>
      <c r="AG36" s="159"/>
      <c r="AH36" s="147"/>
      <c r="AI36" s="163"/>
      <c r="AJ36" s="163"/>
      <c r="AK36" s="163"/>
      <c r="AL36" s="159" t="s">
        <v>1421</v>
      </c>
      <c r="AM36" s="139" t="s">
        <v>654</v>
      </c>
      <c r="AN36" s="158">
        <f>SIN(AN32*PI()/180)</f>
        <v>0</v>
      </c>
      <c r="AO36" s="158">
        <f>SIN(AO32*PI()/180)</f>
        <v>1</v>
      </c>
      <c r="AP36" s="158">
        <f>SIN(AP32*PI()/180)</f>
        <v>0</v>
      </c>
      <c r="AQ36" s="158">
        <f>SIN(AQ32*PI()/180)</f>
        <v>1</v>
      </c>
      <c r="AS36" s="160" t="s">
        <v>655</v>
      </c>
    </row>
    <row r="37" spans="1:45">
      <c r="A37" s="137" t="s">
        <v>214</v>
      </c>
      <c r="B37" s="148">
        <v>1</v>
      </c>
      <c r="C37" s="154">
        <f>B37/$Y$8</f>
        <v>2000</v>
      </c>
      <c r="D37" s="168">
        <f>C37*H109</f>
        <v>66.547264636095079</v>
      </c>
      <c r="E37" s="145">
        <f>AC8</f>
        <v>119.49416590714854</v>
      </c>
      <c r="F37" s="145">
        <f>E37*H109</f>
        <v>3.9760049405462321</v>
      </c>
      <c r="G37" s="147">
        <f>AA28/1000</f>
        <v>0.37399999999999939</v>
      </c>
      <c r="H37" s="145">
        <f>U17</f>
        <v>16.737218799067353</v>
      </c>
      <c r="I37" s="140">
        <f>Y28</f>
        <v>11.259999999999984</v>
      </c>
      <c r="J37" s="139" t="s">
        <v>274</v>
      </c>
      <c r="K37" s="140">
        <f>F112</f>
        <v>1.2</v>
      </c>
      <c r="L37" s="140">
        <f>K37</f>
        <v>1.2</v>
      </c>
      <c r="M37" s="140">
        <f>L37/K37</f>
        <v>1</v>
      </c>
      <c r="N37" s="139" t="s">
        <v>1422</v>
      </c>
      <c r="O37" s="144">
        <f>(O31*K22+O32*K24)</f>
        <v>60.646995481305353</v>
      </c>
      <c r="P37" s="144">
        <f>(P31*L22+P32*L24)</f>
        <v>60.646995481305353</v>
      </c>
      <c r="Q37" s="140">
        <f t="shared" si="9"/>
        <v>1</v>
      </c>
      <c r="R37" s="167" t="s">
        <v>125</v>
      </c>
      <c r="S37" s="138">
        <f>2*Z31-S36</f>
        <v>0.59999999999999931</v>
      </c>
      <c r="T37" s="138">
        <f>2*Z31-T36</f>
        <v>0.2999999999999996</v>
      </c>
      <c r="U37" s="138">
        <f>2*Z31-U36</f>
        <v>0.59999999999999931</v>
      </c>
      <c r="V37" s="138">
        <f>2*Z31-V36</f>
        <v>0</v>
      </c>
      <c r="W37" s="138"/>
      <c r="Y37" s="164"/>
      <c r="Z37" s="164"/>
      <c r="AA37" s="147"/>
      <c r="AB37" s="147"/>
      <c r="AC37" s="147"/>
      <c r="AD37" s="147"/>
      <c r="AG37" s="139" t="s">
        <v>1424</v>
      </c>
      <c r="AH37" s="147">
        <f>(AH33^2-AH30/AH14)^0.5-AH33</f>
        <v>3.3273632318047537E-2</v>
      </c>
      <c r="AI37" s="147">
        <f>(AI33^2-AI30/AI14)^0.5-AI33</f>
        <v>3.2998098958573752E-2</v>
      </c>
      <c r="AJ37" s="147">
        <f>(AJ33^2-AJ30/AJ14)^0.5-AJ33</f>
        <v>3.3273632318047537E-2</v>
      </c>
      <c r="AK37" s="147">
        <f>(AK33^2-AK30/AK14)^0.5-AK33</f>
        <v>4.6413777982186911E-2</v>
      </c>
      <c r="AL37" s="147">
        <f>MIN(AH38:AK38)</f>
        <v>3.3273632318047537E-2</v>
      </c>
      <c r="AM37" s="139" t="s">
        <v>690</v>
      </c>
      <c r="AN37" s="158">
        <f>S148</f>
        <v>7.17</v>
      </c>
      <c r="AO37" s="158">
        <f>T148</f>
        <v>3.433333333333334</v>
      </c>
      <c r="AP37" s="158">
        <f>U148</f>
        <v>7.17</v>
      </c>
      <c r="AQ37" s="158">
        <f>V148</f>
        <v>3.433333333333334</v>
      </c>
      <c r="AR37" s="147"/>
      <c r="AS37" s="138">
        <f>AS33*AS35*AR33</f>
        <v>0</v>
      </c>
    </row>
    <row r="38" spans="1:45">
      <c r="A38" s="137" t="s">
        <v>215</v>
      </c>
      <c r="B38" s="148">
        <v>0</v>
      </c>
      <c r="C38" s="154">
        <f>B38/$Y$8</f>
        <v>0</v>
      </c>
      <c r="D38" s="168">
        <f>C38*H109</f>
        <v>0</v>
      </c>
      <c r="E38" s="145">
        <f>AC9</f>
        <v>-19.975848039852647</v>
      </c>
      <c r="F38" s="145">
        <f>E38*H109</f>
        <v>-0.66466902291924757</v>
      </c>
      <c r="G38" s="147">
        <f>AA29/1000</f>
        <v>0.37399999999999967</v>
      </c>
      <c r="H38" s="145">
        <f>U18</f>
        <v>16.737218799067342</v>
      </c>
      <c r="I38" s="140">
        <f>Y29</f>
        <v>11.259999999999993</v>
      </c>
      <c r="J38" s="139" t="s">
        <v>1195</v>
      </c>
      <c r="K38" s="140">
        <f>(K36-K37*(1-K11))/K11</f>
        <v>1.7714285714285716</v>
      </c>
      <c r="L38" s="140">
        <f>K38</f>
        <v>1.7714285714285716</v>
      </c>
      <c r="M38" s="140">
        <f>L38/K38</f>
        <v>1</v>
      </c>
      <c r="N38" s="139" t="s">
        <v>1426</v>
      </c>
      <c r="O38" s="144">
        <f>(O31*K24+O32*K23)</f>
        <v>216.59641243323335</v>
      </c>
      <c r="P38" s="144">
        <f>(P31*L24+P32*L23)</f>
        <v>216.59641243323335</v>
      </c>
      <c r="Q38" s="140">
        <f t="shared" si="9"/>
        <v>1</v>
      </c>
      <c r="R38" s="139" t="s">
        <v>126</v>
      </c>
      <c r="S38" s="138">
        <f>AA31+AA32*COS(S6)+AA33*SIN(S6)</f>
        <v>175.48993742691118</v>
      </c>
      <c r="T38" s="138">
        <f>AA31+AA32*COS(T6)+AA33*SIN(T6)</f>
        <v>373.99999999999966</v>
      </c>
      <c r="U38" s="138">
        <f>AA31+AA32*COS(U6)+AA33*SIN(U6)</f>
        <v>175.48993742691118</v>
      </c>
      <c r="V38" s="138">
        <f>AA31+AA32*COS(V6)+AA33*SIN(V6)</f>
        <v>572.51006257308791</v>
      </c>
      <c r="W38" s="138"/>
      <c r="Y38" s="164"/>
      <c r="Z38" s="164"/>
      <c r="AA38" s="147"/>
      <c r="AB38" s="147"/>
      <c r="AC38" s="147"/>
      <c r="AD38" s="147"/>
      <c r="AG38" s="139" t="s">
        <v>194</v>
      </c>
      <c r="AH38" s="147">
        <f>IF(AH3=0,1000000000,AH37)</f>
        <v>3.3273632318047537E-2</v>
      </c>
      <c r="AI38" s="147">
        <f>IF(AI3=0,1000000000,AI37)</f>
        <v>1000000000</v>
      </c>
      <c r="AJ38" s="147">
        <f>IF(AJ3=0,1000000000,AJ37)</f>
        <v>1000000000</v>
      </c>
      <c r="AK38" s="147">
        <f>IF(AK3=0,1000000000,AK37)</f>
        <v>1000000000</v>
      </c>
      <c r="AM38" s="139" t="s">
        <v>692</v>
      </c>
      <c r="AN38" s="158">
        <f>S147</f>
        <v>3.433333333333334</v>
      </c>
      <c r="AO38" s="158">
        <f>T147</f>
        <v>7.17</v>
      </c>
      <c r="AP38" s="158">
        <f>U147</f>
        <v>3.433333333333334</v>
      </c>
      <c r="AQ38" s="158">
        <f>V147</f>
        <v>7.17</v>
      </c>
    </row>
    <row r="39" spans="1:45">
      <c r="A39" s="137" t="s">
        <v>216</v>
      </c>
      <c r="B39" s="148">
        <v>0</v>
      </c>
      <c r="C39" s="154">
        <f>B39/$Y$8</f>
        <v>0</v>
      </c>
      <c r="D39" s="168">
        <f>C39*H109</f>
        <v>0</v>
      </c>
      <c r="E39" s="145">
        <f>AC10</f>
        <v>-91.562516762323497</v>
      </c>
      <c r="F39" s="145">
        <f>E39*H109</f>
        <v>-3.0466175168646163</v>
      </c>
      <c r="G39" s="147">
        <f>AA30/1000</f>
        <v>-0.39702012514617674</v>
      </c>
      <c r="H39" s="145">
        <f>U20</f>
        <v>9.460186331621582</v>
      </c>
      <c r="I39" s="140">
        <f>Y30</f>
        <v>-22.479999999999976</v>
      </c>
      <c r="J39" s="139"/>
      <c r="K39" s="140"/>
      <c r="L39" s="140"/>
      <c r="M39" s="140"/>
      <c r="N39" s="139"/>
      <c r="O39" s="144"/>
      <c r="R39" s="139" t="s">
        <v>127</v>
      </c>
      <c r="S39" s="138">
        <f>2*AA31-S38</f>
        <v>572.51006257308791</v>
      </c>
      <c r="T39" s="138">
        <f>2*AA31-T38</f>
        <v>373.99999999999943</v>
      </c>
      <c r="U39" s="138">
        <f>2*AA31-U38</f>
        <v>572.51006257308791</v>
      </c>
      <c r="V39" s="138">
        <f>2*AA31-V38</f>
        <v>175.48993742691118</v>
      </c>
      <c r="W39" s="138"/>
      <c r="Y39" s="164" t="s">
        <v>128</v>
      </c>
      <c r="Z39" s="164" t="s">
        <v>129</v>
      </c>
      <c r="AA39" s="147"/>
      <c r="AB39" s="147"/>
      <c r="AC39" s="147"/>
      <c r="AD39" s="147"/>
      <c r="AG39" s="139" t="s">
        <v>194</v>
      </c>
      <c r="AH39" s="147">
        <f>IF(AH3=0,0,AH37)</f>
        <v>3.3273632318047537E-2</v>
      </c>
      <c r="AI39" s="147">
        <f>IF(AI3=0,0,AI37)</f>
        <v>0</v>
      </c>
      <c r="AJ39" s="147">
        <f>IF(AJ3=0,0,AJ37)</f>
        <v>0</v>
      </c>
      <c r="AK39" s="147">
        <f>IF(AK3=0,0,AK37)</f>
        <v>0</v>
      </c>
      <c r="AM39" s="139" t="s">
        <v>660</v>
      </c>
      <c r="AN39" s="158">
        <f>S153</f>
        <v>0</v>
      </c>
      <c r="AO39" s="158">
        <f>T153</f>
        <v>2.2889856965876046E-16</v>
      </c>
      <c r="AP39" s="158">
        <f>U153</f>
        <v>0</v>
      </c>
      <c r="AQ39" s="158">
        <f>V153</f>
        <v>2.2889856965876046E-16</v>
      </c>
    </row>
    <row r="40" spans="1:45">
      <c r="A40" s="138" t="s">
        <v>130</v>
      </c>
      <c r="B40" s="140">
        <f>AF20</f>
        <v>-49.325592409917007</v>
      </c>
      <c r="C40" s="140" t="s">
        <v>131</v>
      </c>
      <c r="D40" s="140">
        <f>AF16</f>
        <v>22.500000000000014</v>
      </c>
      <c r="E40" s="140" t="s">
        <v>132</v>
      </c>
      <c r="F40" s="140">
        <f>AF18</f>
        <v>0.60000000000000031</v>
      </c>
      <c r="G40" s="140" t="s">
        <v>133</v>
      </c>
      <c r="H40" s="145">
        <f>U19</f>
        <v>0.16717006966996723</v>
      </c>
      <c r="J40" s="139" t="s">
        <v>134</v>
      </c>
      <c r="K40" s="138">
        <f>(1-L20^2)*O41*L5</f>
        <v>184.28877056365894</v>
      </c>
      <c r="L40" s="139" t="s">
        <v>135</v>
      </c>
      <c r="M40" s="138">
        <f>L7*(1+L20)*O41*L6</f>
        <v>5.8728045779623468</v>
      </c>
      <c r="R40" s="139" t="s">
        <v>136</v>
      </c>
      <c r="S40" s="138">
        <f>4*COS(S6/2)^2*SIN(S6/2)^2*$K45+COS(S6/2)^4*$K40+SIN(S6/2)^4*$K41+2*COS(S6/2)^2*SIN(S6/2)^2*$M40</f>
        <v>59.658716021248168</v>
      </c>
      <c r="T40" s="138">
        <f>4*COS(T6/2)^2*SIN(T6/2)^2*$K45+COS(T6/2)^4*$K40+SIN(T6/2)^4*$K41+2*COS(T6/2)^2*SIN(T6/2)^2*$M40</f>
        <v>13.920484365408953</v>
      </c>
      <c r="U40" s="138">
        <f>4*COS(U6/2)^2*SIN(U6/2)^2*$K45+COS(U6/2)^4*$K40+SIN(U6/2)^4*$K41+2*COS(U6/2)^2*SIN(U6/2)^2*$M40</f>
        <v>59.658716021248168</v>
      </c>
      <c r="V40" s="138">
        <f>4*COS(V6/2)^2*SIN(V6/2)^2*$K45+COS(V6/2)^4*$K40+SIN(V6/2)^4*$K41+2*COS(V6/2)^2*SIN(V6/2)^2*$M40</f>
        <v>59.658716021248168</v>
      </c>
      <c r="W40" s="138" t="s">
        <v>137</v>
      </c>
      <c r="X40" s="147">
        <f>S8/S42+T8/T42+U8/U42+V8/V42</f>
        <v>7.1836580807841902E-2</v>
      </c>
      <c r="Y40" s="147">
        <f>S8*S40+T8*T40+U8*U40+V8*V40</f>
        <v>59.658716021248168</v>
      </c>
      <c r="Z40" s="164"/>
      <c r="AA40" s="139" t="s">
        <v>136</v>
      </c>
      <c r="AB40" s="147">
        <f>AV25</f>
        <v>184.28877056365897</v>
      </c>
      <c r="AC40" s="147"/>
      <c r="AD40" s="157"/>
      <c r="AG40" s="139"/>
      <c r="AH40" s="147"/>
      <c r="AI40" s="147"/>
      <c r="AJ40" s="147"/>
      <c r="AK40" s="147"/>
      <c r="AM40" s="139" t="s">
        <v>662</v>
      </c>
      <c r="AN40" s="158">
        <f>AN37/(AN37*AN38-AN39^2)</f>
        <v>0.29126213592233002</v>
      </c>
      <c r="AO40" s="158">
        <f>AO37/(AO37*AO38-AO39^2)</f>
        <v>0.1394700139470014</v>
      </c>
      <c r="AP40" s="158">
        <f>AP37/(AP37*AP38-AP39^2)</f>
        <v>0.29126213592233002</v>
      </c>
      <c r="AQ40" s="158">
        <f>AQ37/(AQ37*AQ38-AQ39^2)</f>
        <v>0.1394700139470014</v>
      </c>
    </row>
    <row r="41" spans="1:45">
      <c r="A41" s="137"/>
      <c r="B41" s="169"/>
      <c r="C41" s="165"/>
      <c r="D41" s="169"/>
      <c r="E41" s="161"/>
      <c r="F41" s="145"/>
      <c r="G41" s="170"/>
      <c r="H41" s="140"/>
      <c r="I41" s="140"/>
      <c r="J41" s="139" t="s">
        <v>138</v>
      </c>
      <c r="K41" s="138">
        <f>(1-L7^2*L6/L5)*O41*L6</f>
        <v>13.920484365408953</v>
      </c>
      <c r="L41" s="139" t="s">
        <v>139</v>
      </c>
      <c r="M41" s="138">
        <f>M40</f>
        <v>5.8728045779623468</v>
      </c>
      <c r="N41" s="139" t="s">
        <v>140</v>
      </c>
      <c r="O41" s="138">
        <f>1/((1+L20)*(1-L20-2*L7^2*L6/L5))</f>
        <v>1.3575600041521836</v>
      </c>
      <c r="R41" s="139" t="s">
        <v>141</v>
      </c>
      <c r="S41" s="138">
        <f>4*COS(S6/2)^2*SIN(S6/2)^2*$K45+SIN(S6/2)^4*$K40+COS(S6/2)^4*$K41+2*COS(S6/2)^2*SIN(S6/2)^2*$M40</f>
        <v>59.658716021248125</v>
      </c>
      <c r="T41" s="138">
        <f>4*COS(T6/2)^2*SIN(T6/2)^2*$K45+SIN(T6/2)^4*$K40+COS(T6/2)^4*$K41+2*COS(T6/2)^2*SIN(T6/2)^2*$M40</f>
        <v>184.28877056365894</v>
      </c>
      <c r="U41" s="138">
        <f>4*COS(U6/2)^2*SIN(U6/2)^2*$K45+SIN(U6/2)^4*$K40+COS(U6/2)^4*$K41+2*COS(U6/2)^2*SIN(U6/2)^2*$M40</f>
        <v>59.658716021248125</v>
      </c>
      <c r="V41" s="138">
        <f>4*COS(V6/2)^2*SIN(V6/2)^2*$K45+SIN(V6/2)^4*$K40+COS(V6/2)^4*$K41+2*COS(V6/2)^2*SIN(V6/2)^2*$M40</f>
        <v>59.658716021248125</v>
      </c>
      <c r="W41" s="138" t="s">
        <v>142</v>
      </c>
      <c r="X41" s="141">
        <f>S8*S47/S42+T8*T47/T42+U8*U47/U42+V8*V47/V42</f>
        <v>0.46430217287647074</v>
      </c>
      <c r="Y41" s="147">
        <f>S8*S41+T8*T41+U8*U41+V8*V41</f>
        <v>59.658716021248125</v>
      </c>
      <c r="Z41" s="164"/>
      <c r="AA41" s="139" t="s">
        <v>141</v>
      </c>
      <c r="AB41" s="147">
        <f>AW26</f>
        <v>13.920484365408949</v>
      </c>
      <c r="AC41" s="147"/>
      <c r="AD41" s="157"/>
      <c r="AG41" s="139"/>
      <c r="AH41" s="147"/>
      <c r="AI41" s="147"/>
      <c r="AJ41" s="147"/>
      <c r="AK41" s="147"/>
      <c r="AM41" s="139" t="s">
        <v>665</v>
      </c>
      <c r="AN41" s="158">
        <f>AN38/(AN37*AN38-AN39^2)</f>
        <v>0.1394700139470014</v>
      </c>
      <c r="AO41" s="158">
        <f>AO38/(AO37*AO38-AO39^2)</f>
        <v>0.29126213592233002</v>
      </c>
      <c r="AP41" s="158">
        <f>AP38/(AP37*AP38-AP39^2)</f>
        <v>0.1394700139470014</v>
      </c>
      <c r="AQ41" s="158">
        <f>AQ38/(AQ37*AQ38-AQ39^2)</f>
        <v>0.29126213592233002</v>
      </c>
    </row>
    <row r="42" spans="1:45">
      <c r="A42" s="171" t="s">
        <v>143</v>
      </c>
      <c r="B42" s="172">
        <f>AV17</f>
        <v>5.5248618784530384E-3</v>
      </c>
      <c r="C42" s="173" t="s">
        <v>144</v>
      </c>
      <c r="D42" s="174">
        <f>AW17</f>
        <v>-1.5469613259668511E-3</v>
      </c>
      <c r="E42" s="175" t="s">
        <v>136</v>
      </c>
      <c r="F42" s="176">
        <f t="shared" ref="F42:F47" si="11">AB40</f>
        <v>184.28877056365897</v>
      </c>
      <c r="G42" s="177" t="s">
        <v>145</v>
      </c>
      <c r="H42" s="178">
        <f t="shared" ref="H42:H48" si="12">AB46</f>
        <v>5.8728045779623459</v>
      </c>
      <c r="I42" s="140"/>
      <c r="J42" s="139" t="s">
        <v>146</v>
      </c>
      <c r="K42" s="138">
        <f>K41</f>
        <v>13.920484365408953</v>
      </c>
      <c r="L42" s="139" t="s">
        <v>147</v>
      </c>
      <c r="M42" s="138">
        <f>(L20+L7^2*L6/L5)*O41*L6</f>
        <v>7.053817698742284</v>
      </c>
      <c r="R42" s="139" t="s">
        <v>716</v>
      </c>
      <c r="S42" s="138">
        <f>$K42</f>
        <v>13.920484365408953</v>
      </c>
      <c r="T42" s="138">
        <f>$K42</f>
        <v>13.920484365408953</v>
      </c>
      <c r="U42" s="138">
        <f>$K42</f>
        <v>13.920484365408953</v>
      </c>
      <c r="V42" s="138">
        <f>$K42</f>
        <v>13.920484365408953</v>
      </c>
      <c r="W42" s="138" t="s">
        <v>148</v>
      </c>
      <c r="X42" s="141">
        <f>S8*S48/S42+T8*T48/T42+U8*U48/U42+V8*V48/V42</f>
        <v>0.46430217287647074</v>
      </c>
      <c r="Y42" s="164"/>
      <c r="Z42" s="164"/>
      <c r="AA42" s="139" t="s">
        <v>716</v>
      </c>
      <c r="AB42" s="147">
        <f>AX27</f>
        <v>13.920484365408949</v>
      </c>
      <c r="AC42" s="147"/>
      <c r="AD42" s="157"/>
      <c r="AG42" s="139"/>
      <c r="AH42" s="147"/>
      <c r="AI42" s="147"/>
      <c r="AJ42" s="147"/>
      <c r="AK42" s="147"/>
      <c r="AM42" s="138" t="s">
        <v>666</v>
      </c>
      <c r="AN42" s="141">
        <f>-AN39/(AN37*AN38-AN39^2)</f>
        <v>0</v>
      </c>
      <c r="AO42" s="141">
        <f>-AO39/(AO37*AO38-AO39^2)</f>
        <v>-9.2983941852687333E-18</v>
      </c>
      <c r="AP42" s="141">
        <f>-AP39/(AP37*AP38-AP39^2)</f>
        <v>0</v>
      </c>
      <c r="AQ42" s="141">
        <f>-AQ39/(AQ37*AQ38-AQ39^2)</f>
        <v>-9.2983941852687333E-18</v>
      </c>
    </row>
    <row r="43" spans="1:45">
      <c r="A43" s="179" t="s">
        <v>149</v>
      </c>
      <c r="B43" s="169">
        <f>AW18</f>
        <v>9.7087378640776698E-2</v>
      </c>
      <c r="C43" s="139" t="s">
        <v>150</v>
      </c>
      <c r="D43" s="180">
        <f>AX17</f>
        <v>-1.5469613259668511E-3</v>
      </c>
      <c r="E43" s="181" t="s">
        <v>141</v>
      </c>
      <c r="F43" s="182">
        <f t="shared" si="11"/>
        <v>13.920484365408949</v>
      </c>
      <c r="G43" s="183" t="s">
        <v>151</v>
      </c>
      <c r="H43" s="184">
        <f t="shared" si="12"/>
        <v>5.8728045779623459</v>
      </c>
      <c r="I43" s="140"/>
      <c r="J43" s="139" t="s">
        <v>152</v>
      </c>
      <c r="K43" s="138">
        <f>(1-L20-2*L7^2*L6/L5)*O41*L6/2</f>
        <v>3.433333333333334</v>
      </c>
      <c r="R43" s="139" t="s">
        <v>153</v>
      </c>
      <c r="S43" s="138">
        <f>COS(S6/2)^2*$K43+SIN(S6/2)^2*$K44</f>
        <v>5.3016666666666667</v>
      </c>
      <c r="T43" s="138">
        <f>COS(T6/2)^2*$K43+SIN(T6/2)^2*$K44</f>
        <v>7.17</v>
      </c>
      <c r="U43" s="138">
        <f>COS(U6/2)^2*$K43+SIN(U6/2)^2*$K44</f>
        <v>5.3016666666666667</v>
      </c>
      <c r="V43" s="138">
        <f>COS(V6/2)^2*$K43+SIN(V6/2)^2*$K44</f>
        <v>5.3016666666666667</v>
      </c>
      <c r="W43" s="138" t="s">
        <v>154</v>
      </c>
      <c r="X43" s="141">
        <f>S8*S52/S42+T8*T52/T42+U8*U52/U42+V8*V52/V42</f>
        <v>-4.2419972243014754E-2</v>
      </c>
      <c r="Y43" s="164"/>
      <c r="Z43" s="164">
        <f>S8*S43/(S43*S44-S49^2)+T8*T43/(T43*T44-T49^2)+U8*U43/(U43*U44-U49^2)+V8*V43/(V43*V44-V49^2)</f>
        <v>0.21536607493466567</v>
      </c>
      <c r="AA43" s="139" t="s">
        <v>153</v>
      </c>
      <c r="AB43" s="147">
        <f>AY28</f>
        <v>3.4333333333333336</v>
      </c>
      <c r="AC43" s="147" t="s">
        <v>155</v>
      </c>
      <c r="AD43" s="157"/>
      <c r="AG43" s="139"/>
      <c r="AH43" s="147"/>
      <c r="AI43" s="147"/>
      <c r="AJ43" s="147"/>
      <c r="AK43" s="147"/>
      <c r="AM43" s="138" t="s">
        <v>637</v>
      </c>
      <c r="AN43" s="141"/>
      <c r="AO43" s="141"/>
      <c r="AR43" s="141"/>
      <c r="AS43" s="141"/>
    </row>
    <row r="44" spans="1:45">
      <c r="A44" s="179" t="s">
        <v>156</v>
      </c>
      <c r="B44" s="169">
        <f>AX19</f>
        <v>9.7087378640776698E-2</v>
      </c>
      <c r="C44" s="156" t="s">
        <v>767</v>
      </c>
      <c r="D44" s="180">
        <f>AX18</f>
        <v>-4.8543689320388349E-2</v>
      </c>
      <c r="E44" s="181" t="s">
        <v>716</v>
      </c>
      <c r="F44" s="182">
        <f t="shared" si="11"/>
        <v>13.920484365408949</v>
      </c>
      <c r="G44" s="183" t="s">
        <v>768</v>
      </c>
      <c r="H44" s="184">
        <f t="shared" si="12"/>
        <v>7.053817698742284</v>
      </c>
      <c r="I44" s="140"/>
      <c r="J44" s="139" t="s">
        <v>769</v>
      </c>
      <c r="K44" s="140">
        <f>L8</f>
        <v>7.17</v>
      </c>
      <c r="R44" s="139" t="s">
        <v>770</v>
      </c>
      <c r="S44" s="138">
        <f>SIN(S6/2)^2*$K43+COS(S6/2)^2*$K44</f>
        <v>5.3016666666666676</v>
      </c>
      <c r="T44" s="138">
        <f>SIN(T6/2)^2*$K43+COS(T6/2)^2*$K44</f>
        <v>3.433333333333334</v>
      </c>
      <c r="U44" s="138">
        <f>SIN(U6/2)^2*$K43+COS(U6/2)^2*$K44</f>
        <v>5.3016666666666676</v>
      </c>
      <c r="V44" s="138">
        <f>SIN(V6/2)^2*$K43+COS(V6/2)^2*$K44</f>
        <v>5.3016666666666676</v>
      </c>
      <c r="W44" s="138" t="s">
        <v>771</v>
      </c>
      <c r="X44" s="141">
        <f>S8*S47^2/S42+T8*T47^2/T42+U8*U47^2/U42+V8*V47^2/V42</f>
        <v>3.0009294055136753</v>
      </c>
      <c r="Y44" s="164"/>
      <c r="Z44" s="164">
        <f>S8*S44/(S43*S44-S49^2)+T8*T44/(T43*T44-T49^2)+U8*U44/(U43*U44-U49^2)+V8*V44/(V43*V44-V49^2)</f>
        <v>0.21536607493466572</v>
      </c>
      <c r="AA44" s="139" t="s">
        <v>770</v>
      </c>
      <c r="AB44" s="147">
        <f>AZ29</f>
        <v>7.17</v>
      </c>
      <c r="AC44" s="147" t="s">
        <v>155</v>
      </c>
      <c r="AD44" s="157"/>
      <c r="AG44" s="139"/>
      <c r="AH44" s="147"/>
      <c r="AI44" s="147"/>
      <c r="AJ44" s="147"/>
      <c r="AK44" s="147"/>
      <c r="AM44" s="137"/>
      <c r="AN44" s="141"/>
      <c r="AO44" s="141"/>
      <c r="AR44" s="141"/>
      <c r="AS44" s="143"/>
    </row>
    <row r="45" spans="1:45">
      <c r="A45" s="179" t="s">
        <v>662</v>
      </c>
      <c r="B45" s="169">
        <f>AY20</f>
        <v>0.29126213592233008</v>
      </c>
      <c r="C45" s="156" t="s">
        <v>772</v>
      </c>
      <c r="D45" s="180">
        <f>AZ20</f>
        <v>0</v>
      </c>
      <c r="E45" s="181" t="s">
        <v>153</v>
      </c>
      <c r="F45" s="182">
        <f t="shared" si="11"/>
        <v>3.4333333333333336</v>
      </c>
      <c r="G45" s="183" t="s">
        <v>660</v>
      </c>
      <c r="H45" s="184">
        <f t="shared" si="12"/>
        <v>0</v>
      </c>
      <c r="I45" s="140"/>
      <c r="J45" s="139" t="s">
        <v>773</v>
      </c>
      <c r="K45" s="140">
        <f>K44</f>
        <v>7.17</v>
      </c>
      <c r="P45" s="185"/>
      <c r="Q45" s="185"/>
      <c r="R45" s="186" t="s">
        <v>774</v>
      </c>
      <c r="S45" s="185">
        <f>(COS(S6/2)^2-SIN(S6/2)^2)^2*$K45+COS(S6/2)^2*SIN(S6/2)^2*($K40+$K41-2*$M40)</f>
        <v>46.615911443285803</v>
      </c>
      <c r="T45" s="185">
        <f>(COS(T6/2)^2-SIN(T6/2)^2)^2*$K45+COS(T6/2)^2*SIN(T6/2)^2*($K40+$K41-2*$M40)</f>
        <v>7.17</v>
      </c>
      <c r="U45" s="185">
        <f>(COS(U6/2)^2-SIN(U6/2)^2)^2*$K45+COS(U6/2)^2*SIN(U6/2)^2*($K40+$K41-2*$M40)</f>
        <v>46.615911443285803</v>
      </c>
      <c r="V45" s="185">
        <f>(COS(V6/2)^2-SIN(V6/2)^2)^2*$K45+COS(V6/2)^2*SIN(V6/2)^2*($K40+$K41-2*$M40)</f>
        <v>46.615911443285803</v>
      </c>
      <c r="W45" s="185" t="s">
        <v>775</v>
      </c>
      <c r="X45" s="187">
        <f>S8*S48^2/S42+T8*T48^2/T42+U8*U48^2/U42+V8*V48^2/V42</f>
        <v>3.0009294055136753</v>
      </c>
      <c r="Y45" s="147">
        <f>S8*S45+T8*T45+U8*U45+V8*V45</f>
        <v>46.615911443285803</v>
      </c>
      <c r="Z45" s="188"/>
      <c r="AA45" s="186" t="s">
        <v>774</v>
      </c>
      <c r="AB45" s="147">
        <f>BA30</f>
        <v>7.17</v>
      </c>
      <c r="AC45" s="147"/>
      <c r="AD45" s="189"/>
      <c r="AE45" s="185"/>
      <c r="AF45" s="187"/>
      <c r="AG45" s="186"/>
      <c r="AH45" s="190"/>
      <c r="AI45" s="190"/>
      <c r="AJ45" s="190"/>
      <c r="AK45" s="190"/>
      <c r="AL45" s="185"/>
      <c r="AM45" s="139" t="s">
        <v>243</v>
      </c>
      <c r="AN45" s="143" t="s">
        <v>1562</v>
      </c>
      <c r="AO45" s="143" t="s">
        <v>1563</v>
      </c>
      <c r="AP45" s="143" t="s">
        <v>1564</v>
      </c>
      <c r="AQ45" s="143" t="s">
        <v>1565</v>
      </c>
      <c r="AR45" s="143"/>
      <c r="AS45" s="143"/>
    </row>
    <row r="46" spans="1:45">
      <c r="A46" s="179" t="s">
        <v>665</v>
      </c>
      <c r="B46" s="169">
        <f>AZ21</f>
        <v>0.1394700139470014</v>
      </c>
      <c r="C46" s="156" t="s">
        <v>776</v>
      </c>
      <c r="D46" s="180">
        <f>BA17</f>
        <v>0</v>
      </c>
      <c r="E46" s="181" t="s">
        <v>770</v>
      </c>
      <c r="F46" s="182">
        <f t="shared" si="11"/>
        <v>7.17</v>
      </c>
      <c r="G46" s="183" t="s">
        <v>777</v>
      </c>
      <c r="H46" s="184">
        <f t="shared" si="12"/>
        <v>0</v>
      </c>
      <c r="I46" s="140"/>
      <c r="J46" s="185"/>
      <c r="K46" s="185"/>
      <c r="L46" s="185"/>
      <c r="M46" s="185"/>
      <c r="N46" s="185"/>
      <c r="O46" s="185"/>
      <c r="R46" s="139" t="s">
        <v>145</v>
      </c>
      <c r="S46" s="138">
        <f>-4*COS(S6/2)^2*SIN(S6/2)^2*$K45+COS(S6/2)^2*SIN(S6/2)^2*($K40+$K41)+(COS(S6/2)^4+SIN(S6/2)^4)*$M40</f>
        <v>45.318716021248143</v>
      </c>
      <c r="T46" s="138">
        <f>-4*COS(T6/2)^2*SIN(T6/2)^2*$K45+COS(T6/2)^2*SIN(T6/2)^2*($K40+$K41)+(COS(T6/2)^4+SIN(T6/2)^4)*$M40</f>
        <v>5.8728045779623468</v>
      </c>
      <c r="U46" s="138">
        <f>-4*COS(U6/2)^2*SIN(U6/2)^2*$K45+COS(U6/2)^2*SIN(U6/2)^2*($K40+$K41)+(COS(U6/2)^4+SIN(U6/2)^4)*$M40</f>
        <v>45.318716021248143</v>
      </c>
      <c r="V46" s="138">
        <f>-4*COS(V6/2)^2*SIN(V6/2)^2*$K45+COS(V6/2)^2*SIN(V6/2)^2*($K40+$K41)+(COS(V6/2)^4+SIN(V6/2)^4)*$M40</f>
        <v>45.318716021248143</v>
      </c>
      <c r="W46" s="138" t="s">
        <v>778</v>
      </c>
      <c r="X46" s="141">
        <f>S8*S47*S48/S42+T8*T47*T48/T42+U8*U47*U48/U42+V8*V47*V48/V42</f>
        <v>3.0009294055136753</v>
      </c>
      <c r="Y46" s="147">
        <f>S8*S46+T8*T46+U8*U46+V8*V46</f>
        <v>45.318716021248143</v>
      </c>
      <c r="Z46" s="164"/>
      <c r="AA46" s="139" t="s">
        <v>145</v>
      </c>
      <c r="AB46" s="147">
        <f>AW25</f>
        <v>5.8728045779623459</v>
      </c>
      <c r="AC46" s="147"/>
      <c r="AD46" s="157"/>
      <c r="AG46" s="139"/>
      <c r="AH46" s="147"/>
      <c r="AI46" s="147"/>
      <c r="AJ46" s="147"/>
      <c r="AK46" s="147"/>
      <c r="AM46" s="139" t="s">
        <v>537</v>
      </c>
      <c r="AN46" s="154">
        <f t="shared" ref="AN46:AQ47" si="13">S160</f>
        <v>0</v>
      </c>
      <c r="AO46" s="154">
        <f t="shared" si="13"/>
        <v>90</v>
      </c>
      <c r="AP46" s="154">
        <f t="shared" si="13"/>
        <v>0</v>
      </c>
      <c r="AQ46" s="154">
        <f t="shared" si="13"/>
        <v>90</v>
      </c>
      <c r="AR46" s="143" t="s">
        <v>538</v>
      </c>
      <c r="AS46" s="143" t="s">
        <v>652</v>
      </c>
    </row>
    <row r="47" spans="1:45">
      <c r="A47" s="179" t="s">
        <v>779</v>
      </c>
      <c r="B47" s="169">
        <f>BA22</f>
        <v>0.1394700139470014</v>
      </c>
      <c r="C47" s="156" t="s">
        <v>780</v>
      </c>
      <c r="D47" s="180">
        <f>BA18</f>
        <v>0</v>
      </c>
      <c r="E47" s="161" t="s">
        <v>774</v>
      </c>
      <c r="F47" s="145">
        <f t="shared" si="11"/>
        <v>7.17</v>
      </c>
      <c r="G47" s="170" t="s">
        <v>781</v>
      </c>
      <c r="H47" s="140">
        <f t="shared" si="12"/>
        <v>0</v>
      </c>
      <c r="I47" s="140"/>
      <c r="R47" s="139" t="s">
        <v>151</v>
      </c>
      <c r="S47" s="138">
        <f>COS(S6/2)^2*$M41+SIN(S6/2)^2*$M42</f>
        <v>6.4633111383523154</v>
      </c>
      <c r="T47" s="138">
        <f>COS(T6/2)^2*$M41+SIN(T6/2)^2*$M42</f>
        <v>7.053817698742284</v>
      </c>
      <c r="U47" s="138">
        <f>COS(U6/2)^2*$M41+SIN(U6/2)^2*$M42</f>
        <v>6.4633111383523154</v>
      </c>
      <c r="V47" s="138">
        <f>COS(V6/2)^2*$M41+SIN(V6/2)^2*$M42</f>
        <v>6.4633111383523154</v>
      </c>
      <c r="W47" s="138" t="s">
        <v>782</v>
      </c>
      <c r="X47" s="141">
        <f>S8*S52*S47/S42+T8*T52*T47/T42+U8*U52*U47/U42+V8*V52*V47/V42</f>
        <v>-0.27417347908687334</v>
      </c>
      <c r="Y47" s="147"/>
      <c r="Z47" s="164"/>
      <c r="AA47" s="139" t="s">
        <v>151</v>
      </c>
      <c r="AB47" s="147">
        <f>AX25</f>
        <v>5.8728045779623459</v>
      </c>
      <c r="AC47" s="147"/>
      <c r="AD47" s="157"/>
      <c r="AG47" s="139"/>
      <c r="AH47" s="147"/>
      <c r="AI47" s="147"/>
      <c r="AJ47" s="147"/>
      <c r="AK47" s="147"/>
      <c r="AM47" s="139" t="s">
        <v>541</v>
      </c>
      <c r="AN47" s="154">
        <f t="shared" si="13"/>
        <v>0</v>
      </c>
      <c r="AO47" s="154">
        <f t="shared" si="13"/>
        <v>0</v>
      </c>
      <c r="AP47" s="154">
        <f t="shared" si="13"/>
        <v>0</v>
      </c>
      <c r="AQ47" s="154">
        <f t="shared" si="13"/>
        <v>0</v>
      </c>
      <c r="AR47" s="156">
        <f>W161</f>
        <v>1</v>
      </c>
      <c r="AS47" s="146">
        <f>SUM(AN47:AQ47)</f>
        <v>0</v>
      </c>
    </row>
    <row r="48" spans="1:45">
      <c r="A48" s="191"/>
      <c r="B48" s="192"/>
      <c r="C48" s="193" t="s">
        <v>783</v>
      </c>
      <c r="D48" s="194">
        <f>BA19</f>
        <v>0</v>
      </c>
      <c r="E48" s="195"/>
      <c r="F48" s="196"/>
      <c r="G48" s="197" t="s">
        <v>784</v>
      </c>
      <c r="H48" s="198">
        <f t="shared" si="12"/>
        <v>0</v>
      </c>
      <c r="I48" s="198"/>
      <c r="R48" s="139" t="s">
        <v>768</v>
      </c>
      <c r="S48" s="138">
        <f>SIN(S6/2)^2*$M41+COS(S6/2)^2*$M42</f>
        <v>6.4633111383523154</v>
      </c>
      <c r="T48" s="138">
        <f>SIN(T6/2)^2*$M41+COS(T6/2)^2*$M42</f>
        <v>5.8728045779623468</v>
      </c>
      <c r="U48" s="138">
        <f>SIN(U6/2)^2*$M41+COS(U6/2)^2*$M42</f>
        <v>6.4633111383523154</v>
      </c>
      <c r="V48" s="138">
        <f>SIN(V6/2)^2*$M41+COS(V6/2)^2*$M42</f>
        <v>6.4633111383523154</v>
      </c>
      <c r="W48" s="138" t="s">
        <v>785</v>
      </c>
      <c r="X48" s="141">
        <f>S8*S52*S48/S42+T8*T52*T48/T42+U8*U52*U48/U42+V8*V52*V48/V42</f>
        <v>-0.27417347908687334</v>
      </c>
      <c r="Y48" s="164"/>
      <c r="Z48" s="164"/>
      <c r="AA48" s="139" t="s">
        <v>768</v>
      </c>
      <c r="AB48" s="147">
        <f>AX26</f>
        <v>7.053817698742284</v>
      </c>
      <c r="AC48" s="147"/>
      <c r="AD48" s="157"/>
      <c r="AG48" s="139"/>
      <c r="AH48" s="147"/>
      <c r="AI48" s="147"/>
      <c r="AJ48" s="147"/>
      <c r="AK48" s="147"/>
      <c r="AM48" s="138" t="s">
        <v>648</v>
      </c>
      <c r="AN48" s="158">
        <f>AN46*PI()/180</f>
        <v>0</v>
      </c>
      <c r="AO48" s="158">
        <f>AO46*PI()/180</f>
        <v>1.5707963267948966</v>
      </c>
      <c r="AP48" s="158">
        <f>AP46*PI()/180</f>
        <v>0</v>
      </c>
      <c r="AQ48" s="158">
        <f>AQ46*PI()/180</f>
        <v>1.5707963267948966</v>
      </c>
      <c r="AS48" s="159" t="s">
        <v>683</v>
      </c>
    </row>
    <row r="49" spans="1:45">
      <c r="A49" s="139" t="s">
        <v>786</v>
      </c>
      <c r="B49" s="199">
        <f t="shared" ref="B49:B54" si="14">1/B42</f>
        <v>181</v>
      </c>
      <c r="C49" s="156" t="s">
        <v>787</v>
      </c>
      <c r="D49" s="169">
        <f>-D42/B43</f>
        <v>1.5933701657458565E-2</v>
      </c>
      <c r="E49" s="161" t="s">
        <v>788</v>
      </c>
      <c r="F49" s="199">
        <f>-D46/B47</f>
        <v>0</v>
      </c>
      <c r="G49" s="170" t="s">
        <v>789</v>
      </c>
      <c r="H49" s="140">
        <f>F44</f>
        <v>13.920484365408949</v>
      </c>
      <c r="I49" s="140"/>
      <c r="R49" s="139" t="s">
        <v>660</v>
      </c>
      <c r="S49" s="138">
        <f>COS(S6/2)*SIN(S6/2)*(-$K43+$K44)</f>
        <v>1.868333333333333</v>
      </c>
      <c r="T49" s="138">
        <f>COS(T6/2)*SIN(T6/2)*(-$K43+$K44)</f>
        <v>2.2889856965876046E-16</v>
      </c>
      <c r="U49" s="138">
        <f>COS(U6/2)*SIN(U6/2)*(-$K43+$K44)</f>
        <v>1.868333333333333</v>
      </c>
      <c r="V49" s="138">
        <f>COS(V6/2)*SIN(V6/2)*(-$K43+$K44)</f>
        <v>-1.868333333333333</v>
      </c>
      <c r="W49" s="138" t="s">
        <v>790</v>
      </c>
      <c r="X49" s="141">
        <f>S8*S52^2/S42+T8*T52^2/T42+U8*U52^2/U42+V8*V52^2/V42</f>
        <v>2.5049271901060585E-2</v>
      </c>
      <c r="Y49" s="164"/>
      <c r="Z49" s="164">
        <f>S8*S49/(S43*S44-S49^2)+T8*T49/(T43*T44-T49^2)+U8*U49/(U43*U44-U49^2)+V8*V49/(V43*V44-V49^2)</f>
        <v>7.5896060987664313E-2</v>
      </c>
      <c r="AA49" s="139" t="s">
        <v>660</v>
      </c>
      <c r="AB49" s="147">
        <f>AZ28</f>
        <v>0</v>
      </c>
      <c r="AC49" s="147"/>
      <c r="AD49" s="157"/>
      <c r="AG49" s="139"/>
      <c r="AH49" s="147"/>
      <c r="AI49" s="147"/>
      <c r="AJ49" s="147"/>
      <c r="AK49" s="147"/>
      <c r="AM49" s="139" t="s">
        <v>653</v>
      </c>
      <c r="AN49" s="158">
        <f>COS(AN46*PI()/180)</f>
        <v>1</v>
      </c>
      <c r="AO49" s="158">
        <f>COS(AO46*PI()/180)</f>
        <v>6.1257422745431001E-17</v>
      </c>
      <c r="AP49" s="158">
        <f>COS(AP46*PI()/180)</f>
        <v>1</v>
      </c>
      <c r="AQ49" s="158">
        <f>COS(AQ46*PI()/180)</f>
        <v>6.1257422745431001E-17</v>
      </c>
      <c r="AR49" s="143"/>
      <c r="AS49" s="162">
        <f>$L165/1000000/AT5*2/AT7</f>
        <v>0.05</v>
      </c>
    </row>
    <row r="50" spans="1:45">
      <c r="A50" s="139" t="s">
        <v>791</v>
      </c>
      <c r="B50" s="199">
        <f t="shared" si="14"/>
        <v>10.3</v>
      </c>
      <c r="C50" s="156" t="s">
        <v>792</v>
      </c>
      <c r="D50" s="169">
        <f>-D42/B42</f>
        <v>0.28000000000000008</v>
      </c>
      <c r="E50" s="161" t="s">
        <v>793</v>
      </c>
      <c r="F50" s="199">
        <f>-D46/B42</f>
        <v>0</v>
      </c>
      <c r="G50" s="170" t="s">
        <v>794</v>
      </c>
      <c r="H50" s="140">
        <f>H43+H44</f>
        <v>12.926622276704631</v>
      </c>
      <c r="I50" s="140"/>
      <c r="R50" s="139" t="s">
        <v>777</v>
      </c>
      <c r="S50" s="138">
        <f>-2*COS(S6/2)*SIN(S6/2)*(COS(S6/2)^2-SIN(S6/2)^2)*$K45+COS(S6/2)*SIN(S6/2)*(COS(S6/2)^2*$K40+SIN(S6/2)^2*$K41)+COS(S6/2)*SIN(S6/2)*(COS(S6/2)^2+SIN(S6/2)^2)*$M40</f>
        <v>52.488716021248152</v>
      </c>
      <c r="T50" s="138">
        <f>-2*COS(T6/2)*SIN(T6/2)*(COS(T6/2)^2-SIN(T6/2)^2)*$K45+COS(T6/2)*SIN(T6/2)*(COS(T6/2)^2*$K40+SIN(T6/2)^2*$K41)+COS(T6/2)*SIN(T6/2)*(COS(T6/2)^2+SIN(T6/2)^2)*$M40</f>
        <v>2.0909173104960418E-15</v>
      </c>
      <c r="U50" s="138">
        <f>-2*COS(U6/2)*SIN(U6/2)*(COS(U6/2)^2-SIN(U6/2)^2)*$K45+COS(U6/2)*SIN(U6/2)*(COS(U6/2)^2*$K40+SIN(U6/2)^2*$K41)+COS(U6/2)*SIN(U6/2)*(COS(U6/2)^2+SIN(U6/2)^2)*$M40</f>
        <v>52.488716021248152</v>
      </c>
      <c r="V50" s="138">
        <f>-2*COS(V6/2)*SIN(V6/2)*(COS(V6/2)^2-SIN(V6/2)^2)*$K45+COS(V6/2)*SIN(V6/2)*(COS(V6/2)^2*$K40+SIN(V6/2)^2*$K41)+COS(V6/2)*SIN(V6/2)*(COS(V6/2)^2+SIN(V6/2)^2)*$M40</f>
        <v>-52.488716021248152</v>
      </c>
      <c r="W50" s="138"/>
      <c r="Y50" s="147">
        <f>S8*S50+T8*T50+U8*U50+V8*V50</f>
        <v>52.488716021248152</v>
      </c>
      <c r="Z50" s="164"/>
      <c r="AA50" s="139" t="s">
        <v>777</v>
      </c>
      <c r="AB50" s="147">
        <f>BA25</f>
        <v>0</v>
      </c>
      <c r="AC50" s="147"/>
      <c r="AD50" s="157"/>
      <c r="AG50" s="139"/>
      <c r="AH50" s="147"/>
      <c r="AI50" s="147"/>
      <c r="AJ50" s="147"/>
      <c r="AK50" s="147"/>
      <c r="AM50" s="139" t="s">
        <v>654</v>
      </c>
      <c r="AN50" s="158">
        <f>SIN(AN46*PI()/180)</f>
        <v>0</v>
      </c>
      <c r="AO50" s="158">
        <f>SIN(AO46*PI()/180)</f>
        <v>1</v>
      </c>
      <c r="AP50" s="158">
        <f>SIN(AP46*PI()/180)</f>
        <v>0</v>
      </c>
      <c r="AQ50" s="158">
        <f>SIN(AQ46*PI()/180)</f>
        <v>1</v>
      </c>
      <c r="AS50" s="160" t="s">
        <v>655</v>
      </c>
    </row>
    <row r="51" spans="1:45">
      <c r="A51" s="139" t="s">
        <v>795</v>
      </c>
      <c r="B51" s="169">
        <f t="shared" si="14"/>
        <v>10.3</v>
      </c>
      <c r="C51" s="156" t="s">
        <v>796</v>
      </c>
      <c r="D51" s="169">
        <f>-D43/B44</f>
        <v>1.5933701657458565E-2</v>
      </c>
      <c r="E51" s="161" t="s">
        <v>797</v>
      </c>
      <c r="F51" s="199">
        <f>-D47/B47</f>
        <v>0</v>
      </c>
      <c r="G51" s="170" t="s">
        <v>798</v>
      </c>
      <c r="H51" s="140">
        <f>B45+B46</f>
        <v>0.4307321498693315</v>
      </c>
      <c r="I51" s="140"/>
      <c r="R51" s="139" t="s">
        <v>781</v>
      </c>
      <c r="S51" s="138">
        <f>2*COS(S6/2)*SIN(S6/2)*(COS(S6/2)^2-SIN(S6/2)^2)*$K45+COS(S6/2)*SIN(S6/2)*(SIN(S6/2)^2*$K40-COS(S6/2)^2*$K41)+COS(S6/2)*SIN(S6/2)*(COS(S6/2)^2-SIN(S6/2)^2)*$M40</f>
        <v>42.59207154956249</v>
      </c>
      <c r="T51" s="138">
        <f>2*COS(T6/2)*SIN(T6/2)*(COS(T6/2)^2-SIN(T6/2)^2)*$K45+COS(T6/2)*SIN(T6/2)*(SIN(T6/2)^2*$K40-COS(T6/2)^2*$K41)+COS(T6/2)*SIN(T6/2)*(COS(T6/2)^2-SIN(T6/2)^2)*$M40</f>
        <v>1.0050870810750773E-14</v>
      </c>
      <c r="U51" s="138">
        <f>2*COS(U6/2)*SIN(U6/2)*(COS(U6/2)^2-SIN(U6/2)^2)*$K45+COS(U6/2)*SIN(U6/2)*(SIN(U6/2)^2*$K40-COS(U6/2)^2*$K41)+COS(U6/2)*SIN(U6/2)*(COS(U6/2)^2-SIN(U6/2)^2)*$M40</f>
        <v>42.59207154956249</v>
      </c>
      <c r="V51" s="138">
        <f>2*COS(V6/2)*SIN(V6/2)*(COS(V6/2)^2-SIN(V6/2)^2)*$K45+COS(V6/2)*SIN(V6/2)*(SIN(V6/2)^2*$K40-COS(V6/2)^2*$K41)+COS(V6/2)*SIN(V6/2)*(COS(V6/2)^2-SIN(V6/2)^2)*$M40</f>
        <v>-42.59207154956249</v>
      </c>
      <c r="W51" s="138"/>
      <c r="Y51" s="147">
        <f>S8*S51+T8*T51+U8*U51+V8*V51</f>
        <v>42.59207154956249</v>
      </c>
      <c r="Z51" s="164"/>
      <c r="AA51" s="139" t="s">
        <v>781</v>
      </c>
      <c r="AB51" s="147">
        <f>BA26</f>
        <v>0</v>
      </c>
      <c r="AC51" s="147"/>
      <c r="AD51" s="147"/>
      <c r="AG51" s="139"/>
      <c r="AH51" s="147"/>
      <c r="AI51" s="147"/>
      <c r="AJ51" s="147"/>
      <c r="AK51" s="147"/>
      <c r="AM51" s="139" t="s">
        <v>690</v>
      </c>
      <c r="AN51" s="158">
        <f>S200</f>
        <v>7.17</v>
      </c>
      <c r="AO51" s="158">
        <f>T200</f>
        <v>3.433333333333334</v>
      </c>
      <c r="AP51" s="158">
        <f>U200</f>
        <v>7.17</v>
      </c>
      <c r="AQ51" s="158">
        <f>V200</f>
        <v>3.433333333333334</v>
      </c>
      <c r="AR51" s="147"/>
      <c r="AS51" s="138">
        <f>AS47*AS49*AR47</f>
        <v>0</v>
      </c>
    </row>
    <row r="52" spans="1:45">
      <c r="A52" s="139" t="s">
        <v>799</v>
      </c>
      <c r="B52" s="169">
        <f t="shared" si="14"/>
        <v>3.4333333333333336</v>
      </c>
      <c r="C52" s="156" t="s">
        <v>800</v>
      </c>
      <c r="D52" s="169">
        <f>-D43/B42</f>
        <v>0.28000000000000008</v>
      </c>
      <c r="E52" s="161" t="s">
        <v>801</v>
      </c>
      <c r="F52" s="199">
        <f>-D47/B43</f>
        <v>0</v>
      </c>
      <c r="G52" s="170" t="s">
        <v>802</v>
      </c>
      <c r="H52" s="140">
        <f>F42+F43+2*F47</f>
        <v>212.54925492906793</v>
      </c>
      <c r="I52" s="140"/>
      <c r="R52" s="139" t="s">
        <v>784</v>
      </c>
      <c r="S52" s="138">
        <f>COS(S6/2)*SIN(S6/2)*($M41-$M42)</f>
        <v>-0.59050656038996863</v>
      </c>
      <c r="T52" s="138">
        <f>COS(T6/2)*SIN(T6/2)*($M41-$M42)</f>
        <v>-7.2345820007517372E-17</v>
      </c>
      <c r="U52" s="138">
        <f>COS(U6/2)*SIN(U6/2)*($M41-$M42)</f>
        <v>-0.59050656038996863</v>
      </c>
      <c r="V52" s="138">
        <f>COS(V6/2)*SIN(V6/2)*($M41-$M42)</f>
        <v>0.59050656038996863</v>
      </c>
      <c r="W52" s="138"/>
      <c r="Y52" s="164"/>
      <c r="Z52" s="164"/>
      <c r="AA52" s="139" t="s">
        <v>784</v>
      </c>
      <c r="AB52" s="147">
        <f>BA27</f>
        <v>0</v>
      </c>
      <c r="AC52" s="147"/>
      <c r="AD52" s="147"/>
      <c r="AG52" s="139"/>
      <c r="AH52" s="147"/>
      <c r="AI52" s="147"/>
      <c r="AJ52" s="147"/>
      <c r="AK52" s="147"/>
      <c r="AM52" s="139" t="s">
        <v>692</v>
      </c>
      <c r="AN52" s="158">
        <f>S199</f>
        <v>3.433333333333334</v>
      </c>
      <c r="AO52" s="158">
        <f>T199</f>
        <v>7.17</v>
      </c>
      <c r="AP52" s="158">
        <f>U199</f>
        <v>3.433333333333334</v>
      </c>
      <c r="AQ52" s="158">
        <f>V199</f>
        <v>7.17</v>
      </c>
    </row>
    <row r="53" spans="1:45">
      <c r="A53" s="139" t="s">
        <v>803</v>
      </c>
      <c r="B53" s="169">
        <f t="shared" si="14"/>
        <v>7.17</v>
      </c>
      <c r="C53" s="156" t="s">
        <v>804</v>
      </c>
      <c r="D53" s="169">
        <f>-D44/B44</f>
        <v>0.5</v>
      </c>
      <c r="E53" s="161" t="s">
        <v>805</v>
      </c>
      <c r="F53" s="199">
        <f>-D48/B47</f>
        <v>0</v>
      </c>
      <c r="G53" s="170" t="s">
        <v>806</v>
      </c>
      <c r="H53" s="140">
        <f>F47-H42</f>
        <v>1.297195422037654</v>
      </c>
      <c r="I53" s="140"/>
      <c r="J53" s="137" t="s">
        <v>807</v>
      </c>
      <c r="K53" s="139"/>
      <c r="L53" s="139"/>
      <c r="N53" s="138" t="s">
        <v>1551</v>
      </c>
      <c r="P53" s="140"/>
      <c r="R53" s="138" t="s">
        <v>634</v>
      </c>
      <c r="Y53" s="164"/>
      <c r="Z53" s="138" t="s">
        <v>635</v>
      </c>
      <c r="AG53" s="138" t="s">
        <v>636</v>
      </c>
      <c r="AM53" s="139" t="s">
        <v>660</v>
      </c>
      <c r="AN53" s="158">
        <f>S205</f>
        <v>0</v>
      </c>
      <c r="AO53" s="158">
        <f>T205</f>
        <v>2.2889856965876046E-16</v>
      </c>
      <c r="AP53" s="158">
        <f>U205</f>
        <v>0</v>
      </c>
      <c r="AQ53" s="158">
        <f>V205</f>
        <v>2.2889856965876046E-16</v>
      </c>
    </row>
    <row r="54" spans="1:45">
      <c r="A54" s="139" t="s">
        <v>808</v>
      </c>
      <c r="B54" s="169">
        <f t="shared" si="14"/>
        <v>7.17</v>
      </c>
      <c r="C54" s="156" t="s">
        <v>809</v>
      </c>
      <c r="D54" s="169">
        <f>-D44/B43</f>
        <v>0.5</v>
      </c>
      <c r="E54" s="161" t="s">
        <v>810</v>
      </c>
      <c r="F54" s="199">
        <f>-D48/B44</f>
        <v>0</v>
      </c>
      <c r="G54" s="170"/>
      <c r="H54" s="140"/>
      <c r="I54" s="140"/>
      <c r="J54" s="139" t="str">
        <f>A116</f>
        <v>T3/N52[SI]</v>
      </c>
      <c r="K54" s="137"/>
      <c r="L54" s="139"/>
      <c r="N54" s="139" t="s">
        <v>596</v>
      </c>
      <c r="O54" s="144">
        <f>G117</f>
        <v>22</v>
      </c>
      <c r="P54" s="144">
        <f>B62</f>
        <v>22</v>
      </c>
      <c r="Q54" s="145">
        <f t="shared" ref="Q54:Q59" si="15">P54/O54</f>
        <v>1</v>
      </c>
      <c r="R54" s="137"/>
      <c r="Z54" s="139" t="s">
        <v>531</v>
      </c>
      <c r="AA54" s="146">
        <f t="shared" ref="AA54:AD56" si="16">S56</f>
        <v>0</v>
      </c>
      <c r="AB54" s="146">
        <f t="shared" si="16"/>
        <v>-30</v>
      </c>
      <c r="AC54" s="146">
        <f t="shared" si="16"/>
        <v>45</v>
      </c>
      <c r="AD54" s="146">
        <f t="shared" si="16"/>
        <v>-45</v>
      </c>
      <c r="AE54" s="139" t="s">
        <v>532</v>
      </c>
      <c r="AF54" s="143" t="s">
        <v>533</v>
      </c>
      <c r="AG54" s="139" t="s">
        <v>531</v>
      </c>
      <c r="AH54" s="146">
        <f t="shared" ref="AH54:AK56" si="17">AA54</f>
        <v>0</v>
      </c>
      <c r="AI54" s="146">
        <f t="shared" si="17"/>
        <v>-30</v>
      </c>
      <c r="AJ54" s="146">
        <f t="shared" si="17"/>
        <v>45</v>
      </c>
      <c r="AK54" s="146">
        <f t="shared" si="17"/>
        <v>-45</v>
      </c>
      <c r="AM54" s="139" t="s">
        <v>662</v>
      </c>
      <c r="AN54" s="158">
        <f>AN51/(AN51*AN52-AN53^2)</f>
        <v>0.29126213592233002</v>
      </c>
      <c r="AO54" s="158">
        <f>AO51/(AO51*AO52-AO53^2)</f>
        <v>0.1394700139470014</v>
      </c>
      <c r="AP54" s="158">
        <f>AP51/(AP51*AP52-AP53^2)</f>
        <v>0.29126213592233002</v>
      </c>
      <c r="AQ54" s="158">
        <f>AQ51/(AQ51*AQ52-AQ53^2)</f>
        <v>0.1394700139470014</v>
      </c>
    </row>
    <row r="55" spans="1:45">
      <c r="A55" s="137">
        <f>B42/B43</f>
        <v>5.6906077348066297E-2</v>
      </c>
      <c r="B55" s="169"/>
      <c r="C55" s="156" t="s">
        <v>811</v>
      </c>
      <c r="D55" s="169">
        <f>-D45/B46</f>
        <v>0</v>
      </c>
      <c r="E55" s="161" t="s">
        <v>812</v>
      </c>
      <c r="F55" s="199">
        <f>-D45/B45</f>
        <v>0</v>
      </c>
      <c r="G55" s="170"/>
      <c r="H55" s="140"/>
      <c r="I55" s="140"/>
      <c r="J55" s="139"/>
      <c r="K55" s="139"/>
      <c r="L55" s="139"/>
      <c r="N55" s="139" t="s">
        <v>600</v>
      </c>
      <c r="O55" s="147">
        <f>H117</f>
        <v>5.0000000000000001E-3</v>
      </c>
      <c r="P55" s="147">
        <f>C62</f>
        <v>5.0000000000000001E-3</v>
      </c>
      <c r="Q55" s="145">
        <f t="shared" si="15"/>
        <v>1</v>
      </c>
      <c r="R55" s="139" t="s">
        <v>243</v>
      </c>
      <c r="S55" s="143" t="s">
        <v>1562</v>
      </c>
      <c r="T55" s="143" t="s">
        <v>1563</v>
      </c>
      <c r="U55" s="143" t="s">
        <v>1564</v>
      </c>
      <c r="V55" s="143" t="s">
        <v>1565</v>
      </c>
      <c r="W55" s="143"/>
      <c r="X55" s="143"/>
      <c r="Z55" s="139" t="s">
        <v>536</v>
      </c>
      <c r="AA55" s="146">
        <f t="shared" si="16"/>
        <v>0</v>
      </c>
      <c r="AB55" s="146">
        <f t="shared" si="16"/>
        <v>0</v>
      </c>
      <c r="AC55" s="146">
        <f t="shared" si="16"/>
        <v>0</v>
      </c>
      <c r="AD55" s="146">
        <f t="shared" si="16"/>
        <v>0</v>
      </c>
      <c r="AE55" s="139">
        <f>W57</f>
        <v>0</v>
      </c>
      <c r="AF55" s="146">
        <f>X58</f>
        <v>0</v>
      </c>
      <c r="AG55" s="139" t="s">
        <v>536</v>
      </c>
      <c r="AH55" s="146">
        <f t="shared" si="17"/>
        <v>0</v>
      </c>
      <c r="AI55" s="146">
        <f t="shared" si="17"/>
        <v>0</v>
      </c>
      <c r="AJ55" s="146">
        <f t="shared" si="17"/>
        <v>0</v>
      </c>
      <c r="AK55" s="146">
        <f t="shared" si="17"/>
        <v>0</v>
      </c>
      <c r="AM55" s="139" t="s">
        <v>665</v>
      </c>
      <c r="AN55" s="158">
        <f>AN52/(AN51*AN52-AN53^2)</f>
        <v>0.1394700139470014</v>
      </c>
      <c r="AO55" s="158">
        <f>AO52/(AO51*AO52-AO53^2)</f>
        <v>0.29126213592233002</v>
      </c>
      <c r="AP55" s="158">
        <f>AP52/(AP51*AP52-AP53^2)</f>
        <v>0.1394700139470014</v>
      </c>
      <c r="AQ55" s="158">
        <f>AQ52/(AQ51*AQ52-AQ53^2)</f>
        <v>0.29126213592233002</v>
      </c>
    </row>
    <row r="56" spans="1:45">
      <c r="A56" s="137"/>
      <c r="B56" s="169"/>
      <c r="C56" s="165"/>
      <c r="D56" s="169"/>
      <c r="E56" s="161"/>
      <c r="F56" s="145"/>
      <c r="G56" s="170"/>
      <c r="H56" s="140"/>
      <c r="I56" s="140"/>
      <c r="J56" s="139" t="s">
        <v>1553</v>
      </c>
      <c r="K56" s="139" t="s">
        <v>1554</v>
      </c>
      <c r="L56" s="139" t="s">
        <v>1555</v>
      </c>
      <c r="M56" s="153" t="s">
        <v>1556</v>
      </c>
      <c r="N56" s="139" t="s">
        <v>1557</v>
      </c>
      <c r="O56" s="144">
        <f>G116</f>
        <v>122</v>
      </c>
      <c r="P56" s="144">
        <f>O56</f>
        <v>122</v>
      </c>
      <c r="Q56" s="145">
        <f t="shared" si="15"/>
        <v>1</v>
      </c>
      <c r="R56" s="139" t="s">
        <v>537</v>
      </c>
      <c r="S56" s="154">
        <f>C5+I6</f>
        <v>0</v>
      </c>
      <c r="T56" s="154">
        <f>D5+I6</f>
        <v>-30</v>
      </c>
      <c r="U56" s="154">
        <f>E5+I6</f>
        <v>45</v>
      </c>
      <c r="V56" s="154">
        <f>F5+I6</f>
        <v>-45</v>
      </c>
      <c r="W56" s="143" t="s">
        <v>538</v>
      </c>
      <c r="X56" s="143"/>
      <c r="Z56" s="139" t="s">
        <v>539</v>
      </c>
      <c r="AA56" s="146">
        <f t="shared" si="16"/>
        <v>0</v>
      </c>
      <c r="AB56" s="146">
        <f t="shared" si="16"/>
        <v>-1.0471975511965976</v>
      </c>
      <c r="AC56" s="146">
        <f t="shared" si="16"/>
        <v>1.5707963267948966</v>
      </c>
      <c r="AD56" s="146">
        <f t="shared" si="16"/>
        <v>-1.5707963267948966</v>
      </c>
      <c r="AE56" s="139" t="s">
        <v>540</v>
      </c>
      <c r="AF56" s="141">
        <f>W64</f>
        <v>0</v>
      </c>
      <c r="AG56" s="139" t="s">
        <v>539</v>
      </c>
      <c r="AH56" s="146">
        <f t="shared" si="17"/>
        <v>0</v>
      </c>
      <c r="AI56" s="146">
        <f t="shared" si="17"/>
        <v>-1.0471975511965976</v>
      </c>
      <c r="AJ56" s="146">
        <f t="shared" si="17"/>
        <v>1.5707963267948966</v>
      </c>
      <c r="AK56" s="146">
        <f t="shared" si="17"/>
        <v>-1.5707963267948966</v>
      </c>
      <c r="AM56" s="138" t="s">
        <v>666</v>
      </c>
      <c r="AN56" s="141">
        <f>-AN53/(AN51*AN52-AN53^2)</f>
        <v>0</v>
      </c>
      <c r="AO56" s="141">
        <f>-AO53/(AO51*AO52-AO53^2)</f>
        <v>-9.2983941852687333E-18</v>
      </c>
      <c r="AP56" s="141">
        <f>-AP53/(AP51*AP52-AP53^2)</f>
        <v>0</v>
      </c>
      <c r="AQ56" s="141">
        <f>-AQ53/(AQ51*AQ52-AQ53^2)</f>
        <v>-9.2983941852687333E-18</v>
      </c>
    </row>
    <row r="57" spans="1:45">
      <c r="A57" s="137"/>
      <c r="B57" s="169"/>
      <c r="C57" s="165"/>
      <c r="D57" s="169"/>
      <c r="E57" s="161"/>
      <c r="F57" s="145"/>
      <c r="G57" s="170"/>
      <c r="H57" s="140"/>
      <c r="I57" s="140"/>
      <c r="J57" s="139" t="s">
        <v>298</v>
      </c>
      <c r="K57" s="140">
        <f>B116</f>
        <v>181</v>
      </c>
      <c r="L57" s="140">
        <f>L64*L63</f>
        <v>181.00000000000003</v>
      </c>
      <c r="M57" s="145">
        <f>L57/K57</f>
        <v>1.0000000000000002</v>
      </c>
      <c r="N57" s="139" t="s">
        <v>299</v>
      </c>
      <c r="O57" s="144">
        <f>H116</f>
        <v>160</v>
      </c>
      <c r="P57" s="144">
        <f>O57-H119*(P55)</f>
        <v>150</v>
      </c>
      <c r="Q57" s="145">
        <f t="shared" si="15"/>
        <v>0.9375</v>
      </c>
      <c r="R57" s="139" t="s">
        <v>541</v>
      </c>
      <c r="S57" s="154">
        <f>C6</f>
        <v>0</v>
      </c>
      <c r="T57" s="154">
        <f>D6</f>
        <v>0</v>
      </c>
      <c r="U57" s="154">
        <f>E6</f>
        <v>0</v>
      </c>
      <c r="V57" s="154">
        <f>F6</f>
        <v>0</v>
      </c>
      <c r="W57" s="156">
        <f>G6</f>
        <v>0</v>
      </c>
      <c r="X57" s="143"/>
      <c r="Z57" s="139"/>
      <c r="AA57" s="141">
        <f>AA56/2</f>
        <v>0</v>
      </c>
      <c r="AB57" s="141">
        <f>AB56/2</f>
        <v>-0.52359877559829882</v>
      </c>
      <c r="AC57" s="141">
        <f>AC56/2</f>
        <v>0.78539816339744828</v>
      </c>
      <c r="AD57" s="141">
        <f>AD56/2</f>
        <v>-0.78539816339744828</v>
      </c>
      <c r="AE57" s="143"/>
      <c r="AL57" s="139"/>
      <c r="AM57" s="138" t="s">
        <v>637</v>
      </c>
      <c r="AN57" s="141"/>
      <c r="AO57" s="141"/>
      <c r="AR57" s="141"/>
      <c r="AS57" s="141"/>
    </row>
    <row r="58" spans="1:45">
      <c r="A58" s="139" t="s">
        <v>813</v>
      </c>
      <c r="B58" s="137" t="s">
        <v>561</v>
      </c>
      <c r="C58" s="137" t="s">
        <v>174</v>
      </c>
      <c r="D58" s="155" t="s">
        <v>563</v>
      </c>
      <c r="E58" s="137" t="s">
        <v>1339</v>
      </c>
      <c r="F58" s="137" t="s">
        <v>564</v>
      </c>
      <c r="G58" s="137" t="s">
        <v>565</v>
      </c>
      <c r="H58" s="137" t="s">
        <v>566</v>
      </c>
      <c r="I58" s="137" t="s">
        <v>814</v>
      </c>
      <c r="J58" s="139" t="s">
        <v>1579</v>
      </c>
      <c r="K58" s="140">
        <f>C116</f>
        <v>10.3</v>
      </c>
      <c r="L58" s="140">
        <f>(1+L67)/(1/L68+L67/L65)</f>
        <v>10.3</v>
      </c>
      <c r="M58" s="145">
        <f>L58/K58</f>
        <v>1</v>
      </c>
      <c r="N58" s="139" t="s">
        <v>1580</v>
      </c>
      <c r="O58" s="140">
        <f>(O57-O54)/(O57-O54)</f>
        <v>1</v>
      </c>
      <c r="P58" s="140">
        <f>(P57-P54)/(P57-O54)</f>
        <v>1</v>
      </c>
      <c r="Q58" s="145">
        <f t="shared" si="15"/>
        <v>1</v>
      </c>
      <c r="R58" s="139" t="s">
        <v>1295</v>
      </c>
      <c r="S58" s="158">
        <f>S56*PI()/90</f>
        <v>0</v>
      </c>
      <c r="T58" s="158">
        <f>T56*PI()/90</f>
        <v>-1.0471975511965976</v>
      </c>
      <c r="U58" s="158">
        <f>U56*PI()/90</f>
        <v>1.5707963267948966</v>
      </c>
      <c r="V58" s="158">
        <f>V56*PI()/90</f>
        <v>-1.5707963267948966</v>
      </c>
      <c r="W58" s="143" t="s">
        <v>1296</v>
      </c>
      <c r="X58" s="146"/>
      <c r="Z58" s="137" t="s">
        <v>1297</v>
      </c>
      <c r="AA58" s="143"/>
      <c r="AB58" s="143"/>
      <c r="AC58" s="141"/>
      <c r="AD58" s="141"/>
      <c r="AE58" s="141"/>
      <c r="AG58" s="137" t="s">
        <v>1298</v>
      </c>
      <c r="AL58" s="139"/>
      <c r="AM58" s="137"/>
      <c r="AN58" s="141"/>
      <c r="AO58" s="141"/>
      <c r="AR58" s="141"/>
      <c r="AS58" s="143"/>
    </row>
    <row r="59" spans="1:45">
      <c r="A59" s="137" t="s">
        <v>815</v>
      </c>
      <c r="B59" s="154">
        <f>O2</f>
        <v>22</v>
      </c>
      <c r="C59" s="158">
        <f>O3</f>
        <v>5.0000000000000001E-3</v>
      </c>
      <c r="D59" s="145">
        <f>K11</f>
        <v>0.7</v>
      </c>
      <c r="E59" s="145">
        <f>K13</f>
        <v>3.4</v>
      </c>
      <c r="F59" s="154">
        <f>K12</f>
        <v>258.57142857142861</v>
      </c>
      <c r="G59" s="154">
        <f>O24</f>
        <v>40</v>
      </c>
      <c r="H59" s="168">
        <f>O23</f>
        <v>2142.8571428571431</v>
      </c>
      <c r="I59" s="140">
        <f>E115</f>
        <v>0.1</v>
      </c>
      <c r="J59" s="139" t="s">
        <v>259</v>
      </c>
      <c r="K59" s="140">
        <f>D116</f>
        <v>0.28000000000000003</v>
      </c>
      <c r="L59" s="140">
        <f>K59*I62</f>
        <v>0.28000000000000003</v>
      </c>
      <c r="M59" s="145">
        <f>L59/K59</f>
        <v>1</v>
      </c>
      <c r="N59" s="139" t="s">
        <v>260</v>
      </c>
      <c r="O59" s="144">
        <f>O54-O56</f>
        <v>-100</v>
      </c>
      <c r="P59" s="144">
        <f>P54-P56</f>
        <v>-100</v>
      </c>
      <c r="Q59" s="145">
        <f t="shared" si="15"/>
        <v>1</v>
      </c>
      <c r="R59" s="139" t="s">
        <v>1300</v>
      </c>
      <c r="S59" s="158">
        <f>2*S58</f>
        <v>0</v>
      </c>
      <c r="T59" s="158">
        <f>2*T58</f>
        <v>-2.0943951023931953</v>
      </c>
      <c r="U59" s="158">
        <f>2*U58</f>
        <v>3.1415926535897931</v>
      </c>
      <c r="V59" s="158">
        <f>2*V58</f>
        <v>-3.1415926535897931</v>
      </c>
      <c r="W59" s="138" t="s">
        <v>651</v>
      </c>
      <c r="X59" s="143" t="s">
        <v>652</v>
      </c>
      <c r="Y59" s="143" t="s">
        <v>646</v>
      </c>
      <c r="Z59" s="139"/>
      <c r="AA59" s="143" t="s">
        <v>1301</v>
      </c>
      <c r="AB59" s="143"/>
      <c r="AC59" s="161" t="s">
        <v>977</v>
      </c>
      <c r="AD59" s="161"/>
      <c r="AE59" s="143" t="s">
        <v>1303</v>
      </c>
      <c r="AF59" s="143" t="s">
        <v>1304</v>
      </c>
      <c r="AG59" s="139" t="s">
        <v>1305</v>
      </c>
      <c r="AH59" s="147">
        <f t="shared" ref="AH59:AK61" si="18">AA65/1000</f>
        <v>0</v>
      </c>
      <c r="AI59" s="147">
        <f t="shared" si="18"/>
        <v>0</v>
      </c>
      <c r="AJ59" s="147">
        <f t="shared" si="18"/>
        <v>0</v>
      </c>
      <c r="AK59" s="147">
        <f t="shared" si="18"/>
        <v>0</v>
      </c>
      <c r="AL59" s="157"/>
      <c r="AM59" s="139" t="s">
        <v>243</v>
      </c>
      <c r="AN59" s="143" t="s">
        <v>1562</v>
      </c>
      <c r="AO59" s="143" t="s">
        <v>1563</v>
      </c>
      <c r="AP59" s="143" t="s">
        <v>1564</v>
      </c>
      <c r="AQ59" s="143" t="s">
        <v>1565</v>
      </c>
      <c r="AR59" s="143"/>
      <c r="AS59" s="143"/>
    </row>
    <row r="60" spans="1:45">
      <c r="A60" s="137" t="s">
        <v>0</v>
      </c>
      <c r="B60" s="148">
        <v>22</v>
      </c>
      <c r="C60" s="200">
        <v>5.0000000000000001E-3</v>
      </c>
      <c r="D60" s="201">
        <f>D59</f>
        <v>0.7</v>
      </c>
      <c r="E60" s="201">
        <f>E59</f>
        <v>3.4</v>
      </c>
      <c r="F60" s="148">
        <f>F59</f>
        <v>258.57142857142861</v>
      </c>
      <c r="G60" s="148">
        <f>G59</f>
        <v>40</v>
      </c>
      <c r="H60" s="202">
        <f>H59</f>
        <v>2142.8571428571431</v>
      </c>
      <c r="I60" s="201">
        <v>1</v>
      </c>
      <c r="J60" s="139" t="s">
        <v>261</v>
      </c>
      <c r="K60" s="140">
        <f>E116</f>
        <v>7.17</v>
      </c>
      <c r="L60" s="140">
        <f>(1+L70)/(1/L71+L70*2.7/L65)</f>
        <v>7.17</v>
      </c>
      <c r="M60" s="145">
        <f>L60/K60</f>
        <v>1</v>
      </c>
      <c r="N60" s="139"/>
      <c r="O60" s="140"/>
      <c r="P60" s="140"/>
      <c r="Q60" s="140"/>
      <c r="R60" s="139" t="s">
        <v>1321</v>
      </c>
      <c r="S60" s="158">
        <f>2*W57*S57*L61/1000000/Y60</f>
        <v>0</v>
      </c>
      <c r="T60" s="158">
        <f>2*W57*T57*L61/1000000/Y60</f>
        <v>0</v>
      </c>
      <c r="U60" s="158">
        <f>2*W57*U57*L61/1000000/Y60</f>
        <v>0</v>
      </c>
      <c r="V60" s="158">
        <f>2*W57*V57*L61/1000000/Y60</f>
        <v>0</v>
      </c>
      <c r="W60" s="147">
        <f>SUM(S60:V60)</f>
        <v>0</v>
      </c>
      <c r="X60" s="163">
        <f>2*W57*SUM(S57:V57)*L61/1000000</f>
        <v>0</v>
      </c>
      <c r="Y60" s="147">
        <f>Y8</f>
        <v>5.0000000000000001E-4</v>
      </c>
      <c r="Z60" s="139">
        <v>1</v>
      </c>
      <c r="AA60" s="140">
        <f>$B$37</f>
        <v>1</v>
      </c>
      <c r="AB60" s="163"/>
      <c r="AC60" s="140">
        <f>AC8</f>
        <v>119.49416590714854</v>
      </c>
      <c r="AD60" s="163"/>
      <c r="AE60" s="159" t="s">
        <v>1306</v>
      </c>
      <c r="AF60" s="163">
        <f>IF(X60=0,0,(AC60+AC61)/2)</f>
        <v>0</v>
      </c>
      <c r="AG60" s="139" t="s">
        <v>1307</v>
      </c>
      <c r="AH60" s="147">
        <f t="shared" si="18"/>
        <v>0</v>
      </c>
      <c r="AI60" s="147">
        <f t="shared" si="18"/>
        <v>0</v>
      </c>
      <c r="AJ60" s="147">
        <f t="shared" si="18"/>
        <v>0</v>
      </c>
      <c r="AK60" s="147">
        <f t="shared" si="18"/>
        <v>0</v>
      </c>
      <c r="AL60" s="157"/>
      <c r="AM60" s="139" t="s">
        <v>537</v>
      </c>
      <c r="AN60" s="154">
        <f t="shared" ref="AN60:AQ61" si="19">S212</f>
        <v>0</v>
      </c>
      <c r="AO60" s="154">
        <f t="shared" si="19"/>
        <v>90</v>
      </c>
      <c r="AP60" s="154">
        <f t="shared" si="19"/>
        <v>0</v>
      </c>
      <c r="AQ60" s="154">
        <f t="shared" si="19"/>
        <v>90</v>
      </c>
      <c r="AR60" s="143" t="s">
        <v>538</v>
      </c>
      <c r="AS60" s="143" t="s">
        <v>652</v>
      </c>
    </row>
    <row r="61" spans="1:45">
      <c r="A61" s="137" t="s">
        <v>1</v>
      </c>
      <c r="B61" s="154">
        <f>O54</f>
        <v>22</v>
      </c>
      <c r="C61" s="158">
        <f>O55</f>
        <v>5.0000000000000001E-3</v>
      </c>
      <c r="D61" s="145">
        <f>K63</f>
        <v>0.7</v>
      </c>
      <c r="E61" s="145">
        <f>K65</f>
        <v>3.4</v>
      </c>
      <c r="F61" s="154">
        <f>K64</f>
        <v>258.57142857142861</v>
      </c>
      <c r="G61" s="154">
        <f>O76</f>
        <v>40</v>
      </c>
      <c r="H61" s="168">
        <f>O75</f>
        <v>2142.8571428571431</v>
      </c>
      <c r="I61" s="140">
        <f>E120</f>
        <v>0.1</v>
      </c>
      <c r="J61" s="139" t="s">
        <v>262</v>
      </c>
      <c r="K61" s="144">
        <f>B118</f>
        <v>125</v>
      </c>
      <c r="L61" s="144">
        <f>K61/M63</f>
        <v>125</v>
      </c>
      <c r="M61" s="145">
        <f>L61/K61</f>
        <v>1</v>
      </c>
      <c r="N61" s="137" t="s">
        <v>1531</v>
      </c>
      <c r="O61" s="140"/>
      <c r="P61" s="140"/>
      <c r="Q61" s="140"/>
      <c r="R61" s="139" t="s">
        <v>1325</v>
      </c>
      <c r="S61" s="143" t="s">
        <v>1326</v>
      </c>
      <c r="T61" s="143" t="s">
        <v>1327</v>
      </c>
      <c r="U61" s="143" t="s">
        <v>1328</v>
      </c>
      <c r="V61" s="143" t="s">
        <v>1329</v>
      </c>
      <c r="W61" s="143" t="s">
        <v>1330</v>
      </c>
      <c r="X61" s="139"/>
      <c r="Z61" s="139">
        <v>2</v>
      </c>
      <c r="AA61" s="140">
        <f>$B$38</f>
        <v>0</v>
      </c>
      <c r="AB61" s="163"/>
      <c r="AC61" s="140">
        <f>AC9</f>
        <v>-19.975848039852647</v>
      </c>
      <c r="AD61" s="163"/>
      <c r="AE61" s="159" t="s">
        <v>1309</v>
      </c>
      <c r="AF61" s="163">
        <f>IF(X60=0,0,(AC60-AC61)/2)</f>
        <v>0</v>
      </c>
      <c r="AG61" s="139" t="s">
        <v>1310</v>
      </c>
      <c r="AH61" s="147">
        <f t="shared" si="18"/>
        <v>0</v>
      </c>
      <c r="AI61" s="147">
        <f t="shared" si="18"/>
        <v>0</v>
      </c>
      <c r="AJ61" s="147">
        <f t="shared" si="18"/>
        <v>0</v>
      </c>
      <c r="AK61" s="147">
        <f t="shared" si="18"/>
        <v>0</v>
      </c>
      <c r="AL61" s="157"/>
      <c r="AM61" s="139" t="s">
        <v>541</v>
      </c>
      <c r="AN61" s="154">
        <f t="shared" si="19"/>
        <v>0</v>
      </c>
      <c r="AO61" s="154">
        <f t="shared" si="19"/>
        <v>0</v>
      </c>
      <c r="AP61" s="154">
        <f t="shared" si="19"/>
        <v>0</v>
      </c>
      <c r="AQ61" s="154">
        <f t="shared" si="19"/>
        <v>0</v>
      </c>
      <c r="AR61" s="156">
        <f>W213</f>
        <v>1</v>
      </c>
      <c r="AS61" s="146">
        <f>SUM(AN61:AQ61)</f>
        <v>0</v>
      </c>
    </row>
    <row r="62" spans="1:45">
      <c r="A62" s="137" t="s">
        <v>2</v>
      </c>
      <c r="B62" s="154">
        <f>B60</f>
        <v>22</v>
      </c>
      <c r="C62" s="158">
        <f>C60</f>
        <v>5.0000000000000001E-3</v>
      </c>
      <c r="D62" s="201">
        <f>D61</f>
        <v>0.7</v>
      </c>
      <c r="E62" s="201">
        <f>E61</f>
        <v>3.4</v>
      </c>
      <c r="F62" s="148">
        <f>F61</f>
        <v>258.57142857142861</v>
      </c>
      <c r="G62" s="148">
        <f>G61</f>
        <v>40</v>
      </c>
      <c r="H62" s="202">
        <f>H61</f>
        <v>2142.8571428571431</v>
      </c>
      <c r="I62" s="201">
        <v>1</v>
      </c>
      <c r="J62" s="137" t="s">
        <v>264</v>
      </c>
      <c r="K62" s="140"/>
      <c r="L62" s="140"/>
      <c r="N62" s="139" t="s">
        <v>265</v>
      </c>
      <c r="O62" s="140">
        <f>A119</f>
        <v>0.02</v>
      </c>
      <c r="P62" s="140">
        <f>O62</f>
        <v>0.02</v>
      </c>
      <c r="Q62" s="140">
        <f>P62/O62</f>
        <v>1</v>
      </c>
      <c r="R62" s="139">
        <v>11</v>
      </c>
      <c r="S62" s="140">
        <f>L79+L80*COS(S58)+L81*COS(S59)</f>
        <v>181.81113884441794</v>
      </c>
      <c r="T62" s="140">
        <f>L79+L80*COS(T58)+L81*COS(T59)</f>
        <v>109.37924718723004</v>
      </c>
      <c r="U62" s="140">
        <f>L79+L80*COS(U58)+L81*COS(U59)</f>
        <v>56.65778661573448</v>
      </c>
      <c r="V62" s="140">
        <f>L79+L80*COS(V58)+L81*COS(V59)</f>
        <v>56.65778661573448</v>
      </c>
      <c r="W62" s="163">
        <f>(S60*S62+T60*T62+U60*U62+V60*V62)</f>
        <v>0</v>
      </c>
      <c r="X62" s="147"/>
      <c r="Z62" s="139">
        <v>6</v>
      </c>
      <c r="AA62" s="140">
        <f>$B$39</f>
        <v>0</v>
      </c>
      <c r="AB62" s="163"/>
      <c r="AC62" s="140">
        <f>AC10</f>
        <v>-91.562516762323497</v>
      </c>
      <c r="AD62" s="163"/>
      <c r="AE62" s="159" t="s">
        <v>1312</v>
      </c>
      <c r="AF62" s="163">
        <f>IF(X60=0,0,AC62/2)</f>
        <v>0</v>
      </c>
      <c r="AG62" s="139"/>
      <c r="AH62" s="163"/>
      <c r="AI62" s="163"/>
      <c r="AJ62" s="163"/>
      <c r="AK62" s="163"/>
      <c r="AL62" s="163"/>
      <c r="AM62" s="138" t="s">
        <v>648</v>
      </c>
      <c r="AN62" s="158">
        <f>AN60*PI()/180</f>
        <v>0</v>
      </c>
      <c r="AO62" s="158">
        <f>AO60*PI()/180</f>
        <v>1.5707963267948966</v>
      </c>
      <c r="AP62" s="158">
        <f>AP60*PI()/180</f>
        <v>0</v>
      </c>
      <c r="AQ62" s="158">
        <f>AQ60*PI()/180</f>
        <v>1.5707963267948966</v>
      </c>
      <c r="AS62" s="159" t="s">
        <v>683</v>
      </c>
    </row>
    <row r="63" spans="1:45">
      <c r="A63" s="137" t="s">
        <v>3</v>
      </c>
      <c r="B63" s="154">
        <f>O106</f>
        <v>22</v>
      </c>
      <c r="C63" s="158">
        <f>O107</f>
        <v>5.0000000000000001E-3</v>
      </c>
      <c r="D63" s="145">
        <f>K115</f>
        <v>0.7</v>
      </c>
      <c r="E63" s="145">
        <f>K117</f>
        <v>3.4</v>
      </c>
      <c r="F63" s="154">
        <f>K116</f>
        <v>258.57142857142861</v>
      </c>
      <c r="G63" s="154">
        <f>O128</f>
        <v>40</v>
      </c>
      <c r="H63" s="168">
        <f>O127</f>
        <v>2142.8571428571431</v>
      </c>
      <c r="I63" s="140">
        <f>E127</f>
        <v>0.1</v>
      </c>
      <c r="J63" s="139" t="s">
        <v>1532</v>
      </c>
      <c r="K63" s="140">
        <f>C118</f>
        <v>0.7</v>
      </c>
      <c r="L63" s="140">
        <f>D62</f>
        <v>0.7</v>
      </c>
      <c r="M63" s="145">
        <f t="shared" ref="M63:M72" si="20">L63/K63</f>
        <v>1</v>
      </c>
      <c r="N63" s="139" t="s">
        <v>1533</v>
      </c>
      <c r="O63" s="140">
        <f>B119</f>
        <v>22.5</v>
      </c>
      <c r="P63" s="140">
        <f>O63*(1-L63)/(1-K63)</f>
        <v>22.5</v>
      </c>
      <c r="Q63" s="140">
        <f>P63/O63</f>
        <v>1</v>
      </c>
      <c r="R63" s="139">
        <v>22</v>
      </c>
      <c r="S63" s="140">
        <f>S62-2*L80*COS(S58)</f>
        <v>10.346158729820473</v>
      </c>
      <c r="T63" s="140">
        <f>T62-2*L80*COS(T58)</f>
        <v>23.646757129931288</v>
      </c>
      <c r="U63" s="140">
        <f>U62-2*L80*COS(U58)</f>
        <v>56.657786615734473</v>
      </c>
      <c r="V63" s="140">
        <f>V62-2*L80*COS(V58)</f>
        <v>56.657786615734473</v>
      </c>
      <c r="W63" s="163">
        <f>(S60*S63+T60*T63+U60*U63+V60*V63)</f>
        <v>0</v>
      </c>
      <c r="X63" s="147"/>
      <c r="AA63" s="163"/>
      <c r="AB63" s="163"/>
      <c r="AC63" s="163"/>
      <c r="AD63" s="163"/>
      <c r="AE63" s="159"/>
      <c r="AF63" s="163"/>
      <c r="AG63" s="139"/>
      <c r="AH63" s="163"/>
      <c r="AI63" s="163"/>
      <c r="AJ63" s="163"/>
      <c r="AK63" s="163"/>
      <c r="AL63" s="163"/>
      <c r="AM63" s="139" t="s">
        <v>653</v>
      </c>
      <c r="AN63" s="158">
        <f>COS(AN60*PI()/180)</f>
        <v>1</v>
      </c>
      <c r="AO63" s="158">
        <f>COS(AO60*PI()/180)</f>
        <v>6.1257422745431001E-17</v>
      </c>
      <c r="AP63" s="158">
        <f>COS(AP60*PI()/180)</f>
        <v>1</v>
      </c>
      <c r="AQ63" s="158">
        <f>COS(AQ60*PI()/180)</f>
        <v>6.1257422745431001E-17</v>
      </c>
      <c r="AR63" s="143"/>
      <c r="AS63" s="162">
        <f>$L217/1000000/AT5*2/AT7</f>
        <v>0.05</v>
      </c>
    </row>
    <row r="64" spans="1:45">
      <c r="A64" s="137" t="s">
        <v>4</v>
      </c>
      <c r="B64" s="154">
        <f>B62</f>
        <v>22</v>
      </c>
      <c r="C64" s="158">
        <f>C62</f>
        <v>5.0000000000000001E-3</v>
      </c>
      <c r="D64" s="201">
        <f>D63</f>
        <v>0.7</v>
      </c>
      <c r="E64" s="201">
        <f>E63</f>
        <v>3.4</v>
      </c>
      <c r="F64" s="148">
        <f>F63</f>
        <v>258.57142857142861</v>
      </c>
      <c r="G64" s="148">
        <f>G63</f>
        <v>40</v>
      </c>
      <c r="H64" s="202">
        <f>H63</f>
        <v>2142.8571428571431</v>
      </c>
      <c r="I64" s="201">
        <v>1</v>
      </c>
      <c r="J64" s="139" t="s">
        <v>1534</v>
      </c>
      <c r="K64" s="144">
        <f>K57/K63</f>
        <v>258.57142857142861</v>
      </c>
      <c r="L64" s="144">
        <f>F62*P58^F119</f>
        <v>258.57142857142861</v>
      </c>
      <c r="M64" s="145">
        <f t="shared" si="20"/>
        <v>1</v>
      </c>
      <c r="N64" s="138" t="s">
        <v>1535</v>
      </c>
      <c r="O64" s="140"/>
      <c r="P64" s="140"/>
      <c r="Q64" s="140"/>
      <c r="R64" s="139" t="s">
        <v>1345</v>
      </c>
      <c r="S64" s="140">
        <f>L82-L81*COS(S59)</f>
        <v>2.8969244443497324</v>
      </c>
      <c r="T64" s="140">
        <f>L82-L81*COS(T59)</f>
        <v>32.462571072888281</v>
      </c>
      <c r="U64" s="140">
        <f>L82-L81*COS(U59)</f>
        <v>42.317786615734462</v>
      </c>
      <c r="V64" s="140">
        <f>L82-L81*COS(V59)</f>
        <v>42.317786615734462</v>
      </c>
      <c r="W64" s="163">
        <f>(S60*S64+T60*T64+U60*U64+V60*V64)</f>
        <v>0</v>
      </c>
      <c r="X64" s="147"/>
      <c r="Z64" s="137" t="s">
        <v>1323</v>
      </c>
      <c r="AA64" s="163"/>
      <c r="AB64" s="163"/>
      <c r="AC64" s="163"/>
      <c r="AD64" s="163"/>
      <c r="AE64" s="159" t="s">
        <v>661</v>
      </c>
      <c r="AF64" s="163">
        <f>L59/L57*L74+L72/L58*L76</f>
        <v>0.42188220063345594</v>
      </c>
      <c r="AG64" s="139"/>
      <c r="AH64" s="163"/>
      <c r="AI64" s="163"/>
      <c r="AJ64" s="163"/>
      <c r="AK64" s="163"/>
      <c r="AL64" s="163"/>
      <c r="AM64" s="139" t="s">
        <v>654</v>
      </c>
      <c r="AN64" s="158">
        <f>SIN(AN60*PI()/180)</f>
        <v>0</v>
      </c>
      <c r="AO64" s="158">
        <f>SIN(AO60*PI()/180)</f>
        <v>1</v>
      </c>
      <c r="AP64" s="158">
        <f>SIN(AP60*PI()/180)</f>
        <v>0</v>
      </c>
      <c r="AQ64" s="158">
        <f>SIN(AQ60*PI()/180)</f>
        <v>1</v>
      </c>
      <c r="AS64" s="160" t="s">
        <v>655</v>
      </c>
    </row>
    <row r="65" spans="1:45">
      <c r="A65" s="137" t="s">
        <v>5</v>
      </c>
      <c r="B65" s="154">
        <f>O158</f>
        <v>22</v>
      </c>
      <c r="C65" s="158">
        <f>O159</f>
        <v>5.0000000000000001E-3</v>
      </c>
      <c r="D65" s="145">
        <f>K167</f>
        <v>0.7</v>
      </c>
      <c r="E65" s="145">
        <f>K169</f>
        <v>3.4</v>
      </c>
      <c r="F65" s="154">
        <f>K168</f>
        <v>258.57142857142861</v>
      </c>
      <c r="G65" s="154">
        <f>O180</f>
        <v>40</v>
      </c>
      <c r="H65" s="168">
        <f>O179</f>
        <v>2142.8571428571431</v>
      </c>
      <c r="I65" s="140">
        <f>E132</f>
        <v>0.1</v>
      </c>
      <c r="J65" s="139" t="s">
        <v>1536</v>
      </c>
      <c r="K65" s="140">
        <f>F116</f>
        <v>3.4</v>
      </c>
      <c r="L65" s="140">
        <f>E62*P58^F118*I62</f>
        <v>3.4</v>
      </c>
      <c r="M65" s="145">
        <f t="shared" si="20"/>
        <v>1</v>
      </c>
      <c r="N65" s="139" t="s">
        <v>1537</v>
      </c>
      <c r="O65" s="140">
        <f>C119</f>
        <v>0</v>
      </c>
      <c r="P65" s="140">
        <f>O65</f>
        <v>0</v>
      </c>
      <c r="Q65" s="140">
        <v>1</v>
      </c>
      <c r="R65" s="139">
        <v>66</v>
      </c>
      <c r="S65" s="140">
        <f>S64-L82+L83</f>
        <v>7.1700000000000053</v>
      </c>
      <c r="T65" s="140">
        <f>T64-L82+L83</f>
        <v>36.735646628538554</v>
      </c>
      <c r="U65" s="140">
        <f>U64-L82+L83</f>
        <v>46.590862171384735</v>
      </c>
      <c r="V65" s="140">
        <f>V64-L82+L83</f>
        <v>46.590862171384735</v>
      </c>
      <c r="W65" s="163">
        <f>(S60*S65+T60*T65+U60*U65+V60*V65)</f>
        <v>0</v>
      </c>
      <c r="X65" s="147"/>
      <c r="Z65" s="139" t="s">
        <v>1324</v>
      </c>
      <c r="AA65" s="147">
        <f>(AF60+AF61*COS(AA56)+AF62*SIN(AA56))</f>
        <v>0</v>
      </c>
      <c r="AB65" s="147">
        <f>(AF60+AF61*COS(AB56)+AF62*SIN(AB56))</f>
        <v>0</v>
      </c>
      <c r="AC65" s="147">
        <f>(AF60+AF61*COS(AC56)+AF62*SIN(AC56))</f>
        <v>0</v>
      </c>
      <c r="AD65" s="147">
        <f>(AF60+AF61*COS(AD56)+AF62*SIN(AD56))</f>
        <v>0</v>
      </c>
      <c r="AE65" s="159" t="s">
        <v>664</v>
      </c>
      <c r="AF65" s="163">
        <f>L59/L57*L76+L72/L58*L75</f>
        <v>0.50672214511948566</v>
      </c>
      <c r="AG65" s="137"/>
      <c r="AH65" s="159"/>
      <c r="AI65" s="159"/>
      <c r="AJ65" s="159"/>
      <c r="AK65" s="159"/>
      <c r="AL65" s="163"/>
      <c r="AM65" s="139" t="s">
        <v>690</v>
      </c>
      <c r="AN65" s="158">
        <f>S252</f>
        <v>7.17</v>
      </c>
      <c r="AO65" s="158">
        <f>T252</f>
        <v>3.433333333333334</v>
      </c>
      <c r="AP65" s="158">
        <f>U252</f>
        <v>7.17</v>
      </c>
      <c r="AQ65" s="158">
        <f>V252</f>
        <v>3.433333333333334</v>
      </c>
      <c r="AR65" s="147"/>
      <c r="AS65" s="138">
        <f>AS61*AS63*AR61</f>
        <v>0</v>
      </c>
    </row>
    <row r="66" spans="1:45">
      <c r="A66" s="137" t="s">
        <v>6</v>
      </c>
      <c r="B66" s="154">
        <f>B64</f>
        <v>22</v>
      </c>
      <c r="C66" s="158">
        <f>C64</f>
        <v>5.0000000000000001E-3</v>
      </c>
      <c r="D66" s="201">
        <f>D65</f>
        <v>0.7</v>
      </c>
      <c r="E66" s="201">
        <f>E65</f>
        <v>3.4</v>
      </c>
      <c r="F66" s="148">
        <f>F65</f>
        <v>258.57142857142861</v>
      </c>
      <c r="G66" s="148">
        <f>G65</f>
        <v>40</v>
      </c>
      <c r="H66" s="202">
        <f>H65</f>
        <v>2142.8571428571431</v>
      </c>
      <c r="I66" s="201">
        <v>1</v>
      </c>
      <c r="J66" s="139" t="s">
        <v>1538</v>
      </c>
      <c r="K66" s="140">
        <f>E118</f>
        <v>0.51600000000000001</v>
      </c>
      <c r="L66" s="140">
        <f>K66*P58^G118</f>
        <v>0.51600000000000001</v>
      </c>
      <c r="M66" s="145">
        <f t="shared" si="20"/>
        <v>1</v>
      </c>
      <c r="N66" s="139" t="s">
        <v>1539</v>
      </c>
      <c r="O66" s="140">
        <f>D119</f>
        <v>0.6</v>
      </c>
      <c r="P66" s="140">
        <f>O66*(1-L63)/(1-K63)</f>
        <v>0.6</v>
      </c>
      <c r="Q66" s="140">
        <f>P66/O66</f>
        <v>1</v>
      </c>
      <c r="R66" s="139" t="s">
        <v>1347</v>
      </c>
      <c r="S66" s="140">
        <f>L80*SIN(S58)/2+L81*SIN(S59)</f>
        <v>0</v>
      </c>
      <c r="T66" s="140">
        <f>L80*SIN(T58)/2+L81*SIN(T59)</f>
        <v>-54.192991199410834</v>
      </c>
      <c r="U66" s="140">
        <f>L80*SIN(U58)/2+L81*SIN(U59)</f>
        <v>42.866245028649367</v>
      </c>
      <c r="V66" s="140">
        <f>L80*SIN(V58)/2+L81*SIN(V59)</f>
        <v>-42.866245028649367</v>
      </c>
      <c r="W66" s="163">
        <f>(S60*S66+T60*T66+U60*U66+V60*V66)</f>
        <v>0</v>
      </c>
      <c r="X66" s="147"/>
      <c r="Z66" s="139" t="s">
        <v>1332</v>
      </c>
      <c r="AA66" s="147">
        <f>2*AF60-AA65</f>
        <v>0</v>
      </c>
      <c r="AB66" s="147">
        <f>2*AF60-AB65</f>
        <v>0</v>
      </c>
      <c r="AC66" s="147">
        <f>2*AF60-AC65</f>
        <v>0</v>
      </c>
      <c r="AD66" s="147">
        <f>2*AF60-AD65</f>
        <v>0</v>
      </c>
      <c r="AE66" s="159"/>
      <c r="AF66" s="163"/>
      <c r="AG66" s="139" t="s">
        <v>1333</v>
      </c>
      <c r="AH66" s="163">
        <f>P85*AH59^2+2*P87*AH59*AH60+P86*AH60^2+P88*AH61^2</f>
        <v>0</v>
      </c>
      <c r="AI66" s="163">
        <f>P85*AI59^2+2*P87*AI59*AI60+P86*AI60^2+P88*AI61^2</f>
        <v>0</v>
      </c>
      <c r="AJ66" s="163">
        <f>P85*AJ59^2+2*P87*AJ59*AJ60+P86*AJ60^2+P88*AJ61^2</f>
        <v>0</v>
      </c>
      <c r="AK66" s="163">
        <f>P85*AK59^2+2*P87*AK59*AK60+P86*AK60^2+P88*AK61^2</f>
        <v>0</v>
      </c>
      <c r="AL66" s="163"/>
      <c r="AM66" s="139" t="s">
        <v>692</v>
      </c>
      <c r="AN66" s="158">
        <f>S251</f>
        <v>3.433333333333334</v>
      </c>
      <c r="AO66" s="158">
        <f>T251</f>
        <v>7.17</v>
      </c>
      <c r="AP66" s="158">
        <f>U251</f>
        <v>3.433333333333334</v>
      </c>
      <c r="AQ66" s="158">
        <f>V251</f>
        <v>7.17</v>
      </c>
    </row>
    <row r="67" spans="1:45">
      <c r="A67" s="137" t="s">
        <v>7</v>
      </c>
      <c r="B67" s="154">
        <f>O210</f>
        <v>22</v>
      </c>
      <c r="C67" s="158">
        <f>O211</f>
        <v>5.0000000000000001E-3</v>
      </c>
      <c r="D67" s="145">
        <f>K219</f>
        <v>0.7</v>
      </c>
      <c r="E67" s="145">
        <f>K221</f>
        <v>3.4</v>
      </c>
      <c r="F67" s="154">
        <f>K220</f>
        <v>258.57142857142861</v>
      </c>
      <c r="G67" s="154">
        <f>O232</f>
        <v>40</v>
      </c>
      <c r="H67" s="168">
        <f>O231</f>
        <v>2142.8571428571431</v>
      </c>
      <c r="I67" s="140">
        <f>E139</f>
        <v>0.1</v>
      </c>
      <c r="J67" s="139" t="s">
        <v>1547</v>
      </c>
      <c r="K67" s="140">
        <f>K66*(1-K63)/K63</f>
        <v>0.2211428571428572</v>
      </c>
      <c r="L67" s="140">
        <f>L66*(1-L63)/L63</f>
        <v>0.2211428571428572</v>
      </c>
      <c r="M67" s="145">
        <f t="shared" si="20"/>
        <v>1</v>
      </c>
      <c r="O67" s="140"/>
      <c r="P67" s="140"/>
      <c r="Q67" s="140"/>
      <c r="R67" s="139" t="s">
        <v>1349</v>
      </c>
      <c r="S67" s="140">
        <f>L80*SIN(S58)-S66</f>
        <v>0</v>
      </c>
      <c r="T67" s="140">
        <f>L80*SIN(T58)-T66</f>
        <v>-20.053523119906664</v>
      </c>
      <c r="U67" s="140">
        <f>L80*SIN(U58)-U66</f>
        <v>42.866245028649367</v>
      </c>
      <c r="V67" s="140">
        <f>L80*SIN(V58)-V66</f>
        <v>-42.866245028649367</v>
      </c>
      <c r="W67" s="163">
        <f>(S60*S67+T60*T67+U60*U67+V60*V67)</f>
        <v>0</v>
      </c>
      <c r="X67" s="147"/>
      <c r="Z67" s="139" t="s">
        <v>1334</v>
      </c>
      <c r="AA67" s="147">
        <f>(2*(AF62*COS(AA56)-AF61*SIN(AA56)))</f>
        <v>0</v>
      </c>
      <c r="AB67" s="147">
        <f>(2*(AF62*COS(AB56)-AF61*SIN(AB56)))</f>
        <v>0</v>
      </c>
      <c r="AC67" s="147">
        <f>(2*(AF62*COS(AC56)-AF61*SIN(AC56)))</f>
        <v>0</v>
      </c>
      <c r="AD67" s="147">
        <f>(2*(AF62*COS(AD56)-AF61*SIN(AD56)))</f>
        <v>0</v>
      </c>
      <c r="AE67" s="159"/>
      <c r="AF67" s="163"/>
      <c r="AG67" s="139" t="s">
        <v>1335</v>
      </c>
      <c r="AH67" s="163">
        <f>P89*AH59+P90*AH60</f>
        <v>0</v>
      </c>
      <c r="AI67" s="163">
        <f>P89*AI59+P90*AI60</f>
        <v>0</v>
      </c>
      <c r="AJ67" s="163">
        <f>P89*AJ59+P90*AJ60</f>
        <v>0</v>
      </c>
      <c r="AK67" s="163">
        <f>P89*AK59+P90*AK60</f>
        <v>0</v>
      </c>
      <c r="AL67" s="163"/>
      <c r="AM67" s="139" t="s">
        <v>660</v>
      </c>
      <c r="AN67" s="158">
        <f>S257</f>
        <v>0</v>
      </c>
      <c r="AO67" s="158">
        <f>T257</f>
        <v>2.2889856965876046E-16</v>
      </c>
      <c r="AP67" s="158">
        <f>U257</f>
        <v>0</v>
      </c>
      <c r="AQ67" s="158">
        <f>V257</f>
        <v>2.2889856965876046E-16</v>
      </c>
    </row>
    <row r="68" spans="1:45">
      <c r="A68" s="137" t="s">
        <v>8</v>
      </c>
      <c r="B68" s="154">
        <f>B66</f>
        <v>22</v>
      </c>
      <c r="C68" s="158">
        <f>C66</f>
        <v>5.0000000000000001E-3</v>
      </c>
      <c r="D68" s="201">
        <f>D67</f>
        <v>0.7</v>
      </c>
      <c r="E68" s="201">
        <f>E67</f>
        <v>3.4</v>
      </c>
      <c r="F68" s="148">
        <f>F67</f>
        <v>258.57142857142861</v>
      </c>
      <c r="G68" s="148">
        <f>G67</f>
        <v>40</v>
      </c>
      <c r="H68" s="202">
        <f>H67</f>
        <v>2142.8571428571431</v>
      </c>
      <c r="I68" s="201">
        <v>1</v>
      </c>
      <c r="J68" s="139" t="s">
        <v>1643</v>
      </c>
      <c r="K68" s="140">
        <f>1/((1+K67)/K58-K67/K65)</f>
        <v>18.686160319541436</v>
      </c>
      <c r="L68" s="140">
        <f>K68*P58^F119</f>
        <v>18.686160319541436</v>
      </c>
      <c r="M68" s="145">
        <f t="shared" si="20"/>
        <v>1</v>
      </c>
      <c r="N68" s="138" t="s">
        <v>176</v>
      </c>
      <c r="O68" s="140"/>
      <c r="P68" s="140"/>
      <c r="Q68" s="140"/>
      <c r="R68" s="139"/>
      <c r="S68" s="143"/>
      <c r="T68" s="143"/>
      <c r="U68" s="143"/>
      <c r="V68" s="139"/>
      <c r="W68" s="143"/>
      <c r="Z68" s="139" t="s">
        <v>671</v>
      </c>
      <c r="AA68" s="164">
        <f>S86*S60</f>
        <v>0</v>
      </c>
      <c r="AB68" s="164">
        <f>T86*T60</f>
        <v>0</v>
      </c>
      <c r="AC68" s="164">
        <f>U86*U60</f>
        <v>0</v>
      </c>
      <c r="AD68" s="164">
        <f>V86*V60</f>
        <v>0</v>
      </c>
      <c r="AE68" s="164">
        <f>W60*(P63+P62*AF64+AF65*P63)-AF64*SUM(AA68:AD68)-AF65*SUM(AA69:AD69)</f>
        <v>0</v>
      </c>
      <c r="AF68" s="164"/>
      <c r="AG68" s="139" t="s">
        <v>1344</v>
      </c>
      <c r="AH68" s="163" t="e">
        <f>AH67/2/AH66</f>
        <v>#DIV/0!</v>
      </c>
      <c r="AI68" s="163" t="e">
        <f>AI67/2/AI66</f>
        <v>#DIV/0!</v>
      </c>
      <c r="AJ68" s="163" t="e">
        <f>AJ67/2/AJ66</f>
        <v>#DIV/0!</v>
      </c>
      <c r="AK68" s="163" t="e">
        <f>AK67/2/AK66</f>
        <v>#DIV/0!</v>
      </c>
      <c r="AL68" s="163"/>
      <c r="AM68" s="139" t="s">
        <v>662</v>
      </c>
      <c r="AN68" s="158">
        <f>AN65/(AN65*AN66-AN67^2)</f>
        <v>0.29126213592233002</v>
      </c>
      <c r="AO68" s="158">
        <f>AO65/(AO65*AO66-AO67^2)</f>
        <v>0.1394700139470014</v>
      </c>
      <c r="AP68" s="158">
        <f>AP65/(AP65*AP66-AP67^2)</f>
        <v>0.29126213592233002</v>
      </c>
      <c r="AQ68" s="158">
        <f>AQ65/(AQ65*AQ66-AQ67^2)</f>
        <v>0.1394700139470014</v>
      </c>
    </row>
    <row r="69" spans="1:45">
      <c r="A69" s="137" t="s">
        <v>9</v>
      </c>
      <c r="B69" s="154">
        <f>O262</f>
        <v>22</v>
      </c>
      <c r="C69" s="158">
        <f>O263</f>
        <v>5.0000000000000001E-3</v>
      </c>
      <c r="D69" s="145">
        <f>K271</f>
        <v>0.7</v>
      </c>
      <c r="E69" s="145">
        <f>K273</f>
        <v>3.4</v>
      </c>
      <c r="F69" s="154">
        <f>K272</f>
        <v>258.57142857142861</v>
      </c>
      <c r="G69" s="154">
        <f>O284</f>
        <v>40</v>
      </c>
      <c r="H69" s="168">
        <f>O283</f>
        <v>2142.8571428571431</v>
      </c>
      <c r="I69" s="140">
        <f>E144</f>
        <v>0.1</v>
      </c>
      <c r="J69" s="139" t="s">
        <v>295</v>
      </c>
      <c r="K69" s="140">
        <f>E119</f>
        <v>0.316</v>
      </c>
      <c r="L69" s="140">
        <f>K69*P58^G118</f>
        <v>0.316</v>
      </c>
      <c r="M69" s="145">
        <f t="shared" si="20"/>
        <v>1</v>
      </c>
      <c r="N69" s="139" t="s">
        <v>296</v>
      </c>
      <c r="O69" s="144">
        <f>A117</f>
        <v>1500</v>
      </c>
      <c r="P69" s="144">
        <f>P75*L63</f>
        <v>1500</v>
      </c>
      <c r="Q69" s="140">
        <f t="shared" ref="Q69:Q76" si="21">P69/O69</f>
        <v>1</v>
      </c>
      <c r="R69" s="139"/>
      <c r="T69" s="164"/>
      <c r="U69" s="140"/>
      <c r="V69" s="140"/>
      <c r="W69" s="140"/>
      <c r="X69" s="143"/>
      <c r="Y69" s="139"/>
      <c r="Z69" s="139" t="s">
        <v>675</v>
      </c>
      <c r="AA69" s="164">
        <f>S87*S60</f>
        <v>0</v>
      </c>
      <c r="AB69" s="164">
        <f>T87*T60</f>
        <v>0</v>
      </c>
      <c r="AC69" s="164">
        <f>U87*U60</f>
        <v>0</v>
      </c>
      <c r="AD69" s="164">
        <f>V87*V60</f>
        <v>0</v>
      </c>
      <c r="AE69" s="164"/>
      <c r="AF69" s="164"/>
      <c r="AG69" s="139"/>
      <c r="AH69" s="163"/>
      <c r="AI69" s="163"/>
      <c r="AJ69" s="163"/>
      <c r="AK69" s="163"/>
      <c r="AL69" s="163"/>
      <c r="AM69" s="139" t="s">
        <v>665</v>
      </c>
      <c r="AN69" s="158">
        <f>AN66/(AN65*AN66-AN67^2)</f>
        <v>0.1394700139470014</v>
      </c>
      <c r="AO69" s="158">
        <f>AO66/(AO65*AO66-AO67^2)</f>
        <v>0.29126213592233002</v>
      </c>
      <c r="AP69" s="158">
        <f>AP66/(AP65*AP66-AP67^2)</f>
        <v>0.1394700139470014</v>
      </c>
      <c r="AQ69" s="158">
        <f>AQ66/(AQ65*AQ66-AQ67^2)</f>
        <v>0.29126213592233002</v>
      </c>
    </row>
    <row r="70" spans="1:45">
      <c r="A70" s="137" t="s">
        <v>10</v>
      </c>
      <c r="B70" s="154">
        <f>B68</f>
        <v>22</v>
      </c>
      <c r="C70" s="158">
        <f>C68</f>
        <v>5.0000000000000001E-3</v>
      </c>
      <c r="D70" s="201">
        <f>D69</f>
        <v>0.7</v>
      </c>
      <c r="E70" s="201">
        <f>E69</f>
        <v>3.4</v>
      </c>
      <c r="F70" s="148">
        <f>F69</f>
        <v>258.57142857142861</v>
      </c>
      <c r="G70" s="148">
        <f>G69</f>
        <v>40</v>
      </c>
      <c r="H70" s="202">
        <f>H69</f>
        <v>2142.8571428571431</v>
      </c>
      <c r="I70" s="201">
        <v>1</v>
      </c>
      <c r="J70" s="139" t="s">
        <v>301</v>
      </c>
      <c r="K70" s="140">
        <f>K69*(1-K63)/K63</f>
        <v>0.13542857142857145</v>
      </c>
      <c r="L70" s="140">
        <f>L69*(1-L63)/L63</f>
        <v>0.13542857142857145</v>
      </c>
      <c r="M70" s="145">
        <f t="shared" si="20"/>
        <v>1</v>
      </c>
      <c r="N70" s="139" t="s">
        <v>302</v>
      </c>
      <c r="O70" s="144">
        <f>B117</f>
        <v>1500</v>
      </c>
      <c r="P70" s="144">
        <f>O70*Q69*M60^F120</f>
        <v>1500</v>
      </c>
      <c r="Q70" s="140">
        <f t="shared" si="21"/>
        <v>1</v>
      </c>
      <c r="R70" s="139"/>
      <c r="T70" s="164"/>
      <c r="U70" s="140"/>
      <c r="V70" s="140"/>
      <c r="W70" s="140"/>
      <c r="X70" s="140"/>
      <c r="Y70" s="140"/>
      <c r="Z70" s="139" t="s">
        <v>677</v>
      </c>
      <c r="AA70" s="164">
        <f>S88*S60</f>
        <v>0</v>
      </c>
      <c r="AB70" s="164">
        <f>T88*T60</f>
        <v>0</v>
      </c>
      <c r="AC70" s="164">
        <f>U88*U60</f>
        <v>0</v>
      </c>
      <c r="AD70" s="164">
        <f>V88*V60</f>
        <v>0</v>
      </c>
      <c r="AE70" s="164">
        <f>W60*(P66+P65*AF64+AF65*P66)-AF64*SUM(AA70:AD70)-AF65*SUM(AA71:AD71)</f>
        <v>0</v>
      </c>
      <c r="AF70" s="164"/>
      <c r="AG70" s="139"/>
      <c r="AH70" s="163"/>
      <c r="AI70" s="147"/>
      <c r="AJ70" s="163"/>
      <c r="AK70" s="163"/>
      <c r="AL70" s="163"/>
      <c r="AM70" s="138" t="s">
        <v>666</v>
      </c>
      <c r="AN70" s="141">
        <f>-AN67/(AN65*AN66-AN67^2)</f>
        <v>0</v>
      </c>
      <c r="AO70" s="141">
        <f>-AO67/(AO65*AO66-AO67^2)</f>
        <v>-9.2983941852687333E-18</v>
      </c>
      <c r="AP70" s="141">
        <f>-AP67/(AP65*AP66-AP67^2)</f>
        <v>0</v>
      </c>
      <c r="AQ70" s="141">
        <f>-AQ67/(AQ65*AQ66-AQ67^2)</f>
        <v>-9.2983941852687333E-18</v>
      </c>
    </row>
    <row r="71" spans="1:45">
      <c r="A71" s="137" t="s">
        <v>11</v>
      </c>
      <c r="B71" s="154">
        <f>O314</f>
        <v>22</v>
      </c>
      <c r="C71" s="158">
        <f>O315</f>
        <v>5.0000000000000001E-3</v>
      </c>
      <c r="D71" s="145">
        <f>K323</f>
        <v>0.7</v>
      </c>
      <c r="E71" s="145">
        <f>K325</f>
        <v>3.4</v>
      </c>
      <c r="F71" s="154">
        <f>K324</f>
        <v>258.57142857142861</v>
      </c>
      <c r="G71" s="154">
        <f>O336</f>
        <v>40</v>
      </c>
      <c r="H71" s="168">
        <f>O335</f>
        <v>2142.8571428571431</v>
      </c>
      <c r="I71" s="140">
        <f>E151</f>
        <v>0.1</v>
      </c>
      <c r="J71" s="139" t="s">
        <v>304</v>
      </c>
      <c r="K71" s="140">
        <f>1/((1+K70)/K60-K70*2.7/K65)</f>
        <v>19.680382632972858</v>
      </c>
      <c r="L71" s="140">
        <f>K71*P58^F119</f>
        <v>19.680382632972858</v>
      </c>
      <c r="M71" s="145">
        <f t="shared" si="20"/>
        <v>1</v>
      </c>
      <c r="N71" s="139" t="s">
        <v>305</v>
      </c>
      <c r="O71" s="144">
        <f>C117</f>
        <v>40</v>
      </c>
      <c r="P71" s="144">
        <f>O71*Q76</f>
        <v>40</v>
      </c>
      <c r="Q71" s="140">
        <f t="shared" si="21"/>
        <v>1</v>
      </c>
      <c r="R71" s="139"/>
      <c r="T71" s="164"/>
      <c r="U71" s="140"/>
      <c r="V71" s="140"/>
      <c r="W71" s="140"/>
      <c r="X71" s="140"/>
      <c r="Y71" s="140"/>
      <c r="Z71" s="138" t="s">
        <v>679</v>
      </c>
      <c r="AA71" s="164">
        <f>S89*S60</f>
        <v>0</v>
      </c>
      <c r="AB71" s="164">
        <f>T89*T60</f>
        <v>0</v>
      </c>
      <c r="AC71" s="164">
        <f>U89*U60</f>
        <v>0</v>
      </c>
      <c r="AD71" s="164">
        <f>V89*V60</f>
        <v>0</v>
      </c>
      <c r="AE71" s="164"/>
      <c r="AF71" s="164"/>
      <c r="AG71" s="139"/>
      <c r="AH71" s="163"/>
      <c r="AI71" s="163"/>
      <c r="AJ71" s="163"/>
      <c r="AK71" s="163"/>
      <c r="AL71" s="159" t="s">
        <v>1348</v>
      </c>
      <c r="AM71" s="138" t="s">
        <v>637</v>
      </c>
      <c r="AN71" s="141"/>
      <c r="AO71" s="141"/>
      <c r="AR71" s="141"/>
      <c r="AS71" s="141"/>
    </row>
    <row r="72" spans="1:45">
      <c r="A72" s="137" t="s">
        <v>12</v>
      </c>
      <c r="B72" s="154">
        <f>B70</f>
        <v>22</v>
      </c>
      <c r="C72" s="158">
        <f>C70</f>
        <v>5.0000000000000001E-3</v>
      </c>
      <c r="D72" s="201">
        <f>D71</f>
        <v>0.7</v>
      </c>
      <c r="E72" s="201">
        <f>E71</f>
        <v>3.4</v>
      </c>
      <c r="F72" s="148">
        <f>F71</f>
        <v>258.57142857142861</v>
      </c>
      <c r="G72" s="148">
        <f>G71</f>
        <v>40</v>
      </c>
      <c r="H72" s="202">
        <f>H71</f>
        <v>2142.8571428571431</v>
      </c>
      <c r="I72" s="201">
        <v>1</v>
      </c>
      <c r="J72" s="139" t="s">
        <v>1581</v>
      </c>
      <c r="K72" s="140">
        <f>F120</f>
        <v>0.5</v>
      </c>
      <c r="L72" s="140">
        <f>K72</f>
        <v>0.5</v>
      </c>
      <c r="M72" s="140">
        <f t="shared" si="20"/>
        <v>1</v>
      </c>
      <c r="N72" s="139" t="s">
        <v>1542</v>
      </c>
      <c r="O72" s="144">
        <f>D117</f>
        <v>246</v>
      </c>
      <c r="P72" s="144">
        <f>O72*Q76</f>
        <v>246</v>
      </c>
      <c r="Q72" s="140">
        <f t="shared" si="21"/>
        <v>1</v>
      </c>
      <c r="R72" s="139"/>
      <c r="T72" s="164"/>
      <c r="U72" s="140"/>
      <c r="V72" s="140"/>
      <c r="W72" s="138"/>
      <c r="X72" s="140"/>
      <c r="Y72" s="140"/>
      <c r="Z72" s="139" t="s">
        <v>682</v>
      </c>
      <c r="AA72" s="164">
        <f>S60*(AA65+S90/1000)</f>
        <v>0</v>
      </c>
      <c r="AB72" s="164">
        <f>T60*(AB65+T90/1000)</f>
        <v>0</v>
      </c>
      <c r="AC72" s="164">
        <f>U60*(AC65+U90/1000)</f>
        <v>0</v>
      </c>
      <c r="AD72" s="164">
        <f>V60*(AD65+V90/1000)</f>
        <v>0</v>
      </c>
      <c r="AE72" s="164">
        <f>W60*((1+AF65)*(P63*P59/1000000+P66*P55)+AF64*(P62*P59/1000000+P65*P55))*1000-AF64*SUM(AA72:AD72)-AF65*SUM(AA73:AD73)</f>
        <v>0</v>
      </c>
      <c r="AF72" s="164"/>
      <c r="AG72" s="139" t="s">
        <v>1351</v>
      </c>
      <c r="AH72" s="147" t="e">
        <f>(AH68^2+1/AH66)^0.5-AH68</f>
        <v>#DIV/0!</v>
      </c>
      <c r="AI72" s="147" t="e">
        <f>(AI68^2+1/AI66)^0.5-AI68</f>
        <v>#DIV/0!</v>
      </c>
      <c r="AJ72" s="147" t="e">
        <f>(AJ68^2+1/AJ66)^0.5-AJ68</f>
        <v>#DIV/0!</v>
      </c>
      <c r="AK72" s="147" t="e">
        <f>(AK68^2+1/AK66)^0.5-AK68</f>
        <v>#DIV/0!</v>
      </c>
      <c r="AL72" s="147">
        <f>MIN(AH73:AK73)</f>
        <v>1000000000</v>
      </c>
      <c r="AM72" s="137"/>
      <c r="AN72" s="141"/>
      <c r="AO72" s="141"/>
      <c r="AR72" s="141"/>
      <c r="AS72" s="143"/>
    </row>
    <row r="73" spans="1:45">
      <c r="A73" s="137" t="s">
        <v>13</v>
      </c>
      <c r="B73" s="154">
        <f>O366</f>
        <v>22</v>
      </c>
      <c r="C73" s="158">
        <f>O367</f>
        <v>5.0000000000000001E-3</v>
      </c>
      <c r="D73" s="145">
        <f>K375</f>
        <v>0.7</v>
      </c>
      <c r="E73" s="145">
        <f>K377</f>
        <v>3.4</v>
      </c>
      <c r="F73" s="154">
        <f>K376</f>
        <v>258.57142857142861</v>
      </c>
      <c r="G73" s="154">
        <f>O388</f>
        <v>40</v>
      </c>
      <c r="H73" s="168">
        <f>O387</f>
        <v>2142.8571428571431</v>
      </c>
      <c r="I73" s="140">
        <f>E156</f>
        <v>0.1</v>
      </c>
      <c r="J73" s="138" t="s">
        <v>1507</v>
      </c>
      <c r="N73" s="139" t="s">
        <v>1543</v>
      </c>
      <c r="O73" s="165">
        <f>E117</f>
        <v>68</v>
      </c>
      <c r="P73" s="165">
        <f>O73*Q76</f>
        <v>68</v>
      </c>
      <c r="Q73" s="140">
        <f t="shared" si="21"/>
        <v>1</v>
      </c>
      <c r="R73" s="139"/>
      <c r="T73" s="164"/>
      <c r="U73" s="140"/>
      <c r="V73" s="140"/>
      <c r="W73" s="138"/>
      <c r="X73" s="138"/>
      <c r="Z73" s="139" t="s">
        <v>685</v>
      </c>
      <c r="AA73" s="164">
        <f>S60*(AA66+S91/1000)</f>
        <v>0</v>
      </c>
      <c r="AB73" s="164">
        <f>T60*(AB66+T91/1000)</f>
        <v>0</v>
      </c>
      <c r="AC73" s="164">
        <f>U60*(AC66+U91/1000)</f>
        <v>0</v>
      </c>
      <c r="AD73" s="164">
        <f>V60*(AD66+V91/1000)</f>
        <v>0</v>
      </c>
      <c r="AE73" s="164"/>
      <c r="AF73" s="164"/>
      <c r="AG73" s="139"/>
      <c r="AH73" s="147">
        <f>IF(AH55=0,1000000000,AH72)</f>
        <v>1000000000</v>
      </c>
      <c r="AI73" s="147">
        <f>IF(AI55=0,1000000000,AI72)</f>
        <v>1000000000</v>
      </c>
      <c r="AJ73" s="147">
        <f>IF(AJ55=0,1000000000,AJ72)</f>
        <v>1000000000</v>
      </c>
      <c r="AK73" s="147">
        <f>IF(AK55=0,1000000000,AK72)</f>
        <v>1000000000</v>
      </c>
      <c r="AM73" s="139" t="s">
        <v>243</v>
      </c>
      <c r="AN73" s="143" t="s">
        <v>1562</v>
      </c>
      <c r="AO73" s="143" t="s">
        <v>1563</v>
      </c>
      <c r="AP73" s="143" t="s">
        <v>1564</v>
      </c>
      <c r="AQ73" s="143" t="s">
        <v>1565</v>
      </c>
      <c r="AR73" s="143"/>
      <c r="AS73" s="143"/>
    </row>
    <row r="74" spans="1:45">
      <c r="A74" s="137" t="s">
        <v>14</v>
      </c>
      <c r="B74" s="154">
        <f>B72</f>
        <v>22</v>
      </c>
      <c r="C74" s="158">
        <f>C72</f>
        <v>5.0000000000000001E-3</v>
      </c>
      <c r="D74" s="201">
        <f>D73</f>
        <v>0.7</v>
      </c>
      <c r="E74" s="201">
        <f>E73</f>
        <v>3.4</v>
      </c>
      <c r="F74" s="148">
        <f>F73</f>
        <v>258.57142857142861</v>
      </c>
      <c r="G74" s="148">
        <f>G73</f>
        <v>40</v>
      </c>
      <c r="H74" s="202">
        <f>H73</f>
        <v>2142.8571428571431</v>
      </c>
      <c r="I74" s="201">
        <v>1</v>
      </c>
      <c r="J74" s="139" t="s">
        <v>1354</v>
      </c>
      <c r="K74" s="140">
        <f>K57/(1-K59^2*K58/K57)</f>
        <v>181.81113884441791</v>
      </c>
      <c r="L74" s="140">
        <f>L57/(1-L59^2*L58/L57)</f>
        <v>181.81113884441794</v>
      </c>
      <c r="M74" s="145">
        <f>L74/K74</f>
        <v>1.0000000000000002</v>
      </c>
      <c r="N74" s="139" t="s">
        <v>1168</v>
      </c>
      <c r="O74" s="145">
        <f>A118</f>
        <v>-0.5</v>
      </c>
      <c r="P74" s="145">
        <f>O74*I62</f>
        <v>-0.5</v>
      </c>
      <c r="Q74" s="140">
        <f t="shared" si="21"/>
        <v>1</v>
      </c>
      <c r="R74" s="139"/>
      <c r="T74" s="164"/>
      <c r="U74" s="140"/>
      <c r="V74" s="140"/>
      <c r="W74" s="138"/>
      <c r="X74" s="138"/>
      <c r="Z74" s="138" t="s">
        <v>686</v>
      </c>
      <c r="AA74" s="140">
        <f>($AF64*COS(AA57)^2+$AF65*SIN(AA57)^2)*S60</f>
        <v>0</v>
      </c>
      <c r="AB74" s="140">
        <f>($AF64*COS(AB57)^2+$AF65*SIN(AB57)^2)*T60</f>
        <v>0</v>
      </c>
      <c r="AC74" s="140">
        <f>($AF64*COS(AC57)^2+$AF65*SIN(AC57)^2)*U60</f>
        <v>0</v>
      </c>
      <c r="AD74" s="140">
        <f>($AF64*COS(AD57)^2+$AF65*SIN(AD57)^2)*V60</f>
        <v>0</v>
      </c>
      <c r="AE74" s="163">
        <f>SUM(AA74:AD74)</f>
        <v>0</v>
      </c>
      <c r="AF74" s="163"/>
      <c r="AG74" s="138" t="s">
        <v>1360</v>
      </c>
      <c r="AH74" s="147">
        <f>IF(AH55=0,0,AH72)</f>
        <v>0</v>
      </c>
      <c r="AI74" s="147">
        <f>IF(AI55=0,0,AI72)</f>
        <v>0</v>
      </c>
      <c r="AJ74" s="147">
        <f>IF(AJ55=0,0,AJ72)</f>
        <v>0</v>
      </c>
      <c r="AK74" s="147">
        <f>IF(AK55=0,0,AK72)</f>
        <v>0</v>
      </c>
      <c r="AM74" s="139" t="s">
        <v>537</v>
      </c>
      <c r="AN74" s="154">
        <f t="shared" ref="AN74:AQ75" si="22">S264</f>
        <v>0</v>
      </c>
      <c r="AO74" s="154">
        <f t="shared" si="22"/>
        <v>90</v>
      </c>
      <c r="AP74" s="154">
        <f t="shared" si="22"/>
        <v>0</v>
      </c>
      <c r="AQ74" s="154">
        <f t="shared" si="22"/>
        <v>90</v>
      </c>
      <c r="AR74" s="143" t="s">
        <v>538</v>
      </c>
      <c r="AS74" s="143" t="s">
        <v>652</v>
      </c>
    </row>
    <row r="75" spans="1:45">
      <c r="A75" s="137" t="s">
        <v>15</v>
      </c>
      <c r="B75" s="154">
        <f>O418</f>
        <v>22</v>
      </c>
      <c r="C75" s="158">
        <f>O419</f>
        <v>5.0000000000000001E-3</v>
      </c>
      <c r="D75" s="145">
        <f>K427</f>
        <v>0.7</v>
      </c>
      <c r="E75" s="145">
        <f>K429</f>
        <v>3.4</v>
      </c>
      <c r="F75" s="154">
        <f>K428</f>
        <v>258.57142857142861</v>
      </c>
      <c r="G75" s="154">
        <f>O440</f>
        <v>40</v>
      </c>
      <c r="H75" s="168">
        <f>O439</f>
        <v>2142.8571428571431</v>
      </c>
      <c r="I75" s="140">
        <f>E163</f>
        <v>0.1</v>
      </c>
      <c r="J75" s="139" t="s">
        <v>1361</v>
      </c>
      <c r="K75" s="140">
        <f>K74*K58/K57</f>
        <v>10.346158729820468</v>
      </c>
      <c r="L75" s="140">
        <f>L74*L58/L57</f>
        <v>10.346158729820468</v>
      </c>
      <c r="M75" s="145">
        <f>L75/K75</f>
        <v>1</v>
      </c>
      <c r="N75" s="139" t="s">
        <v>1175</v>
      </c>
      <c r="O75" s="144">
        <f>O69/K63</f>
        <v>2142.8571428571431</v>
      </c>
      <c r="P75" s="144">
        <f>H62*P58^G119</f>
        <v>2142.8571428571431</v>
      </c>
      <c r="Q75" s="140">
        <f t="shared" si="21"/>
        <v>1</v>
      </c>
      <c r="T75" s="147"/>
      <c r="U75" s="141"/>
      <c r="V75" s="141"/>
      <c r="W75" s="138"/>
      <c r="X75" s="138"/>
      <c r="Z75" s="138" t="s">
        <v>689</v>
      </c>
      <c r="AA75" s="140">
        <f>($AF64*SIN(AA57)^2+$AF65*COS(AA57)^2)*S60</f>
        <v>0</v>
      </c>
      <c r="AB75" s="140">
        <f>($AF64*SIN(AB57)^2+$AF65*COS(AB57)^2)*T60</f>
        <v>0</v>
      </c>
      <c r="AC75" s="140">
        <f>($AF64*SIN(AC57)^2+$AF65*COS(AC57)^2)*U60</f>
        <v>0</v>
      </c>
      <c r="AD75" s="140">
        <f>($AF64*SIN(AD57)^2+$AF65*COS(AD57)^2)*V60</f>
        <v>0</v>
      </c>
      <c r="AE75" s="163">
        <f>SUM(AA75:AD75)</f>
        <v>0</v>
      </c>
      <c r="AF75" s="163"/>
      <c r="AG75" s="139" t="s">
        <v>1364</v>
      </c>
      <c r="AH75" s="138">
        <f>(S90-P62*P59)/1000000-P65*P55</f>
        <v>3.7599999999999944E-4</v>
      </c>
      <c r="AI75" s="138">
        <f>(T90-P62*P59)/1000000-P65*P55</f>
        <v>5.479147570951325E-4</v>
      </c>
      <c r="AJ75" s="157">
        <f>(U90-P62*P59)/1000000-P65*P55</f>
        <v>1.7748993742691118E-4</v>
      </c>
      <c r="AK75" s="157">
        <f>(V90-P62*P59)/1000000-P65*P55</f>
        <v>5.7451006257308796E-4</v>
      </c>
      <c r="AL75" s="163"/>
      <c r="AM75" s="139" t="s">
        <v>541</v>
      </c>
      <c r="AN75" s="154">
        <f t="shared" si="22"/>
        <v>0</v>
      </c>
      <c r="AO75" s="154">
        <f t="shared" si="22"/>
        <v>0</v>
      </c>
      <c r="AP75" s="154">
        <f t="shared" si="22"/>
        <v>0</v>
      </c>
      <c r="AQ75" s="154">
        <f t="shared" si="22"/>
        <v>0</v>
      </c>
      <c r="AR75" s="156">
        <f>W265</f>
        <v>1</v>
      </c>
      <c r="AS75" s="146">
        <f>SUM(AN75:AQ75)</f>
        <v>0</v>
      </c>
    </row>
    <row r="76" spans="1:45">
      <c r="A76" s="137" t="s">
        <v>16</v>
      </c>
      <c r="B76" s="154">
        <f>B74</f>
        <v>22</v>
      </c>
      <c r="C76" s="158">
        <f>C74</f>
        <v>5.0000000000000001E-3</v>
      </c>
      <c r="D76" s="201">
        <f>D75</f>
        <v>0.7</v>
      </c>
      <c r="E76" s="201">
        <f>E75</f>
        <v>3.4</v>
      </c>
      <c r="F76" s="148">
        <f>F75</f>
        <v>258.57142857142861</v>
      </c>
      <c r="G76" s="148">
        <f>G75</f>
        <v>40</v>
      </c>
      <c r="H76" s="202">
        <f>H75</f>
        <v>2142.8571428571431</v>
      </c>
      <c r="I76" s="201">
        <v>1</v>
      </c>
      <c r="J76" s="139" t="s">
        <v>1365</v>
      </c>
      <c r="K76" s="140">
        <f>K75*K59</f>
        <v>2.8969244443497315</v>
      </c>
      <c r="L76" s="140">
        <f>L75*L59</f>
        <v>2.8969244443497315</v>
      </c>
      <c r="M76" s="145">
        <f>L76/K76</f>
        <v>1</v>
      </c>
      <c r="N76" s="139" t="s">
        <v>1176</v>
      </c>
      <c r="O76" s="144">
        <f>O71</f>
        <v>40</v>
      </c>
      <c r="P76" s="144">
        <f>G62*P58^H118</f>
        <v>40</v>
      </c>
      <c r="Q76" s="140">
        <f t="shared" si="21"/>
        <v>1</v>
      </c>
      <c r="R76" s="137" t="s">
        <v>1185</v>
      </c>
      <c r="U76" s="141"/>
      <c r="W76" s="138"/>
      <c r="X76" s="138"/>
      <c r="AA76" s="140"/>
      <c r="AE76" s="163"/>
      <c r="AF76" s="163"/>
      <c r="AG76" s="139" t="s">
        <v>1367</v>
      </c>
      <c r="AH76" s="138">
        <f>(S91-P63*P59)/1000000-P66*P55</f>
        <v>-3.7600000000000047E-4</v>
      </c>
      <c r="AI76" s="138">
        <f>(T91-P63*P59)/1000000-P66*P55</f>
        <v>-5.4791475709513359E-4</v>
      </c>
      <c r="AJ76" s="157">
        <f>(U91-P63*P59)/1000000-P66*P55</f>
        <v>-1.77489937426912E-4</v>
      </c>
      <c r="AK76" s="157">
        <f>(V91-P63*P59)/1000000-P66*P55</f>
        <v>-5.7451006257308894E-4</v>
      </c>
      <c r="AL76" s="163"/>
      <c r="AM76" s="138" t="s">
        <v>648</v>
      </c>
      <c r="AN76" s="158">
        <f>AN74*PI()/180</f>
        <v>0</v>
      </c>
      <c r="AO76" s="158">
        <f>AO74*PI()/180</f>
        <v>1.5707963267948966</v>
      </c>
      <c r="AP76" s="158">
        <f>AP74*PI()/180</f>
        <v>0</v>
      </c>
      <c r="AQ76" s="158">
        <f>AQ74*PI()/180</f>
        <v>1.5707963267948966</v>
      </c>
      <c r="AS76" s="159" t="s">
        <v>683</v>
      </c>
    </row>
    <row r="77" spans="1:45">
      <c r="A77" s="137" t="s">
        <v>17</v>
      </c>
      <c r="B77" s="154">
        <f>O470</f>
        <v>22</v>
      </c>
      <c r="C77" s="158">
        <f>O471</f>
        <v>5.0000000000000001E-3</v>
      </c>
      <c r="D77" s="145">
        <f>K479</f>
        <v>0.7</v>
      </c>
      <c r="E77" s="145">
        <f>K481</f>
        <v>3.4</v>
      </c>
      <c r="F77" s="154">
        <f>K480</f>
        <v>258.57142857142861</v>
      </c>
      <c r="G77" s="154">
        <f>O492</f>
        <v>40</v>
      </c>
      <c r="H77" s="168">
        <f>O491</f>
        <v>2142.8571428571431</v>
      </c>
      <c r="I77" s="140">
        <f>E168</f>
        <v>0.1</v>
      </c>
      <c r="J77" s="139" t="s">
        <v>1370</v>
      </c>
      <c r="K77" s="140">
        <f>K60</f>
        <v>7.17</v>
      </c>
      <c r="L77" s="140">
        <f>L60</f>
        <v>7.17</v>
      </c>
      <c r="M77" s="145">
        <f>L77/K77</f>
        <v>1</v>
      </c>
      <c r="R77" s="143" t="s">
        <v>695</v>
      </c>
      <c r="S77" s="147">
        <f>S60*COS(S58)</f>
        <v>0</v>
      </c>
      <c r="T77" s="147">
        <f>T60*COS(T58)</f>
        <v>0</v>
      </c>
      <c r="U77" s="147">
        <f>U60*COS(U58)</f>
        <v>0</v>
      </c>
      <c r="V77" s="147">
        <f>V60*COS(V58)</f>
        <v>0</v>
      </c>
      <c r="W77" s="147">
        <f>SUM(S77:V77)</f>
        <v>0</v>
      </c>
      <c r="X77" s="138"/>
      <c r="AF77" s="163"/>
      <c r="AG77" s="139" t="s">
        <v>1372</v>
      </c>
      <c r="AH77" s="138">
        <f>S105/1000000</f>
        <v>0</v>
      </c>
      <c r="AI77" s="138">
        <f>T105/1000000</f>
        <v>0</v>
      </c>
      <c r="AJ77" s="157">
        <f>U105/1000000</f>
        <v>0</v>
      </c>
      <c r="AK77" s="157">
        <f>V105/1000000</f>
        <v>0</v>
      </c>
      <c r="AL77" s="163"/>
      <c r="AM77" s="139" t="s">
        <v>653</v>
      </c>
      <c r="AN77" s="158">
        <f>COS(AN74*PI()/180)</f>
        <v>1</v>
      </c>
      <c r="AO77" s="158">
        <f>COS(AO74*PI()/180)</f>
        <v>6.1257422745431001E-17</v>
      </c>
      <c r="AP77" s="158">
        <f>COS(AP74*PI()/180)</f>
        <v>1</v>
      </c>
      <c r="AQ77" s="158">
        <f>COS(AQ74*PI()/180)</f>
        <v>6.1257422745431001E-17</v>
      </c>
      <c r="AR77" s="143"/>
      <c r="AS77" s="162">
        <f>$L269/1000000/AT5*2/AT7</f>
        <v>0.05</v>
      </c>
    </row>
    <row r="78" spans="1:45">
      <c r="A78" s="137" t="s">
        <v>18</v>
      </c>
      <c r="B78" s="154">
        <f>B76</f>
        <v>22</v>
      </c>
      <c r="C78" s="158">
        <f>C76</f>
        <v>5.0000000000000001E-3</v>
      </c>
      <c r="D78" s="201">
        <f>D77</f>
        <v>0.7</v>
      </c>
      <c r="E78" s="201">
        <f>E77</f>
        <v>3.4</v>
      </c>
      <c r="F78" s="148">
        <f>F77</f>
        <v>258.57142857142861</v>
      </c>
      <c r="G78" s="148">
        <f>G77</f>
        <v>40</v>
      </c>
      <c r="H78" s="202">
        <f>H77</f>
        <v>2142.8571428571431</v>
      </c>
      <c r="I78" s="201">
        <v>1</v>
      </c>
      <c r="J78" s="138" t="s">
        <v>1510</v>
      </c>
      <c r="K78" s="140"/>
      <c r="L78" s="140"/>
      <c r="N78" s="138" t="s">
        <v>1375</v>
      </c>
      <c r="R78" s="139" t="s">
        <v>696</v>
      </c>
      <c r="S78" s="147">
        <f>S60*SIN(S58)</f>
        <v>0</v>
      </c>
      <c r="T78" s="147">
        <f>T60*SIN(T58)</f>
        <v>0</v>
      </c>
      <c r="U78" s="147">
        <f>U60*SIN(U58)</f>
        <v>0</v>
      </c>
      <c r="V78" s="147">
        <f>V60*SIN(V58)</f>
        <v>0</v>
      </c>
      <c r="W78" s="147">
        <f>SUM(S78:V78)</f>
        <v>0</v>
      </c>
      <c r="X78" s="138"/>
      <c r="AF78" s="163"/>
      <c r="AG78" s="163"/>
      <c r="AH78" s="163"/>
      <c r="AI78" s="163"/>
      <c r="AJ78" s="163"/>
      <c r="AK78" s="163"/>
      <c r="AL78" s="163"/>
      <c r="AM78" s="139" t="s">
        <v>654</v>
      </c>
      <c r="AN78" s="158">
        <f>SIN(AN74*PI()/180)</f>
        <v>0</v>
      </c>
      <c r="AO78" s="158">
        <f>SIN(AO74*PI()/180)</f>
        <v>1</v>
      </c>
      <c r="AP78" s="158">
        <f>SIN(AP74*PI()/180)</f>
        <v>0</v>
      </c>
      <c r="AQ78" s="158">
        <f>SIN(AQ74*PI()/180)</f>
        <v>1</v>
      </c>
      <c r="AS78" s="160" t="s">
        <v>655</v>
      </c>
    </row>
    <row r="79" spans="1:45">
      <c r="A79" s="137" t="s">
        <v>19</v>
      </c>
      <c r="B79" s="154">
        <f>O522</f>
        <v>22</v>
      </c>
      <c r="C79" s="158">
        <f>O523</f>
        <v>5.0000000000000001E-3</v>
      </c>
      <c r="D79" s="145">
        <f>K531</f>
        <v>0.7</v>
      </c>
      <c r="E79" s="145">
        <f>K533</f>
        <v>3.4</v>
      </c>
      <c r="F79" s="154">
        <f>K532</f>
        <v>258.57142857142861</v>
      </c>
      <c r="G79" s="154">
        <f>O544</f>
        <v>40</v>
      </c>
      <c r="H79" s="168">
        <f>O543</f>
        <v>2142.8571428571431</v>
      </c>
      <c r="I79" s="140">
        <f>E175</f>
        <v>0.1</v>
      </c>
      <c r="J79" s="139" t="s">
        <v>1380</v>
      </c>
      <c r="K79" s="140">
        <f>(3*K74+3*K75+2*K76+4*K77)/8</f>
        <v>76.368217701426829</v>
      </c>
      <c r="L79" s="140">
        <f>(3*L74+3*L75+2*L76+4*L77)/8</f>
        <v>76.368217701426843</v>
      </c>
      <c r="M79" s="145">
        <f>L79/K79</f>
        <v>1.0000000000000002</v>
      </c>
      <c r="N79" s="139" t="s">
        <v>1381</v>
      </c>
      <c r="O79" s="140">
        <f>1/O69/O70*1000000</f>
        <v>0.44444444444444442</v>
      </c>
      <c r="P79" s="140">
        <f>1/P69/P70*1000000</f>
        <v>0.44444444444444442</v>
      </c>
      <c r="Q79" s="140">
        <f>P79/O79</f>
        <v>1</v>
      </c>
      <c r="R79" s="139"/>
      <c r="S79" s="138" t="s">
        <v>698</v>
      </c>
      <c r="T79" s="137"/>
      <c r="U79" s="143" t="s">
        <v>700</v>
      </c>
      <c r="V79" s="137"/>
      <c r="W79" s="137" t="s">
        <v>702</v>
      </c>
      <c r="X79" s="138"/>
      <c r="Y79" s="137" t="s">
        <v>704</v>
      </c>
      <c r="Z79" s="137" t="s">
        <v>705</v>
      </c>
      <c r="AA79" s="138" t="s">
        <v>706</v>
      </c>
      <c r="AB79" s="139"/>
      <c r="AC79" s="139"/>
      <c r="AF79" s="138"/>
      <c r="AG79" s="159" t="s">
        <v>1383</v>
      </c>
      <c r="AH79" s="166">
        <f>P85*AH75^2+2*P87*AH75*AH76+P86*AH76^2+P88*AH77^2</f>
        <v>4.0749146542514705E-3</v>
      </c>
      <c r="AI79" s="163">
        <f>P85*AI75^2+2*P87*AI75*AI76+P86*AI76^2+P88*AI77^2</f>
        <v>8.6530422140385609E-3</v>
      </c>
      <c r="AJ79" s="163">
        <f>P85*AJ75^2+2*P87*AJ75*AJ76+P86*AJ76^2+P88*AJ77^2</f>
        <v>9.080093069063817E-4</v>
      </c>
      <c r="AK79" s="163">
        <f>P85*AK75^2+2*P87*AK75*AK76+P86*AK76^2+P88*AK77^2</f>
        <v>9.5134514664324942E-3</v>
      </c>
      <c r="AL79" s="163"/>
      <c r="AM79" s="139" t="s">
        <v>690</v>
      </c>
      <c r="AN79" s="158">
        <f>S304</f>
        <v>7.17</v>
      </c>
      <c r="AO79" s="158">
        <f>T304</f>
        <v>3.433333333333334</v>
      </c>
      <c r="AP79" s="158">
        <f>U304</f>
        <v>7.17</v>
      </c>
      <c r="AQ79" s="158">
        <f>V304</f>
        <v>3.433333333333334</v>
      </c>
      <c r="AR79" s="147"/>
      <c r="AS79" s="138">
        <f>AS75*AS77*AR75</f>
        <v>0</v>
      </c>
    </row>
    <row r="80" spans="1:45">
      <c r="A80" s="137" t="s">
        <v>20</v>
      </c>
      <c r="B80" s="154">
        <f>B78</f>
        <v>22</v>
      </c>
      <c r="C80" s="158">
        <f>C78</f>
        <v>5.0000000000000001E-3</v>
      </c>
      <c r="D80" s="201">
        <f>D79</f>
        <v>0.7</v>
      </c>
      <c r="E80" s="201">
        <f>E79</f>
        <v>3.4</v>
      </c>
      <c r="F80" s="148">
        <f>F79</f>
        <v>258.57142857142861</v>
      </c>
      <c r="G80" s="148">
        <f>G79</f>
        <v>40</v>
      </c>
      <c r="H80" s="202">
        <f>H79</f>
        <v>2142.8571428571431</v>
      </c>
      <c r="I80" s="201">
        <v>1</v>
      </c>
      <c r="J80" s="139" t="s">
        <v>1384</v>
      </c>
      <c r="K80" s="140">
        <f>(K74-K75)/2</f>
        <v>85.732490057298719</v>
      </c>
      <c r="L80" s="140">
        <f>(L74-L75)/2</f>
        <v>85.732490057298733</v>
      </c>
      <c r="M80" s="145">
        <f>L80/K80</f>
        <v>1.0000000000000002</v>
      </c>
      <c r="N80" s="139" t="s">
        <v>1385</v>
      </c>
      <c r="O80" s="140">
        <f>1/O71/O72*1000000</f>
        <v>101.6260162601626</v>
      </c>
      <c r="P80" s="140">
        <f>1/P71/P72*1000000</f>
        <v>101.6260162601626</v>
      </c>
      <c r="Q80" s="140">
        <f>P80/O80</f>
        <v>1</v>
      </c>
      <c r="R80" s="139">
        <v>1</v>
      </c>
      <c r="S80" s="138">
        <f>(S84*W60+S85*W77)</f>
        <v>0</v>
      </c>
      <c r="T80" s="138"/>
      <c r="U80" s="138">
        <f>(T84*W60+T85*W77)</f>
        <v>0</v>
      </c>
      <c r="V80" s="147"/>
      <c r="W80" s="138">
        <f>S80*P59+U80*P55</f>
        <v>0</v>
      </c>
      <c r="X80" s="147"/>
      <c r="Y80" s="138">
        <f t="shared" ref="Y80:AA82" si="23">Y28</f>
        <v>11.259999999999984</v>
      </c>
      <c r="Z80" s="138">
        <f t="shared" si="23"/>
        <v>0.29999999999999954</v>
      </c>
      <c r="AA80" s="138">
        <f t="shared" si="23"/>
        <v>373.99999999999937</v>
      </c>
      <c r="AB80" s="147"/>
      <c r="AC80" s="147"/>
      <c r="AF80" s="138"/>
      <c r="AG80" s="159" t="s">
        <v>1387</v>
      </c>
      <c r="AH80" s="166">
        <f>P89*AH75+P90*AH76</f>
        <v>-5.8636980773925068E-2</v>
      </c>
      <c r="AI80" s="163">
        <f>P89*AI75+P90*AI76</f>
        <v>-8.5446986908343403E-2</v>
      </c>
      <c r="AJ80" s="163">
        <f>P89*AJ75+P90*AJ76</f>
        <v>-2.7679452256561158E-2</v>
      </c>
      <c r="AK80" s="163">
        <f>P89*AK75+P90*AK76</f>
        <v>-8.9594509291288954E-2</v>
      </c>
      <c r="AL80" s="163"/>
      <c r="AM80" s="139" t="s">
        <v>692</v>
      </c>
      <c r="AN80" s="158">
        <f>S303</f>
        <v>3.433333333333334</v>
      </c>
      <c r="AO80" s="158">
        <f>T303</f>
        <v>7.17</v>
      </c>
      <c r="AP80" s="158">
        <f>U303</f>
        <v>3.433333333333334</v>
      </c>
      <c r="AQ80" s="158">
        <f>V303</f>
        <v>7.17</v>
      </c>
    </row>
    <row r="81" spans="1:45">
      <c r="A81" s="137" t="s">
        <v>21</v>
      </c>
      <c r="B81" s="154">
        <f>O574</f>
        <v>22</v>
      </c>
      <c r="C81" s="158">
        <f>O575</f>
        <v>5.0000000000000001E-3</v>
      </c>
      <c r="D81" s="145">
        <f>K583</f>
        <v>0.7</v>
      </c>
      <c r="E81" s="145">
        <f>K585</f>
        <v>3.4</v>
      </c>
      <c r="F81" s="154">
        <f>K584</f>
        <v>258.57142857142861</v>
      </c>
      <c r="G81" s="154">
        <f>O596</f>
        <v>40</v>
      </c>
      <c r="H81" s="168">
        <f>O595</f>
        <v>2142.8571428571431</v>
      </c>
      <c r="I81" s="140">
        <f>E180</f>
        <v>0.1</v>
      </c>
      <c r="J81" s="139" t="s">
        <v>1388</v>
      </c>
      <c r="K81" s="140">
        <f>(K74+K75-2*K76-4*K77)/8</f>
        <v>19.710431085692363</v>
      </c>
      <c r="L81" s="140">
        <f>(L74+L75-2*L76-4*L77)/8</f>
        <v>19.710431085692367</v>
      </c>
      <c r="M81" s="145">
        <f>L81/K81</f>
        <v>1.0000000000000002</v>
      </c>
      <c r="N81" s="139" t="s">
        <v>1389</v>
      </c>
      <c r="O81" s="140">
        <f>O74*(O79*O80)^0.5</f>
        <v>-3.3603243272729659</v>
      </c>
      <c r="P81" s="140">
        <f>P74*(P79*P80)^0.5</f>
        <v>-3.3603243272729659</v>
      </c>
      <c r="Q81" s="140">
        <f>P81/O81</f>
        <v>1</v>
      </c>
      <c r="R81" s="139">
        <v>2</v>
      </c>
      <c r="S81" s="138">
        <f>(S84*W60-S85*W77)</f>
        <v>0</v>
      </c>
      <c r="T81" s="138"/>
      <c r="U81" s="138">
        <f>(T84*W60-T85*W77)</f>
        <v>0</v>
      </c>
      <c r="V81" s="147"/>
      <c r="W81" s="138">
        <f>S81*P59+U81*P55</f>
        <v>0</v>
      </c>
      <c r="X81" s="147"/>
      <c r="Y81" s="138">
        <f t="shared" si="23"/>
        <v>11.259999999999993</v>
      </c>
      <c r="Z81" s="138">
        <f t="shared" si="23"/>
        <v>0.29999999999999977</v>
      </c>
      <c r="AA81" s="138">
        <f t="shared" si="23"/>
        <v>373.99999999999966</v>
      </c>
      <c r="AB81" s="147"/>
      <c r="AC81" s="147"/>
      <c r="AF81" s="138"/>
      <c r="AG81" s="159" t="s">
        <v>1390</v>
      </c>
      <c r="AH81" s="166">
        <f>AH79+AH80</f>
        <v>-5.4562066119673597E-2</v>
      </c>
      <c r="AI81" s="163">
        <f>AI79+AI80</f>
        <v>-7.6793944694304839E-2</v>
      </c>
      <c r="AJ81" s="163">
        <f>AJ79+AJ80</f>
        <v>-2.6771442949654778E-2</v>
      </c>
      <c r="AK81" s="163">
        <f>AK79+AK80</f>
        <v>-8.0081057824856458E-2</v>
      </c>
      <c r="AL81" s="163"/>
      <c r="AM81" s="139" t="s">
        <v>660</v>
      </c>
      <c r="AN81" s="158">
        <f>S309</f>
        <v>0</v>
      </c>
      <c r="AO81" s="158">
        <f>T309</f>
        <v>2.2889856965876046E-16</v>
      </c>
      <c r="AP81" s="158">
        <f>U309</f>
        <v>0</v>
      </c>
      <c r="AQ81" s="158">
        <f>V309</f>
        <v>2.2889856965876046E-16</v>
      </c>
    </row>
    <row r="82" spans="1:45">
      <c r="A82" s="137" t="s">
        <v>22</v>
      </c>
      <c r="B82" s="154">
        <f>B80</f>
        <v>22</v>
      </c>
      <c r="C82" s="158">
        <f>C80</f>
        <v>5.0000000000000001E-3</v>
      </c>
      <c r="D82" s="201">
        <f>D81</f>
        <v>0.7</v>
      </c>
      <c r="E82" s="201">
        <f>E81</f>
        <v>3.4</v>
      </c>
      <c r="F82" s="148">
        <f>F81</f>
        <v>258.57142857142861</v>
      </c>
      <c r="G82" s="148">
        <f>G81</f>
        <v>40</v>
      </c>
      <c r="H82" s="202">
        <f>H81</f>
        <v>2142.8571428571431</v>
      </c>
      <c r="I82" s="201">
        <v>1</v>
      </c>
      <c r="J82" s="139" t="s">
        <v>1391</v>
      </c>
      <c r="K82" s="140">
        <f>(K74+K75+6*K76-4*K77)/8</f>
        <v>22.607355530042096</v>
      </c>
      <c r="L82" s="140">
        <f>(L74+L75+6*L76-4*L77)/8</f>
        <v>22.607355530042099</v>
      </c>
      <c r="M82" s="145">
        <f>L82/K82</f>
        <v>1.0000000000000002</v>
      </c>
      <c r="N82" s="139" t="s">
        <v>1392</v>
      </c>
      <c r="O82" s="140">
        <f>1/O73^2*1000000</f>
        <v>216.26297577854672</v>
      </c>
      <c r="P82" s="140">
        <f>1/P73^2*1000000</f>
        <v>216.26297577854672</v>
      </c>
      <c r="Q82" s="140">
        <f>P82/O82</f>
        <v>1</v>
      </c>
      <c r="R82" s="139">
        <v>6</v>
      </c>
      <c r="S82" s="139">
        <f>S85*W78</f>
        <v>0</v>
      </c>
      <c r="T82" s="138"/>
      <c r="U82" s="139">
        <f>T85*W78</f>
        <v>0</v>
      </c>
      <c r="V82" s="147"/>
      <c r="W82" s="138">
        <f>S82*P59+U82*P55</f>
        <v>0</v>
      </c>
      <c r="X82" s="147"/>
      <c r="Y82" s="138">
        <f t="shared" si="23"/>
        <v>-22.479999999999976</v>
      </c>
      <c r="Z82" s="138">
        <f t="shared" si="23"/>
        <v>-0.5999999999999992</v>
      </c>
      <c r="AA82" s="138">
        <f t="shared" si="23"/>
        <v>-397.02012514617672</v>
      </c>
      <c r="AB82" s="147"/>
      <c r="AC82" s="147"/>
      <c r="AF82" s="138"/>
      <c r="AG82" s="159" t="s">
        <v>1395</v>
      </c>
      <c r="AH82" s="166">
        <f>-1+AH81</f>
        <v>-1.0545620661196735</v>
      </c>
      <c r="AI82" s="163">
        <f>-1+AI81</f>
        <v>-1.0767939446943049</v>
      </c>
      <c r="AJ82" s="163">
        <f>-1+AJ81</f>
        <v>-1.0267714429496548</v>
      </c>
      <c r="AK82" s="163">
        <f>-1+AK81</f>
        <v>-1.0800810578248565</v>
      </c>
      <c r="AL82" s="163"/>
      <c r="AM82" s="139" t="s">
        <v>662</v>
      </c>
      <c r="AN82" s="158">
        <f>AN79/(AN79*AN80-AN81^2)</f>
        <v>0.29126213592233002</v>
      </c>
      <c r="AO82" s="158">
        <f>AO79/(AO79*AO80-AO81^2)</f>
        <v>0.1394700139470014</v>
      </c>
      <c r="AP82" s="158">
        <f>AP79/(AP79*AP80-AP81^2)</f>
        <v>0.29126213592233002</v>
      </c>
      <c r="AQ82" s="158">
        <f>AQ79/(AQ79*AQ80-AQ81^2)</f>
        <v>0.1394700139470014</v>
      </c>
    </row>
    <row r="83" spans="1:45">
      <c r="A83" s="137" t="s">
        <v>23</v>
      </c>
      <c r="B83" s="154">
        <f>O626</f>
        <v>22</v>
      </c>
      <c r="C83" s="158">
        <f>O627</f>
        <v>5.0000000000000001E-3</v>
      </c>
      <c r="D83" s="145">
        <f>K635</f>
        <v>0.7</v>
      </c>
      <c r="E83" s="145">
        <f>K637</f>
        <v>3.4</v>
      </c>
      <c r="F83" s="154">
        <f>K636</f>
        <v>258.57142857142861</v>
      </c>
      <c r="G83" s="154">
        <f>O648</f>
        <v>40</v>
      </c>
      <c r="H83" s="168">
        <f>O647</f>
        <v>2142.8571428571431</v>
      </c>
      <c r="I83" s="140">
        <f>E187</f>
        <v>0.1</v>
      </c>
      <c r="J83" s="139" t="s">
        <v>1396</v>
      </c>
      <c r="K83" s="140">
        <f>(K79-K82)/2</f>
        <v>26.880431085692365</v>
      </c>
      <c r="L83" s="140">
        <f>(L79-L82)/2</f>
        <v>26.880431085692372</v>
      </c>
      <c r="M83" s="145">
        <f>L83/K83</f>
        <v>1.0000000000000002</v>
      </c>
      <c r="N83" s="139" t="s">
        <v>1397</v>
      </c>
      <c r="O83" s="140">
        <f>(1/O69-1/O70)*1000</f>
        <v>0</v>
      </c>
      <c r="P83" s="140">
        <f>(1/P69-1/P70)*1000</f>
        <v>0</v>
      </c>
      <c r="Q83" s="140">
        <f>IF(O83=0,1,P83/O83)</f>
        <v>1</v>
      </c>
      <c r="R83" s="143"/>
      <c r="S83" s="143" t="s">
        <v>709</v>
      </c>
      <c r="T83" s="143" t="s">
        <v>710</v>
      </c>
      <c r="U83" s="143"/>
      <c r="V83" s="141"/>
      <c r="W83" s="138"/>
      <c r="X83" s="139" t="s">
        <v>711</v>
      </c>
      <c r="Y83" s="138">
        <f>(Y80+Y81)/2</f>
        <v>11.259999999999987</v>
      </c>
      <c r="Z83" s="138">
        <f>(Z80+Z81)/2</f>
        <v>0.29999999999999966</v>
      </c>
      <c r="AA83" s="138">
        <f>(AA80+AA81)/2</f>
        <v>373.99999999999955</v>
      </c>
      <c r="AF83" s="138"/>
      <c r="AG83" s="159" t="s">
        <v>1399</v>
      </c>
      <c r="AH83" s="166">
        <f>2*(P85*AH59*AH75+P86*AH60*AH76+P87*(AH59*AH76+AH75*AH60)+P88*AH61*AH77)</f>
        <v>0</v>
      </c>
      <c r="AI83" s="163">
        <f>2*(P85*AI59*AI75+P86*AI60*AI76+P87*(AI59*AI76+AI75*AI60)+P88*AI61*AI77)</f>
        <v>0</v>
      </c>
      <c r="AJ83" s="163">
        <f>2*(P85*AJ59*AJ75+P86*AJ60*AJ76+P87*(AJ59*AJ76+AJ75*AJ60)+P88*AJ61*AJ77)</f>
        <v>0</v>
      </c>
      <c r="AK83" s="163">
        <f>2*(P85*AK59*AK75+P86*AK60*AK76+P87*(AK59*AK76+AK75*AK60)+P88*AK61*AK77)</f>
        <v>0</v>
      </c>
      <c r="AL83" s="163"/>
      <c r="AM83" s="139" t="s">
        <v>665</v>
      </c>
      <c r="AN83" s="158">
        <f>AN80/(AN79*AN80-AN81^2)</f>
        <v>0.1394700139470014</v>
      </c>
      <c r="AO83" s="158">
        <f>AO80/(AO79*AO80-AO81^2)</f>
        <v>0.29126213592233002</v>
      </c>
      <c r="AP83" s="158">
        <f>AP80/(AP79*AP80-AP81^2)</f>
        <v>0.1394700139470014</v>
      </c>
      <c r="AQ83" s="158">
        <f>AQ80/(AQ79*AQ80-AQ81^2)</f>
        <v>0.29126213592233002</v>
      </c>
    </row>
    <row r="84" spans="1:45">
      <c r="A84" s="137" t="s">
        <v>24</v>
      </c>
      <c r="B84" s="154">
        <f>B82</f>
        <v>22</v>
      </c>
      <c r="C84" s="158">
        <f>C82</f>
        <v>5.0000000000000001E-3</v>
      </c>
      <c r="D84" s="201">
        <f>D83</f>
        <v>0.7</v>
      </c>
      <c r="E84" s="201">
        <f>E83</f>
        <v>3.4</v>
      </c>
      <c r="F84" s="148">
        <f>F83</f>
        <v>258.57142857142861</v>
      </c>
      <c r="G84" s="148">
        <f>G83</f>
        <v>40</v>
      </c>
      <c r="H84" s="202">
        <f>H83</f>
        <v>2142.8571428571431</v>
      </c>
      <c r="I84" s="201">
        <v>1</v>
      </c>
      <c r="J84" s="138" t="s">
        <v>1400</v>
      </c>
      <c r="N84" s="139" t="s">
        <v>1401</v>
      </c>
      <c r="O84" s="140">
        <f>(1/O71-1/O72)*1000</f>
        <v>20.934959349593495</v>
      </c>
      <c r="P84" s="140">
        <f>(1/P71-1/P72)*1000</f>
        <v>20.934959349593495</v>
      </c>
      <c r="Q84" s="140">
        <f t="shared" ref="Q84:Q90" si="24">P84/O84</f>
        <v>1</v>
      </c>
      <c r="R84" s="167" t="s">
        <v>711</v>
      </c>
      <c r="S84" s="138">
        <f>((K74+K76)*P62+(L76+L75)*P63)/2/1000000</f>
        <v>1.5083176634230242E-4</v>
      </c>
      <c r="T84" s="138">
        <f>((L74+L76)*P65+(L76+L75)*P66)/2</f>
        <v>3.9729249522510592</v>
      </c>
      <c r="U84" s="143"/>
      <c r="V84" s="141"/>
      <c r="W84" s="138"/>
      <c r="X84" s="143" t="s">
        <v>712</v>
      </c>
      <c r="Y84" s="164">
        <f>(Y80-Y81)/2</f>
        <v>-4.4408920985006262E-15</v>
      </c>
      <c r="Z84" s="164">
        <f>(Z80-Z81)/2</f>
        <v>-1.1102230246251565E-16</v>
      </c>
      <c r="AA84" s="164">
        <f>(AA80-AA81)/2</f>
        <v>-1.4210854715202004E-13</v>
      </c>
      <c r="AF84" s="138"/>
      <c r="AG84" s="159" t="s">
        <v>1403</v>
      </c>
      <c r="AH84" s="166">
        <f>AH83+AH67</f>
        <v>0</v>
      </c>
      <c r="AI84" s="163">
        <f>AI83+AI67</f>
        <v>0</v>
      </c>
      <c r="AJ84" s="163">
        <f>AJ83+AJ67</f>
        <v>0</v>
      </c>
      <c r="AK84" s="163">
        <f>AK83+AK67</f>
        <v>0</v>
      </c>
      <c r="AL84" s="163"/>
      <c r="AM84" s="138" t="s">
        <v>666</v>
      </c>
      <c r="AN84" s="141">
        <f>-AN81/(AN79*AN80-AN81^2)</f>
        <v>0</v>
      </c>
      <c r="AO84" s="141">
        <f>-AO81/(AO79*AO80-AO81^2)</f>
        <v>-9.2983941852687333E-18</v>
      </c>
      <c r="AP84" s="141">
        <f>-AP81/(AP79*AP80-AP81^2)</f>
        <v>0</v>
      </c>
      <c r="AQ84" s="141">
        <f>-AQ81/(AQ79*AQ80-AQ81^2)</f>
        <v>-9.2983941852687333E-18</v>
      </c>
    </row>
    <row r="85" spans="1:45">
      <c r="A85" s="137" t="s">
        <v>25</v>
      </c>
      <c r="B85" s="154">
        <f>O678</f>
        <v>22</v>
      </c>
      <c r="C85" s="158">
        <f>O679</f>
        <v>5.0000000000000001E-3</v>
      </c>
      <c r="D85" s="145">
        <f>K687</f>
        <v>0.7</v>
      </c>
      <c r="E85" s="145">
        <f>K689</f>
        <v>3.4</v>
      </c>
      <c r="F85" s="154">
        <f>K688</f>
        <v>258.57142857142861</v>
      </c>
      <c r="G85" s="154">
        <f>O700</f>
        <v>40</v>
      </c>
      <c r="H85" s="168">
        <f>O699</f>
        <v>2142.8571428571431</v>
      </c>
      <c r="I85" s="140">
        <f>E192</f>
        <v>0.1</v>
      </c>
      <c r="J85" s="139" t="s">
        <v>1404</v>
      </c>
      <c r="K85" s="140">
        <f>(1-(K82/K79)^2)*K79</f>
        <v>69.675740916648124</v>
      </c>
      <c r="L85" s="140">
        <f>(1-(L82/L79)^2)*L79</f>
        <v>69.675740916648138</v>
      </c>
      <c r="M85" s="140">
        <f>L85/K85</f>
        <v>1.0000000000000002</v>
      </c>
      <c r="N85" s="139" t="s">
        <v>1405</v>
      </c>
      <c r="O85" s="144">
        <f>(O79*K74^2+2*O81*K74*K76+O80*K76^2)</f>
        <v>12004.38353147296</v>
      </c>
      <c r="P85" s="144">
        <f>(P79*L74^2+2*P81*L74*L76+P80*L76^2)</f>
        <v>12004.38353147296</v>
      </c>
      <c r="Q85" s="140">
        <f t="shared" si="24"/>
        <v>1</v>
      </c>
      <c r="R85" s="167" t="s">
        <v>712</v>
      </c>
      <c r="S85" s="138">
        <f>((L74-L76)*P62+(L76-L75)*P63)/2/1000000</f>
        <v>-8.2014743567545106E-5</v>
      </c>
      <c r="T85" s="138">
        <f>((L74-L76)*P65+(L76-L75)*P66)/2</f>
        <v>-2.234770285641221</v>
      </c>
      <c r="U85" s="143"/>
      <c r="V85" s="141"/>
      <c r="W85" s="138"/>
      <c r="X85" s="143" t="s">
        <v>714</v>
      </c>
      <c r="Y85" s="164">
        <f>Y82/2</f>
        <v>-11.239999999999988</v>
      </c>
      <c r="Z85" s="164">
        <f>Z82/2</f>
        <v>-0.2999999999999996</v>
      </c>
      <c r="AA85" s="164">
        <f>AA82/2</f>
        <v>-198.51006257308836</v>
      </c>
      <c r="AG85" s="159" t="s">
        <v>1412</v>
      </c>
      <c r="AH85" s="166" t="e">
        <f>AH84/2/AH66</f>
        <v>#DIV/0!</v>
      </c>
      <c r="AI85" s="163" t="e">
        <f>AI84/2/AI66</f>
        <v>#DIV/0!</v>
      </c>
      <c r="AJ85" s="163" t="e">
        <f>AJ84/2/AJ66</f>
        <v>#DIV/0!</v>
      </c>
      <c r="AK85" s="163" t="e">
        <f>AK84/2/AK66</f>
        <v>#DIV/0!</v>
      </c>
      <c r="AL85" s="163"/>
      <c r="AM85" s="138" t="s">
        <v>637</v>
      </c>
      <c r="AN85" s="141"/>
      <c r="AO85" s="141"/>
      <c r="AR85" s="141"/>
      <c r="AS85" s="141"/>
    </row>
    <row r="86" spans="1:45">
      <c r="A86" s="137" t="s">
        <v>26</v>
      </c>
      <c r="B86" s="154">
        <f>B84</f>
        <v>22</v>
      </c>
      <c r="C86" s="158">
        <f>C84</f>
        <v>5.0000000000000001E-3</v>
      </c>
      <c r="D86" s="201">
        <f>D85</f>
        <v>0.7</v>
      </c>
      <c r="E86" s="201">
        <f>E85</f>
        <v>3.4</v>
      </c>
      <c r="F86" s="148">
        <f>F85</f>
        <v>258.57142857142861</v>
      </c>
      <c r="G86" s="148">
        <f>G85</f>
        <v>40</v>
      </c>
      <c r="H86" s="202">
        <f>H85</f>
        <v>2142.8571428571431</v>
      </c>
      <c r="I86" s="201">
        <v>1</v>
      </c>
      <c r="J86" s="139" t="s">
        <v>1414</v>
      </c>
      <c r="K86" s="140">
        <f>K82/K79</f>
        <v>0.29603094337527941</v>
      </c>
      <c r="L86" s="140">
        <f>L82/L79</f>
        <v>0.29603094337527941</v>
      </c>
      <c r="M86" s="140">
        <f>L86/K86</f>
        <v>1</v>
      </c>
      <c r="N86" s="139" t="s">
        <v>1415</v>
      </c>
      <c r="O86" s="144">
        <f>(O79*K76^2+2*O81*K76*K75+O80*K75^2)</f>
        <v>10680.652008265077</v>
      </c>
      <c r="P86" s="144">
        <f>(P79*L76^2+2*P81*L76*L75+P80*L75^2)</f>
        <v>10680.652008265077</v>
      </c>
      <c r="Q86" s="140">
        <f t="shared" si="24"/>
        <v>1</v>
      </c>
      <c r="R86" s="139" t="s">
        <v>715</v>
      </c>
      <c r="S86" s="138">
        <f>Y83+Y84*COS(S58)+Y85*SIN(S58)</f>
        <v>11.259999999999984</v>
      </c>
      <c r="T86" s="138">
        <f>Y83+Y84*COS(T58)+Y85*SIN(T58)</f>
        <v>20.994125538537062</v>
      </c>
      <c r="U86" s="138">
        <f>Y83+Y84*COS(U58)+Y85*SIN(U58)</f>
        <v>1.9999999999999574E-2</v>
      </c>
      <c r="V86" s="138">
        <f>Y83+Y84*COS(V58)+Y85*SIN(V58)</f>
        <v>22.499999999999975</v>
      </c>
      <c r="W86" s="138"/>
      <c r="Y86" s="164"/>
      <c r="AC86" s="140"/>
      <c r="AG86" s="159"/>
      <c r="AH86" s="147"/>
      <c r="AI86" s="163"/>
      <c r="AJ86" s="163"/>
      <c r="AK86" s="163"/>
      <c r="AL86" s="163"/>
      <c r="AM86" s="137"/>
      <c r="AN86" s="141"/>
      <c r="AO86" s="141"/>
      <c r="AR86" s="141"/>
      <c r="AS86" s="143"/>
    </row>
    <row r="87" spans="1:45">
      <c r="A87" s="137" t="s">
        <v>27</v>
      </c>
      <c r="B87" s="154">
        <f>O730</f>
        <v>22</v>
      </c>
      <c r="C87" s="158">
        <f>O731</f>
        <v>5.0000000000000001E-3</v>
      </c>
      <c r="D87" s="145">
        <f>K739</f>
        <v>0.7</v>
      </c>
      <c r="E87" s="145">
        <f>K741</f>
        <v>3.4</v>
      </c>
      <c r="F87" s="154">
        <f>K740</f>
        <v>258.57142857142861</v>
      </c>
      <c r="G87" s="154">
        <f>O752</f>
        <v>40</v>
      </c>
      <c r="H87" s="168">
        <f>O751</f>
        <v>2142.8571428571431</v>
      </c>
      <c r="I87" s="140">
        <f>E199</f>
        <v>0.1</v>
      </c>
      <c r="J87" s="139" t="s">
        <v>716</v>
      </c>
      <c r="K87" s="138">
        <f>(1-L59^2*L58/L57)*L58/(1-L59^2*L58/L57-L72^2-L59^2*L58/L57-2*L59^2*L58/L57*L72)</f>
        <v>13.920484365408951</v>
      </c>
      <c r="N87" s="139" t="s">
        <v>1416</v>
      </c>
      <c r="O87" s="144">
        <f>(O79*K74*K76+O81*(K74*K75+K76^2)+O80*K76*K75)</f>
        <v>-3069.103206291968</v>
      </c>
      <c r="P87" s="144">
        <f>(P79*L74*L76+P81*(L74*L75+L76^2)+P80*L76*L75)</f>
        <v>-3069.1032062919689</v>
      </c>
      <c r="Q87" s="140">
        <f t="shared" si="24"/>
        <v>1.0000000000000002</v>
      </c>
      <c r="R87" s="139" t="s">
        <v>717</v>
      </c>
      <c r="S87" s="138">
        <f>2*Y83-S86</f>
        <v>11.259999999999991</v>
      </c>
      <c r="T87" s="138">
        <f>2*Y83-T86</f>
        <v>1.5258744614629123</v>
      </c>
      <c r="U87" s="138">
        <f>2*Y83-U86</f>
        <v>22.499999999999975</v>
      </c>
      <c r="V87" s="138">
        <f>2*Y83-V86</f>
        <v>1.9999999999999574E-2</v>
      </c>
      <c r="W87" s="138"/>
      <c r="Y87" s="164"/>
      <c r="AC87" s="140"/>
      <c r="AG87" s="159"/>
      <c r="AH87" s="147"/>
      <c r="AI87" s="163"/>
      <c r="AJ87" s="163"/>
      <c r="AK87" s="163"/>
      <c r="AL87" s="163"/>
      <c r="AM87" s="139" t="s">
        <v>243</v>
      </c>
      <c r="AN87" s="143" t="s">
        <v>1562</v>
      </c>
      <c r="AO87" s="143" t="s">
        <v>1563</v>
      </c>
      <c r="AP87" s="143" t="s">
        <v>1564</v>
      </c>
      <c r="AQ87" s="143" t="s">
        <v>1565</v>
      </c>
      <c r="AR87" s="143"/>
      <c r="AS87" s="143"/>
    </row>
    <row r="88" spans="1:45">
      <c r="A88" s="137" t="s">
        <v>28</v>
      </c>
      <c r="B88" s="154">
        <f>B86</f>
        <v>22</v>
      </c>
      <c r="C88" s="158">
        <f>C86</f>
        <v>5.0000000000000001E-3</v>
      </c>
      <c r="D88" s="201">
        <f>D87</f>
        <v>0.7</v>
      </c>
      <c r="E88" s="201">
        <f>E87</f>
        <v>3.4</v>
      </c>
      <c r="F88" s="148">
        <f>F87</f>
        <v>258.57142857142861</v>
      </c>
      <c r="G88" s="148">
        <f>G87</f>
        <v>40</v>
      </c>
      <c r="H88" s="202">
        <f>H87</f>
        <v>2142.8571428571431</v>
      </c>
      <c r="I88" s="201">
        <v>1</v>
      </c>
      <c r="J88" s="139" t="s">
        <v>1193</v>
      </c>
      <c r="K88" s="140">
        <f>D118</f>
        <v>1.6</v>
      </c>
      <c r="L88" s="140">
        <f>L89*(1-L63)+L90*L63</f>
        <v>1.6</v>
      </c>
      <c r="M88" s="140">
        <f>L88/K88</f>
        <v>1</v>
      </c>
      <c r="N88" s="139" t="s">
        <v>1418</v>
      </c>
      <c r="O88" s="144">
        <f>O82*K77^2</f>
        <v>11117.841695501729</v>
      </c>
      <c r="P88" s="144">
        <f>P82*L77^2</f>
        <v>11117.841695501729</v>
      </c>
      <c r="Q88" s="140">
        <f t="shared" si="24"/>
        <v>1</v>
      </c>
      <c r="R88" s="139" t="s">
        <v>124</v>
      </c>
      <c r="S88" s="138">
        <f>Z83+Z84*COS(S58)+Z85*SIN(S58)</f>
        <v>0.29999999999999954</v>
      </c>
      <c r="T88" s="138">
        <f>Z83+Z84*COS(T58)+Z85*SIN(T58)</f>
        <v>0.55980762113533089</v>
      </c>
      <c r="U88" s="138">
        <f>Z83+Z84*COS(U58)+Z85*SIN(U58)</f>
        <v>0</v>
      </c>
      <c r="V88" s="138">
        <f>Z83+Z84*COS(V58)+Z85*SIN(V58)</f>
        <v>0.5999999999999992</v>
      </c>
      <c r="W88" s="138"/>
      <c r="Y88" s="164"/>
      <c r="AC88" s="140"/>
      <c r="AG88" s="159"/>
      <c r="AH88" s="147"/>
      <c r="AI88" s="163"/>
      <c r="AJ88" s="163"/>
      <c r="AK88" s="163"/>
      <c r="AL88" s="159" t="s">
        <v>1421</v>
      </c>
      <c r="AM88" s="139" t="s">
        <v>537</v>
      </c>
      <c r="AN88" s="154">
        <f t="shared" ref="AN88:AQ89" si="25">S316</f>
        <v>0</v>
      </c>
      <c r="AO88" s="154">
        <f t="shared" si="25"/>
        <v>90</v>
      </c>
      <c r="AP88" s="154">
        <f t="shared" si="25"/>
        <v>0</v>
      </c>
      <c r="AQ88" s="154">
        <f t="shared" si="25"/>
        <v>90</v>
      </c>
      <c r="AR88" s="143" t="s">
        <v>538</v>
      </c>
      <c r="AS88" s="143" t="s">
        <v>652</v>
      </c>
    </row>
    <row r="89" spans="1:45">
      <c r="A89" s="137" t="s">
        <v>29</v>
      </c>
      <c r="B89" s="154">
        <f>O782</f>
        <v>22</v>
      </c>
      <c r="C89" s="158">
        <f>O783</f>
        <v>5.0000000000000001E-3</v>
      </c>
      <c r="D89" s="145">
        <f>K791</f>
        <v>0.7</v>
      </c>
      <c r="E89" s="145">
        <f>K793</f>
        <v>3.4</v>
      </c>
      <c r="F89" s="154">
        <f>K792</f>
        <v>258.57142857142861</v>
      </c>
      <c r="G89" s="154">
        <f>O804</f>
        <v>40</v>
      </c>
      <c r="H89" s="168">
        <f>O803</f>
        <v>2142.8571428571431</v>
      </c>
      <c r="I89" s="140">
        <f>E204</f>
        <v>0.1</v>
      </c>
      <c r="J89" s="139" t="s">
        <v>274</v>
      </c>
      <c r="K89" s="140">
        <f>F117</f>
        <v>1.2</v>
      </c>
      <c r="L89" s="140">
        <f>K89</f>
        <v>1.2</v>
      </c>
      <c r="M89" s="140">
        <f>L89/K89</f>
        <v>1</v>
      </c>
      <c r="N89" s="139" t="s">
        <v>1422</v>
      </c>
      <c r="O89" s="144">
        <f>(O83*K74+O84*K76)</f>
        <v>60.646995481305353</v>
      </c>
      <c r="P89" s="144">
        <f>(P83*L74+P84*L76)</f>
        <v>60.646995481305353</v>
      </c>
      <c r="Q89" s="140">
        <f t="shared" si="24"/>
        <v>1</v>
      </c>
      <c r="R89" s="167" t="s">
        <v>125</v>
      </c>
      <c r="S89" s="138">
        <f>2*Z83-S88</f>
        <v>0.29999999999999977</v>
      </c>
      <c r="T89" s="138">
        <f>2*Z83-T88</f>
        <v>4.0192378864668421E-2</v>
      </c>
      <c r="U89" s="138">
        <f>2*Z83-U88</f>
        <v>0.59999999999999931</v>
      </c>
      <c r="V89" s="138">
        <f>2*Z83-V88</f>
        <v>0</v>
      </c>
      <c r="W89" s="138"/>
      <c r="Y89" s="164"/>
      <c r="Z89" s="164"/>
      <c r="AA89" s="147"/>
      <c r="AB89" s="147"/>
      <c r="AC89" s="147"/>
      <c r="AD89" s="147"/>
      <c r="AG89" s="139" t="s">
        <v>1424</v>
      </c>
      <c r="AH89" s="147" t="e">
        <f>(AH85^2-AH82/AH66)^0.5-AH85</f>
        <v>#DIV/0!</v>
      </c>
      <c r="AI89" s="147" t="e">
        <f>(AI85^2-AI82/AI66)^0.5-AI85</f>
        <v>#DIV/0!</v>
      </c>
      <c r="AJ89" s="147" t="e">
        <f>(AJ85^2-AJ82/AJ66)^0.5-AJ85</f>
        <v>#DIV/0!</v>
      </c>
      <c r="AK89" s="147" t="e">
        <f>(AK85^2-AK82/AK66)^0.5-AK85</f>
        <v>#DIV/0!</v>
      </c>
      <c r="AL89" s="147">
        <f>MIN(AH90:AK90)</f>
        <v>1000000000</v>
      </c>
      <c r="AM89" s="139" t="s">
        <v>541</v>
      </c>
      <c r="AN89" s="154">
        <f t="shared" si="25"/>
        <v>0</v>
      </c>
      <c r="AO89" s="154">
        <f t="shared" si="25"/>
        <v>0</v>
      </c>
      <c r="AP89" s="154">
        <f t="shared" si="25"/>
        <v>0</v>
      </c>
      <c r="AQ89" s="154">
        <f t="shared" si="25"/>
        <v>0</v>
      </c>
      <c r="AR89" s="156">
        <f>W317</f>
        <v>1</v>
      </c>
      <c r="AS89" s="146">
        <f>SUM(AN89:AQ89)</f>
        <v>0</v>
      </c>
    </row>
    <row r="90" spans="1:45">
      <c r="A90" s="137" t="s">
        <v>1682</v>
      </c>
      <c r="B90" s="154">
        <f>B88</f>
        <v>22</v>
      </c>
      <c r="C90" s="158">
        <f>C88</f>
        <v>5.0000000000000001E-3</v>
      </c>
      <c r="D90" s="201">
        <f>D89</f>
        <v>0.7</v>
      </c>
      <c r="E90" s="201">
        <f>E89</f>
        <v>3.4</v>
      </c>
      <c r="F90" s="148">
        <f>F89</f>
        <v>258.57142857142861</v>
      </c>
      <c r="G90" s="148">
        <f>G89</f>
        <v>40</v>
      </c>
      <c r="H90" s="202">
        <f>H89</f>
        <v>2142.8571428571431</v>
      </c>
      <c r="I90" s="201">
        <v>1</v>
      </c>
      <c r="J90" s="139" t="s">
        <v>1195</v>
      </c>
      <c r="K90" s="140">
        <f>(K88-K89*(1-K63))/K63</f>
        <v>1.7714285714285716</v>
      </c>
      <c r="L90" s="140">
        <f>K90</f>
        <v>1.7714285714285716</v>
      </c>
      <c r="M90" s="140">
        <f>L90/K90</f>
        <v>1</v>
      </c>
      <c r="N90" s="139" t="s">
        <v>1426</v>
      </c>
      <c r="O90" s="144">
        <f>(O83*K76+O84*K75)</f>
        <v>216.59641243323335</v>
      </c>
      <c r="P90" s="144">
        <f>(P83*L76+P84*L75)</f>
        <v>216.59641243323335</v>
      </c>
      <c r="Q90" s="140">
        <f t="shared" si="24"/>
        <v>1</v>
      </c>
      <c r="R90" s="139" t="s">
        <v>126</v>
      </c>
      <c r="S90" s="138">
        <f>AA83+AA84*COS(S58)+AA85*SIN(S58)</f>
        <v>373.99999999999943</v>
      </c>
      <c r="T90" s="138">
        <f>AA83+AA84*COS(T58)+AA85*SIN(T58)</f>
        <v>545.91475709513247</v>
      </c>
      <c r="U90" s="138">
        <f>AA83+AA84*COS(U58)+AA85*SIN(U58)</f>
        <v>175.48993742691118</v>
      </c>
      <c r="V90" s="138">
        <f>AA83+AA84*COS(V58)+AA85*SIN(V58)</f>
        <v>572.51006257308791</v>
      </c>
      <c r="W90" s="138"/>
      <c r="Y90" s="164"/>
      <c r="Z90" s="164"/>
      <c r="AA90" s="147"/>
      <c r="AB90" s="147"/>
      <c r="AC90" s="147"/>
      <c r="AD90" s="147"/>
      <c r="AG90" s="139" t="s">
        <v>194</v>
      </c>
      <c r="AH90" s="147">
        <f>IF(AH55=0,1000000000,AH89)</f>
        <v>1000000000</v>
      </c>
      <c r="AI90" s="147">
        <f>IF(AI55=0,1000000000,AI89)</f>
        <v>1000000000</v>
      </c>
      <c r="AJ90" s="147">
        <f>IF(AJ55=0,1000000000,AJ89)</f>
        <v>1000000000</v>
      </c>
      <c r="AK90" s="147">
        <f>IF(AK55=0,1000000000,AK89)</f>
        <v>1000000000</v>
      </c>
      <c r="AM90" s="138" t="s">
        <v>648</v>
      </c>
      <c r="AN90" s="158">
        <f>AN88*PI()/180</f>
        <v>0</v>
      </c>
      <c r="AO90" s="158">
        <f>AO88*PI()/180</f>
        <v>1.5707963267948966</v>
      </c>
      <c r="AP90" s="158">
        <f>AP88*PI()/180</f>
        <v>0</v>
      </c>
      <c r="AQ90" s="158">
        <f>AQ88*PI()/180</f>
        <v>1.5707963267948966</v>
      </c>
      <c r="AS90" s="159" t="s">
        <v>683</v>
      </c>
    </row>
    <row r="91" spans="1:45">
      <c r="L91" s="138" t="s">
        <v>234</v>
      </c>
      <c r="R91" s="139" t="s">
        <v>127</v>
      </c>
      <c r="S91" s="138">
        <f>2*AA83-S90</f>
        <v>373.99999999999966</v>
      </c>
      <c r="T91" s="138">
        <f>2*AA83-T90</f>
        <v>202.08524290486662</v>
      </c>
      <c r="U91" s="138">
        <f>2*AA83-U90</f>
        <v>572.51006257308791</v>
      </c>
      <c r="V91" s="138">
        <f>2*AA83-V90</f>
        <v>175.48993742691118</v>
      </c>
      <c r="W91" s="138"/>
      <c r="Y91" s="164"/>
      <c r="Z91" s="164" t="s">
        <v>129</v>
      </c>
      <c r="AA91" s="147"/>
      <c r="AB91" s="147"/>
      <c r="AC91" s="147"/>
      <c r="AD91" s="147"/>
      <c r="AG91" s="139" t="s">
        <v>194</v>
      </c>
      <c r="AH91" s="147">
        <f>IF(AH55=0,0,AH89)</f>
        <v>0</v>
      </c>
      <c r="AI91" s="147">
        <f>IF(AI55=0,0,AI89)</f>
        <v>0</v>
      </c>
      <c r="AJ91" s="147">
        <f>IF(AJ55=0,0,AJ89)</f>
        <v>0</v>
      </c>
      <c r="AK91" s="147">
        <f>IF(AK55=0,0,AK89)</f>
        <v>0</v>
      </c>
      <c r="AM91" s="139" t="s">
        <v>653</v>
      </c>
      <c r="AN91" s="158">
        <f>COS(AN88*PI()/180)</f>
        <v>1</v>
      </c>
      <c r="AO91" s="158">
        <f>COS(AO88*PI()/180)</f>
        <v>6.1257422745431001E-17</v>
      </c>
      <c r="AP91" s="158">
        <f>COS(AP88*PI()/180)</f>
        <v>1</v>
      </c>
      <c r="AQ91" s="158">
        <f>COS(AQ88*PI()/180)</f>
        <v>6.1257422745431001E-17</v>
      </c>
      <c r="AR91" s="143"/>
      <c r="AS91" s="162">
        <f>$L321/1000000/AT5*2/AT7</f>
        <v>0.05</v>
      </c>
    </row>
    <row r="92" spans="1:45">
      <c r="A92" s="138" t="s">
        <v>1683</v>
      </c>
      <c r="C92" s="143" t="s">
        <v>1562</v>
      </c>
      <c r="D92" s="143" t="s">
        <v>1563</v>
      </c>
      <c r="E92" s="143" t="s">
        <v>1564</v>
      </c>
      <c r="F92" s="143" t="s">
        <v>1565</v>
      </c>
      <c r="J92" s="139" t="s">
        <v>134</v>
      </c>
      <c r="K92" s="138">
        <f>(1-L72^2)*O93*L57</f>
        <v>184.28877056365894</v>
      </c>
      <c r="L92" s="139" t="s">
        <v>135</v>
      </c>
      <c r="M92" s="138">
        <f>L59*(1+L72)*O93*L58</f>
        <v>5.8728045779623468</v>
      </c>
      <c r="R92" s="139" t="s">
        <v>136</v>
      </c>
      <c r="S92" s="138">
        <f>4*COS(S58/2)^2*SIN(S58/2)^2*$K97+COS(S58/2)^4*$K92+SIN(S58/2)^4*$K93+2*COS(S58/2)^2*SIN(S58/2)^2*$M92</f>
        <v>184.28877056365894</v>
      </c>
      <c r="T92" s="138">
        <f>4*COS(T58/2)^2*SIN(T58/2)^2*$K97+COS(T58/2)^4*$K92+SIN(T58/2)^4*$K93+2*COS(T58/2)^2*SIN(T58/2)^2*$M92</f>
        <v>112.11226543163214</v>
      </c>
      <c r="U92" s="138">
        <f>4*COS(U58/2)^2*SIN(U58/2)^2*$K97+COS(U58/2)^4*$K92+SIN(U58/2)^4*$K93+2*COS(U58/2)^2*SIN(U58/2)^2*$M92</f>
        <v>59.658716021248168</v>
      </c>
      <c r="V92" s="138">
        <f>4*COS(V58/2)^2*SIN(V58/2)^2*$K97+COS(V58/2)^4*$K92+SIN(V58/2)^4*$K93+2*COS(V58/2)^2*SIN(V58/2)^2*$M92</f>
        <v>59.658716021248168</v>
      </c>
      <c r="W92" s="138" t="s">
        <v>137</v>
      </c>
      <c r="X92" s="147">
        <f>S60/S94+T60/T94+U60/U94+V60/V94</f>
        <v>0</v>
      </c>
      <c r="Y92" s="147">
        <f>S60*S92+T60*T92+U60*U92+V60*V92</f>
        <v>0</v>
      </c>
      <c r="Z92" s="164"/>
      <c r="AA92" s="147"/>
      <c r="AB92" s="147"/>
      <c r="AC92" s="147"/>
      <c r="AD92" s="147"/>
      <c r="AG92" s="139"/>
      <c r="AH92" s="147"/>
      <c r="AI92" s="147"/>
      <c r="AJ92" s="147"/>
      <c r="AK92" s="147"/>
      <c r="AM92" s="139" t="s">
        <v>654</v>
      </c>
      <c r="AN92" s="158">
        <f>SIN(AN88*PI()/180)</f>
        <v>0</v>
      </c>
      <c r="AO92" s="158">
        <f>SIN(AO88*PI()/180)</f>
        <v>1</v>
      </c>
      <c r="AP92" s="158">
        <f>SIN(AP88*PI()/180)</f>
        <v>0</v>
      </c>
      <c r="AQ92" s="158">
        <f>SIN(AQ88*PI()/180)</f>
        <v>1</v>
      </c>
      <c r="AS92" s="160" t="s">
        <v>655</v>
      </c>
    </row>
    <row r="93" spans="1:45">
      <c r="B93" s="137" t="s">
        <v>35</v>
      </c>
      <c r="C93" s="145">
        <f>AH38</f>
        <v>3.3273632318047537E-2</v>
      </c>
      <c r="D93" s="145">
        <f>AI38</f>
        <v>1000000000</v>
      </c>
      <c r="E93" s="145">
        <f>AJ38</f>
        <v>1000000000</v>
      </c>
      <c r="F93" s="145">
        <f>AK38</f>
        <v>1000000000</v>
      </c>
      <c r="G93" s="199" t="s">
        <v>36</v>
      </c>
      <c r="H93" s="145">
        <f t="shared" ref="H93:H108" si="26">MIN(C93:F93)</f>
        <v>3.3273632318047537E-2</v>
      </c>
      <c r="J93" s="139" t="s">
        <v>138</v>
      </c>
      <c r="K93" s="138">
        <f>(1-L59^2*L58/L57)*O93*L58</f>
        <v>13.920484365408953</v>
      </c>
      <c r="L93" s="139" t="s">
        <v>139</v>
      </c>
      <c r="M93" s="138">
        <f>M92</f>
        <v>5.8728045779623468</v>
      </c>
      <c r="N93" s="139" t="s">
        <v>140</v>
      </c>
      <c r="O93" s="138">
        <f>1/((1+L72)*(1-L72-2*L59^2*L58/L57))</f>
        <v>1.3575600041521836</v>
      </c>
      <c r="R93" s="139" t="s">
        <v>141</v>
      </c>
      <c r="S93" s="138">
        <f>4*COS(S58/2)^2*SIN(S58/2)^2*$K97+SIN(S58/2)^4*$K92+COS(S58/2)^4*$K93+2*COS(S58/2)^2*SIN(S58/2)^2*$M92</f>
        <v>13.920484365408953</v>
      </c>
      <c r="T93" s="138">
        <f>4*COS(T58/2)^2*SIN(T58/2)^2*$K97+SIN(T58/2)^4*$K92+COS(T58/2)^4*$K93+2*COS(T58/2)^2*SIN(T58/2)^2*$M92</f>
        <v>26.928122332507094</v>
      </c>
      <c r="U93" s="138">
        <f>4*COS(U58/2)^2*SIN(U58/2)^2*$K97+SIN(U58/2)^4*$K92+COS(U58/2)^4*$K93+2*COS(U58/2)^2*SIN(U58/2)^2*$M92</f>
        <v>59.658716021248125</v>
      </c>
      <c r="V93" s="138">
        <f>4*COS(V58/2)^2*SIN(V58/2)^2*$K97+SIN(V58/2)^4*$K92+COS(V58/2)^4*$K93+2*COS(V58/2)^2*SIN(V58/2)^2*$M92</f>
        <v>59.658716021248125</v>
      </c>
      <c r="W93" s="138" t="s">
        <v>142</v>
      </c>
      <c r="X93" s="141">
        <f>S60*S99/S94+T60*T99/T94+U60*U99/U94+V60*V99/V94</f>
        <v>0</v>
      </c>
      <c r="Y93" s="147">
        <f>S60*S93+T60*T93+U60*U93+V60*V93</f>
        <v>0</v>
      </c>
      <c r="Z93" s="164"/>
      <c r="AA93" s="147"/>
      <c r="AB93" s="147"/>
      <c r="AC93" s="147"/>
      <c r="AD93" s="147"/>
      <c r="AG93" s="139"/>
      <c r="AH93" s="147"/>
      <c r="AI93" s="147"/>
      <c r="AJ93" s="147"/>
      <c r="AK93" s="147"/>
      <c r="AM93" s="139" t="s">
        <v>690</v>
      </c>
      <c r="AN93" s="158">
        <f>S356</f>
        <v>7.17</v>
      </c>
      <c r="AO93" s="158">
        <f>T356</f>
        <v>3.433333333333334</v>
      </c>
      <c r="AP93" s="158">
        <f>U356</f>
        <v>7.17</v>
      </c>
      <c r="AQ93" s="158">
        <f>V356</f>
        <v>3.433333333333334</v>
      </c>
      <c r="AR93" s="147"/>
      <c r="AS93" s="138">
        <f>AS89*AS91*AR89</f>
        <v>0</v>
      </c>
    </row>
    <row r="94" spans="1:45">
      <c r="B94" s="137" t="s">
        <v>37</v>
      </c>
      <c r="C94" s="145">
        <f>AH90</f>
        <v>1000000000</v>
      </c>
      <c r="D94" s="145">
        <f>AI90</f>
        <v>1000000000</v>
      </c>
      <c r="E94" s="145">
        <f>AJ90</f>
        <v>1000000000</v>
      </c>
      <c r="F94" s="145">
        <f>AK90</f>
        <v>1000000000</v>
      </c>
      <c r="G94" s="199" t="s">
        <v>38</v>
      </c>
      <c r="H94" s="145">
        <f t="shared" si="26"/>
        <v>1000000000</v>
      </c>
      <c r="J94" s="139" t="s">
        <v>146</v>
      </c>
      <c r="K94" s="138">
        <f>K93</f>
        <v>13.920484365408953</v>
      </c>
      <c r="L94" s="139" t="s">
        <v>147</v>
      </c>
      <c r="M94" s="138">
        <f>(L72+L59^2*L58/L57)*O93*L58</f>
        <v>7.053817698742284</v>
      </c>
      <c r="R94" s="139" t="s">
        <v>716</v>
      </c>
      <c r="S94" s="138">
        <f>$K94</f>
        <v>13.920484365408953</v>
      </c>
      <c r="T94" s="138">
        <f>$K94</f>
        <v>13.920484365408953</v>
      </c>
      <c r="U94" s="138">
        <f>$K94</f>
        <v>13.920484365408953</v>
      </c>
      <c r="V94" s="138">
        <f>$K94</f>
        <v>13.920484365408953</v>
      </c>
      <c r="W94" s="138" t="s">
        <v>148</v>
      </c>
      <c r="X94" s="141">
        <f>S60*S100/S94+T60*T100/T94+U60*U100/U94+V60*V100/V94</f>
        <v>0</v>
      </c>
      <c r="Y94" s="164"/>
      <c r="Z94" s="164"/>
      <c r="AA94" s="147"/>
      <c r="AB94" s="147"/>
      <c r="AC94" s="147"/>
      <c r="AD94" s="147"/>
      <c r="AG94" s="139"/>
      <c r="AH94" s="147"/>
      <c r="AI94" s="147"/>
      <c r="AJ94" s="147"/>
      <c r="AK94" s="147"/>
      <c r="AM94" s="139" t="s">
        <v>692</v>
      </c>
      <c r="AN94" s="158">
        <f>S355</f>
        <v>3.433333333333334</v>
      </c>
      <c r="AO94" s="158">
        <f>T355</f>
        <v>7.17</v>
      </c>
      <c r="AP94" s="158">
        <f>U355</f>
        <v>3.433333333333334</v>
      </c>
      <c r="AQ94" s="158">
        <f>V355</f>
        <v>7.17</v>
      </c>
    </row>
    <row r="95" spans="1:45">
      <c r="B95" s="137" t="s">
        <v>39</v>
      </c>
      <c r="C95" s="145">
        <f>AH142</f>
        <v>1000000000</v>
      </c>
      <c r="D95" s="145">
        <f>AI142</f>
        <v>1000000000</v>
      </c>
      <c r="E95" s="145">
        <f>AJ142</f>
        <v>1000000000</v>
      </c>
      <c r="F95" s="145">
        <f>AK142</f>
        <v>1000000000</v>
      </c>
      <c r="G95" s="199" t="s">
        <v>40</v>
      </c>
      <c r="H95" s="145">
        <f t="shared" si="26"/>
        <v>1000000000</v>
      </c>
      <c r="J95" s="139" t="s">
        <v>152</v>
      </c>
      <c r="K95" s="138">
        <f>(1-L72-2*L59^2*L58/L57)*O93*L58/2</f>
        <v>3.433333333333334</v>
      </c>
      <c r="R95" s="139" t="s">
        <v>153</v>
      </c>
      <c r="S95" s="138">
        <f>COS(S58/2)^2*$K95+SIN(S58/2)^2*$K96</f>
        <v>3.433333333333334</v>
      </c>
      <c r="T95" s="138">
        <f>COS(T58/2)^2*$K95+SIN(T58/2)^2*$K96</f>
        <v>4.3675000000000006</v>
      </c>
      <c r="U95" s="138">
        <f>COS(U58/2)^2*$K95+SIN(U58/2)^2*$K96</f>
        <v>5.3016666666666667</v>
      </c>
      <c r="V95" s="138">
        <f>COS(V58/2)^2*$K95+SIN(V58/2)^2*$K96</f>
        <v>5.3016666666666667</v>
      </c>
      <c r="W95" s="138" t="s">
        <v>154</v>
      </c>
      <c r="X95" s="141">
        <f>S60*S104/S94+T60*T104/T94+U60*U104/U94+V60*V104/V94</f>
        <v>0</v>
      </c>
      <c r="Y95" s="164"/>
      <c r="Z95" s="164">
        <f>S60*S95/(S95*S96-S101^2)+T60*T95/(T95*T96-T101^2)+U60*U95/(U95*U96-U101^2)+V60*V95/(V95*V96-V101^2)</f>
        <v>0</v>
      </c>
      <c r="AA95" s="147"/>
      <c r="AB95" s="147"/>
      <c r="AC95" s="147"/>
      <c r="AD95" s="147"/>
      <c r="AG95" s="139"/>
      <c r="AH95" s="147"/>
      <c r="AI95" s="147"/>
      <c r="AJ95" s="147"/>
      <c r="AK95" s="147"/>
      <c r="AM95" s="139" t="s">
        <v>660</v>
      </c>
      <c r="AN95" s="158">
        <f>S361</f>
        <v>0</v>
      </c>
      <c r="AO95" s="158">
        <f>T361</f>
        <v>2.2889856965876046E-16</v>
      </c>
      <c r="AP95" s="158">
        <f>U361</f>
        <v>0</v>
      </c>
      <c r="AQ95" s="158">
        <f>V361</f>
        <v>2.2889856965876046E-16</v>
      </c>
    </row>
    <row r="96" spans="1:45">
      <c r="B96" s="137" t="s">
        <v>1036</v>
      </c>
      <c r="C96" s="145">
        <f>AH194</f>
        <v>1000000000</v>
      </c>
      <c r="D96" s="145">
        <f>AI194</f>
        <v>1000000000</v>
      </c>
      <c r="E96" s="145">
        <f>AJ194</f>
        <v>1000000000</v>
      </c>
      <c r="F96" s="145">
        <f>AK194</f>
        <v>1000000000</v>
      </c>
      <c r="G96" s="199" t="s">
        <v>1037</v>
      </c>
      <c r="H96" s="145">
        <f t="shared" si="26"/>
        <v>1000000000</v>
      </c>
      <c r="J96" s="139" t="s">
        <v>769</v>
      </c>
      <c r="K96" s="140">
        <f>L60</f>
        <v>7.17</v>
      </c>
      <c r="R96" s="139" t="s">
        <v>770</v>
      </c>
      <c r="S96" s="138">
        <f>SIN(S58/2)^2*$K95+COS(S58/2)^2*$K96</f>
        <v>7.17</v>
      </c>
      <c r="T96" s="138">
        <f>SIN(T58/2)^2*$K95+COS(T58/2)^2*$K96</f>
        <v>6.2358333333333338</v>
      </c>
      <c r="U96" s="138">
        <f>SIN(U58/2)^2*$K95+COS(U58/2)^2*$K96</f>
        <v>5.3016666666666676</v>
      </c>
      <c r="V96" s="138">
        <f>SIN(V58/2)^2*$K95+COS(V58/2)^2*$K96</f>
        <v>5.3016666666666676</v>
      </c>
      <c r="W96" s="138" t="s">
        <v>771</v>
      </c>
      <c r="X96" s="141">
        <f>S60*S99^2/S94+T60*T99^2/T94+U60*U99^2/U94+V60*V99^2/V94</f>
        <v>0</v>
      </c>
      <c r="Y96" s="164"/>
      <c r="Z96" s="164">
        <f>S60*S96/(S95*S96-S101^2)+T60*T96/(T95*T96-T101^2)+U60*U96/(U95*U96-U101^2)+V60*V96/(V95*V96-V101^2)</f>
        <v>0</v>
      </c>
      <c r="AA96" s="147"/>
      <c r="AB96" s="147"/>
      <c r="AC96" s="147"/>
      <c r="AD96" s="147"/>
      <c r="AG96" s="139"/>
      <c r="AH96" s="147"/>
      <c r="AI96" s="147"/>
      <c r="AJ96" s="147"/>
      <c r="AK96" s="147"/>
      <c r="AM96" s="139" t="s">
        <v>662</v>
      </c>
      <c r="AN96" s="158">
        <f>AN93/(AN93*AN94-AN95^2)</f>
        <v>0.29126213592233002</v>
      </c>
      <c r="AO96" s="158">
        <f>AO93/(AO93*AO94-AO95^2)</f>
        <v>0.1394700139470014</v>
      </c>
      <c r="AP96" s="158">
        <f>AP93/(AP93*AP94-AP95^2)</f>
        <v>0.29126213592233002</v>
      </c>
      <c r="AQ96" s="158">
        <f>AQ93/(AQ93*AQ94-AQ95^2)</f>
        <v>0.1394700139470014</v>
      </c>
    </row>
    <row r="97" spans="1:45">
      <c r="A97" s="137"/>
      <c r="B97" s="137" t="s">
        <v>1038</v>
      </c>
      <c r="C97" s="145">
        <f>AH246</f>
        <v>1000000000</v>
      </c>
      <c r="D97" s="145">
        <f>AI246</f>
        <v>1000000000</v>
      </c>
      <c r="E97" s="145">
        <f>AJ246</f>
        <v>1000000000</v>
      </c>
      <c r="F97" s="145">
        <f>AK246</f>
        <v>1000000000</v>
      </c>
      <c r="G97" s="199" t="s">
        <v>1039</v>
      </c>
      <c r="H97" s="145">
        <f t="shared" si="26"/>
        <v>1000000000</v>
      </c>
      <c r="J97" s="139" t="s">
        <v>773</v>
      </c>
      <c r="K97" s="140">
        <f>K96</f>
        <v>7.17</v>
      </c>
      <c r="P97" s="185"/>
      <c r="Q97" s="185"/>
      <c r="R97" s="186" t="s">
        <v>774</v>
      </c>
      <c r="S97" s="185">
        <f>(COS(S58/2)^2-SIN(S58/2)^2)^2*$K97+COS(S58/2)^2*SIN(S58/2)^2*($K92+$K93-2*$M92)</f>
        <v>7.17</v>
      </c>
      <c r="T97" s="185">
        <f>(COS(T58/2)^2-SIN(T58/2)^2)^2*$K97+COS(T58/2)^2*SIN(T58/2)^2*($K92+$K93-2*$M92)</f>
        <v>36.754433582464358</v>
      </c>
      <c r="U97" s="185">
        <f>(COS(U58/2)^2-SIN(U58/2)^2)^2*$K97+COS(U58/2)^2*SIN(U58/2)^2*($K92+$K93-2*$M92)</f>
        <v>46.615911443285803</v>
      </c>
      <c r="V97" s="185">
        <f>(COS(V58/2)^2-SIN(V58/2)^2)^2*$K97+COS(V58/2)^2*SIN(V58/2)^2*($K92+$K93-2*$M92)</f>
        <v>46.615911443285803</v>
      </c>
      <c r="W97" s="185" t="s">
        <v>775</v>
      </c>
      <c r="X97" s="187">
        <f>S60*S100^2/S94+T60*T100^2/T94+U60*U100^2/U94+V60*V100^2/V94</f>
        <v>0</v>
      </c>
      <c r="Y97" s="147">
        <f>S60*S97+T60*T97+U60*U97+V60*V97</f>
        <v>0</v>
      </c>
      <c r="Z97" s="188"/>
      <c r="AA97" s="190"/>
      <c r="AB97" s="190"/>
      <c r="AC97" s="190"/>
      <c r="AD97" s="190"/>
      <c r="AE97" s="185"/>
      <c r="AF97" s="187"/>
      <c r="AG97" s="186"/>
      <c r="AH97" s="190"/>
      <c r="AI97" s="190"/>
      <c r="AJ97" s="190"/>
      <c r="AK97" s="190"/>
      <c r="AL97" s="185"/>
      <c r="AM97" s="139" t="s">
        <v>665</v>
      </c>
      <c r="AN97" s="158">
        <f>AN94/(AN93*AN94-AN95^2)</f>
        <v>0.1394700139470014</v>
      </c>
      <c r="AO97" s="158">
        <f>AO94/(AO93*AO94-AO95^2)</f>
        <v>0.29126213592233002</v>
      </c>
      <c r="AP97" s="158">
        <f>AP94/(AP93*AP94-AP95^2)</f>
        <v>0.1394700139470014</v>
      </c>
      <c r="AQ97" s="158">
        <f>AQ94/(AQ93*AQ94-AQ95^2)</f>
        <v>0.29126213592233002</v>
      </c>
    </row>
    <row r="98" spans="1:45">
      <c r="B98" s="137" t="s">
        <v>1040</v>
      </c>
      <c r="C98" s="145">
        <f>AH298</f>
        <v>1000000000</v>
      </c>
      <c r="D98" s="145">
        <f>AI298</f>
        <v>1000000000</v>
      </c>
      <c r="E98" s="145">
        <f>AJ298</f>
        <v>1000000000</v>
      </c>
      <c r="F98" s="145">
        <f>AK298</f>
        <v>1000000000</v>
      </c>
      <c r="G98" s="199" t="s">
        <v>1041</v>
      </c>
      <c r="H98" s="145">
        <f t="shared" si="26"/>
        <v>1000000000</v>
      </c>
      <c r="J98" s="185"/>
      <c r="K98" s="185"/>
      <c r="L98" s="185"/>
      <c r="M98" s="185"/>
      <c r="N98" s="185"/>
      <c r="O98" s="185"/>
      <c r="R98" s="139" t="s">
        <v>145</v>
      </c>
      <c r="S98" s="138">
        <f>-4*COS(S58/2)^2*SIN(S58/2)^2*$K97+COS(S58/2)^2*SIN(S58/2)^2*($K92+$K93)+(COS(S58/2)^4+SIN(S58/2)^4)*$M92</f>
        <v>5.8728045779623468</v>
      </c>
      <c r="T98" s="138">
        <f>-4*COS(T58/2)^2*SIN(T58/2)^2*$K97+COS(T58/2)^2*SIN(T58/2)^2*($K92+$K93)+(COS(T58/2)^4+SIN(T58/2)^4)*$M92</f>
        <v>35.457238160426698</v>
      </c>
      <c r="U98" s="138">
        <f>-4*COS(U58/2)^2*SIN(U58/2)^2*$K97+COS(U58/2)^2*SIN(U58/2)^2*($K92+$K93)+(COS(U58/2)^4+SIN(U58/2)^4)*$M92</f>
        <v>45.318716021248143</v>
      </c>
      <c r="V98" s="138">
        <f>-4*COS(V58/2)^2*SIN(V58/2)^2*$K97+COS(V58/2)^2*SIN(V58/2)^2*($K92+$K93)+(COS(V58/2)^4+SIN(V58/2)^4)*$M92</f>
        <v>45.318716021248143</v>
      </c>
      <c r="W98" s="138" t="s">
        <v>778</v>
      </c>
      <c r="X98" s="141">
        <f>S60*S99*S100/S94+T60*T99*T100/T94+U60*U99*U100/U94+V60*V99*V100/V94</f>
        <v>0</v>
      </c>
      <c r="Y98" s="147">
        <f>S60*S98+T60*T98+U60*U98+V60*V98</f>
        <v>0</v>
      </c>
      <c r="Z98" s="164"/>
      <c r="AA98" s="147"/>
      <c r="AB98" s="147"/>
      <c r="AC98" s="147"/>
      <c r="AD98" s="147"/>
      <c r="AG98" s="139"/>
      <c r="AH98" s="147"/>
      <c r="AI98" s="147"/>
      <c r="AJ98" s="147"/>
      <c r="AK98" s="147"/>
      <c r="AM98" s="138" t="s">
        <v>666</v>
      </c>
      <c r="AN98" s="141">
        <f>-AN95/(AN93*AN94-AN95^2)</f>
        <v>0</v>
      </c>
      <c r="AO98" s="141">
        <f>-AO95/(AO93*AO94-AO95^2)</f>
        <v>-9.2983941852687333E-18</v>
      </c>
      <c r="AP98" s="141">
        <f>-AP95/(AP93*AP94-AP95^2)</f>
        <v>0</v>
      </c>
      <c r="AQ98" s="141">
        <f>-AQ95/(AQ93*AQ94-AQ95^2)</f>
        <v>-9.2983941852687333E-18</v>
      </c>
    </row>
    <row r="99" spans="1:45">
      <c r="B99" s="137" t="s">
        <v>1042</v>
      </c>
      <c r="C99" s="145">
        <f>AH350</f>
        <v>1000000000</v>
      </c>
      <c r="D99" s="145">
        <f>AI350</f>
        <v>1000000000</v>
      </c>
      <c r="E99" s="145">
        <f>AJ350</f>
        <v>1000000000</v>
      </c>
      <c r="F99" s="145">
        <f>AK350</f>
        <v>1000000000</v>
      </c>
      <c r="G99" s="199" t="s">
        <v>1043</v>
      </c>
      <c r="H99" s="145">
        <f t="shared" si="26"/>
        <v>1000000000</v>
      </c>
      <c r="R99" s="139" t="s">
        <v>151</v>
      </c>
      <c r="S99" s="138">
        <f>COS(S58/2)^2*$M93+SIN(S58/2)^2*$M94</f>
        <v>5.8728045779623468</v>
      </c>
      <c r="T99" s="138">
        <f>COS(T58/2)^2*$M93+SIN(T58/2)^2*$M94</f>
        <v>6.1680578581573311</v>
      </c>
      <c r="U99" s="138">
        <f>COS(U58/2)^2*$M93+SIN(U58/2)^2*$M94</f>
        <v>6.4633111383523154</v>
      </c>
      <c r="V99" s="138">
        <f>COS(V58/2)^2*$M93+SIN(V58/2)^2*$M94</f>
        <v>6.4633111383523154</v>
      </c>
      <c r="W99" s="138" t="s">
        <v>782</v>
      </c>
      <c r="X99" s="141">
        <f>S60*S104*S99/S94+T60*T104*T99/T94+U60*U104*U99/U94+V60*V104*V99/V94</f>
        <v>0</v>
      </c>
      <c r="Y99" s="147"/>
      <c r="Z99" s="164"/>
      <c r="AA99" s="147"/>
      <c r="AB99" s="147"/>
      <c r="AC99" s="147"/>
      <c r="AD99" s="147"/>
      <c r="AG99" s="139"/>
      <c r="AH99" s="147"/>
      <c r="AI99" s="147"/>
      <c r="AJ99" s="147"/>
      <c r="AK99" s="147"/>
      <c r="AM99" s="138" t="s">
        <v>637</v>
      </c>
      <c r="AN99" s="141"/>
      <c r="AO99" s="141"/>
      <c r="AR99" s="141"/>
      <c r="AS99" s="141"/>
    </row>
    <row r="100" spans="1:45">
      <c r="B100" s="137" t="s">
        <v>1044</v>
      </c>
      <c r="C100" s="145">
        <f>AH402</f>
        <v>1000000000</v>
      </c>
      <c r="D100" s="145">
        <f>AI402</f>
        <v>1000000000</v>
      </c>
      <c r="E100" s="145">
        <f>AJ402</f>
        <v>1000000000</v>
      </c>
      <c r="F100" s="145">
        <f>AK402</f>
        <v>1000000000</v>
      </c>
      <c r="G100" s="199" t="s">
        <v>1045</v>
      </c>
      <c r="H100" s="145">
        <f t="shared" si="26"/>
        <v>1000000000</v>
      </c>
      <c r="R100" s="139" t="s">
        <v>768</v>
      </c>
      <c r="S100" s="138">
        <f>SIN(S58/2)^2*$M93+COS(S58/2)^2*$M94</f>
        <v>7.053817698742284</v>
      </c>
      <c r="T100" s="138">
        <f>SIN(T58/2)^2*$M93+COS(T58/2)^2*$M94</f>
        <v>6.7585644185472997</v>
      </c>
      <c r="U100" s="138">
        <f>SIN(U58/2)^2*$M93+COS(U58/2)^2*$M94</f>
        <v>6.4633111383523154</v>
      </c>
      <c r="V100" s="138">
        <f>SIN(V58/2)^2*$M93+COS(V58/2)^2*$M94</f>
        <v>6.4633111383523154</v>
      </c>
      <c r="W100" s="138" t="s">
        <v>785</v>
      </c>
      <c r="X100" s="141">
        <f>S60*S104*S100/S94+T60*T104*T100/T94+U60*U104*U100/U94+V60*V104*V100/V94</f>
        <v>0</v>
      </c>
      <c r="Y100" s="164"/>
      <c r="Z100" s="164"/>
      <c r="AA100" s="147"/>
      <c r="AB100" s="147"/>
      <c r="AC100" s="147"/>
      <c r="AD100" s="147"/>
      <c r="AG100" s="139"/>
      <c r="AH100" s="147"/>
      <c r="AI100" s="147"/>
      <c r="AJ100" s="147"/>
      <c r="AK100" s="147"/>
      <c r="AM100" s="137"/>
      <c r="AN100" s="141"/>
      <c r="AO100" s="141"/>
      <c r="AR100" s="141"/>
      <c r="AS100" s="143"/>
    </row>
    <row r="101" spans="1:45">
      <c r="B101" s="137" t="s">
        <v>1046</v>
      </c>
      <c r="C101" s="145">
        <f>AH454</f>
        <v>1000000000</v>
      </c>
      <c r="D101" s="145">
        <f>AI454</f>
        <v>1000000000</v>
      </c>
      <c r="E101" s="145">
        <f>AJ454</f>
        <v>1000000000</v>
      </c>
      <c r="F101" s="145">
        <f>AK454</f>
        <v>1000000000</v>
      </c>
      <c r="G101" s="199" t="s">
        <v>1047</v>
      </c>
      <c r="H101" s="145">
        <f t="shared" si="26"/>
        <v>1000000000</v>
      </c>
      <c r="R101" s="139" t="s">
        <v>660</v>
      </c>
      <c r="S101" s="138">
        <f>COS(S58/2)*SIN(S58/2)*(-$K95+$K96)</f>
        <v>0</v>
      </c>
      <c r="T101" s="138">
        <f>COS(T58/2)*SIN(T58/2)*(-$K95+$K96)</f>
        <v>-1.6180241294039257</v>
      </c>
      <c r="U101" s="138">
        <f>COS(U58/2)*SIN(U58/2)*(-$K95+$K96)</f>
        <v>1.868333333333333</v>
      </c>
      <c r="V101" s="138">
        <f>COS(V58/2)*SIN(V58/2)*(-$K95+$K96)</f>
        <v>-1.868333333333333</v>
      </c>
      <c r="W101" s="138" t="s">
        <v>1048</v>
      </c>
      <c r="X101" s="141">
        <f>S60*S104^2/S94+T60*T104^2/T94+U60*U104^2/U94+V60*V104^2/V94</f>
        <v>0</v>
      </c>
      <c r="Y101" s="164"/>
      <c r="Z101" s="164">
        <f>S60*S101/(S95*S96-S101^2)+T60*T101/(T95*T96-T101^2)+U60*U101/(U95*U96-U101^2)+V60*V101/(V95*V96-V101^2)</f>
        <v>0</v>
      </c>
      <c r="AA101" s="147"/>
      <c r="AB101" s="147"/>
      <c r="AC101" s="147"/>
      <c r="AD101" s="147"/>
      <c r="AG101" s="139"/>
      <c r="AH101" s="147"/>
      <c r="AI101" s="147"/>
      <c r="AJ101" s="147"/>
      <c r="AK101" s="147"/>
      <c r="AM101" s="139" t="s">
        <v>243</v>
      </c>
      <c r="AN101" s="143" t="s">
        <v>1562</v>
      </c>
      <c r="AO101" s="143" t="s">
        <v>1563</v>
      </c>
      <c r="AP101" s="143" t="s">
        <v>1564</v>
      </c>
      <c r="AQ101" s="143" t="s">
        <v>1565</v>
      </c>
      <c r="AR101" s="143"/>
      <c r="AS101" s="143"/>
    </row>
    <row r="102" spans="1:45">
      <c r="B102" s="137" t="s">
        <v>1049</v>
      </c>
      <c r="C102" s="145">
        <f>AH506</f>
        <v>1000000000</v>
      </c>
      <c r="D102" s="145">
        <f>AI506</f>
        <v>1000000000</v>
      </c>
      <c r="E102" s="145">
        <f>AJ506</f>
        <v>1000000000</v>
      </c>
      <c r="F102" s="145">
        <f>AK506</f>
        <v>1000000000</v>
      </c>
      <c r="G102" s="199" t="s">
        <v>1050</v>
      </c>
      <c r="H102" s="145">
        <f t="shared" si="26"/>
        <v>1000000000</v>
      </c>
      <c r="R102" s="139" t="s">
        <v>777</v>
      </c>
      <c r="S102" s="138">
        <f>-2*COS(S58/2)*SIN(S58/2)*(COS(S58/2)^2-SIN(S58/2)^2)*$K97+COS(S58/2)*SIN(S58/2)*(COS(S58/2)^2*$K92+SIN(S58/2)^2*$K93)+COS(S58/2)*SIN(S58/2)*(COS(S58/2)^2+SIN(S58/2)^2)*$M92</f>
        <v>0</v>
      </c>
      <c r="T102" s="138">
        <f>-2*COS(T58/2)*SIN(T58/2)*(COS(T58/2)^2-SIN(T58/2)^2)*$K97+COS(T58/2)*SIN(T58/2)*(COS(T58/2)^2*$K92+SIN(T58/2)^2*$K93)+COS(T58/2)*SIN(T58/2)*(COS(T58/2)^2+SIN(T58/2)^2)*$M92</f>
        <v>-60.794768394723725</v>
      </c>
      <c r="U102" s="138">
        <f>-2*COS(U58/2)*SIN(U58/2)*(COS(U58/2)^2-SIN(U58/2)^2)*$K97+COS(U58/2)*SIN(U58/2)*(COS(U58/2)^2*$K92+SIN(U58/2)^2*$K93)+COS(U58/2)*SIN(U58/2)*(COS(U58/2)^2+SIN(U58/2)^2)*$M92</f>
        <v>52.488716021248152</v>
      </c>
      <c r="V102" s="138">
        <f>-2*COS(V58/2)*SIN(V58/2)*(COS(V58/2)^2-SIN(V58/2)^2)*$K97+COS(V58/2)*SIN(V58/2)*(COS(V58/2)^2*$K92+SIN(V58/2)^2*$K93)+COS(V58/2)*SIN(V58/2)*(COS(V58/2)^2+SIN(V58/2)^2)*$M92</f>
        <v>-52.488716021248152</v>
      </c>
      <c r="W102" s="138"/>
      <c r="Y102" s="147">
        <f>S60*S102+T60*T102+U60*U102+V60*V102</f>
        <v>0</v>
      </c>
      <c r="Z102" s="164"/>
      <c r="AA102" s="147"/>
      <c r="AB102" s="147"/>
      <c r="AC102" s="147"/>
      <c r="AD102" s="147"/>
      <c r="AG102" s="139"/>
      <c r="AH102" s="147"/>
      <c r="AI102" s="147"/>
      <c r="AJ102" s="147"/>
      <c r="AK102" s="147"/>
      <c r="AM102" s="139" t="s">
        <v>537</v>
      </c>
      <c r="AN102" s="154">
        <f t="shared" ref="AN102:AQ103" si="27">S368</f>
        <v>0</v>
      </c>
      <c r="AO102" s="154">
        <f t="shared" si="27"/>
        <v>90</v>
      </c>
      <c r="AP102" s="154">
        <f t="shared" si="27"/>
        <v>0</v>
      </c>
      <c r="AQ102" s="154">
        <f t="shared" si="27"/>
        <v>90</v>
      </c>
      <c r="AR102" s="143" t="s">
        <v>538</v>
      </c>
      <c r="AS102" s="143" t="s">
        <v>652</v>
      </c>
    </row>
    <row r="103" spans="1:45">
      <c r="B103" s="137" t="s">
        <v>1051</v>
      </c>
      <c r="C103" s="145">
        <f>AH558</f>
        <v>1000000000</v>
      </c>
      <c r="D103" s="145">
        <f>AI558</f>
        <v>1000000000</v>
      </c>
      <c r="E103" s="145">
        <f>AJ558</f>
        <v>1000000000</v>
      </c>
      <c r="F103" s="145">
        <f>AK558</f>
        <v>1000000000</v>
      </c>
      <c r="G103" s="199" t="s">
        <v>1052</v>
      </c>
      <c r="H103" s="145">
        <f t="shared" si="26"/>
        <v>1000000000</v>
      </c>
      <c r="R103" s="139" t="s">
        <v>781</v>
      </c>
      <c r="S103" s="138">
        <f>2*COS(S58/2)*SIN(S58/2)*(COS(S58/2)^2-SIN(S58/2)^2)*$K97+COS(S58/2)*SIN(S58/2)*(SIN(S58/2)^2*$K92-COS(S58/2)^2*$K93)+COS(S58/2)*SIN(S58/2)*(COS(S58/2)^2-SIN(S58/2)^2)*$M92</f>
        <v>0</v>
      </c>
      <c r="T103" s="138">
        <f>2*COS(T58/2)*SIN(T58/2)*(COS(T58/2)^2-SIN(T58/2)^2)*$K97+COS(T58/2)*SIN(T58/2)*(SIN(T58/2)^2*$K92-COS(T58/2)^2*$K93)+COS(T58/2)*SIN(T58/2)*(COS(T58/2)^2-SIN(T58/2)^2)*$M92</f>
        <v>-19.805235269067161</v>
      </c>
      <c r="U103" s="138">
        <f>2*COS(U58/2)*SIN(U58/2)*(COS(U58/2)^2-SIN(U58/2)^2)*$K97+COS(U58/2)*SIN(U58/2)*(SIN(U58/2)^2*$K92-COS(U58/2)^2*$K93)+COS(U58/2)*SIN(U58/2)*(COS(U58/2)^2-SIN(U58/2)^2)*$M92</f>
        <v>42.59207154956249</v>
      </c>
      <c r="V103" s="138">
        <f>2*COS(V58/2)*SIN(V58/2)*(COS(V58/2)^2-SIN(V58/2)^2)*$K97+COS(V58/2)*SIN(V58/2)*(SIN(V58/2)^2*$K92-COS(V58/2)^2*$K93)+COS(V58/2)*SIN(V58/2)*(COS(V58/2)^2-SIN(V58/2)^2)*$M92</f>
        <v>-42.59207154956249</v>
      </c>
      <c r="W103" s="138"/>
      <c r="Y103" s="147">
        <f>S60*S103+T60*T103+U60*U103+V60*V103</f>
        <v>0</v>
      </c>
      <c r="Z103" s="164"/>
      <c r="AA103" s="147"/>
      <c r="AB103" s="147"/>
      <c r="AC103" s="147"/>
      <c r="AD103" s="147"/>
      <c r="AG103" s="139"/>
      <c r="AH103" s="147"/>
      <c r="AI103" s="147"/>
      <c r="AJ103" s="147"/>
      <c r="AK103" s="147"/>
      <c r="AM103" s="139" t="s">
        <v>541</v>
      </c>
      <c r="AN103" s="154">
        <f t="shared" si="27"/>
        <v>0</v>
      </c>
      <c r="AO103" s="154">
        <f t="shared" si="27"/>
        <v>0</v>
      </c>
      <c r="AP103" s="154">
        <f t="shared" si="27"/>
        <v>0</v>
      </c>
      <c r="AQ103" s="154">
        <f t="shared" si="27"/>
        <v>0</v>
      </c>
      <c r="AR103" s="156">
        <f>W369</f>
        <v>1</v>
      </c>
      <c r="AS103" s="146">
        <f>SUM(AN103:AQ103)</f>
        <v>0</v>
      </c>
    </row>
    <row r="104" spans="1:45">
      <c r="B104" s="137" t="s">
        <v>1053</v>
      </c>
      <c r="C104" s="145">
        <f>AH610</f>
        <v>1000000000</v>
      </c>
      <c r="D104" s="145">
        <f>AI610</f>
        <v>1000000000</v>
      </c>
      <c r="E104" s="145">
        <f>AJ610</f>
        <v>1000000000</v>
      </c>
      <c r="F104" s="145">
        <f>AK610</f>
        <v>1000000000</v>
      </c>
      <c r="G104" s="199" t="s">
        <v>1054</v>
      </c>
      <c r="H104" s="145">
        <f t="shared" si="26"/>
        <v>1000000000</v>
      </c>
      <c r="R104" s="139" t="s">
        <v>784</v>
      </c>
      <c r="S104" s="138">
        <f>COS(S58/2)*SIN(S58/2)*($M93-$M94)</f>
        <v>0</v>
      </c>
      <c r="T104" s="138">
        <f>COS(T58/2)*SIN(T58/2)*($M93-$M94)</f>
        <v>0.51139368239908256</v>
      </c>
      <c r="U104" s="138">
        <f>COS(U58/2)*SIN(U58/2)*($M93-$M94)</f>
        <v>-0.59050656038996863</v>
      </c>
      <c r="V104" s="138">
        <f>COS(V58/2)*SIN(V58/2)*($M93-$M94)</f>
        <v>0.59050656038996863</v>
      </c>
      <c r="W104" s="138"/>
      <c r="Y104" s="164"/>
      <c r="Z104" s="164"/>
      <c r="AA104" s="147"/>
      <c r="AB104" s="147"/>
      <c r="AC104" s="147"/>
      <c r="AD104" s="147"/>
      <c r="AG104" s="139"/>
      <c r="AH104" s="147"/>
      <c r="AI104" s="147"/>
      <c r="AJ104" s="147"/>
      <c r="AK104" s="147"/>
      <c r="AM104" s="138" t="s">
        <v>648</v>
      </c>
      <c r="AN104" s="158">
        <f>AN102*PI()/180</f>
        <v>0</v>
      </c>
      <c r="AO104" s="158">
        <f>AO102*PI()/180</f>
        <v>1.5707963267948966</v>
      </c>
      <c r="AP104" s="158">
        <f>AP102*PI()/180</f>
        <v>0</v>
      </c>
      <c r="AQ104" s="158">
        <f>AQ102*PI()/180</f>
        <v>1.5707963267948966</v>
      </c>
      <c r="AS104" s="159" t="s">
        <v>683</v>
      </c>
    </row>
    <row r="105" spans="1:45">
      <c r="B105" s="137" t="s">
        <v>1055</v>
      </c>
      <c r="C105" s="145">
        <f>AH662</f>
        <v>1000000000</v>
      </c>
      <c r="D105" s="145">
        <f>AI662</f>
        <v>1000000000</v>
      </c>
      <c r="E105" s="145">
        <f>AJ662</f>
        <v>1000000000</v>
      </c>
      <c r="F105" s="145">
        <f>AK662</f>
        <v>1000000000</v>
      </c>
      <c r="G105" s="199" t="s">
        <v>411</v>
      </c>
      <c r="H105" s="145">
        <f t="shared" si="26"/>
        <v>1000000000</v>
      </c>
      <c r="J105" s="137" t="s">
        <v>412</v>
      </c>
      <c r="K105" s="139"/>
      <c r="L105" s="139"/>
      <c r="N105" s="138" t="s">
        <v>1551</v>
      </c>
      <c r="P105" s="140"/>
      <c r="R105" s="138" t="s">
        <v>634</v>
      </c>
      <c r="Y105" s="164"/>
      <c r="Z105" s="138" t="s">
        <v>635</v>
      </c>
      <c r="AG105" s="138" t="s">
        <v>636</v>
      </c>
      <c r="AM105" s="139" t="s">
        <v>653</v>
      </c>
      <c r="AN105" s="158">
        <f>COS(AN102*PI()/180)</f>
        <v>1</v>
      </c>
      <c r="AO105" s="158">
        <f>COS(AO102*PI()/180)</f>
        <v>6.1257422745431001E-17</v>
      </c>
      <c r="AP105" s="158">
        <f>COS(AP102*PI()/180)</f>
        <v>1</v>
      </c>
      <c r="AQ105" s="158">
        <f>COS(AQ102*PI()/180)</f>
        <v>6.1257422745431001E-17</v>
      </c>
      <c r="AR105" s="143"/>
      <c r="AS105" s="162">
        <f>$L373/1000000/AT5*2/AT7</f>
        <v>0.05</v>
      </c>
    </row>
    <row r="106" spans="1:45">
      <c r="B106" s="137" t="s">
        <v>413</v>
      </c>
      <c r="C106" s="145">
        <f>AH714</f>
        <v>1000000000</v>
      </c>
      <c r="D106" s="145">
        <f>AI714</f>
        <v>1000000000</v>
      </c>
      <c r="E106" s="145">
        <f>AJ714</f>
        <v>1000000000</v>
      </c>
      <c r="F106" s="145">
        <f>AK714</f>
        <v>1000000000</v>
      </c>
      <c r="G106" s="199" t="s">
        <v>414</v>
      </c>
      <c r="H106" s="145">
        <f t="shared" si="26"/>
        <v>1000000000</v>
      </c>
      <c r="J106" s="139" t="str">
        <f>A123</f>
        <v>T3/N52[SI]</v>
      </c>
      <c r="K106" s="137"/>
      <c r="L106" s="139"/>
      <c r="N106" s="139" t="s">
        <v>596</v>
      </c>
      <c r="O106" s="144">
        <f>G124</f>
        <v>22</v>
      </c>
      <c r="P106" s="144">
        <f>B64</f>
        <v>22</v>
      </c>
      <c r="Q106" s="145">
        <f t="shared" ref="Q106:Q111" si="28">P106/O106</f>
        <v>1</v>
      </c>
      <c r="R106" s="137"/>
      <c r="Z106" s="139" t="s">
        <v>531</v>
      </c>
      <c r="AA106" s="146">
        <f t="shared" ref="AA106:AD108" si="29">S108</f>
        <v>0</v>
      </c>
      <c r="AB106" s="146">
        <f t="shared" si="29"/>
        <v>90</v>
      </c>
      <c r="AC106" s="146">
        <f t="shared" si="29"/>
        <v>0</v>
      </c>
      <c r="AD106" s="146">
        <f t="shared" si="29"/>
        <v>90</v>
      </c>
      <c r="AE106" s="139" t="s">
        <v>532</v>
      </c>
      <c r="AF106" s="143" t="s">
        <v>533</v>
      </c>
      <c r="AG106" s="139" t="s">
        <v>531</v>
      </c>
      <c r="AH106" s="146">
        <f t="shared" ref="AH106:AK108" si="30">AA106</f>
        <v>0</v>
      </c>
      <c r="AI106" s="146">
        <f t="shared" si="30"/>
        <v>90</v>
      </c>
      <c r="AJ106" s="146">
        <f t="shared" si="30"/>
        <v>0</v>
      </c>
      <c r="AK106" s="146">
        <f t="shared" si="30"/>
        <v>90</v>
      </c>
      <c r="AM106" s="139" t="s">
        <v>654</v>
      </c>
      <c r="AN106" s="158">
        <f>SIN(AN102*PI()/180)</f>
        <v>0</v>
      </c>
      <c r="AO106" s="158">
        <f>SIN(AO102*PI()/180)</f>
        <v>1</v>
      </c>
      <c r="AP106" s="158">
        <f>SIN(AP102*PI()/180)</f>
        <v>0</v>
      </c>
      <c r="AQ106" s="158">
        <f>SIN(AQ102*PI()/180)</f>
        <v>1</v>
      </c>
      <c r="AS106" s="160" t="s">
        <v>655</v>
      </c>
    </row>
    <row r="107" spans="1:45">
      <c r="B107" s="137" t="s">
        <v>415</v>
      </c>
      <c r="C107" s="145">
        <f>AH766</f>
        <v>1000000000</v>
      </c>
      <c r="D107" s="145">
        <f>AI766</f>
        <v>1000000000</v>
      </c>
      <c r="E107" s="145">
        <f>AJ766</f>
        <v>1000000000</v>
      </c>
      <c r="F107" s="145">
        <f>AK766</f>
        <v>1000000000</v>
      </c>
      <c r="G107" s="199" t="s">
        <v>416</v>
      </c>
      <c r="H107" s="145">
        <f t="shared" si="26"/>
        <v>1000000000</v>
      </c>
      <c r="J107" s="139"/>
      <c r="K107" s="139"/>
      <c r="L107" s="139"/>
      <c r="N107" s="139" t="s">
        <v>600</v>
      </c>
      <c r="O107" s="147">
        <f>H124</f>
        <v>5.0000000000000001E-3</v>
      </c>
      <c r="P107" s="147">
        <f>C64</f>
        <v>5.0000000000000001E-3</v>
      </c>
      <c r="Q107" s="145">
        <f t="shared" si="28"/>
        <v>1</v>
      </c>
      <c r="R107" s="139" t="s">
        <v>243</v>
      </c>
      <c r="S107" s="143" t="s">
        <v>1562</v>
      </c>
      <c r="T107" s="143" t="s">
        <v>1563</v>
      </c>
      <c r="U107" s="143" t="s">
        <v>1564</v>
      </c>
      <c r="V107" s="143" t="s">
        <v>1565</v>
      </c>
      <c r="W107" s="143"/>
      <c r="X107" s="143"/>
      <c r="Z107" s="139" t="s">
        <v>536</v>
      </c>
      <c r="AA107" s="146">
        <f t="shared" si="29"/>
        <v>0</v>
      </c>
      <c r="AB107" s="146">
        <f t="shared" si="29"/>
        <v>0</v>
      </c>
      <c r="AC107" s="146">
        <f t="shared" si="29"/>
        <v>0</v>
      </c>
      <c r="AD107" s="146">
        <f t="shared" si="29"/>
        <v>0</v>
      </c>
      <c r="AE107" s="139">
        <f>W109</f>
        <v>1</v>
      </c>
      <c r="AF107" s="146">
        <f>X110</f>
        <v>0</v>
      </c>
      <c r="AG107" s="139" t="s">
        <v>536</v>
      </c>
      <c r="AH107" s="146">
        <f t="shared" si="30"/>
        <v>0</v>
      </c>
      <c r="AI107" s="146">
        <f t="shared" si="30"/>
        <v>0</v>
      </c>
      <c r="AJ107" s="146">
        <f t="shared" si="30"/>
        <v>0</v>
      </c>
      <c r="AK107" s="146">
        <f t="shared" si="30"/>
        <v>0</v>
      </c>
      <c r="AM107" s="139" t="s">
        <v>690</v>
      </c>
      <c r="AN107" s="158">
        <f>S408</f>
        <v>7.17</v>
      </c>
      <c r="AO107" s="158">
        <f>T408</f>
        <v>3.433333333333334</v>
      </c>
      <c r="AP107" s="158">
        <f>U408</f>
        <v>7.17</v>
      </c>
      <c r="AQ107" s="158">
        <f>V408</f>
        <v>3.433333333333334</v>
      </c>
      <c r="AR107" s="147"/>
      <c r="AS107" s="138">
        <f>AS103*AS105*AR103</f>
        <v>0</v>
      </c>
    </row>
    <row r="108" spans="1:45">
      <c r="B108" s="137" t="s">
        <v>417</v>
      </c>
      <c r="C108" s="145">
        <f>AH818</f>
        <v>1000000000</v>
      </c>
      <c r="D108" s="145">
        <f>AI818</f>
        <v>1000000000</v>
      </c>
      <c r="E108" s="145">
        <f>AJ818</f>
        <v>1000000000</v>
      </c>
      <c r="F108" s="145">
        <f>AK818</f>
        <v>1000000000</v>
      </c>
      <c r="G108" s="199" t="s">
        <v>418</v>
      </c>
      <c r="H108" s="145">
        <f t="shared" si="26"/>
        <v>1000000000</v>
      </c>
      <c r="J108" s="139" t="s">
        <v>1553</v>
      </c>
      <c r="K108" s="139" t="s">
        <v>1554</v>
      </c>
      <c r="L108" s="139" t="s">
        <v>1555</v>
      </c>
      <c r="M108" s="153" t="s">
        <v>1556</v>
      </c>
      <c r="N108" s="139" t="s">
        <v>1557</v>
      </c>
      <c r="O108" s="144">
        <f>G123</f>
        <v>122</v>
      </c>
      <c r="P108" s="144">
        <f>O108</f>
        <v>122</v>
      </c>
      <c r="Q108" s="145">
        <f t="shared" si="28"/>
        <v>1</v>
      </c>
      <c r="R108" s="139" t="s">
        <v>537</v>
      </c>
      <c r="S108" s="154">
        <f>C7+I8</f>
        <v>0</v>
      </c>
      <c r="T108" s="154">
        <f>D7+I8</f>
        <v>90</v>
      </c>
      <c r="U108" s="154">
        <f>E7+I8</f>
        <v>0</v>
      </c>
      <c r="V108" s="154">
        <f>F7+I8</f>
        <v>90</v>
      </c>
      <c r="W108" s="143" t="s">
        <v>538</v>
      </c>
      <c r="X108" s="143"/>
      <c r="Z108" s="139" t="s">
        <v>539</v>
      </c>
      <c r="AA108" s="146">
        <f t="shared" si="29"/>
        <v>0</v>
      </c>
      <c r="AB108" s="146">
        <f t="shared" si="29"/>
        <v>3.1415926535897931</v>
      </c>
      <c r="AC108" s="146">
        <f t="shared" si="29"/>
        <v>0</v>
      </c>
      <c r="AD108" s="146">
        <f t="shared" si="29"/>
        <v>3.1415926535897931</v>
      </c>
      <c r="AE108" s="139" t="s">
        <v>540</v>
      </c>
      <c r="AF108" s="141">
        <f>W116</f>
        <v>0</v>
      </c>
      <c r="AG108" s="139" t="s">
        <v>539</v>
      </c>
      <c r="AH108" s="146">
        <f t="shared" si="30"/>
        <v>0</v>
      </c>
      <c r="AI108" s="146">
        <f t="shared" si="30"/>
        <v>3.1415926535897931</v>
      </c>
      <c r="AJ108" s="146">
        <f t="shared" si="30"/>
        <v>0</v>
      </c>
      <c r="AK108" s="146">
        <f t="shared" si="30"/>
        <v>3.1415926535897931</v>
      </c>
      <c r="AM108" s="139" t="s">
        <v>692</v>
      </c>
      <c r="AN108" s="158">
        <f>S407</f>
        <v>3.433333333333334</v>
      </c>
      <c r="AO108" s="158">
        <f>T407</f>
        <v>7.17</v>
      </c>
      <c r="AP108" s="158">
        <f>U407</f>
        <v>3.433333333333334</v>
      </c>
      <c r="AQ108" s="158">
        <f>V407</f>
        <v>7.17</v>
      </c>
    </row>
    <row r="109" spans="1:45">
      <c r="G109" s="138" t="s">
        <v>419</v>
      </c>
      <c r="H109" s="140">
        <f>MIN(H93:H108)</f>
        <v>3.3273632318047537E-2</v>
      </c>
      <c r="J109" s="139" t="s">
        <v>298</v>
      </c>
      <c r="K109" s="140">
        <f>B123</f>
        <v>181</v>
      </c>
      <c r="L109" s="140">
        <f>L116*L115</f>
        <v>181.00000000000003</v>
      </c>
      <c r="M109" s="145">
        <f>L109/K109</f>
        <v>1.0000000000000002</v>
      </c>
      <c r="N109" s="139" t="s">
        <v>299</v>
      </c>
      <c r="O109" s="144">
        <f>H123</f>
        <v>160</v>
      </c>
      <c r="P109" s="144">
        <f>O109-H126*(P107)</f>
        <v>150</v>
      </c>
      <c r="Q109" s="145">
        <f t="shared" si="28"/>
        <v>0.9375</v>
      </c>
      <c r="R109" s="139" t="s">
        <v>541</v>
      </c>
      <c r="S109" s="154">
        <f>C8</f>
        <v>0</v>
      </c>
      <c r="T109" s="154">
        <f>D8</f>
        <v>0</v>
      </c>
      <c r="U109" s="154">
        <f>E8</f>
        <v>0</v>
      </c>
      <c r="V109" s="154">
        <f>F8</f>
        <v>0</v>
      </c>
      <c r="W109" s="156">
        <f>G8</f>
        <v>1</v>
      </c>
      <c r="X109" s="143"/>
      <c r="Z109" s="139"/>
      <c r="AA109" s="141">
        <f>AA108/2</f>
        <v>0</v>
      </c>
      <c r="AB109" s="141">
        <f>AB108/2</f>
        <v>1.5707963267948966</v>
      </c>
      <c r="AC109" s="141">
        <f>AC108/2</f>
        <v>0</v>
      </c>
      <c r="AD109" s="141">
        <f>AD108/2</f>
        <v>1.5707963267948966</v>
      </c>
      <c r="AE109" s="143"/>
      <c r="AL109" s="139"/>
      <c r="AM109" s="139" t="s">
        <v>660</v>
      </c>
      <c r="AN109" s="158">
        <f>S413</f>
        <v>0</v>
      </c>
      <c r="AO109" s="158">
        <f>T413</f>
        <v>2.2889856965876046E-16</v>
      </c>
      <c r="AP109" s="158">
        <f>U413</f>
        <v>0</v>
      </c>
      <c r="AQ109" s="158">
        <f>V413</f>
        <v>2.2889856965876046E-16</v>
      </c>
    </row>
    <row r="110" spans="1:45">
      <c r="A110" s="203" t="s">
        <v>420</v>
      </c>
      <c r="J110" s="139" t="s">
        <v>1579</v>
      </c>
      <c r="K110" s="140">
        <f>C123</f>
        <v>10.3</v>
      </c>
      <c r="L110" s="140">
        <f>(1+L119)/(1/L120+L119/L117)</f>
        <v>10.3</v>
      </c>
      <c r="M110" s="145">
        <f>L110/K110</f>
        <v>1</v>
      </c>
      <c r="N110" s="139" t="s">
        <v>1580</v>
      </c>
      <c r="O110" s="140">
        <f>(O109-O106)/(O109-O106)</f>
        <v>1</v>
      </c>
      <c r="P110" s="140">
        <f>(P109-P106)/(P109-O106)</f>
        <v>1</v>
      </c>
      <c r="Q110" s="145">
        <f t="shared" si="28"/>
        <v>1</v>
      </c>
      <c r="R110" s="139" t="s">
        <v>1295</v>
      </c>
      <c r="S110" s="158">
        <f>S108*PI()/90</f>
        <v>0</v>
      </c>
      <c r="T110" s="158">
        <f>T108*PI()/90</f>
        <v>3.1415926535897931</v>
      </c>
      <c r="U110" s="158">
        <f>U108*PI()/90</f>
        <v>0</v>
      </c>
      <c r="V110" s="158">
        <f>V108*PI()/90</f>
        <v>3.1415926535897931</v>
      </c>
      <c r="W110" s="143" t="s">
        <v>1296</v>
      </c>
      <c r="X110" s="146"/>
      <c r="Z110" s="137" t="s">
        <v>1297</v>
      </c>
      <c r="AA110" s="143"/>
      <c r="AB110" s="143"/>
      <c r="AC110" s="141"/>
      <c r="AD110" s="141"/>
      <c r="AE110" s="141"/>
      <c r="AG110" s="137" t="s">
        <v>1298</v>
      </c>
      <c r="AL110" s="139"/>
      <c r="AM110" s="139" t="s">
        <v>662</v>
      </c>
      <c r="AN110" s="158">
        <f>AN107/(AN107*AN108-AN109^2)</f>
        <v>0.29126213592233002</v>
      </c>
      <c r="AO110" s="158">
        <f>AO107/(AO107*AO108-AO109^2)</f>
        <v>0.1394700139470014</v>
      </c>
      <c r="AP110" s="158">
        <f>AP107/(AP107*AP108-AP109^2)</f>
        <v>0.29126213592233002</v>
      </c>
      <c r="AQ110" s="158">
        <f>AQ107/(AQ107*AQ108-AQ109^2)</f>
        <v>0.1394700139470014</v>
      </c>
    </row>
    <row r="111" spans="1:45">
      <c r="A111" s="204" t="s">
        <v>1582</v>
      </c>
      <c r="B111" s="138">
        <v>181</v>
      </c>
      <c r="C111" s="138">
        <v>10.3</v>
      </c>
      <c r="D111" s="138">
        <v>0.28000000000000003</v>
      </c>
      <c r="E111" s="138">
        <v>7.17</v>
      </c>
      <c r="F111" s="138">
        <v>3.4</v>
      </c>
      <c r="G111" s="138">
        <v>122</v>
      </c>
      <c r="H111" s="205">
        <v>160</v>
      </c>
      <c r="J111" s="139" t="s">
        <v>259</v>
      </c>
      <c r="K111" s="140">
        <f>D123</f>
        <v>0.28000000000000003</v>
      </c>
      <c r="L111" s="140">
        <f>K111*I64</f>
        <v>0.28000000000000003</v>
      </c>
      <c r="M111" s="145">
        <f>L111/K111</f>
        <v>1</v>
      </c>
      <c r="N111" s="139" t="s">
        <v>260</v>
      </c>
      <c r="O111" s="144">
        <f>O106-O108</f>
        <v>-100</v>
      </c>
      <c r="P111" s="144">
        <f>P106-P108</f>
        <v>-100</v>
      </c>
      <c r="Q111" s="145">
        <f t="shared" si="28"/>
        <v>1</v>
      </c>
      <c r="R111" s="139" t="s">
        <v>1300</v>
      </c>
      <c r="S111" s="158">
        <f>2*S110</f>
        <v>0</v>
      </c>
      <c r="T111" s="158">
        <f>2*T110</f>
        <v>6.2831853071795862</v>
      </c>
      <c r="U111" s="158">
        <f>2*U110</f>
        <v>0</v>
      </c>
      <c r="V111" s="158">
        <f>2*V110</f>
        <v>6.2831853071795862</v>
      </c>
      <c r="W111" s="138" t="s">
        <v>651</v>
      </c>
      <c r="X111" s="143" t="s">
        <v>652</v>
      </c>
      <c r="Y111" s="143" t="s">
        <v>646</v>
      </c>
      <c r="Z111" s="139"/>
      <c r="AA111" s="143" t="s">
        <v>1301</v>
      </c>
      <c r="AB111" s="143"/>
      <c r="AC111" s="161" t="s">
        <v>977</v>
      </c>
      <c r="AD111" s="161"/>
      <c r="AE111" s="143" t="s">
        <v>1303</v>
      </c>
      <c r="AF111" s="143" t="s">
        <v>1304</v>
      </c>
      <c r="AG111" s="139" t="s">
        <v>1305</v>
      </c>
      <c r="AH111" s="147">
        <f t="shared" ref="AH111:AK113" si="31">AA117/1000</f>
        <v>0</v>
      </c>
      <c r="AI111" s="147">
        <f t="shared" si="31"/>
        <v>0</v>
      </c>
      <c r="AJ111" s="147">
        <f t="shared" si="31"/>
        <v>0</v>
      </c>
      <c r="AK111" s="147">
        <f t="shared" si="31"/>
        <v>0</v>
      </c>
      <c r="AL111" s="157"/>
      <c r="AM111" s="139" t="s">
        <v>665</v>
      </c>
      <c r="AN111" s="158">
        <f>AN108/(AN107*AN108-AN109^2)</f>
        <v>0.1394700139470014</v>
      </c>
      <c r="AO111" s="158">
        <f>AO108/(AO107*AO108-AO109^2)</f>
        <v>0.29126213592233002</v>
      </c>
      <c r="AP111" s="158">
        <f>AP108/(AP107*AP108-AP109^2)</f>
        <v>0.1394700139470014</v>
      </c>
      <c r="AQ111" s="158">
        <f>AQ108/(AQ107*AQ108-AQ109^2)</f>
        <v>0.29126213592233002</v>
      </c>
    </row>
    <row r="112" spans="1:45">
      <c r="A112" s="206">
        <v>1500</v>
      </c>
      <c r="B112" s="138">
        <v>1500</v>
      </c>
      <c r="C112" s="138">
        <v>40</v>
      </c>
      <c r="D112" s="138">
        <v>246</v>
      </c>
      <c r="E112" s="138">
        <v>68</v>
      </c>
      <c r="F112" s="138">
        <v>1.2</v>
      </c>
      <c r="G112" s="138">
        <v>22</v>
      </c>
      <c r="H112" s="205">
        <v>5.0000000000000001E-3</v>
      </c>
      <c r="J112" s="139" t="s">
        <v>261</v>
      </c>
      <c r="K112" s="140">
        <f>E123</f>
        <v>7.17</v>
      </c>
      <c r="L112" s="140">
        <f>(1+L122)/(1/L123+L122*2.7/L117)</f>
        <v>7.17</v>
      </c>
      <c r="M112" s="145">
        <f>L112/K112</f>
        <v>1</v>
      </c>
      <c r="N112" s="139"/>
      <c r="O112" s="140"/>
      <c r="P112" s="140"/>
      <c r="Q112" s="140"/>
      <c r="R112" s="139" t="s">
        <v>1321</v>
      </c>
      <c r="S112" s="158">
        <f>2*W109*S109*L113/1000000/Y112</f>
        <v>0</v>
      </c>
      <c r="T112" s="158">
        <f>2*W109*T109*L113/1000000/Y112</f>
        <v>0</v>
      </c>
      <c r="U112" s="158">
        <f>2*W109*U109*L113/1000000/Y112</f>
        <v>0</v>
      </c>
      <c r="V112" s="158">
        <f>2*W109*V109*L113/1000000/Y112</f>
        <v>0</v>
      </c>
      <c r="W112" s="147">
        <f>SUM(S112:V112)</f>
        <v>0</v>
      </c>
      <c r="X112" s="163">
        <f>2*W109*SUM(S109:V109)*L113/1000000</f>
        <v>0</v>
      </c>
      <c r="Y112" s="147">
        <f>Y60</f>
        <v>5.0000000000000001E-4</v>
      </c>
      <c r="Z112" s="139">
        <v>1</v>
      </c>
      <c r="AA112" s="140">
        <f>$B$37</f>
        <v>1</v>
      </c>
      <c r="AB112" s="163"/>
      <c r="AC112" s="140">
        <f>AC60</f>
        <v>119.49416590714854</v>
      </c>
      <c r="AD112" s="163"/>
      <c r="AE112" s="159" t="s">
        <v>1306</v>
      </c>
      <c r="AF112" s="163">
        <f>IF(X112=0,0,(AC112+AC113)/2)</f>
        <v>0</v>
      </c>
      <c r="AG112" s="139" t="s">
        <v>1307</v>
      </c>
      <c r="AH112" s="147">
        <f t="shared" si="31"/>
        <v>0</v>
      </c>
      <c r="AI112" s="147">
        <f t="shared" si="31"/>
        <v>0</v>
      </c>
      <c r="AJ112" s="147">
        <f t="shared" si="31"/>
        <v>0</v>
      </c>
      <c r="AK112" s="147">
        <f t="shared" si="31"/>
        <v>0</v>
      </c>
      <c r="AL112" s="157"/>
      <c r="AM112" s="138" t="s">
        <v>666</v>
      </c>
      <c r="AN112" s="141">
        <f>-AN109/(AN107*AN108-AN109^2)</f>
        <v>0</v>
      </c>
      <c r="AO112" s="141">
        <f>-AO109/(AO107*AO108-AO109^2)</f>
        <v>-9.2983941852687333E-18</v>
      </c>
      <c r="AP112" s="141">
        <f>-AP109/(AP107*AP108-AP109^2)</f>
        <v>0</v>
      </c>
      <c r="AQ112" s="141">
        <f>-AQ109/(AQ107*AQ108-AQ109^2)</f>
        <v>-9.2983941852687333E-18</v>
      </c>
    </row>
    <row r="113" spans="1:45">
      <c r="A113" s="206">
        <v>-0.5</v>
      </c>
      <c r="B113" s="138">
        <v>125</v>
      </c>
      <c r="C113" s="138">
        <v>0.7</v>
      </c>
      <c r="D113" s="138">
        <v>1.6</v>
      </c>
      <c r="E113" s="138">
        <v>0.51600000000000001</v>
      </c>
      <c r="F113" s="138">
        <v>0.5</v>
      </c>
      <c r="G113" s="138">
        <v>0.2</v>
      </c>
      <c r="H113" s="205">
        <v>0.9</v>
      </c>
      <c r="J113" s="139" t="s">
        <v>262</v>
      </c>
      <c r="K113" s="144">
        <f>B125</f>
        <v>125</v>
      </c>
      <c r="L113" s="144">
        <f>K113/M115</f>
        <v>125</v>
      </c>
      <c r="M113" s="145">
        <f>L113/K113</f>
        <v>1</v>
      </c>
      <c r="N113" s="137" t="s">
        <v>1531</v>
      </c>
      <c r="O113" s="140"/>
      <c r="P113" s="140"/>
      <c r="Q113" s="140"/>
      <c r="R113" s="139" t="s">
        <v>1325</v>
      </c>
      <c r="S113" s="143" t="s">
        <v>1326</v>
      </c>
      <c r="T113" s="143" t="s">
        <v>1327</v>
      </c>
      <c r="U113" s="143" t="s">
        <v>1328</v>
      </c>
      <c r="V113" s="143" t="s">
        <v>1329</v>
      </c>
      <c r="W113" s="143" t="s">
        <v>1330</v>
      </c>
      <c r="X113" s="139"/>
      <c r="Z113" s="139">
        <v>2</v>
      </c>
      <c r="AA113" s="140">
        <f>$B$38</f>
        <v>0</v>
      </c>
      <c r="AB113" s="163"/>
      <c r="AC113" s="140">
        <f>AC61</f>
        <v>-19.975848039852647</v>
      </c>
      <c r="AD113" s="163"/>
      <c r="AE113" s="159" t="s">
        <v>1309</v>
      </c>
      <c r="AF113" s="163">
        <f>IF(X112=0,0,(AC112-AC113)/2)</f>
        <v>0</v>
      </c>
      <c r="AG113" s="139" t="s">
        <v>1310</v>
      </c>
      <c r="AH113" s="147">
        <f t="shared" si="31"/>
        <v>0</v>
      </c>
      <c r="AI113" s="147">
        <f t="shared" si="31"/>
        <v>0</v>
      </c>
      <c r="AJ113" s="147">
        <f t="shared" si="31"/>
        <v>0</v>
      </c>
      <c r="AK113" s="147">
        <f t="shared" si="31"/>
        <v>0</v>
      </c>
      <c r="AL113" s="157"/>
      <c r="AM113" s="138" t="s">
        <v>637</v>
      </c>
      <c r="AN113" s="141"/>
      <c r="AO113" s="141"/>
      <c r="AR113" s="141"/>
      <c r="AS113" s="141"/>
    </row>
    <row r="114" spans="1:45">
      <c r="A114" s="206">
        <v>0.02</v>
      </c>
      <c r="B114" s="138">
        <v>22.5</v>
      </c>
      <c r="C114" s="207">
        <v>0</v>
      </c>
      <c r="D114" s="138">
        <v>0.6</v>
      </c>
      <c r="E114" s="138">
        <v>0.316</v>
      </c>
      <c r="F114" s="138">
        <v>4.0000000000000001E-3</v>
      </c>
      <c r="G114" s="138">
        <v>4.0000000000000001E-3</v>
      </c>
      <c r="H114" s="205">
        <v>2000</v>
      </c>
      <c r="J114" s="137" t="s">
        <v>264</v>
      </c>
      <c r="K114" s="140"/>
      <c r="L114" s="140"/>
      <c r="N114" s="139" t="s">
        <v>265</v>
      </c>
      <c r="O114" s="140">
        <f>A126</f>
        <v>0.02</v>
      </c>
      <c r="P114" s="140">
        <f>O114</f>
        <v>0.02</v>
      </c>
      <c r="Q114" s="140">
        <f>P114/O114</f>
        <v>1</v>
      </c>
      <c r="R114" s="139">
        <v>11</v>
      </c>
      <c r="S114" s="140">
        <f>L131+L132*COS(S110)+L133*COS(S111)</f>
        <v>181.81113884441794</v>
      </c>
      <c r="T114" s="140">
        <f>L131+L132*COS(T110)+L133*COS(T111)</f>
        <v>10.346158729820477</v>
      </c>
      <c r="U114" s="140">
        <f>L131+L132*COS(U110)+L133*COS(U111)</f>
        <v>181.81113884441794</v>
      </c>
      <c r="V114" s="140">
        <f>L131+L132*COS(V110)+L133*COS(V111)</f>
        <v>10.346158729820477</v>
      </c>
      <c r="W114" s="163">
        <f>(S112*S114+T112*T114+U112*U114+V112*V114)</f>
        <v>0</v>
      </c>
      <c r="X114" s="147"/>
      <c r="Z114" s="139">
        <v>6</v>
      </c>
      <c r="AA114" s="140">
        <f>$B$39</f>
        <v>0</v>
      </c>
      <c r="AB114" s="163"/>
      <c r="AC114" s="140">
        <f>AC62</f>
        <v>-91.562516762323497</v>
      </c>
      <c r="AD114" s="163"/>
      <c r="AE114" s="159" t="s">
        <v>1312</v>
      </c>
      <c r="AF114" s="163">
        <f>IF(X112=0,0,AC114/2)</f>
        <v>0</v>
      </c>
      <c r="AG114" s="139"/>
      <c r="AH114" s="163"/>
      <c r="AI114" s="163"/>
      <c r="AJ114" s="163"/>
      <c r="AK114" s="163"/>
      <c r="AL114" s="163"/>
      <c r="AM114" s="137"/>
      <c r="AN114" s="141"/>
      <c r="AO114" s="141"/>
      <c r="AR114" s="141"/>
      <c r="AS114" s="143"/>
    </row>
    <row r="115" spans="1:45">
      <c r="A115" s="208">
        <v>0.15</v>
      </c>
      <c r="B115" s="209">
        <v>0.01</v>
      </c>
      <c r="C115" s="209">
        <v>1</v>
      </c>
      <c r="D115" s="209">
        <v>1</v>
      </c>
      <c r="E115" s="209">
        <v>0.1</v>
      </c>
      <c r="F115" s="209">
        <v>0.5</v>
      </c>
      <c r="G115" s="209"/>
      <c r="H115" s="210"/>
      <c r="J115" s="139" t="s">
        <v>1532</v>
      </c>
      <c r="K115" s="140">
        <f>C125</f>
        <v>0.7</v>
      </c>
      <c r="L115" s="140">
        <f>D64</f>
        <v>0.7</v>
      </c>
      <c r="M115" s="145">
        <f t="shared" ref="M115:M124" si="32">L115/K115</f>
        <v>1</v>
      </c>
      <c r="N115" s="139" t="s">
        <v>1533</v>
      </c>
      <c r="O115" s="140">
        <f>B126</f>
        <v>22.5</v>
      </c>
      <c r="P115" s="140">
        <f>O115*(1-L115)/(1-K115)</f>
        <v>22.5</v>
      </c>
      <c r="Q115" s="140">
        <f>P115/O115</f>
        <v>1</v>
      </c>
      <c r="R115" s="139">
        <v>22</v>
      </c>
      <c r="S115" s="140">
        <f>S114-2*L132*COS(S110)</f>
        <v>10.346158729820473</v>
      </c>
      <c r="T115" s="140">
        <f>T114-2*L132*COS(T110)</f>
        <v>181.81113884441794</v>
      </c>
      <c r="U115" s="140">
        <f>U114-2*L132*COS(U110)</f>
        <v>10.346158729820473</v>
      </c>
      <c r="V115" s="140">
        <f>V114-2*L132*COS(V110)</f>
        <v>181.81113884441794</v>
      </c>
      <c r="W115" s="163">
        <f>(S112*S115+T112*T115+U112*U115+V112*V115)</f>
        <v>0</v>
      </c>
      <c r="X115" s="147"/>
      <c r="AA115" s="163"/>
      <c r="AB115" s="163"/>
      <c r="AC115" s="163"/>
      <c r="AD115" s="163"/>
      <c r="AE115" s="159"/>
      <c r="AF115" s="163"/>
      <c r="AG115" s="139"/>
      <c r="AH115" s="163"/>
      <c r="AI115" s="163"/>
      <c r="AJ115" s="163"/>
      <c r="AK115" s="163"/>
      <c r="AL115" s="163"/>
      <c r="AM115" s="139" t="s">
        <v>243</v>
      </c>
      <c r="AN115" s="143" t="s">
        <v>1562</v>
      </c>
      <c r="AO115" s="143" t="s">
        <v>1563</v>
      </c>
      <c r="AP115" s="143" t="s">
        <v>1564</v>
      </c>
      <c r="AQ115" s="143" t="s">
        <v>1565</v>
      </c>
      <c r="AR115" s="143"/>
      <c r="AS115" s="143"/>
    </row>
    <row r="116" spans="1:45">
      <c r="A116" s="204" t="s">
        <v>1582</v>
      </c>
      <c r="B116" s="138">
        <v>181</v>
      </c>
      <c r="C116" s="138">
        <v>10.3</v>
      </c>
      <c r="D116" s="138">
        <v>0.28000000000000003</v>
      </c>
      <c r="E116" s="138">
        <v>7.17</v>
      </c>
      <c r="F116" s="138">
        <v>3.4</v>
      </c>
      <c r="G116" s="138">
        <v>122</v>
      </c>
      <c r="H116" s="205">
        <v>160</v>
      </c>
      <c r="J116" s="139" t="s">
        <v>1534</v>
      </c>
      <c r="K116" s="144">
        <f>K109/K115</f>
        <v>258.57142857142861</v>
      </c>
      <c r="L116" s="144">
        <f>F64*P110^F126</f>
        <v>258.57142857142861</v>
      </c>
      <c r="M116" s="145">
        <f t="shared" si="32"/>
        <v>1</v>
      </c>
      <c r="N116" s="138" t="s">
        <v>1535</v>
      </c>
      <c r="O116" s="140"/>
      <c r="P116" s="140"/>
      <c r="Q116" s="140"/>
      <c r="R116" s="139" t="s">
        <v>1345</v>
      </c>
      <c r="S116" s="140">
        <f>L134-L133*COS(S111)</f>
        <v>2.8969244443497324</v>
      </c>
      <c r="T116" s="140">
        <f>L134-L133*COS(T111)</f>
        <v>2.8969244443497324</v>
      </c>
      <c r="U116" s="140">
        <f>L134-L133*COS(U111)</f>
        <v>2.8969244443497324</v>
      </c>
      <c r="V116" s="140">
        <f>L134-L133*COS(V111)</f>
        <v>2.8969244443497324</v>
      </c>
      <c r="W116" s="163">
        <f>(S112*S116+T112*T116+U112*U116+V112*V116)</f>
        <v>0</v>
      </c>
      <c r="X116" s="147"/>
      <c r="Z116" s="137" t="s">
        <v>1323</v>
      </c>
      <c r="AA116" s="163"/>
      <c r="AB116" s="163"/>
      <c r="AC116" s="163"/>
      <c r="AD116" s="163"/>
      <c r="AE116" s="159" t="s">
        <v>661</v>
      </c>
      <c r="AF116" s="163">
        <f>L111/L109*L126+L124/L110*L128</f>
        <v>0.42188220063345594</v>
      </c>
      <c r="AG116" s="139"/>
      <c r="AH116" s="163"/>
      <c r="AI116" s="163"/>
      <c r="AJ116" s="163"/>
      <c r="AK116" s="163"/>
      <c r="AL116" s="163"/>
      <c r="AM116" s="139" t="s">
        <v>537</v>
      </c>
      <c r="AN116" s="154">
        <f t="shared" ref="AN116:AQ117" si="33">S420</f>
        <v>0</v>
      </c>
      <c r="AO116" s="154">
        <f t="shared" si="33"/>
        <v>90</v>
      </c>
      <c r="AP116" s="154">
        <f t="shared" si="33"/>
        <v>0</v>
      </c>
      <c r="AQ116" s="154">
        <f t="shared" si="33"/>
        <v>90</v>
      </c>
      <c r="AR116" s="143" t="s">
        <v>538</v>
      </c>
      <c r="AS116" s="143" t="s">
        <v>652</v>
      </c>
    </row>
    <row r="117" spans="1:45">
      <c r="A117" s="206">
        <v>1500</v>
      </c>
      <c r="B117" s="138">
        <v>1500</v>
      </c>
      <c r="C117" s="138">
        <v>40</v>
      </c>
      <c r="D117" s="138">
        <v>246</v>
      </c>
      <c r="E117" s="138">
        <v>68</v>
      </c>
      <c r="F117" s="138">
        <v>1.2</v>
      </c>
      <c r="G117" s="138">
        <v>22</v>
      </c>
      <c r="H117" s="205">
        <v>5.0000000000000001E-3</v>
      </c>
      <c r="J117" s="139" t="s">
        <v>1536</v>
      </c>
      <c r="K117" s="140">
        <f>F123</f>
        <v>3.4</v>
      </c>
      <c r="L117" s="140">
        <f>E64*P110^F125*I64</f>
        <v>3.4</v>
      </c>
      <c r="M117" s="145">
        <f t="shared" si="32"/>
        <v>1</v>
      </c>
      <c r="N117" s="139" t="s">
        <v>1537</v>
      </c>
      <c r="O117" s="140">
        <f>C126</f>
        <v>0</v>
      </c>
      <c r="P117" s="140">
        <f>O117</f>
        <v>0</v>
      </c>
      <c r="Q117" s="140">
        <v>1</v>
      </c>
      <c r="R117" s="139">
        <v>66</v>
      </c>
      <c r="S117" s="140">
        <f>S116-L134+L135</f>
        <v>7.1700000000000053</v>
      </c>
      <c r="T117" s="140">
        <f>T116-L134+L135</f>
        <v>7.1700000000000053</v>
      </c>
      <c r="U117" s="140">
        <f>U116-L134+L135</f>
        <v>7.1700000000000053</v>
      </c>
      <c r="V117" s="140">
        <f>V116-L134+L135</f>
        <v>7.1700000000000053</v>
      </c>
      <c r="W117" s="163">
        <f>(S112*S117+T112*T117+U112*U117+V112*V117)</f>
        <v>0</v>
      </c>
      <c r="X117" s="147"/>
      <c r="Z117" s="139" t="s">
        <v>1324</v>
      </c>
      <c r="AA117" s="147">
        <f>(AF112+AF113*COS(AA108)+AF114*SIN(AA108))</f>
        <v>0</v>
      </c>
      <c r="AB117" s="147">
        <f>(AF112+AF113*COS(AB108)+AF114*SIN(AB108))</f>
        <v>0</v>
      </c>
      <c r="AC117" s="147">
        <f>(AF112+AF113*COS(AC108)+AF114*SIN(AC108))</f>
        <v>0</v>
      </c>
      <c r="AD117" s="147">
        <f>(AF112+AF113*COS(AD108)+AF114*SIN(AD108))</f>
        <v>0</v>
      </c>
      <c r="AE117" s="159" t="s">
        <v>664</v>
      </c>
      <c r="AF117" s="163">
        <f>L111/L109*L128+L124/L110*L127</f>
        <v>0.50672214511948566</v>
      </c>
      <c r="AG117" s="137"/>
      <c r="AH117" s="159"/>
      <c r="AI117" s="159"/>
      <c r="AJ117" s="159"/>
      <c r="AK117" s="159"/>
      <c r="AL117" s="163"/>
      <c r="AM117" s="139" t="s">
        <v>541</v>
      </c>
      <c r="AN117" s="154">
        <f t="shared" si="33"/>
        <v>0</v>
      </c>
      <c r="AO117" s="154">
        <f t="shared" si="33"/>
        <v>0</v>
      </c>
      <c r="AP117" s="154">
        <f t="shared" si="33"/>
        <v>0</v>
      </c>
      <c r="AQ117" s="154">
        <f t="shared" si="33"/>
        <v>0</v>
      </c>
      <c r="AR117" s="156">
        <f>W421</f>
        <v>1</v>
      </c>
      <c r="AS117" s="146">
        <f>SUM(AN117:AQ117)</f>
        <v>0</v>
      </c>
    </row>
    <row r="118" spans="1:45">
      <c r="A118" s="206">
        <v>-0.5</v>
      </c>
      <c r="B118" s="138">
        <v>125</v>
      </c>
      <c r="C118" s="138">
        <v>0.7</v>
      </c>
      <c r="D118" s="138">
        <v>1.6</v>
      </c>
      <c r="E118" s="138">
        <v>0.51600000000000001</v>
      </c>
      <c r="F118" s="138">
        <v>0.5</v>
      </c>
      <c r="G118" s="138">
        <v>0.2</v>
      </c>
      <c r="H118" s="205">
        <v>0.9</v>
      </c>
      <c r="J118" s="139" t="s">
        <v>1538</v>
      </c>
      <c r="K118" s="140">
        <f>E125</f>
        <v>0.51600000000000001</v>
      </c>
      <c r="L118" s="140">
        <f>K118*P110^G125</f>
        <v>0.51600000000000001</v>
      </c>
      <c r="M118" s="145">
        <f t="shared" si="32"/>
        <v>1</v>
      </c>
      <c r="N118" s="139" t="s">
        <v>1539</v>
      </c>
      <c r="O118" s="140">
        <f>D126</f>
        <v>0.6</v>
      </c>
      <c r="P118" s="140">
        <f>O118*(1-L115)/(1-K115)</f>
        <v>0.6</v>
      </c>
      <c r="Q118" s="140">
        <f>P118/O118</f>
        <v>1</v>
      </c>
      <c r="R118" s="139" t="s">
        <v>1347</v>
      </c>
      <c r="S118" s="140">
        <f>L132*SIN(S110)/2+L133*SIN(S111)</f>
        <v>0</v>
      </c>
      <c r="T118" s="140">
        <f>L132*SIN(T110)/2+L133*SIN(T111)</f>
        <v>4.221105484146412E-16</v>
      </c>
      <c r="U118" s="140">
        <f>L132*SIN(U110)/2+L133*SIN(U111)</f>
        <v>0</v>
      </c>
      <c r="V118" s="140">
        <f>L132*SIN(V110)/2+L133*SIN(V111)</f>
        <v>4.221105484146412E-16</v>
      </c>
      <c r="W118" s="163">
        <f>(S112*S118+T112*T118+U112*U118+V112*V118)</f>
        <v>0</v>
      </c>
      <c r="X118" s="147"/>
      <c r="Z118" s="139" t="s">
        <v>1332</v>
      </c>
      <c r="AA118" s="147">
        <f>2*AF112-AA117</f>
        <v>0</v>
      </c>
      <c r="AB118" s="147">
        <f>2*AF112-AB117</f>
        <v>0</v>
      </c>
      <c r="AC118" s="147">
        <f>2*AF112-AC117</f>
        <v>0</v>
      </c>
      <c r="AD118" s="147">
        <f>2*AF112-AD117</f>
        <v>0</v>
      </c>
      <c r="AE118" s="159"/>
      <c r="AF118" s="163"/>
      <c r="AG118" s="139" t="s">
        <v>1333</v>
      </c>
      <c r="AH118" s="163">
        <f>P137*AH111^2+2*P139*AH111*AH112+P138*AH112^2+P140*AH113^2</f>
        <v>0</v>
      </c>
      <c r="AI118" s="163">
        <f>P137*AI111^2+2*P139*AI111*AI112+P138*AI112^2+P140*AI113^2</f>
        <v>0</v>
      </c>
      <c r="AJ118" s="163">
        <f>P137*AJ111^2+2*P139*AJ111*AJ112+P138*AJ112^2+P140*AJ113^2</f>
        <v>0</v>
      </c>
      <c r="AK118" s="163">
        <f>P137*AK111^2+2*P139*AK111*AK112+P138*AK112^2+P140*AK113^2</f>
        <v>0</v>
      </c>
      <c r="AL118" s="163"/>
      <c r="AM118" s="138" t="s">
        <v>648</v>
      </c>
      <c r="AN118" s="158">
        <f>AN116*PI()/180</f>
        <v>0</v>
      </c>
      <c r="AO118" s="158">
        <f>AO116*PI()/180</f>
        <v>1.5707963267948966</v>
      </c>
      <c r="AP118" s="158">
        <f>AP116*PI()/180</f>
        <v>0</v>
      </c>
      <c r="AQ118" s="158">
        <f>AQ116*PI()/180</f>
        <v>1.5707963267948966</v>
      </c>
      <c r="AS118" s="159" t="s">
        <v>683</v>
      </c>
    </row>
    <row r="119" spans="1:45">
      <c r="A119" s="206">
        <v>0.02</v>
      </c>
      <c r="B119" s="138">
        <v>22.5</v>
      </c>
      <c r="C119" s="207">
        <v>0</v>
      </c>
      <c r="D119" s="138">
        <v>0.6</v>
      </c>
      <c r="E119" s="138">
        <v>0.316</v>
      </c>
      <c r="F119" s="138">
        <v>4.0000000000000001E-3</v>
      </c>
      <c r="G119" s="138">
        <v>4.0000000000000001E-3</v>
      </c>
      <c r="H119" s="205">
        <v>2000</v>
      </c>
      <c r="J119" s="139" t="s">
        <v>1547</v>
      </c>
      <c r="K119" s="140">
        <f>K118*(1-K115)/K115</f>
        <v>0.2211428571428572</v>
      </c>
      <c r="L119" s="140">
        <f>L118*(1-L115)/L115</f>
        <v>0.2211428571428572</v>
      </c>
      <c r="M119" s="145">
        <f t="shared" si="32"/>
        <v>1</v>
      </c>
      <c r="O119" s="140"/>
      <c r="P119" s="140"/>
      <c r="Q119" s="140"/>
      <c r="R119" s="139" t="s">
        <v>1349</v>
      </c>
      <c r="S119" s="140">
        <f>L132*SIN(S110)-S118</f>
        <v>0</v>
      </c>
      <c r="T119" s="140">
        <f>L132*SIN(T110)-T118</f>
        <v>1.0081392224502176E-14</v>
      </c>
      <c r="U119" s="140">
        <f>L132*SIN(U110)-U118</f>
        <v>0</v>
      </c>
      <c r="V119" s="140">
        <f>L132*SIN(V110)-V118</f>
        <v>1.0081392224502176E-14</v>
      </c>
      <c r="W119" s="163">
        <f>(S112*S119+T112*T119+U112*U119+V112*V119)</f>
        <v>0</v>
      </c>
      <c r="X119" s="147"/>
      <c r="Z119" s="139" t="s">
        <v>1334</v>
      </c>
      <c r="AA119" s="147">
        <f>(2*(AF114*COS(AA108)-AF113*SIN(AA108)))</f>
        <v>0</v>
      </c>
      <c r="AB119" s="147">
        <f>(2*(AF114*COS(AB108)-AF113*SIN(AB108)))</f>
        <v>0</v>
      </c>
      <c r="AC119" s="147">
        <f>(2*(AF114*COS(AC108)-AF113*SIN(AC108)))</f>
        <v>0</v>
      </c>
      <c r="AD119" s="147">
        <f>(2*(AF114*COS(AD108)-AF113*SIN(AD108)))</f>
        <v>0</v>
      </c>
      <c r="AE119" s="159"/>
      <c r="AF119" s="163"/>
      <c r="AG119" s="139" t="s">
        <v>1335</v>
      </c>
      <c r="AH119" s="163">
        <f>P141*AH111+P142*AH112</f>
        <v>0</v>
      </c>
      <c r="AI119" s="163">
        <f>P141*AI111+P142*AI112</f>
        <v>0</v>
      </c>
      <c r="AJ119" s="163">
        <f>P141*AJ111+P142*AJ112</f>
        <v>0</v>
      </c>
      <c r="AK119" s="163">
        <f>P141*AK111+P142*AK112</f>
        <v>0</v>
      </c>
      <c r="AL119" s="163"/>
      <c r="AM119" s="139" t="s">
        <v>653</v>
      </c>
      <c r="AN119" s="158">
        <f>COS(AN116*PI()/180)</f>
        <v>1</v>
      </c>
      <c r="AO119" s="158">
        <f>COS(AO116*PI()/180)</f>
        <v>6.1257422745431001E-17</v>
      </c>
      <c r="AP119" s="158">
        <f>COS(AP116*PI()/180)</f>
        <v>1</v>
      </c>
      <c r="AQ119" s="158">
        <f>COS(AQ116*PI()/180)</f>
        <v>6.1257422745431001E-17</v>
      </c>
      <c r="AR119" s="143"/>
      <c r="AS119" s="162">
        <f>$L425/1000000/AT5*2/AT7</f>
        <v>0.05</v>
      </c>
    </row>
    <row r="120" spans="1:45">
      <c r="A120" s="206">
        <v>0.15</v>
      </c>
      <c r="B120" s="138">
        <v>0.01</v>
      </c>
      <c r="C120" s="138">
        <v>1</v>
      </c>
      <c r="D120" s="138">
        <v>1</v>
      </c>
      <c r="E120" s="138">
        <v>0.1</v>
      </c>
      <c r="F120" s="138">
        <v>0.5</v>
      </c>
      <c r="H120" s="205"/>
      <c r="J120" s="139" t="s">
        <v>1643</v>
      </c>
      <c r="K120" s="140">
        <f>1/((1+K119)/K110-K119/K117)</f>
        <v>18.686160319541436</v>
      </c>
      <c r="L120" s="140">
        <f>K120*P110^F126</f>
        <v>18.686160319541436</v>
      </c>
      <c r="M120" s="145">
        <f t="shared" si="32"/>
        <v>1</v>
      </c>
      <c r="N120" s="138" t="s">
        <v>176</v>
      </c>
      <c r="O120" s="140"/>
      <c r="P120" s="140"/>
      <c r="Q120" s="140"/>
      <c r="R120" s="139"/>
      <c r="S120" s="143"/>
      <c r="T120" s="143"/>
      <c r="U120" s="143"/>
      <c r="V120" s="139"/>
      <c r="W120" s="143"/>
      <c r="Z120" s="139" t="s">
        <v>671</v>
      </c>
      <c r="AA120" s="164">
        <f>S138*S112</f>
        <v>0</v>
      </c>
      <c r="AB120" s="164">
        <f>T138*T112</f>
        <v>0</v>
      </c>
      <c r="AC120" s="164">
        <f>U138*U112</f>
        <v>0</v>
      </c>
      <c r="AD120" s="164">
        <f>V138*V112</f>
        <v>0</v>
      </c>
      <c r="AE120" s="164">
        <f>W112*(P115+P114*AF116+AF117*P115)-AF116*SUM(AA120:AD120)-AF117*SUM(AA121:AD121)</f>
        <v>0</v>
      </c>
      <c r="AF120" s="164"/>
      <c r="AG120" s="139" t="s">
        <v>1344</v>
      </c>
      <c r="AH120" s="163" t="e">
        <f>AH119/2/AH118</f>
        <v>#DIV/0!</v>
      </c>
      <c r="AI120" s="163" t="e">
        <f>AI119/2/AI118</f>
        <v>#DIV/0!</v>
      </c>
      <c r="AJ120" s="163" t="e">
        <f>AJ119/2/AJ118</f>
        <v>#DIV/0!</v>
      </c>
      <c r="AK120" s="163" t="e">
        <f>AK119/2/AK118</f>
        <v>#DIV/0!</v>
      </c>
      <c r="AL120" s="163"/>
      <c r="AM120" s="139" t="s">
        <v>654</v>
      </c>
      <c r="AN120" s="158">
        <f>SIN(AN116*PI()/180)</f>
        <v>0</v>
      </c>
      <c r="AO120" s="158">
        <f>SIN(AO116*PI()/180)</f>
        <v>1</v>
      </c>
      <c r="AP120" s="158">
        <f>SIN(AP116*PI()/180)</f>
        <v>0</v>
      </c>
      <c r="AQ120" s="158">
        <f>SIN(AQ116*PI()/180)</f>
        <v>1</v>
      </c>
      <c r="AS120" s="160" t="s">
        <v>655</v>
      </c>
    </row>
    <row r="121" spans="1:45">
      <c r="J121" s="139" t="s">
        <v>295</v>
      </c>
      <c r="K121" s="140">
        <f>E126</f>
        <v>0.316</v>
      </c>
      <c r="L121" s="140">
        <f>K121*P110^G125</f>
        <v>0.316</v>
      </c>
      <c r="M121" s="145">
        <f t="shared" si="32"/>
        <v>1</v>
      </c>
      <c r="N121" s="139" t="s">
        <v>296</v>
      </c>
      <c r="O121" s="144">
        <f>A124</f>
        <v>1500</v>
      </c>
      <c r="P121" s="144">
        <f>P127*L115</f>
        <v>1500</v>
      </c>
      <c r="Q121" s="140">
        <f t="shared" ref="Q121:Q128" si="34">P121/O121</f>
        <v>1</v>
      </c>
      <c r="R121" s="139"/>
      <c r="T121" s="164"/>
      <c r="U121" s="140"/>
      <c r="V121" s="140"/>
      <c r="W121" s="140"/>
      <c r="X121" s="143"/>
      <c r="Y121" s="139"/>
      <c r="Z121" s="139" t="s">
        <v>675</v>
      </c>
      <c r="AA121" s="164">
        <f>S139*S112</f>
        <v>0</v>
      </c>
      <c r="AB121" s="164">
        <f>T139*T112</f>
        <v>0</v>
      </c>
      <c r="AC121" s="164">
        <f>U139*U112</f>
        <v>0</v>
      </c>
      <c r="AD121" s="164">
        <f>V139*V112</f>
        <v>0</v>
      </c>
      <c r="AE121" s="164"/>
      <c r="AF121" s="164"/>
      <c r="AG121" s="139"/>
      <c r="AH121" s="163"/>
      <c r="AI121" s="163"/>
      <c r="AJ121" s="163"/>
      <c r="AK121" s="163"/>
      <c r="AL121" s="163"/>
      <c r="AM121" s="139" t="s">
        <v>690</v>
      </c>
      <c r="AN121" s="158">
        <f>S460</f>
        <v>7.17</v>
      </c>
      <c r="AO121" s="158">
        <f>T460</f>
        <v>3.433333333333334</v>
      </c>
      <c r="AP121" s="158">
        <f>U460</f>
        <v>7.17</v>
      </c>
      <c r="AQ121" s="158">
        <f>V460</f>
        <v>3.433333333333334</v>
      </c>
      <c r="AR121" s="147"/>
      <c r="AS121" s="138">
        <f>AS117*AS119*AR117</f>
        <v>0</v>
      </c>
    </row>
    <row r="122" spans="1:45">
      <c r="A122" s="203" t="s">
        <v>421</v>
      </c>
      <c r="J122" s="139" t="s">
        <v>301</v>
      </c>
      <c r="K122" s="140">
        <f>K121*(1-K115)/K115</f>
        <v>0.13542857142857145</v>
      </c>
      <c r="L122" s="140">
        <f>L121*(1-L115)/L115</f>
        <v>0.13542857142857145</v>
      </c>
      <c r="M122" s="145">
        <f t="shared" si="32"/>
        <v>1</v>
      </c>
      <c r="N122" s="139" t="s">
        <v>302</v>
      </c>
      <c r="O122" s="144">
        <f>B124</f>
        <v>1500</v>
      </c>
      <c r="P122" s="144">
        <f>O122*Q121*M112^F127</f>
        <v>1500</v>
      </c>
      <c r="Q122" s="140">
        <f t="shared" si="34"/>
        <v>1</v>
      </c>
      <c r="R122" s="139"/>
      <c r="T122" s="164"/>
      <c r="U122" s="140"/>
      <c r="V122" s="140"/>
      <c r="W122" s="140"/>
      <c r="X122" s="140"/>
      <c r="Y122" s="140"/>
      <c r="Z122" s="139" t="s">
        <v>677</v>
      </c>
      <c r="AA122" s="164">
        <f>S140*S112</f>
        <v>0</v>
      </c>
      <c r="AB122" s="164">
        <f>T140*T112</f>
        <v>0</v>
      </c>
      <c r="AC122" s="164">
        <f>U140*U112</f>
        <v>0</v>
      </c>
      <c r="AD122" s="164">
        <f>V140*V112</f>
        <v>0</v>
      </c>
      <c r="AE122" s="164">
        <f>W112*(P118+P117*AF116+AF117*P118)-AF116*SUM(AA122:AD122)-AF117*SUM(AA123:AD123)</f>
        <v>0</v>
      </c>
      <c r="AF122" s="164"/>
      <c r="AG122" s="139"/>
      <c r="AH122" s="163"/>
      <c r="AI122" s="147"/>
      <c r="AJ122" s="163"/>
      <c r="AK122" s="163"/>
      <c r="AL122" s="163"/>
      <c r="AM122" s="139" t="s">
        <v>692</v>
      </c>
      <c r="AN122" s="158">
        <f>S459</f>
        <v>3.433333333333334</v>
      </c>
      <c r="AO122" s="158">
        <f>T459</f>
        <v>7.17</v>
      </c>
      <c r="AP122" s="158">
        <f>U459</f>
        <v>3.433333333333334</v>
      </c>
      <c r="AQ122" s="158">
        <f>V459</f>
        <v>7.17</v>
      </c>
    </row>
    <row r="123" spans="1:45">
      <c r="A123" s="204" t="s">
        <v>1582</v>
      </c>
      <c r="B123" s="138">
        <v>181</v>
      </c>
      <c r="C123" s="138">
        <v>10.3</v>
      </c>
      <c r="D123" s="138">
        <v>0.28000000000000003</v>
      </c>
      <c r="E123" s="138">
        <v>7.17</v>
      </c>
      <c r="F123" s="138">
        <v>3.4</v>
      </c>
      <c r="G123" s="138">
        <v>122</v>
      </c>
      <c r="H123" s="205">
        <v>160</v>
      </c>
      <c r="J123" s="139" t="s">
        <v>304</v>
      </c>
      <c r="K123" s="140">
        <f>1/((1+K122)/K112-K122*2.7/K117)</f>
        <v>19.680382632972858</v>
      </c>
      <c r="L123" s="140">
        <f>K123*P110^F126</f>
        <v>19.680382632972858</v>
      </c>
      <c r="M123" s="145">
        <f t="shared" si="32"/>
        <v>1</v>
      </c>
      <c r="N123" s="139" t="s">
        <v>305</v>
      </c>
      <c r="O123" s="144">
        <f>C124</f>
        <v>40</v>
      </c>
      <c r="P123" s="144">
        <f>O123*Q128</f>
        <v>40</v>
      </c>
      <c r="Q123" s="140">
        <f t="shared" si="34"/>
        <v>1</v>
      </c>
      <c r="R123" s="139"/>
      <c r="T123" s="164"/>
      <c r="U123" s="140"/>
      <c r="V123" s="140"/>
      <c r="W123" s="140"/>
      <c r="X123" s="140"/>
      <c r="Y123" s="140"/>
      <c r="Z123" s="138" t="s">
        <v>679</v>
      </c>
      <c r="AA123" s="164">
        <f>S141*S112</f>
        <v>0</v>
      </c>
      <c r="AB123" s="164">
        <f>T141*T112</f>
        <v>0</v>
      </c>
      <c r="AC123" s="164">
        <f>U141*U112</f>
        <v>0</v>
      </c>
      <c r="AD123" s="164">
        <f>V141*V112</f>
        <v>0</v>
      </c>
      <c r="AE123" s="164"/>
      <c r="AF123" s="164"/>
      <c r="AG123" s="139"/>
      <c r="AH123" s="163"/>
      <c r="AI123" s="163"/>
      <c r="AJ123" s="163"/>
      <c r="AK123" s="163"/>
      <c r="AL123" s="159" t="s">
        <v>1348</v>
      </c>
      <c r="AM123" s="139" t="s">
        <v>660</v>
      </c>
      <c r="AN123" s="158">
        <f>S465</f>
        <v>0</v>
      </c>
      <c r="AO123" s="158">
        <f>T465</f>
        <v>2.2889856965876046E-16</v>
      </c>
      <c r="AP123" s="158">
        <f>U465</f>
        <v>0</v>
      </c>
      <c r="AQ123" s="158">
        <f>V465</f>
        <v>2.2889856965876046E-16</v>
      </c>
    </row>
    <row r="124" spans="1:45">
      <c r="A124" s="206">
        <v>1500</v>
      </c>
      <c r="B124" s="138">
        <v>1500</v>
      </c>
      <c r="C124" s="138">
        <v>40</v>
      </c>
      <c r="D124" s="138">
        <v>246</v>
      </c>
      <c r="E124" s="138">
        <v>68</v>
      </c>
      <c r="F124" s="138">
        <v>1.2</v>
      </c>
      <c r="G124" s="138">
        <v>22</v>
      </c>
      <c r="H124" s="205">
        <v>5.0000000000000001E-3</v>
      </c>
      <c r="J124" s="139" t="s">
        <v>1581</v>
      </c>
      <c r="K124" s="140">
        <f>F127</f>
        <v>0.5</v>
      </c>
      <c r="L124" s="140">
        <f>K124</f>
        <v>0.5</v>
      </c>
      <c r="M124" s="140">
        <f t="shared" si="32"/>
        <v>1</v>
      </c>
      <c r="N124" s="139" t="s">
        <v>1542</v>
      </c>
      <c r="O124" s="144">
        <f>D124</f>
        <v>246</v>
      </c>
      <c r="P124" s="144">
        <f>O124*Q128</f>
        <v>246</v>
      </c>
      <c r="Q124" s="140">
        <f t="shared" si="34"/>
        <v>1</v>
      </c>
      <c r="R124" s="139"/>
      <c r="T124" s="164"/>
      <c r="U124" s="140"/>
      <c r="V124" s="140"/>
      <c r="W124" s="138"/>
      <c r="X124" s="140"/>
      <c r="Y124" s="140"/>
      <c r="Z124" s="139" t="s">
        <v>682</v>
      </c>
      <c r="AA124" s="164">
        <f>S112*(AA117+S142/1000)</f>
        <v>0</v>
      </c>
      <c r="AB124" s="164">
        <f>T112*(AB117+T142/1000)</f>
        <v>0</v>
      </c>
      <c r="AC124" s="164">
        <f>U112*(AC117+U142/1000)</f>
        <v>0</v>
      </c>
      <c r="AD124" s="164">
        <f>V112*(AD117+V142/1000)</f>
        <v>0</v>
      </c>
      <c r="AE124" s="164">
        <f>W112*((1+AF117)*(P115*P111/1000000+P118*P107)+AF116*(P114*P111/1000000+P117*P107))*1000-AF116*SUM(AA124:AD124)-AF117*SUM(AA125:AD125)</f>
        <v>0</v>
      </c>
      <c r="AF124" s="164"/>
      <c r="AG124" s="139" t="s">
        <v>1351</v>
      </c>
      <c r="AH124" s="147" t="e">
        <f>(AH120^2+1/AH118)^0.5-AH120</f>
        <v>#DIV/0!</v>
      </c>
      <c r="AI124" s="147" t="e">
        <f>(AI120^2+1/AI118)^0.5-AI120</f>
        <v>#DIV/0!</v>
      </c>
      <c r="AJ124" s="147" t="e">
        <f>(AJ120^2+1/AJ118)^0.5-AJ120</f>
        <v>#DIV/0!</v>
      </c>
      <c r="AK124" s="147" t="e">
        <f>(AK120^2+1/AK118)^0.5-AK120</f>
        <v>#DIV/0!</v>
      </c>
      <c r="AL124" s="147">
        <f>MIN(AH125:AK125)</f>
        <v>1000000000</v>
      </c>
      <c r="AM124" s="139" t="s">
        <v>662</v>
      </c>
      <c r="AN124" s="158">
        <f>AN121/(AN121*AN122-AN123^2)</f>
        <v>0.29126213592233002</v>
      </c>
      <c r="AO124" s="158">
        <f>AO121/(AO121*AO122-AO123^2)</f>
        <v>0.1394700139470014</v>
      </c>
      <c r="AP124" s="158">
        <f>AP121/(AP121*AP122-AP123^2)</f>
        <v>0.29126213592233002</v>
      </c>
      <c r="AQ124" s="158">
        <f>AQ121/(AQ121*AQ122-AQ123^2)</f>
        <v>0.1394700139470014</v>
      </c>
    </row>
    <row r="125" spans="1:45">
      <c r="A125" s="206">
        <v>-0.5</v>
      </c>
      <c r="B125" s="138">
        <v>125</v>
      </c>
      <c r="C125" s="138">
        <v>0.7</v>
      </c>
      <c r="D125" s="138">
        <v>1.6</v>
      </c>
      <c r="E125" s="138">
        <v>0.51600000000000001</v>
      </c>
      <c r="F125" s="138">
        <v>0.5</v>
      </c>
      <c r="G125" s="138">
        <v>0.2</v>
      </c>
      <c r="H125" s="205">
        <v>0.9</v>
      </c>
      <c r="J125" s="138" t="s">
        <v>1507</v>
      </c>
      <c r="N125" s="139" t="s">
        <v>1543</v>
      </c>
      <c r="O125" s="165">
        <f>E124</f>
        <v>68</v>
      </c>
      <c r="P125" s="165">
        <f>O125*Q128</f>
        <v>68</v>
      </c>
      <c r="Q125" s="140">
        <f t="shared" si="34"/>
        <v>1</v>
      </c>
      <c r="R125" s="139"/>
      <c r="T125" s="164"/>
      <c r="U125" s="140"/>
      <c r="V125" s="140"/>
      <c r="W125" s="138"/>
      <c r="X125" s="138"/>
      <c r="Z125" s="139" t="s">
        <v>685</v>
      </c>
      <c r="AA125" s="164">
        <f>S112*(AA118+S143/1000)</f>
        <v>0</v>
      </c>
      <c r="AB125" s="164">
        <f>T112*(AB118+T143/1000)</f>
        <v>0</v>
      </c>
      <c r="AC125" s="164">
        <f>U112*(AC118+U143/1000)</f>
        <v>0</v>
      </c>
      <c r="AD125" s="164">
        <f>V112*(AD118+V143/1000)</f>
        <v>0</v>
      </c>
      <c r="AE125" s="164"/>
      <c r="AF125" s="164"/>
      <c r="AG125" s="139"/>
      <c r="AH125" s="147">
        <f>IF(AH107=0,1000000000,AH124)</f>
        <v>1000000000</v>
      </c>
      <c r="AI125" s="147">
        <f>IF(AI107=0,1000000000,AI124)</f>
        <v>1000000000</v>
      </c>
      <c r="AJ125" s="147">
        <f>IF(AJ107=0,1000000000,AJ124)</f>
        <v>1000000000</v>
      </c>
      <c r="AK125" s="147">
        <f>IF(AK107=0,1000000000,AK124)</f>
        <v>1000000000</v>
      </c>
      <c r="AM125" s="139" t="s">
        <v>665</v>
      </c>
      <c r="AN125" s="158">
        <f>AN122/(AN121*AN122-AN123^2)</f>
        <v>0.1394700139470014</v>
      </c>
      <c r="AO125" s="158">
        <f>AO122/(AO121*AO122-AO123^2)</f>
        <v>0.29126213592233002</v>
      </c>
      <c r="AP125" s="158">
        <f>AP122/(AP121*AP122-AP123^2)</f>
        <v>0.1394700139470014</v>
      </c>
      <c r="AQ125" s="158">
        <f>AQ122/(AQ121*AQ122-AQ123^2)</f>
        <v>0.29126213592233002</v>
      </c>
    </row>
    <row r="126" spans="1:45">
      <c r="A126" s="206">
        <v>0.02</v>
      </c>
      <c r="B126" s="138">
        <v>22.5</v>
      </c>
      <c r="C126" s="207">
        <v>0</v>
      </c>
      <c r="D126" s="138">
        <v>0.6</v>
      </c>
      <c r="E126" s="138">
        <v>0.316</v>
      </c>
      <c r="F126" s="138">
        <v>4.0000000000000001E-3</v>
      </c>
      <c r="G126" s="138">
        <v>4.0000000000000001E-3</v>
      </c>
      <c r="H126" s="205">
        <v>2000</v>
      </c>
      <c r="J126" s="139" t="s">
        <v>1354</v>
      </c>
      <c r="K126" s="140">
        <f>K109/(1-K111^2*K110/K109)</f>
        <v>181.81113884441791</v>
      </c>
      <c r="L126" s="140">
        <f>L109/(1-L111^2*L110/L109)</f>
        <v>181.81113884441794</v>
      </c>
      <c r="M126" s="145">
        <f>L126/K126</f>
        <v>1.0000000000000002</v>
      </c>
      <c r="N126" s="139" t="s">
        <v>1168</v>
      </c>
      <c r="O126" s="145">
        <f>A125</f>
        <v>-0.5</v>
      </c>
      <c r="P126" s="145">
        <f>O126*I64</f>
        <v>-0.5</v>
      </c>
      <c r="Q126" s="140">
        <f t="shared" si="34"/>
        <v>1</v>
      </c>
      <c r="R126" s="139"/>
      <c r="T126" s="164"/>
      <c r="U126" s="140"/>
      <c r="V126" s="140"/>
      <c r="W126" s="138"/>
      <c r="X126" s="138"/>
      <c r="Z126" s="138" t="s">
        <v>686</v>
      </c>
      <c r="AA126" s="140">
        <f>($AF116*COS(AA109)^2+$AF117*SIN(AA109)^2)*S112</f>
        <v>0</v>
      </c>
      <c r="AB126" s="140">
        <f>($AF116*COS(AB109)^2+$AF117*SIN(AB109)^2)*T112</f>
        <v>0</v>
      </c>
      <c r="AC126" s="140">
        <f>($AF116*COS(AC109)^2+$AF117*SIN(AC109)^2)*U112</f>
        <v>0</v>
      </c>
      <c r="AD126" s="140">
        <f>($AF116*COS(AD109)^2+$AF117*SIN(AD109)^2)*V112</f>
        <v>0</v>
      </c>
      <c r="AE126" s="163">
        <f>SUM(AA126:AD126)</f>
        <v>0</v>
      </c>
      <c r="AF126" s="163"/>
      <c r="AG126" s="138" t="s">
        <v>1360</v>
      </c>
      <c r="AH126" s="147">
        <f>IF(AH107=0,0,AH124)</f>
        <v>0</v>
      </c>
      <c r="AI126" s="147">
        <f>IF(AI107=0,0,AI124)</f>
        <v>0</v>
      </c>
      <c r="AJ126" s="147">
        <f>IF(AJ107=0,0,AJ124)</f>
        <v>0</v>
      </c>
      <c r="AK126" s="147">
        <f>IF(AK107=0,0,AK124)</f>
        <v>0</v>
      </c>
      <c r="AM126" s="138" t="s">
        <v>666</v>
      </c>
      <c r="AN126" s="141">
        <f>-AN123/(AN121*AN122-AN123^2)</f>
        <v>0</v>
      </c>
      <c r="AO126" s="141">
        <f>-AO123/(AO121*AO122-AO123^2)</f>
        <v>-9.2983941852687333E-18</v>
      </c>
      <c r="AP126" s="141">
        <f>-AP123/(AP121*AP122-AP123^2)</f>
        <v>0</v>
      </c>
      <c r="AQ126" s="141">
        <f>-AQ123/(AQ121*AQ122-AQ123^2)</f>
        <v>-9.2983941852687333E-18</v>
      </c>
    </row>
    <row r="127" spans="1:45">
      <c r="A127" s="208">
        <v>0.15</v>
      </c>
      <c r="B127" s="209">
        <v>0.01</v>
      </c>
      <c r="C127" s="209">
        <v>1</v>
      </c>
      <c r="D127" s="209">
        <v>1</v>
      </c>
      <c r="E127" s="209">
        <v>0.1</v>
      </c>
      <c r="F127" s="209">
        <v>0.5</v>
      </c>
      <c r="G127" s="209"/>
      <c r="H127" s="210"/>
      <c r="J127" s="139" t="s">
        <v>1361</v>
      </c>
      <c r="K127" s="140">
        <f>K126*K110/K109</f>
        <v>10.346158729820468</v>
      </c>
      <c r="L127" s="140">
        <f>L126*L110/L109</f>
        <v>10.346158729820468</v>
      </c>
      <c r="M127" s="145">
        <f>L127/K127</f>
        <v>1</v>
      </c>
      <c r="N127" s="139" t="s">
        <v>1175</v>
      </c>
      <c r="O127" s="144">
        <f>O121/K115</f>
        <v>2142.8571428571431</v>
      </c>
      <c r="P127" s="144">
        <f>H64*P110^G126</f>
        <v>2142.8571428571431</v>
      </c>
      <c r="Q127" s="140">
        <f t="shared" si="34"/>
        <v>1</v>
      </c>
      <c r="T127" s="147"/>
      <c r="U127" s="141"/>
      <c r="V127" s="141"/>
      <c r="W127" s="138"/>
      <c r="X127" s="138"/>
      <c r="Z127" s="138" t="s">
        <v>689</v>
      </c>
      <c r="AA127" s="140">
        <f>($AF116*SIN(AA109)^2+$AF117*COS(AA109)^2)*S112</f>
        <v>0</v>
      </c>
      <c r="AB127" s="140">
        <f>($AF116*SIN(AB109)^2+$AF117*COS(AB109)^2)*T112</f>
        <v>0</v>
      </c>
      <c r="AC127" s="140">
        <f>($AF116*SIN(AC109)^2+$AF117*COS(AC109)^2)*U112</f>
        <v>0</v>
      </c>
      <c r="AD127" s="140">
        <f>($AF116*SIN(AD109)^2+$AF117*COS(AD109)^2)*V112</f>
        <v>0</v>
      </c>
      <c r="AE127" s="163">
        <f>SUM(AA127:AD127)</f>
        <v>0</v>
      </c>
      <c r="AF127" s="163"/>
      <c r="AG127" s="139" t="s">
        <v>1364</v>
      </c>
      <c r="AH127" s="138">
        <f>(S142-P114*P111)/1000000-P117*P107</f>
        <v>3.7599999999999944E-4</v>
      </c>
      <c r="AI127" s="138">
        <f>(T142-P114*P111)/1000000-P117*P107</f>
        <v>3.7599999999999965E-4</v>
      </c>
      <c r="AJ127" s="157">
        <f>(U142-P114*P111)/1000000-P117*P107</f>
        <v>3.7599999999999944E-4</v>
      </c>
      <c r="AK127" s="157">
        <f>(V142-P114*P111)/1000000-P117*P107</f>
        <v>3.7599999999999965E-4</v>
      </c>
      <c r="AL127" s="163"/>
      <c r="AM127" s="138" t="s">
        <v>637</v>
      </c>
      <c r="AN127" s="141"/>
      <c r="AO127" s="141"/>
      <c r="AR127" s="141"/>
      <c r="AS127" s="141"/>
    </row>
    <row r="128" spans="1:45">
      <c r="A128" s="204" t="s">
        <v>1582</v>
      </c>
      <c r="B128" s="138">
        <v>181</v>
      </c>
      <c r="C128" s="138">
        <v>10.3</v>
      </c>
      <c r="D128" s="138">
        <v>0.28000000000000003</v>
      </c>
      <c r="E128" s="138">
        <v>7.17</v>
      </c>
      <c r="F128" s="138">
        <v>3.4</v>
      </c>
      <c r="G128" s="138">
        <v>122</v>
      </c>
      <c r="H128" s="205">
        <v>160</v>
      </c>
      <c r="J128" s="139" t="s">
        <v>1365</v>
      </c>
      <c r="K128" s="140">
        <f>K127*K111</f>
        <v>2.8969244443497315</v>
      </c>
      <c r="L128" s="140">
        <f>L127*L111</f>
        <v>2.8969244443497315</v>
      </c>
      <c r="M128" s="145">
        <f>L128/K128</f>
        <v>1</v>
      </c>
      <c r="N128" s="139" t="s">
        <v>1176</v>
      </c>
      <c r="O128" s="144">
        <f>O123</f>
        <v>40</v>
      </c>
      <c r="P128" s="144">
        <f>G64*P110^H125</f>
        <v>40</v>
      </c>
      <c r="Q128" s="140">
        <f t="shared" si="34"/>
        <v>1</v>
      </c>
      <c r="R128" s="137" t="s">
        <v>1185</v>
      </c>
      <c r="U128" s="141"/>
      <c r="W128" s="138"/>
      <c r="X128" s="138"/>
      <c r="AA128" s="140"/>
      <c r="AE128" s="163"/>
      <c r="AF128" s="163"/>
      <c r="AG128" s="139" t="s">
        <v>1367</v>
      </c>
      <c r="AH128" s="138">
        <f>(S143-P115*P111)/1000000-P118*P107</f>
        <v>-3.7600000000000047E-4</v>
      </c>
      <c r="AI128" s="138">
        <f>(T143-P115*P111)/1000000-P118*P107</f>
        <v>-3.7600000000000047E-4</v>
      </c>
      <c r="AJ128" s="157">
        <f>(U143-P115*P111)/1000000-P118*P107</f>
        <v>-3.7600000000000047E-4</v>
      </c>
      <c r="AK128" s="157">
        <f>(V143-P115*P111)/1000000-P118*P107</f>
        <v>-3.7600000000000047E-4</v>
      </c>
      <c r="AL128" s="163"/>
      <c r="AM128" s="137"/>
      <c r="AN128" s="141"/>
      <c r="AO128" s="141"/>
      <c r="AR128" s="141"/>
      <c r="AS128" s="143"/>
    </row>
    <row r="129" spans="1:45">
      <c r="A129" s="206">
        <v>1500</v>
      </c>
      <c r="B129" s="138">
        <v>1500</v>
      </c>
      <c r="C129" s="138">
        <v>40</v>
      </c>
      <c r="D129" s="138">
        <v>246</v>
      </c>
      <c r="E129" s="138">
        <v>68</v>
      </c>
      <c r="F129" s="138">
        <v>1.2</v>
      </c>
      <c r="G129" s="138">
        <v>22</v>
      </c>
      <c r="H129" s="205">
        <v>5.0000000000000001E-3</v>
      </c>
      <c r="J129" s="139" t="s">
        <v>1370</v>
      </c>
      <c r="K129" s="140">
        <f>K112</f>
        <v>7.17</v>
      </c>
      <c r="L129" s="140">
        <f>L112</f>
        <v>7.17</v>
      </c>
      <c r="M129" s="145">
        <f>L129/K129</f>
        <v>1</v>
      </c>
      <c r="R129" s="143" t="s">
        <v>695</v>
      </c>
      <c r="S129" s="147">
        <f>S112*COS(S110)</f>
        <v>0</v>
      </c>
      <c r="T129" s="147">
        <f>T112*COS(T110)</f>
        <v>0</v>
      </c>
      <c r="U129" s="147">
        <f>U112*COS(U110)</f>
        <v>0</v>
      </c>
      <c r="V129" s="147">
        <f>V112*COS(V110)</f>
        <v>0</v>
      </c>
      <c r="W129" s="147">
        <f>SUM(S129:V129)</f>
        <v>0</v>
      </c>
      <c r="X129" s="138"/>
      <c r="AF129" s="163"/>
      <c r="AG129" s="139" t="s">
        <v>1372</v>
      </c>
      <c r="AH129" s="138">
        <f>S157/1000000</f>
        <v>0</v>
      </c>
      <c r="AI129" s="138">
        <f>T157/1000000</f>
        <v>0</v>
      </c>
      <c r="AJ129" s="157">
        <f>U157/1000000</f>
        <v>0</v>
      </c>
      <c r="AK129" s="157">
        <f>V157/1000000</f>
        <v>0</v>
      </c>
      <c r="AL129" s="163"/>
      <c r="AM129" s="139" t="s">
        <v>243</v>
      </c>
      <c r="AN129" s="143" t="s">
        <v>1562</v>
      </c>
      <c r="AO129" s="143" t="s">
        <v>1563</v>
      </c>
      <c r="AP129" s="143" t="s">
        <v>1564</v>
      </c>
      <c r="AQ129" s="143" t="s">
        <v>1565</v>
      </c>
      <c r="AR129" s="143"/>
      <c r="AS129" s="143"/>
    </row>
    <row r="130" spans="1:45">
      <c r="A130" s="206">
        <v>-0.5</v>
      </c>
      <c r="B130" s="138">
        <v>125</v>
      </c>
      <c r="C130" s="138">
        <v>0.7</v>
      </c>
      <c r="D130" s="138">
        <v>1.6</v>
      </c>
      <c r="E130" s="138">
        <v>0.51600000000000001</v>
      </c>
      <c r="F130" s="138">
        <v>0.5</v>
      </c>
      <c r="G130" s="138">
        <v>0.2</v>
      </c>
      <c r="H130" s="205">
        <v>0.9</v>
      </c>
      <c r="J130" s="138" t="s">
        <v>1510</v>
      </c>
      <c r="K130" s="140"/>
      <c r="L130" s="140"/>
      <c r="N130" s="138" t="s">
        <v>1375</v>
      </c>
      <c r="R130" s="139" t="s">
        <v>696</v>
      </c>
      <c r="S130" s="147">
        <f>S112*SIN(S110)</f>
        <v>0</v>
      </c>
      <c r="T130" s="147">
        <f>T112*SIN(T110)</f>
        <v>0</v>
      </c>
      <c r="U130" s="147">
        <f>U112*SIN(U110)</f>
        <v>0</v>
      </c>
      <c r="V130" s="147">
        <f>V112*SIN(V110)</f>
        <v>0</v>
      </c>
      <c r="W130" s="147">
        <f>SUM(S130:V130)</f>
        <v>0</v>
      </c>
      <c r="X130" s="138"/>
      <c r="AF130" s="163"/>
      <c r="AG130" s="163"/>
      <c r="AH130" s="163"/>
      <c r="AI130" s="163"/>
      <c r="AJ130" s="163"/>
      <c r="AK130" s="163"/>
      <c r="AL130" s="163"/>
      <c r="AM130" s="139" t="s">
        <v>537</v>
      </c>
      <c r="AN130" s="154">
        <f t="shared" ref="AN130:AQ131" si="35">S472</f>
        <v>0</v>
      </c>
      <c r="AO130" s="154">
        <f t="shared" si="35"/>
        <v>90</v>
      </c>
      <c r="AP130" s="154">
        <f t="shared" si="35"/>
        <v>0</v>
      </c>
      <c r="AQ130" s="154">
        <f t="shared" si="35"/>
        <v>90</v>
      </c>
      <c r="AR130" s="143" t="s">
        <v>538</v>
      </c>
      <c r="AS130" s="143" t="s">
        <v>652</v>
      </c>
    </row>
    <row r="131" spans="1:45">
      <c r="A131" s="206">
        <v>0.02</v>
      </c>
      <c r="B131" s="138">
        <v>22.5</v>
      </c>
      <c r="C131" s="207">
        <v>0</v>
      </c>
      <c r="D131" s="138">
        <v>0.6</v>
      </c>
      <c r="E131" s="138">
        <v>0.316</v>
      </c>
      <c r="F131" s="138">
        <v>4.0000000000000001E-3</v>
      </c>
      <c r="G131" s="138">
        <v>4.0000000000000001E-3</v>
      </c>
      <c r="H131" s="205">
        <v>2000</v>
      </c>
      <c r="J131" s="139" t="s">
        <v>1380</v>
      </c>
      <c r="K131" s="140">
        <f>(3*K126+3*K127+2*K128+4*K129)/8</f>
        <v>76.368217701426829</v>
      </c>
      <c r="L131" s="140">
        <f>(3*L126+3*L127+2*L128+4*L129)/8</f>
        <v>76.368217701426843</v>
      </c>
      <c r="M131" s="145">
        <f>L131/K131</f>
        <v>1.0000000000000002</v>
      </c>
      <c r="N131" s="139" t="s">
        <v>1381</v>
      </c>
      <c r="O131" s="140">
        <f>1/O121/O122*1000000</f>
        <v>0.44444444444444442</v>
      </c>
      <c r="P131" s="140">
        <f>1/P121/P122*1000000</f>
        <v>0.44444444444444442</v>
      </c>
      <c r="Q131" s="140">
        <f>P131/O131</f>
        <v>1</v>
      </c>
      <c r="R131" s="139"/>
      <c r="S131" s="138" t="s">
        <v>698</v>
      </c>
      <c r="T131" s="137"/>
      <c r="U131" s="143" t="s">
        <v>700</v>
      </c>
      <c r="V131" s="137"/>
      <c r="W131" s="137" t="s">
        <v>702</v>
      </c>
      <c r="X131" s="138"/>
      <c r="Y131" s="137" t="s">
        <v>704</v>
      </c>
      <c r="Z131" s="137" t="s">
        <v>705</v>
      </c>
      <c r="AA131" s="138" t="s">
        <v>706</v>
      </c>
      <c r="AB131" s="139"/>
      <c r="AC131" s="139"/>
      <c r="AF131" s="138"/>
      <c r="AG131" s="159" t="s">
        <v>1383</v>
      </c>
      <c r="AH131" s="166">
        <f>P137*AH127^2+2*P139*AH127*AH128+P138*AH128^2+P140*AH129^2</f>
        <v>4.0749146542514705E-3</v>
      </c>
      <c r="AI131" s="163">
        <f>P137*AI127^2+2*P139*AI127*AI128+P138*AI128^2+P140*AI129^2</f>
        <v>4.0749146542514731E-3</v>
      </c>
      <c r="AJ131" s="163">
        <f>P137*AJ127^2+2*P139*AJ127*AJ128+P138*AJ128^2+P140*AJ129^2</f>
        <v>4.0749146542514705E-3</v>
      </c>
      <c r="AK131" s="163">
        <f>P137*AK127^2+2*P139*AK127*AK128+P138*AK128^2+P140*AK129^2</f>
        <v>4.0749146542514731E-3</v>
      </c>
      <c r="AL131" s="163"/>
      <c r="AM131" s="139" t="s">
        <v>541</v>
      </c>
      <c r="AN131" s="154">
        <f t="shared" si="35"/>
        <v>0</v>
      </c>
      <c r="AO131" s="154">
        <f t="shared" si="35"/>
        <v>0</v>
      </c>
      <c r="AP131" s="154">
        <f t="shared" si="35"/>
        <v>0</v>
      </c>
      <c r="AQ131" s="154">
        <f t="shared" si="35"/>
        <v>0</v>
      </c>
      <c r="AR131" s="156">
        <f>W473</f>
        <v>1</v>
      </c>
      <c r="AS131" s="146">
        <f>SUM(AN131:AQ131)</f>
        <v>0</v>
      </c>
    </row>
    <row r="132" spans="1:45">
      <c r="A132" s="208">
        <v>0.15</v>
      </c>
      <c r="B132" s="209">
        <v>0.01</v>
      </c>
      <c r="C132" s="209">
        <v>1</v>
      </c>
      <c r="D132" s="209">
        <v>1</v>
      </c>
      <c r="E132" s="209">
        <v>0.1</v>
      </c>
      <c r="F132" s="209">
        <v>0.5</v>
      </c>
      <c r="G132" s="209"/>
      <c r="H132" s="210"/>
      <c r="J132" s="139" t="s">
        <v>1384</v>
      </c>
      <c r="K132" s="140">
        <f>(K126-K127)/2</f>
        <v>85.732490057298719</v>
      </c>
      <c r="L132" s="140">
        <f>(L126-L127)/2</f>
        <v>85.732490057298733</v>
      </c>
      <c r="M132" s="145">
        <f>L132/K132</f>
        <v>1.0000000000000002</v>
      </c>
      <c r="N132" s="139" t="s">
        <v>1385</v>
      </c>
      <c r="O132" s="140">
        <f>1/O123/O124*1000000</f>
        <v>101.6260162601626</v>
      </c>
      <c r="P132" s="140">
        <f>1/P123/P124*1000000</f>
        <v>101.6260162601626</v>
      </c>
      <c r="Q132" s="140">
        <f>P132/O132</f>
        <v>1</v>
      </c>
      <c r="R132" s="139">
        <v>1</v>
      </c>
      <c r="S132" s="138">
        <f>(S136*W112+S137*W129)</f>
        <v>0</v>
      </c>
      <c r="T132" s="138"/>
      <c r="U132" s="138">
        <f>(T136*W112+T137*W129)</f>
        <v>0</v>
      </c>
      <c r="V132" s="147"/>
      <c r="W132" s="138">
        <f>S132*P111+U132*P107</f>
        <v>0</v>
      </c>
      <c r="X132" s="147"/>
      <c r="Y132" s="138">
        <f t="shared" ref="Y132:AA134" si="36">Y80</f>
        <v>11.259999999999984</v>
      </c>
      <c r="Z132" s="138">
        <f t="shared" si="36"/>
        <v>0.29999999999999954</v>
      </c>
      <c r="AA132" s="138">
        <f t="shared" si="36"/>
        <v>373.99999999999937</v>
      </c>
      <c r="AB132" s="147"/>
      <c r="AC132" s="147"/>
      <c r="AF132" s="138"/>
      <c r="AG132" s="159" t="s">
        <v>1387</v>
      </c>
      <c r="AH132" s="166">
        <f>P141*AH127+P142*AH128</f>
        <v>-5.8636980773925068E-2</v>
      </c>
      <c r="AI132" s="163">
        <f>P141*AI127+P142*AI128</f>
        <v>-5.8636980773925054E-2</v>
      </c>
      <c r="AJ132" s="163">
        <f>P141*AJ127+P142*AJ128</f>
        <v>-5.8636980773925068E-2</v>
      </c>
      <c r="AK132" s="163">
        <f>P141*AK127+P142*AK128</f>
        <v>-5.8636980773925054E-2</v>
      </c>
      <c r="AL132" s="163"/>
      <c r="AM132" s="138" t="s">
        <v>648</v>
      </c>
      <c r="AN132" s="158">
        <f>AN130*PI()/180</f>
        <v>0</v>
      </c>
      <c r="AO132" s="158">
        <f>AO130*PI()/180</f>
        <v>1.5707963267948966</v>
      </c>
      <c r="AP132" s="158">
        <f>AP130*PI()/180</f>
        <v>0</v>
      </c>
      <c r="AQ132" s="158">
        <f>AQ130*PI()/180</f>
        <v>1.5707963267948966</v>
      </c>
      <c r="AS132" s="159" t="s">
        <v>683</v>
      </c>
    </row>
    <row r="133" spans="1:45">
      <c r="J133" s="139" t="s">
        <v>1388</v>
      </c>
      <c r="K133" s="140">
        <f>(K126+K127-2*K128-4*K129)/8</f>
        <v>19.710431085692363</v>
      </c>
      <c r="L133" s="140">
        <f>(L126+L127-2*L128-4*L129)/8</f>
        <v>19.710431085692367</v>
      </c>
      <c r="M133" s="145">
        <f>L133/K133</f>
        <v>1.0000000000000002</v>
      </c>
      <c r="N133" s="139" t="s">
        <v>1389</v>
      </c>
      <c r="O133" s="140">
        <f>O126*(O131*O132)^0.5</f>
        <v>-3.3603243272729659</v>
      </c>
      <c r="P133" s="140">
        <f>P126*(P131*P132)^0.5</f>
        <v>-3.3603243272729659</v>
      </c>
      <c r="Q133" s="140">
        <f>P133/O133</f>
        <v>1</v>
      </c>
      <c r="R133" s="139">
        <v>2</v>
      </c>
      <c r="S133" s="138">
        <f>(S136*W112-S137*W129)</f>
        <v>0</v>
      </c>
      <c r="T133" s="138"/>
      <c r="U133" s="138">
        <f>(T136*W112-T137*W129)</f>
        <v>0</v>
      </c>
      <c r="V133" s="147"/>
      <c r="W133" s="138">
        <f>S133*P111+U133*P107</f>
        <v>0</v>
      </c>
      <c r="X133" s="147"/>
      <c r="Y133" s="138">
        <f t="shared" si="36"/>
        <v>11.259999999999993</v>
      </c>
      <c r="Z133" s="138">
        <f t="shared" si="36"/>
        <v>0.29999999999999977</v>
      </c>
      <c r="AA133" s="138">
        <f t="shared" si="36"/>
        <v>373.99999999999966</v>
      </c>
      <c r="AB133" s="147"/>
      <c r="AC133" s="147"/>
      <c r="AF133" s="138"/>
      <c r="AG133" s="159" t="s">
        <v>1390</v>
      </c>
      <c r="AH133" s="166">
        <f>AH131+AH132</f>
        <v>-5.4562066119673597E-2</v>
      </c>
      <c r="AI133" s="163">
        <f>AI131+AI132</f>
        <v>-5.4562066119673583E-2</v>
      </c>
      <c r="AJ133" s="163">
        <f>AJ131+AJ132</f>
        <v>-5.4562066119673597E-2</v>
      </c>
      <c r="AK133" s="163">
        <f>AK131+AK132</f>
        <v>-5.4562066119673583E-2</v>
      </c>
      <c r="AL133" s="163"/>
      <c r="AM133" s="139" t="s">
        <v>653</v>
      </c>
      <c r="AN133" s="158">
        <f>COS(AN130*PI()/180)</f>
        <v>1</v>
      </c>
      <c r="AO133" s="158">
        <f>COS(AO130*PI()/180)</f>
        <v>6.1257422745431001E-17</v>
      </c>
      <c r="AP133" s="158">
        <f>COS(AP130*PI()/180)</f>
        <v>1</v>
      </c>
      <c r="AQ133" s="158">
        <f>COS(AQ130*PI()/180)</f>
        <v>6.1257422745431001E-17</v>
      </c>
      <c r="AR133" s="143"/>
      <c r="AS133" s="162">
        <f>$L477/1000000/AT5*2/AT7</f>
        <v>0.05</v>
      </c>
    </row>
    <row r="134" spans="1:45">
      <c r="A134" s="203" t="s">
        <v>842</v>
      </c>
      <c r="J134" s="139" t="s">
        <v>1391</v>
      </c>
      <c r="K134" s="140">
        <f>(K126+K127+6*K128-4*K129)/8</f>
        <v>22.607355530042096</v>
      </c>
      <c r="L134" s="140">
        <f>(L126+L127+6*L128-4*L129)/8</f>
        <v>22.607355530042099</v>
      </c>
      <c r="M134" s="145">
        <f>L134/K134</f>
        <v>1.0000000000000002</v>
      </c>
      <c r="N134" s="139" t="s">
        <v>1392</v>
      </c>
      <c r="O134" s="140">
        <f>1/O125^2*1000000</f>
        <v>216.26297577854672</v>
      </c>
      <c r="P134" s="140">
        <f>1/P125^2*1000000</f>
        <v>216.26297577854672</v>
      </c>
      <c r="Q134" s="140">
        <f>P134/O134</f>
        <v>1</v>
      </c>
      <c r="R134" s="139">
        <v>6</v>
      </c>
      <c r="S134" s="139">
        <f>S137*W130</f>
        <v>0</v>
      </c>
      <c r="T134" s="138"/>
      <c r="U134" s="139">
        <f>T137*W130</f>
        <v>0</v>
      </c>
      <c r="V134" s="147"/>
      <c r="W134" s="138">
        <f>S134*P111+U134*P107</f>
        <v>0</v>
      </c>
      <c r="X134" s="147"/>
      <c r="Y134" s="138">
        <f t="shared" si="36"/>
        <v>-22.479999999999976</v>
      </c>
      <c r="Z134" s="138">
        <f t="shared" si="36"/>
        <v>-0.5999999999999992</v>
      </c>
      <c r="AA134" s="138">
        <f t="shared" si="36"/>
        <v>-397.02012514617672</v>
      </c>
      <c r="AB134" s="147"/>
      <c r="AC134" s="147"/>
      <c r="AF134" s="138"/>
      <c r="AG134" s="159" t="s">
        <v>1395</v>
      </c>
      <c r="AH134" s="166">
        <f>-1+AH133</f>
        <v>-1.0545620661196735</v>
      </c>
      <c r="AI134" s="163">
        <f>-1+AI133</f>
        <v>-1.0545620661196735</v>
      </c>
      <c r="AJ134" s="163">
        <f>-1+AJ133</f>
        <v>-1.0545620661196735</v>
      </c>
      <c r="AK134" s="163">
        <f>-1+AK133</f>
        <v>-1.0545620661196735</v>
      </c>
      <c r="AL134" s="163"/>
      <c r="AM134" s="139" t="s">
        <v>654</v>
      </c>
      <c r="AN134" s="158">
        <f>SIN(AN130*PI()/180)</f>
        <v>0</v>
      </c>
      <c r="AO134" s="158">
        <f>SIN(AO130*PI()/180)</f>
        <v>1</v>
      </c>
      <c r="AP134" s="158">
        <f>SIN(AP130*PI()/180)</f>
        <v>0</v>
      </c>
      <c r="AQ134" s="158">
        <f>SIN(AQ130*PI()/180)</f>
        <v>1</v>
      </c>
      <c r="AS134" s="160" t="s">
        <v>655</v>
      </c>
    </row>
    <row r="135" spans="1:45">
      <c r="A135" s="204" t="s">
        <v>1582</v>
      </c>
      <c r="B135" s="138">
        <v>181</v>
      </c>
      <c r="C135" s="138">
        <v>10.3</v>
      </c>
      <c r="D135" s="138">
        <v>0.28000000000000003</v>
      </c>
      <c r="E135" s="138">
        <v>7.17</v>
      </c>
      <c r="F135" s="138">
        <v>3.4</v>
      </c>
      <c r="G135" s="138">
        <v>122</v>
      </c>
      <c r="H135" s="205">
        <v>160</v>
      </c>
      <c r="J135" s="139" t="s">
        <v>1396</v>
      </c>
      <c r="K135" s="140">
        <f>(K131-K134)/2</f>
        <v>26.880431085692365</v>
      </c>
      <c r="L135" s="140">
        <f>(L131-L134)/2</f>
        <v>26.880431085692372</v>
      </c>
      <c r="M135" s="145">
        <f>L135/K135</f>
        <v>1.0000000000000002</v>
      </c>
      <c r="N135" s="139" t="s">
        <v>1397</v>
      </c>
      <c r="O135" s="140">
        <f>(1/O121-1/O122)*1000</f>
        <v>0</v>
      </c>
      <c r="P135" s="140">
        <f>(1/P121-1/P122)*1000</f>
        <v>0</v>
      </c>
      <c r="Q135" s="140">
        <f>IF(O135=0,1,P135/O135)</f>
        <v>1</v>
      </c>
      <c r="R135" s="143"/>
      <c r="S135" s="143" t="s">
        <v>709</v>
      </c>
      <c r="T135" s="143" t="s">
        <v>710</v>
      </c>
      <c r="U135" s="143"/>
      <c r="V135" s="141"/>
      <c r="W135" s="138"/>
      <c r="X135" s="139" t="s">
        <v>711</v>
      </c>
      <c r="Y135" s="138">
        <f>(Y132+Y133)/2</f>
        <v>11.259999999999987</v>
      </c>
      <c r="Z135" s="138">
        <f>(Z132+Z133)/2</f>
        <v>0.29999999999999966</v>
      </c>
      <c r="AA135" s="138">
        <f>(AA132+AA133)/2</f>
        <v>373.99999999999955</v>
      </c>
      <c r="AF135" s="138"/>
      <c r="AG135" s="159" t="s">
        <v>1399</v>
      </c>
      <c r="AH135" s="166">
        <f>2*(P137*AH111*AH127+P138*AH112*AH128+P139*(AH111*AH128+AH127*AH112)+P140*AH113*AH129)</f>
        <v>0</v>
      </c>
      <c r="AI135" s="163">
        <f>2*(P137*AI111*AI127+P138*AI112*AI128+P139*(AI111*AI128+AI127*AI112)+P140*AI113*AI129)</f>
        <v>0</v>
      </c>
      <c r="AJ135" s="163">
        <f>2*(P137*AJ111*AJ127+P138*AJ112*AJ128+P139*(AJ111*AJ128+AJ127*AJ112)+P140*AJ113*AJ129)</f>
        <v>0</v>
      </c>
      <c r="AK135" s="163">
        <f>2*(P137*AK111*AK127+P138*AK112*AK128+P139*(AK111*AK128+AK127*AK112)+P140*AK113*AK129)</f>
        <v>0</v>
      </c>
      <c r="AL135" s="163"/>
      <c r="AM135" s="139" t="s">
        <v>690</v>
      </c>
      <c r="AN135" s="158">
        <f>S512</f>
        <v>7.17</v>
      </c>
      <c r="AO135" s="158">
        <f>T512</f>
        <v>3.433333333333334</v>
      </c>
      <c r="AP135" s="158">
        <f>U512</f>
        <v>7.17</v>
      </c>
      <c r="AQ135" s="158">
        <f>V512</f>
        <v>3.433333333333334</v>
      </c>
      <c r="AR135" s="147"/>
      <c r="AS135" s="138">
        <f>AS131*AS133*AR131</f>
        <v>0</v>
      </c>
    </row>
    <row r="136" spans="1:45">
      <c r="A136" s="206">
        <v>1500</v>
      </c>
      <c r="B136" s="138">
        <v>1500</v>
      </c>
      <c r="C136" s="138">
        <v>40</v>
      </c>
      <c r="D136" s="138">
        <v>246</v>
      </c>
      <c r="E136" s="138">
        <v>68</v>
      </c>
      <c r="F136" s="138">
        <v>1.2</v>
      </c>
      <c r="G136" s="138">
        <v>22</v>
      </c>
      <c r="H136" s="205">
        <v>5.0000000000000001E-3</v>
      </c>
      <c r="J136" s="138" t="s">
        <v>1400</v>
      </c>
      <c r="N136" s="139" t="s">
        <v>1401</v>
      </c>
      <c r="O136" s="140">
        <f>(1/O123-1/O124)*1000</f>
        <v>20.934959349593495</v>
      </c>
      <c r="P136" s="140">
        <f>(1/P123-1/P124)*1000</f>
        <v>20.934959349593495</v>
      </c>
      <c r="Q136" s="140">
        <f t="shared" ref="Q136:Q142" si="37">P136/O136</f>
        <v>1</v>
      </c>
      <c r="R136" s="167" t="s">
        <v>711</v>
      </c>
      <c r="S136" s="138">
        <f>((K126+K128)*P114+(L128+L127)*P115)/2/1000000</f>
        <v>1.5083176634230242E-4</v>
      </c>
      <c r="T136" s="138">
        <f>((L126+L128)*P117+(L128+L127)*P118)/2</f>
        <v>3.9729249522510592</v>
      </c>
      <c r="U136" s="143"/>
      <c r="V136" s="141"/>
      <c r="W136" s="138"/>
      <c r="X136" s="143" t="s">
        <v>712</v>
      </c>
      <c r="Y136" s="164">
        <f>(Y132-Y133)/2</f>
        <v>-4.4408920985006262E-15</v>
      </c>
      <c r="Z136" s="164">
        <f>(Z132-Z133)/2</f>
        <v>-1.1102230246251565E-16</v>
      </c>
      <c r="AA136" s="164">
        <f>(AA132-AA133)/2</f>
        <v>-1.4210854715202004E-13</v>
      </c>
      <c r="AF136" s="138"/>
      <c r="AG136" s="159" t="s">
        <v>1403</v>
      </c>
      <c r="AH136" s="166">
        <f>AH135+AH119</f>
        <v>0</v>
      </c>
      <c r="AI136" s="163">
        <f>AI135+AI119</f>
        <v>0</v>
      </c>
      <c r="AJ136" s="163">
        <f>AJ135+AJ119</f>
        <v>0</v>
      </c>
      <c r="AK136" s="163">
        <f>AK135+AK119</f>
        <v>0</v>
      </c>
      <c r="AL136" s="163"/>
      <c r="AM136" s="139" t="s">
        <v>692</v>
      </c>
      <c r="AN136" s="158">
        <f>S511</f>
        <v>3.433333333333334</v>
      </c>
      <c r="AO136" s="158">
        <f>T511</f>
        <v>7.17</v>
      </c>
      <c r="AP136" s="158">
        <f>U511</f>
        <v>3.433333333333334</v>
      </c>
      <c r="AQ136" s="158">
        <f>V511</f>
        <v>7.17</v>
      </c>
    </row>
    <row r="137" spans="1:45">
      <c r="A137" s="206">
        <v>-0.5</v>
      </c>
      <c r="B137" s="138">
        <v>125</v>
      </c>
      <c r="C137" s="138">
        <v>0.7</v>
      </c>
      <c r="D137" s="138">
        <v>1.6</v>
      </c>
      <c r="E137" s="138">
        <v>0.51600000000000001</v>
      </c>
      <c r="F137" s="138">
        <v>0.5</v>
      </c>
      <c r="G137" s="138">
        <v>0.2</v>
      </c>
      <c r="H137" s="205">
        <v>0.9</v>
      </c>
      <c r="J137" s="139" t="s">
        <v>1404</v>
      </c>
      <c r="K137" s="140">
        <f>(1-(K134/K131)^2)*K131</f>
        <v>69.675740916648124</v>
      </c>
      <c r="L137" s="140">
        <f>(1-(L134/L131)^2)*L131</f>
        <v>69.675740916648138</v>
      </c>
      <c r="M137" s="140">
        <f>L137/K137</f>
        <v>1.0000000000000002</v>
      </c>
      <c r="N137" s="139" t="s">
        <v>1405</v>
      </c>
      <c r="O137" s="144">
        <f>(O131*K126^2+2*O133*K126*K128+O132*K128^2)</f>
        <v>12004.38353147296</v>
      </c>
      <c r="P137" s="144">
        <f>(P131*L126^2+2*P133*L126*L128+P132*L128^2)</f>
        <v>12004.38353147296</v>
      </c>
      <c r="Q137" s="140">
        <f t="shared" si="37"/>
        <v>1</v>
      </c>
      <c r="R137" s="167" t="s">
        <v>712</v>
      </c>
      <c r="S137" s="138">
        <f>((L126-L128)*P114+(L128-L127)*P115)/2/1000000</f>
        <v>-8.2014743567545106E-5</v>
      </c>
      <c r="T137" s="138">
        <f>((L126-L128)*P117+(L128-L127)*P118)/2</f>
        <v>-2.234770285641221</v>
      </c>
      <c r="U137" s="143"/>
      <c r="V137" s="141"/>
      <c r="W137" s="138"/>
      <c r="X137" s="143" t="s">
        <v>714</v>
      </c>
      <c r="Y137" s="164">
        <f>Y134/2</f>
        <v>-11.239999999999988</v>
      </c>
      <c r="Z137" s="164">
        <f>Z134/2</f>
        <v>-0.2999999999999996</v>
      </c>
      <c r="AA137" s="164">
        <f>AA134/2</f>
        <v>-198.51006257308836</v>
      </c>
      <c r="AG137" s="159" t="s">
        <v>1412</v>
      </c>
      <c r="AH137" s="166" t="e">
        <f>AH136/2/AH118</f>
        <v>#DIV/0!</v>
      </c>
      <c r="AI137" s="163" t="e">
        <f>AI136/2/AI118</f>
        <v>#DIV/0!</v>
      </c>
      <c r="AJ137" s="163" t="e">
        <f>AJ136/2/AJ118</f>
        <v>#DIV/0!</v>
      </c>
      <c r="AK137" s="163" t="e">
        <f>AK136/2/AK118</f>
        <v>#DIV/0!</v>
      </c>
      <c r="AL137" s="163"/>
      <c r="AM137" s="139" t="s">
        <v>660</v>
      </c>
      <c r="AN137" s="158">
        <f>S517</f>
        <v>0</v>
      </c>
      <c r="AO137" s="158">
        <f>T517</f>
        <v>2.2889856965876046E-16</v>
      </c>
      <c r="AP137" s="158">
        <f>U517</f>
        <v>0</v>
      </c>
      <c r="AQ137" s="158">
        <f>V517</f>
        <v>2.2889856965876046E-16</v>
      </c>
    </row>
    <row r="138" spans="1:45">
      <c r="A138" s="206">
        <v>0.02</v>
      </c>
      <c r="B138" s="138">
        <v>22.5</v>
      </c>
      <c r="C138" s="207">
        <v>0</v>
      </c>
      <c r="D138" s="138">
        <v>0.6</v>
      </c>
      <c r="E138" s="138">
        <v>0.316</v>
      </c>
      <c r="F138" s="138">
        <v>4.0000000000000001E-3</v>
      </c>
      <c r="G138" s="138">
        <v>4.0000000000000001E-3</v>
      </c>
      <c r="H138" s="205">
        <v>2000</v>
      </c>
      <c r="J138" s="139" t="s">
        <v>1414</v>
      </c>
      <c r="K138" s="140">
        <f>K134/K131</f>
        <v>0.29603094337527941</v>
      </c>
      <c r="L138" s="140">
        <f>L134/L131</f>
        <v>0.29603094337527941</v>
      </c>
      <c r="M138" s="140">
        <f>L138/K138</f>
        <v>1</v>
      </c>
      <c r="N138" s="139" t="s">
        <v>1415</v>
      </c>
      <c r="O138" s="144">
        <f>(O131*K128^2+2*O133*K128*K127+O132*K127^2)</f>
        <v>10680.652008265077</v>
      </c>
      <c r="P138" s="144">
        <f>(P131*L128^2+2*P133*L128*L127+P132*L127^2)</f>
        <v>10680.652008265077</v>
      </c>
      <c r="Q138" s="140">
        <f t="shared" si="37"/>
        <v>1</v>
      </c>
      <c r="R138" s="139" t="s">
        <v>715</v>
      </c>
      <c r="S138" s="138">
        <f>Y135+Y136*COS(S110)+Y137*SIN(S110)</f>
        <v>11.259999999999984</v>
      </c>
      <c r="T138" s="138">
        <f>Y135+Y136*COS(T110)+Y137*SIN(T110)</f>
        <v>11.259999999999989</v>
      </c>
      <c r="U138" s="138">
        <f>Y135+Y136*COS(U110)+Y137*SIN(U110)</f>
        <v>11.259999999999984</v>
      </c>
      <c r="V138" s="138">
        <f>Y135+Y136*COS(V110)+Y137*SIN(V110)</f>
        <v>11.259999999999989</v>
      </c>
      <c r="W138" s="138"/>
      <c r="Y138" s="164"/>
      <c r="AC138" s="140"/>
      <c r="AG138" s="159"/>
      <c r="AH138" s="147"/>
      <c r="AI138" s="163"/>
      <c r="AJ138" s="163"/>
      <c r="AK138" s="163"/>
      <c r="AL138" s="163"/>
      <c r="AM138" s="139" t="s">
        <v>662</v>
      </c>
      <c r="AN138" s="158">
        <f>AN135/(AN135*AN136-AN137^2)</f>
        <v>0.29126213592233002</v>
      </c>
      <c r="AO138" s="158">
        <f>AO135/(AO135*AO136-AO137^2)</f>
        <v>0.1394700139470014</v>
      </c>
      <c r="AP138" s="158">
        <f>AP135/(AP135*AP136-AP137^2)</f>
        <v>0.29126213592233002</v>
      </c>
      <c r="AQ138" s="158">
        <f>AQ135/(AQ135*AQ136-AQ137^2)</f>
        <v>0.1394700139470014</v>
      </c>
    </row>
    <row r="139" spans="1:45">
      <c r="A139" s="208">
        <v>0.15</v>
      </c>
      <c r="B139" s="209">
        <v>0.01</v>
      </c>
      <c r="C139" s="209">
        <v>1</v>
      </c>
      <c r="D139" s="209">
        <v>1</v>
      </c>
      <c r="E139" s="209">
        <v>0.1</v>
      </c>
      <c r="F139" s="209">
        <v>0.5</v>
      </c>
      <c r="G139" s="209"/>
      <c r="H139" s="210"/>
      <c r="J139" s="139" t="s">
        <v>716</v>
      </c>
      <c r="K139" s="138">
        <f>(1-L111^2*L110/L109)*L110/(1-L111^2*L110/L109-L124^2-L111^2*L110/L109-2*L111^2*L110/L109*L124)</f>
        <v>13.920484365408951</v>
      </c>
      <c r="N139" s="139" t="s">
        <v>1416</v>
      </c>
      <c r="O139" s="144">
        <f>(O131*K126*K128+O133*(K126*K127+K128^2)+O132*K128*K127)</f>
        <v>-3069.103206291968</v>
      </c>
      <c r="P139" s="144">
        <f>(P131*L126*L128+P133*(L126*L127+L128^2)+P132*L128*L127)</f>
        <v>-3069.1032062919689</v>
      </c>
      <c r="Q139" s="140">
        <f t="shared" si="37"/>
        <v>1.0000000000000002</v>
      </c>
      <c r="R139" s="139" t="s">
        <v>717</v>
      </c>
      <c r="S139" s="138">
        <f>2*Y135-S138</f>
        <v>11.259999999999991</v>
      </c>
      <c r="T139" s="138">
        <f>2*Y135-T138</f>
        <v>11.259999999999986</v>
      </c>
      <c r="U139" s="138">
        <f>2*Y135-U138</f>
        <v>11.259999999999991</v>
      </c>
      <c r="V139" s="138">
        <f>2*Y135-V138</f>
        <v>11.259999999999986</v>
      </c>
      <c r="W139" s="138"/>
      <c r="Y139" s="164"/>
      <c r="AC139" s="140"/>
      <c r="AG139" s="159"/>
      <c r="AH139" s="147"/>
      <c r="AI139" s="163"/>
      <c r="AJ139" s="163"/>
      <c r="AK139" s="163"/>
      <c r="AL139" s="163"/>
      <c r="AM139" s="139" t="s">
        <v>665</v>
      </c>
      <c r="AN139" s="158">
        <f>AN136/(AN135*AN136-AN137^2)</f>
        <v>0.1394700139470014</v>
      </c>
      <c r="AO139" s="158">
        <f>AO136/(AO135*AO136-AO137^2)</f>
        <v>0.29126213592233002</v>
      </c>
      <c r="AP139" s="158">
        <f>AP136/(AP135*AP136-AP137^2)</f>
        <v>0.1394700139470014</v>
      </c>
      <c r="AQ139" s="158">
        <f>AQ136/(AQ135*AQ136-AQ137^2)</f>
        <v>0.29126213592233002</v>
      </c>
    </row>
    <row r="140" spans="1:45">
      <c r="A140" s="204" t="s">
        <v>1582</v>
      </c>
      <c r="B140" s="138">
        <v>181</v>
      </c>
      <c r="C140" s="138">
        <v>10.3</v>
      </c>
      <c r="D140" s="138">
        <v>0.28000000000000003</v>
      </c>
      <c r="E140" s="138">
        <v>7.17</v>
      </c>
      <c r="F140" s="138">
        <v>3.4</v>
      </c>
      <c r="G140" s="138">
        <v>122</v>
      </c>
      <c r="H140" s="205">
        <v>160</v>
      </c>
      <c r="J140" s="139" t="s">
        <v>1193</v>
      </c>
      <c r="K140" s="140">
        <f>D125</f>
        <v>1.6</v>
      </c>
      <c r="L140" s="140">
        <f>L141*(1-L115)+L142*L115</f>
        <v>1.6</v>
      </c>
      <c r="M140" s="140">
        <f>L140/K140</f>
        <v>1</v>
      </c>
      <c r="N140" s="139" t="s">
        <v>1418</v>
      </c>
      <c r="O140" s="144">
        <f>O134*K129^2</f>
        <v>11117.841695501729</v>
      </c>
      <c r="P140" s="144">
        <f>P134*L129^2</f>
        <v>11117.841695501729</v>
      </c>
      <c r="Q140" s="140">
        <f t="shared" si="37"/>
        <v>1</v>
      </c>
      <c r="R140" s="139" t="s">
        <v>124</v>
      </c>
      <c r="S140" s="138">
        <f>Z135+Z136*COS(S110)+Z137*SIN(S110)</f>
        <v>0.29999999999999954</v>
      </c>
      <c r="T140" s="138">
        <f>Z135+Z136*COS(T110)+Z137*SIN(T110)</f>
        <v>0.29999999999999971</v>
      </c>
      <c r="U140" s="138">
        <f>Z135+Z136*COS(U110)+Z137*SIN(U110)</f>
        <v>0.29999999999999954</v>
      </c>
      <c r="V140" s="138">
        <f>Z135+Z136*COS(V110)+Z137*SIN(V110)</f>
        <v>0.29999999999999971</v>
      </c>
      <c r="W140" s="138"/>
      <c r="Y140" s="164"/>
      <c r="AC140" s="140"/>
      <c r="AG140" s="159"/>
      <c r="AH140" s="147"/>
      <c r="AI140" s="163"/>
      <c r="AJ140" s="163"/>
      <c r="AK140" s="163"/>
      <c r="AL140" s="159" t="s">
        <v>1421</v>
      </c>
      <c r="AM140" s="138" t="s">
        <v>666</v>
      </c>
      <c r="AN140" s="141">
        <f>-AN137/(AN135*AN136-AN137^2)</f>
        <v>0</v>
      </c>
      <c r="AO140" s="141">
        <f>-AO137/(AO135*AO136-AO137^2)</f>
        <v>-9.2983941852687333E-18</v>
      </c>
      <c r="AP140" s="141">
        <f>-AP137/(AP135*AP136-AP137^2)</f>
        <v>0</v>
      </c>
      <c r="AQ140" s="141">
        <f>-AQ137/(AQ135*AQ136-AQ137^2)</f>
        <v>-9.2983941852687333E-18</v>
      </c>
    </row>
    <row r="141" spans="1:45">
      <c r="A141" s="206">
        <v>1500</v>
      </c>
      <c r="B141" s="138">
        <v>1500</v>
      </c>
      <c r="C141" s="138">
        <v>40</v>
      </c>
      <c r="D141" s="138">
        <v>246</v>
      </c>
      <c r="E141" s="138">
        <v>68</v>
      </c>
      <c r="F141" s="138">
        <v>1.2</v>
      </c>
      <c r="G141" s="138">
        <v>22</v>
      </c>
      <c r="H141" s="205">
        <v>5.0000000000000001E-3</v>
      </c>
      <c r="J141" s="139" t="s">
        <v>274</v>
      </c>
      <c r="K141" s="140">
        <f>F124</f>
        <v>1.2</v>
      </c>
      <c r="L141" s="140">
        <f>K141</f>
        <v>1.2</v>
      </c>
      <c r="M141" s="140">
        <f>L141/K141</f>
        <v>1</v>
      </c>
      <c r="N141" s="139" t="s">
        <v>1422</v>
      </c>
      <c r="O141" s="144">
        <f>(O135*K126+O136*K128)</f>
        <v>60.646995481305353</v>
      </c>
      <c r="P141" s="144">
        <f>(P135*L126+P136*L128)</f>
        <v>60.646995481305353</v>
      </c>
      <c r="Q141" s="140">
        <f t="shared" si="37"/>
        <v>1</v>
      </c>
      <c r="R141" s="167" t="s">
        <v>125</v>
      </c>
      <c r="S141" s="138">
        <f>2*Z135-S140</f>
        <v>0.29999999999999977</v>
      </c>
      <c r="T141" s="138">
        <f>2*Z135-T140</f>
        <v>0.2999999999999996</v>
      </c>
      <c r="U141" s="138">
        <f>2*Z135-U140</f>
        <v>0.29999999999999977</v>
      </c>
      <c r="V141" s="138">
        <f>2*Z135-V140</f>
        <v>0.2999999999999996</v>
      </c>
      <c r="W141" s="138"/>
      <c r="Y141" s="164"/>
      <c r="Z141" s="164"/>
      <c r="AA141" s="147"/>
      <c r="AB141" s="147"/>
      <c r="AC141" s="147"/>
      <c r="AD141" s="147"/>
      <c r="AG141" s="139" t="s">
        <v>1424</v>
      </c>
      <c r="AH141" s="147" t="e">
        <f>(AH137^2-AH134/AH118)^0.5-AH137</f>
        <v>#DIV/0!</v>
      </c>
      <c r="AI141" s="147" t="e">
        <f>(AI137^2-AI134/AI118)^0.5-AI137</f>
        <v>#DIV/0!</v>
      </c>
      <c r="AJ141" s="147" t="e">
        <f>(AJ137^2-AJ134/AJ118)^0.5-AJ137</f>
        <v>#DIV/0!</v>
      </c>
      <c r="AK141" s="147" t="e">
        <f>(AK137^2-AK134/AK118)^0.5-AK137</f>
        <v>#DIV/0!</v>
      </c>
      <c r="AL141" s="147">
        <f>MIN(AH142:AK142)</f>
        <v>1000000000</v>
      </c>
      <c r="AM141" s="138" t="s">
        <v>637</v>
      </c>
      <c r="AN141" s="141"/>
      <c r="AO141" s="141"/>
      <c r="AR141" s="141"/>
      <c r="AS141" s="141"/>
    </row>
    <row r="142" spans="1:45">
      <c r="A142" s="206">
        <v>-0.5</v>
      </c>
      <c r="B142" s="138">
        <v>125</v>
      </c>
      <c r="C142" s="138">
        <v>0.7</v>
      </c>
      <c r="D142" s="138">
        <v>1.6</v>
      </c>
      <c r="E142" s="138">
        <v>0.51600000000000001</v>
      </c>
      <c r="F142" s="138">
        <v>0.5</v>
      </c>
      <c r="G142" s="138">
        <v>0.2</v>
      </c>
      <c r="H142" s="205">
        <v>0.9</v>
      </c>
      <c r="J142" s="139" t="s">
        <v>1195</v>
      </c>
      <c r="K142" s="140">
        <f>(K140-K141*(1-K115))/K115</f>
        <v>1.7714285714285716</v>
      </c>
      <c r="L142" s="140">
        <f>K142</f>
        <v>1.7714285714285716</v>
      </c>
      <c r="M142" s="140">
        <f>L142/K142</f>
        <v>1</v>
      </c>
      <c r="N142" s="139" t="s">
        <v>1426</v>
      </c>
      <c r="O142" s="144">
        <f>(O135*K128+O136*K127)</f>
        <v>216.59641243323335</v>
      </c>
      <c r="P142" s="144">
        <f>(P135*L128+P136*L127)</f>
        <v>216.59641243323335</v>
      </c>
      <c r="Q142" s="140">
        <f t="shared" si="37"/>
        <v>1</v>
      </c>
      <c r="R142" s="139" t="s">
        <v>126</v>
      </c>
      <c r="S142" s="138">
        <f>AA135+AA136*COS(S110)+AA137*SIN(S110)</f>
        <v>373.99999999999943</v>
      </c>
      <c r="T142" s="138">
        <f>AA135+AA136*COS(T110)+AA137*SIN(T110)</f>
        <v>373.99999999999966</v>
      </c>
      <c r="U142" s="138">
        <f>AA135+AA136*COS(U110)+AA137*SIN(U110)</f>
        <v>373.99999999999943</v>
      </c>
      <c r="V142" s="138">
        <f>AA135+AA136*COS(V110)+AA137*SIN(V110)</f>
        <v>373.99999999999966</v>
      </c>
      <c r="W142" s="138"/>
      <c r="Y142" s="164"/>
      <c r="Z142" s="164"/>
      <c r="AA142" s="147"/>
      <c r="AB142" s="147"/>
      <c r="AC142" s="147"/>
      <c r="AD142" s="147"/>
      <c r="AG142" s="139" t="s">
        <v>194</v>
      </c>
      <c r="AH142" s="147">
        <f>IF(AH107=0,1000000000,AH141)</f>
        <v>1000000000</v>
      </c>
      <c r="AI142" s="147">
        <f>IF(AI107=0,1000000000,AI141)</f>
        <v>1000000000</v>
      </c>
      <c r="AJ142" s="147">
        <f>IF(AJ107=0,1000000000,AJ141)</f>
        <v>1000000000</v>
      </c>
      <c r="AK142" s="147">
        <f>IF(AK107=0,1000000000,AK141)</f>
        <v>1000000000</v>
      </c>
      <c r="AM142" s="137"/>
      <c r="AN142" s="141"/>
      <c r="AO142" s="141"/>
      <c r="AR142" s="141"/>
      <c r="AS142" s="143"/>
    </row>
    <row r="143" spans="1:45">
      <c r="A143" s="206">
        <v>0.02</v>
      </c>
      <c r="B143" s="138">
        <v>22.5</v>
      </c>
      <c r="C143" s="207">
        <v>0</v>
      </c>
      <c r="D143" s="138">
        <v>0.6</v>
      </c>
      <c r="E143" s="138">
        <v>0.316</v>
      </c>
      <c r="F143" s="138">
        <v>4.0000000000000001E-3</v>
      </c>
      <c r="G143" s="138">
        <v>4.0000000000000001E-3</v>
      </c>
      <c r="H143" s="205">
        <v>2000</v>
      </c>
      <c r="L143" s="138" t="s">
        <v>234</v>
      </c>
      <c r="R143" s="139" t="s">
        <v>127</v>
      </c>
      <c r="S143" s="138">
        <f>2*AA135-S142</f>
        <v>373.99999999999966</v>
      </c>
      <c r="T143" s="138">
        <f>2*AA135-T142</f>
        <v>373.99999999999943</v>
      </c>
      <c r="U143" s="138">
        <f>2*AA135-U142</f>
        <v>373.99999999999966</v>
      </c>
      <c r="V143" s="138">
        <f>2*AA135-V142</f>
        <v>373.99999999999943</v>
      </c>
      <c r="W143" s="138"/>
      <c r="Y143" s="164"/>
      <c r="Z143" s="164" t="s">
        <v>129</v>
      </c>
      <c r="AA143" s="147"/>
      <c r="AB143" s="147"/>
      <c r="AC143" s="147"/>
      <c r="AD143" s="147"/>
      <c r="AG143" s="139" t="s">
        <v>194</v>
      </c>
      <c r="AH143" s="147">
        <f>IF(AH107=0,0,AH141)</f>
        <v>0</v>
      </c>
      <c r="AI143" s="147">
        <f>IF(AI107=0,0,AI141)</f>
        <v>0</v>
      </c>
      <c r="AJ143" s="147">
        <f>IF(AJ107=0,0,AJ141)</f>
        <v>0</v>
      </c>
      <c r="AK143" s="147">
        <f>IF(AK107=0,0,AK141)</f>
        <v>0</v>
      </c>
      <c r="AM143" s="139" t="s">
        <v>243</v>
      </c>
      <c r="AN143" s="143" t="s">
        <v>1562</v>
      </c>
      <c r="AO143" s="143" t="s">
        <v>1563</v>
      </c>
      <c r="AP143" s="143" t="s">
        <v>1564</v>
      </c>
      <c r="AQ143" s="143" t="s">
        <v>1565</v>
      </c>
      <c r="AR143" s="143"/>
      <c r="AS143" s="143"/>
    </row>
    <row r="144" spans="1:45">
      <c r="A144" s="208">
        <v>0.15</v>
      </c>
      <c r="B144" s="209">
        <v>0.01</v>
      </c>
      <c r="C144" s="209">
        <v>1</v>
      </c>
      <c r="D144" s="209">
        <v>1</v>
      </c>
      <c r="E144" s="209">
        <v>0.1</v>
      </c>
      <c r="F144" s="209">
        <v>0.5</v>
      </c>
      <c r="G144" s="209"/>
      <c r="H144" s="210"/>
      <c r="J144" s="139" t="s">
        <v>134</v>
      </c>
      <c r="K144" s="138">
        <f>(1-L124^2)*O145*L109</f>
        <v>184.28877056365894</v>
      </c>
      <c r="L144" s="139" t="s">
        <v>135</v>
      </c>
      <c r="M144" s="138">
        <f>L111*(1+L124)*O145*L110</f>
        <v>5.8728045779623468</v>
      </c>
      <c r="R144" s="139" t="s">
        <v>136</v>
      </c>
      <c r="S144" s="138">
        <f>4*COS(S110/2)^2*SIN(S110/2)^2*$K149+COS(S110/2)^4*$K144+SIN(S110/2)^4*$K145+2*COS(S110/2)^2*SIN(S110/2)^2*$M144</f>
        <v>184.28877056365894</v>
      </c>
      <c r="T144" s="138">
        <f>4*COS(T110/2)^2*SIN(T110/2)^2*$K149+COS(T110/2)^4*$K144+SIN(T110/2)^4*$K145+2*COS(T110/2)^2*SIN(T110/2)^2*$M144</f>
        <v>13.920484365408953</v>
      </c>
      <c r="U144" s="138">
        <f>4*COS(U110/2)^2*SIN(U110/2)^2*$K149+COS(U110/2)^4*$K144+SIN(U110/2)^4*$K145+2*COS(U110/2)^2*SIN(U110/2)^2*$M144</f>
        <v>184.28877056365894</v>
      </c>
      <c r="V144" s="138">
        <f>4*COS(V110/2)^2*SIN(V110/2)^2*$K149+COS(V110/2)^4*$K144+SIN(V110/2)^4*$K145+2*COS(V110/2)^2*SIN(V110/2)^2*$M144</f>
        <v>13.920484365408953</v>
      </c>
      <c r="W144" s="138" t="s">
        <v>137</v>
      </c>
      <c r="X144" s="147">
        <f>S112/S146+T112/T146+U112/U146+V112/V146</f>
        <v>0</v>
      </c>
      <c r="Y144" s="147">
        <f>S112*S144+T112*T144+U112*U144+V112*V144</f>
        <v>0</v>
      </c>
      <c r="Z144" s="164"/>
      <c r="AA144" s="147"/>
      <c r="AB144" s="147"/>
      <c r="AC144" s="147"/>
      <c r="AD144" s="147"/>
      <c r="AG144" s="139"/>
      <c r="AH144" s="147"/>
      <c r="AI144" s="147"/>
      <c r="AJ144" s="147"/>
      <c r="AK144" s="147"/>
      <c r="AM144" s="139" t="s">
        <v>537</v>
      </c>
      <c r="AN144" s="154">
        <f t="shared" ref="AN144:AQ145" si="38">S524</f>
        <v>0</v>
      </c>
      <c r="AO144" s="154">
        <f t="shared" si="38"/>
        <v>90</v>
      </c>
      <c r="AP144" s="154">
        <f t="shared" si="38"/>
        <v>0</v>
      </c>
      <c r="AQ144" s="154">
        <f t="shared" si="38"/>
        <v>90</v>
      </c>
      <c r="AR144" s="143" t="s">
        <v>538</v>
      </c>
      <c r="AS144" s="143" t="s">
        <v>652</v>
      </c>
    </row>
    <row r="145" spans="1:45">
      <c r="J145" s="139" t="s">
        <v>138</v>
      </c>
      <c r="K145" s="138">
        <f>(1-L111^2*L110/L109)*O145*L110</f>
        <v>13.920484365408953</v>
      </c>
      <c r="L145" s="139" t="s">
        <v>139</v>
      </c>
      <c r="M145" s="138">
        <f>M144</f>
        <v>5.8728045779623468</v>
      </c>
      <c r="N145" s="139" t="s">
        <v>140</v>
      </c>
      <c r="O145" s="138">
        <f>1/((1+L124)*(1-L124-2*L111^2*L110/L109))</f>
        <v>1.3575600041521836</v>
      </c>
      <c r="R145" s="139" t="s">
        <v>141</v>
      </c>
      <c r="S145" s="138">
        <f>4*COS(S110/2)^2*SIN(S110/2)^2*$K149+SIN(S110/2)^4*$K144+COS(S110/2)^4*$K145+2*COS(S110/2)^2*SIN(S110/2)^2*$M144</f>
        <v>13.920484365408953</v>
      </c>
      <c r="T145" s="138">
        <f>4*COS(T110/2)^2*SIN(T110/2)^2*$K149+SIN(T110/2)^4*$K144+COS(T110/2)^4*$K145+2*COS(T110/2)^2*SIN(T110/2)^2*$M144</f>
        <v>184.28877056365894</v>
      </c>
      <c r="U145" s="138">
        <f>4*COS(U110/2)^2*SIN(U110/2)^2*$K149+SIN(U110/2)^4*$K144+COS(U110/2)^4*$K145+2*COS(U110/2)^2*SIN(U110/2)^2*$M144</f>
        <v>13.920484365408953</v>
      </c>
      <c r="V145" s="138">
        <f>4*COS(V110/2)^2*SIN(V110/2)^2*$K149+SIN(V110/2)^4*$K144+COS(V110/2)^4*$K145+2*COS(V110/2)^2*SIN(V110/2)^2*$M144</f>
        <v>184.28877056365894</v>
      </c>
      <c r="W145" s="138" t="s">
        <v>142</v>
      </c>
      <c r="X145" s="141">
        <f>S112*S151/S146+T112*T151/T146+U112*U151/U146+V112*V151/V146</f>
        <v>0</v>
      </c>
      <c r="Y145" s="147">
        <f>S112*S145+T112*T145+U112*U145+V112*V145</f>
        <v>0</v>
      </c>
      <c r="Z145" s="164"/>
      <c r="AA145" s="147"/>
      <c r="AB145" s="147"/>
      <c r="AC145" s="147"/>
      <c r="AD145" s="147"/>
      <c r="AG145" s="139"/>
      <c r="AH145" s="147"/>
      <c r="AI145" s="147"/>
      <c r="AJ145" s="147"/>
      <c r="AK145" s="147"/>
      <c r="AM145" s="139" t="s">
        <v>541</v>
      </c>
      <c r="AN145" s="154">
        <f t="shared" si="38"/>
        <v>0</v>
      </c>
      <c r="AO145" s="154">
        <f t="shared" si="38"/>
        <v>0</v>
      </c>
      <c r="AP145" s="154">
        <f t="shared" si="38"/>
        <v>0</v>
      </c>
      <c r="AQ145" s="154">
        <f t="shared" si="38"/>
        <v>0</v>
      </c>
      <c r="AR145" s="156">
        <f>W525</f>
        <v>1</v>
      </c>
      <c r="AS145" s="146">
        <f>SUM(AN145:AQ145)</f>
        <v>0</v>
      </c>
    </row>
    <row r="146" spans="1:45">
      <c r="A146" s="203" t="s">
        <v>843</v>
      </c>
      <c r="J146" s="139" t="s">
        <v>146</v>
      </c>
      <c r="K146" s="138">
        <f>K145</f>
        <v>13.920484365408953</v>
      </c>
      <c r="L146" s="139" t="s">
        <v>147</v>
      </c>
      <c r="M146" s="138">
        <f>(L124+L111^2*L110/L109)*O145*L110</f>
        <v>7.053817698742284</v>
      </c>
      <c r="R146" s="139" t="s">
        <v>716</v>
      </c>
      <c r="S146" s="138">
        <f>$K146</f>
        <v>13.920484365408953</v>
      </c>
      <c r="T146" s="138">
        <f>$K146</f>
        <v>13.920484365408953</v>
      </c>
      <c r="U146" s="138">
        <f>$K146</f>
        <v>13.920484365408953</v>
      </c>
      <c r="V146" s="138">
        <f>$K146</f>
        <v>13.920484365408953</v>
      </c>
      <c r="W146" s="138" t="s">
        <v>148</v>
      </c>
      <c r="X146" s="141">
        <f>S112*S152/S146+T112*T152/T146+U112*U152/U146+V112*V152/V146</f>
        <v>0</v>
      </c>
      <c r="Y146" s="164"/>
      <c r="Z146" s="164"/>
      <c r="AA146" s="147"/>
      <c r="AB146" s="147"/>
      <c r="AC146" s="147"/>
      <c r="AD146" s="147"/>
      <c r="AG146" s="139"/>
      <c r="AH146" s="147"/>
      <c r="AI146" s="147"/>
      <c r="AJ146" s="147"/>
      <c r="AK146" s="147"/>
      <c r="AM146" s="138" t="s">
        <v>648</v>
      </c>
      <c r="AN146" s="158">
        <f>AN144*PI()/180</f>
        <v>0</v>
      </c>
      <c r="AO146" s="158">
        <f>AO144*PI()/180</f>
        <v>1.5707963267948966</v>
      </c>
      <c r="AP146" s="158">
        <f>AP144*PI()/180</f>
        <v>0</v>
      </c>
      <c r="AQ146" s="158">
        <f>AQ144*PI()/180</f>
        <v>1.5707963267948966</v>
      </c>
      <c r="AS146" s="159" t="s">
        <v>683</v>
      </c>
    </row>
    <row r="147" spans="1:45">
      <c r="A147" s="204" t="s">
        <v>1582</v>
      </c>
      <c r="B147" s="138">
        <v>181</v>
      </c>
      <c r="C147" s="138">
        <v>10.3</v>
      </c>
      <c r="D147" s="138">
        <v>0.28000000000000003</v>
      </c>
      <c r="E147" s="138">
        <v>7.17</v>
      </c>
      <c r="F147" s="138">
        <v>3.4</v>
      </c>
      <c r="G147" s="138">
        <v>122</v>
      </c>
      <c r="H147" s="205">
        <v>160</v>
      </c>
      <c r="J147" s="139" t="s">
        <v>152</v>
      </c>
      <c r="K147" s="138">
        <f>(1-L124-2*L111^2*L110/L109)*O145*L110/2</f>
        <v>3.433333333333334</v>
      </c>
      <c r="R147" s="139" t="s">
        <v>153</v>
      </c>
      <c r="S147" s="138">
        <f>COS(S110/2)^2*$K147+SIN(S110/2)^2*$K148</f>
        <v>3.433333333333334</v>
      </c>
      <c r="T147" s="138">
        <f>COS(T110/2)^2*$K147+SIN(T110/2)^2*$K148</f>
        <v>7.17</v>
      </c>
      <c r="U147" s="138">
        <f>COS(U110/2)^2*$K147+SIN(U110/2)^2*$K148</f>
        <v>3.433333333333334</v>
      </c>
      <c r="V147" s="138">
        <f>COS(V110/2)^2*$K147+SIN(V110/2)^2*$K148</f>
        <v>7.17</v>
      </c>
      <c r="W147" s="138" t="s">
        <v>154</v>
      </c>
      <c r="X147" s="141">
        <f>S112*S156/S146+T112*T156/T146+U112*U156/U146+V112*V156/V146</f>
        <v>0</v>
      </c>
      <c r="Y147" s="164"/>
      <c r="Z147" s="164">
        <f>S112*S147/(S147*S148-S153^2)+T112*T147/(T147*T148-T153^2)+U112*U147/(U147*U148-U153^2)+V112*V147/(V147*V148-V153^2)</f>
        <v>0</v>
      </c>
      <c r="AA147" s="147"/>
      <c r="AB147" s="147"/>
      <c r="AC147" s="147"/>
      <c r="AD147" s="147"/>
      <c r="AG147" s="139"/>
      <c r="AH147" s="147"/>
      <c r="AI147" s="147"/>
      <c r="AJ147" s="147"/>
      <c r="AK147" s="147"/>
      <c r="AM147" s="139" t="s">
        <v>653</v>
      </c>
      <c r="AN147" s="158">
        <f>COS(AN144*PI()/180)</f>
        <v>1</v>
      </c>
      <c r="AO147" s="158">
        <f>COS(AO144*PI()/180)</f>
        <v>6.1257422745431001E-17</v>
      </c>
      <c r="AP147" s="158">
        <f>COS(AP144*PI()/180)</f>
        <v>1</v>
      </c>
      <c r="AQ147" s="158">
        <f>COS(AQ144*PI()/180)</f>
        <v>6.1257422745431001E-17</v>
      </c>
      <c r="AR147" s="143"/>
      <c r="AS147" s="162">
        <f>$L529/1000000/AT5*2/AT7</f>
        <v>0.05</v>
      </c>
    </row>
    <row r="148" spans="1:45">
      <c r="A148" s="206">
        <v>1500</v>
      </c>
      <c r="B148" s="138">
        <v>1500</v>
      </c>
      <c r="C148" s="138">
        <v>40</v>
      </c>
      <c r="D148" s="138">
        <v>246</v>
      </c>
      <c r="E148" s="138">
        <v>68</v>
      </c>
      <c r="F148" s="138">
        <v>1.2</v>
      </c>
      <c r="G148" s="138">
        <v>22</v>
      </c>
      <c r="H148" s="205">
        <v>5.0000000000000001E-3</v>
      </c>
      <c r="J148" s="139" t="s">
        <v>769</v>
      </c>
      <c r="K148" s="140">
        <f>L112</f>
        <v>7.17</v>
      </c>
      <c r="R148" s="139" t="s">
        <v>770</v>
      </c>
      <c r="S148" s="138">
        <f>SIN(S110/2)^2*$K147+COS(S110/2)^2*$K148</f>
        <v>7.17</v>
      </c>
      <c r="T148" s="138">
        <f>SIN(T110/2)^2*$K147+COS(T110/2)^2*$K148</f>
        <v>3.433333333333334</v>
      </c>
      <c r="U148" s="138">
        <f>SIN(U110/2)^2*$K147+COS(U110/2)^2*$K148</f>
        <v>7.17</v>
      </c>
      <c r="V148" s="138">
        <f>SIN(V110/2)^2*$K147+COS(V110/2)^2*$K148</f>
        <v>3.433333333333334</v>
      </c>
      <c r="W148" s="138" t="s">
        <v>771</v>
      </c>
      <c r="X148" s="141">
        <f>S112*S151^2/S146+T112*T151^2/T146+U112*U151^2/U146+V112*V151^2/V146</f>
        <v>0</v>
      </c>
      <c r="Y148" s="164"/>
      <c r="Z148" s="164">
        <f>S112*S148/(S147*S148-S153^2)+T112*T148/(T147*T148-T153^2)+U112*U148/(U147*U148-U153^2)+V112*V148/(V147*V148-V153^2)</f>
        <v>0</v>
      </c>
      <c r="AA148" s="147"/>
      <c r="AB148" s="147"/>
      <c r="AC148" s="147"/>
      <c r="AD148" s="147"/>
      <c r="AG148" s="139"/>
      <c r="AH148" s="147"/>
      <c r="AI148" s="147"/>
      <c r="AJ148" s="147"/>
      <c r="AK148" s="147"/>
      <c r="AM148" s="139" t="s">
        <v>654</v>
      </c>
      <c r="AN148" s="158">
        <f>SIN(AN144*PI()/180)</f>
        <v>0</v>
      </c>
      <c r="AO148" s="158">
        <f>SIN(AO144*PI()/180)</f>
        <v>1</v>
      </c>
      <c r="AP148" s="158">
        <f>SIN(AP144*PI()/180)</f>
        <v>0</v>
      </c>
      <c r="AQ148" s="158">
        <f>SIN(AQ144*PI()/180)</f>
        <v>1</v>
      </c>
      <c r="AS148" s="160" t="s">
        <v>655</v>
      </c>
    </row>
    <row r="149" spans="1:45">
      <c r="A149" s="206">
        <v>-0.5</v>
      </c>
      <c r="B149" s="138">
        <v>125</v>
      </c>
      <c r="C149" s="138">
        <v>0.7</v>
      </c>
      <c r="D149" s="138">
        <v>1.6</v>
      </c>
      <c r="E149" s="138">
        <v>0.51600000000000001</v>
      </c>
      <c r="F149" s="138">
        <v>0.5</v>
      </c>
      <c r="G149" s="138">
        <v>0.2</v>
      </c>
      <c r="H149" s="205">
        <v>0.9</v>
      </c>
      <c r="J149" s="139" t="s">
        <v>773</v>
      </c>
      <c r="K149" s="140">
        <f>K148</f>
        <v>7.17</v>
      </c>
      <c r="P149" s="185"/>
      <c r="Q149" s="185"/>
      <c r="R149" s="186" t="s">
        <v>774</v>
      </c>
      <c r="S149" s="185">
        <f>(COS(S110/2)^2-SIN(S110/2)^2)^2*$K149+COS(S110/2)^2*SIN(S110/2)^2*($K144+$K145-2*$M144)</f>
        <v>7.17</v>
      </c>
      <c r="T149" s="185">
        <f>(COS(T110/2)^2-SIN(T110/2)^2)^2*$K149+COS(T110/2)^2*SIN(T110/2)^2*($K144+$K145-2*$M144)</f>
        <v>7.17</v>
      </c>
      <c r="U149" s="185">
        <f>(COS(U110/2)^2-SIN(U110/2)^2)^2*$K149+COS(U110/2)^2*SIN(U110/2)^2*($K144+$K145-2*$M144)</f>
        <v>7.17</v>
      </c>
      <c r="V149" s="185">
        <f>(COS(V110/2)^2-SIN(V110/2)^2)^2*$K149+COS(V110/2)^2*SIN(V110/2)^2*($K144+$K145-2*$M144)</f>
        <v>7.17</v>
      </c>
      <c r="W149" s="185" t="s">
        <v>775</v>
      </c>
      <c r="X149" s="187">
        <f>S112*S152^2/S146+T112*T152^2/T146+U112*U152^2/U146+V112*V152^2/V146</f>
        <v>0</v>
      </c>
      <c r="Y149" s="147">
        <f>S112*S149+T112*T149+U112*U149+V112*V149</f>
        <v>0</v>
      </c>
      <c r="Z149" s="188"/>
      <c r="AA149" s="190"/>
      <c r="AB149" s="190"/>
      <c r="AC149" s="190"/>
      <c r="AD149" s="190"/>
      <c r="AE149" s="185"/>
      <c r="AF149" s="187"/>
      <c r="AG149" s="186"/>
      <c r="AH149" s="190"/>
      <c r="AI149" s="190"/>
      <c r="AJ149" s="190"/>
      <c r="AK149" s="190"/>
      <c r="AL149" s="185"/>
      <c r="AM149" s="139" t="s">
        <v>690</v>
      </c>
      <c r="AN149" s="158">
        <f>S564</f>
        <v>7.17</v>
      </c>
      <c r="AO149" s="158">
        <f>T564</f>
        <v>3.433333333333334</v>
      </c>
      <c r="AP149" s="158">
        <f>U564</f>
        <v>7.17</v>
      </c>
      <c r="AQ149" s="158">
        <f>V564</f>
        <v>3.433333333333334</v>
      </c>
      <c r="AR149" s="147"/>
      <c r="AS149" s="138">
        <f>AS145*AS147*AR145</f>
        <v>0</v>
      </c>
    </row>
    <row r="150" spans="1:45">
      <c r="A150" s="206">
        <v>0.02</v>
      </c>
      <c r="B150" s="138">
        <v>22.5</v>
      </c>
      <c r="C150" s="207">
        <v>0</v>
      </c>
      <c r="D150" s="138">
        <v>0.6</v>
      </c>
      <c r="E150" s="138">
        <v>0.316</v>
      </c>
      <c r="F150" s="138">
        <v>4.0000000000000001E-3</v>
      </c>
      <c r="G150" s="138">
        <v>4.0000000000000001E-3</v>
      </c>
      <c r="H150" s="205">
        <v>2000</v>
      </c>
      <c r="J150" s="185"/>
      <c r="K150" s="185"/>
      <c r="L150" s="185"/>
      <c r="M150" s="185"/>
      <c r="N150" s="185"/>
      <c r="O150" s="185"/>
      <c r="R150" s="139" t="s">
        <v>145</v>
      </c>
      <c r="S150" s="138">
        <f>-4*COS(S110/2)^2*SIN(S110/2)^2*$K149+COS(S110/2)^2*SIN(S110/2)^2*($K144+$K145)+(COS(S110/2)^4+SIN(S110/2)^4)*$M144</f>
        <v>5.8728045779623468</v>
      </c>
      <c r="T150" s="138">
        <f>-4*COS(T110/2)^2*SIN(T110/2)^2*$K149+COS(T110/2)^2*SIN(T110/2)^2*($K144+$K145)+(COS(T110/2)^4+SIN(T110/2)^4)*$M144</f>
        <v>5.8728045779623468</v>
      </c>
      <c r="U150" s="138">
        <f>-4*COS(U110/2)^2*SIN(U110/2)^2*$K149+COS(U110/2)^2*SIN(U110/2)^2*($K144+$K145)+(COS(U110/2)^4+SIN(U110/2)^4)*$M144</f>
        <v>5.8728045779623468</v>
      </c>
      <c r="V150" s="138">
        <f>-4*COS(V110/2)^2*SIN(V110/2)^2*$K149+COS(V110/2)^2*SIN(V110/2)^2*($K144+$K145)+(COS(V110/2)^4+SIN(V110/2)^4)*$M144</f>
        <v>5.8728045779623468</v>
      </c>
      <c r="W150" s="138" t="s">
        <v>778</v>
      </c>
      <c r="X150" s="141">
        <f>S112*S151*S152/S146+T112*T151*T152/T146+U112*U151*U152/U146+V112*V151*V152/V146</f>
        <v>0</v>
      </c>
      <c r="Y150" s="147">
        <f>S112*S150+T112*T150+U112*U150+V112*V150</f>
        <v>0</v>
      </c>
      <c r="Z150" s="164"/>
      <c r="AA150" s="147"/>
      <c r="AB150" s="147"/>
      <c r="AC150" s="147"/>
      <c r="AD150" s="147"/>
      <c r="AG150" s="139"/>
      <c r="AH150" s="147"/>
      <c r="AI150" s="147"/>
      <c r="AJ150" s="147"/>
      <c r="AK150" s="147"/>
      <c r="AM150" s="139" t="s">
        <v>692</v>
      </c>
      <c r="AN150" s="158">
        <f>S563</f>
        <v>3.433333333333334</v>
      </c>
      <c r="AO150" s="158">
        <f>T563</f>
        <v>7.17</v>
      </c>
      <c r="AP150" s="158">
        <f>U563</f>
        <v>3.433333333333334</v>
      </c>
      <c r="AQ150" s="158">
        <f>V563</f>
        <v>7.17</v>
      </c>
    </row>
    <row r="151" spans="1:45">
      <c r="A151" s="208">
        <v>0.15</v>
      </c>
      <c r="B151" s="209">
        <v>0.01</v>
      </c>
      <c r="C151" s="209">
        <v>1</v>
      </c>
      <c r="D151" s="209">
        <v>1</v>
      </c>
      <c r="E151" s="209">
        <v>0.1</v>
      </c>
      <c r="F151" s="209">
        <v>0.5</v>
      </c>
      <c r="G151" s="209"/>
      <c r="H151" s="210"/>
      <c r="R151" s="139" t="s">
        <v>151</v>
      </c>
      <c r="S151" s="138">
        <f>COS(S110/2)^2*$M145+SIN(S110/2)^2*$M146</f>
        <v>5.8728045779623468</v>
      </c>
      <c r="T151" s="138">
        <f>COS(T110/2)^2*$M145+SIN(T110/2)^2*$M146</f>
        <v>7.053817698742284</v>
      </c>
      <c r="U151" s="138">
        <f>COS(U110/2)^2*$M145+SIN(U110/2)^2*$M146</f>
        <v>5.8728045779623468</v>
      </c>
      <c r="V151" s="138">
        <f>COS(V110/2)^2*$M145+SIN(V110/2)^2*$M146</f>
        <v>7.053817698742284</v>
      </c>
      <c r="W151" s="138" t="s">
        <v>782</v>
      </c>
      <c r="X151" s="141">
        <f>S112*S156*S151/S146+T112*T156*T151/T146+U112*U156*U151/U146+V112*V156*V151/V146</f>
        <v>0</v>
      </c>
      <c r="Y151" s="147"/>
      <c r="Z151" s="164"/>
      <c r="AA151" s="147"/>
      <c r="AB151" s="147"/>
      <c r="AC151" s="147"/>
      <c r="AD151" s="147"/>
      <c r="AG151" s="139"/>
      <c r="AH151" s="147"/>
      <c r="AI151" s="147"/>
      <c r="AJ151" s="147"/>
      <c r="AK151" s="147"/>
      <c r="AM151" s="139" t="s">
        <v>660</v>
      </c>
      <c r="AN151" s="158">
        <f>S569</f>
        <v>0</v>
      </c>
      <c r="AO151" s="158">
        <f>T569</f>
        <v>2.2889856965876046E-16</v>
      </c>
      <c r="AP151" s="158">
        <f>U569</f>
        <v>0</v>
      </c>
      <c r="AQ151" s="158">
        <f>V569</f>
        <v>2.2889856965876046E-16</v>
      </c>
    </row>
    <row r="152" spans="1:45">
      <c r="A152" s="204" t="s">
        <v>1582</v>
      </c>
      <c r="B152" s="138">
        <v>181</v>
      </c>
      <c r="C152" s="138">
        <v>10.3</v>
      </c>
      <c r="D152" s="138">
        <v>0.28000000000000003</v>
      </c>
      <c r="E152" s="138">
        <v>7.17</v>
      </c>
      <c r="F152" s="138">
        <v>3.4</v>
      </c>
      <c r="G152" s="138">
        <v>122</v>
      </c>
      <c r="H152" s="205">
        <v>160</v>
      </c>
      <c r="R152" s="139" t="s">
        <v>768</v>
      </c>
      <c r="S152" s="138">
        <f>SIN(S110/2)^2*$M145+COS(S110/2)^2*$M146</f>
        <v>7.053817698742284</v>
      </c>
      <c r="T152" s="138">
        <f>SIN(T110/2)^2*$M145+COS(T110/2)^2*$M146</f>
        <v>5.8728045779623468</v>
      </c>
      <c r="U152" s="138">
        <f>SIN(U110/2)^2*$M145+COS(U110/2)^2*$M146</f>
        <v>7.053817698742284</v>
      </c>
      <c r="V152" s="138">
        <f>SIN(V110/2)^2*$M145+COS(V110/2)^2*$M146</f>
        <v>5.8728045779623468</v>
      </c>
      <c r="W152" s="138" t="s">
        <v>785</v>
      </c>
      <c r="X152" s="141">
        <f>S112*S156*S152/S146+T112*T156*T152/T146+U112*U156*U152/U146+V112*V156*V152/V146</f>
        <v>0</v>
      </c>
      <c r="Y152" s="164"/>
      <c r="Z152" s="164"/>
      <c r="AA152" s="147"/>
      <c r="AB152" s="147"/>
      <c r="AC152" s="147"/>
      <c r="AD152" s="147"/>
      <c r="AG152" s="139"/>
      <c r="AH152" s="147"/>
      <c r="AI152" s="147"/>
      <c r="AJ152" s="147"/>
      <c r="AK152" s="147"/>
      <c r="AM152" s="139" t="s">
        <v>662</v>
      </c>
      <c r="AN152" s="158">
        <f>AN149/(AN149*AN150-AN151^2)</f>
        <v>0.29126213592233002</v>
      </c>
      <c r="AO152" s="158">
        <f>AO149/(AO149*AO150-AO151^2)</f>
        <v>0.1394700139470014</v>
      </c>
      <c r="AP152" s="158">
        <f>AP149/(AP149*AP150-AP151^2)</f>
        <v>0.29126213592233002</v>
      </c>
      <c r="AQ152" s="158">
        <f>AQ149/(AQ149*AQ150-AQ151^2)</f>
        <v>0.1394700139470014</v>
      </c>
    </row>
    <row r="153" spans="1:45">
      <c r="A153" s="206">
        <v>1500</v>
      </c>
      <c r="B153" s="138">
        <v>1500</v>
      </c>
      <c r="C153" s="138">
        <v>40</v>
      </c>
      <c r="D153" s="138">
        <v>246</v>
      </c>
      <c r="E153" s="138">
        <v>68</v>
      </c>
      <c r="F153" s="138">
        <v>1.2</v>
      </c>
      <c r="G153" s="138">
        <v>22</v>
      </c>
      <c r="H153" s="205">
        <v>5.0000000000000001E-3</v>
      </c>
      <c r="R153" s="139" t="s">
        <v>660</v>
      </c>
      <c r="S153" s="138">
        <f>COS(S110/2)*SIN(S110/2)*(-$K147+$K148)</f>
        <v>0</v>
      </c>
      <c r="T153" s="138">
        <f>COS(T110/2)*SIN(T110/2)*(-$K147+$K148)</f>
        <v>2.2889856965876046E-16</v>
      </c>
      <c r="U153" s="138">
        <f>COS(U110/2)*SIN(U110/2)*(-$K147+$K148)</f>
        <v>0</v>
      </c>
      <c r="V153" s="138">
        <f>COS(V110/2)*SIN(V110/2)*(-$K147+$K148)</f>
        <v>2.2889856965876046E-16</v>
      </c>
      <c r="W153" s="138" t="s">
        <v>1048</v>
      </c>
      <c r="X153" s="141">
        <f>S112*S156^2/S146+T112*T156^2/T146+U112*U156^2/U146+V112*V156^2/V146</f>
        <v>0</v>
      </c>
      <c r="Y153" s="164"/>
      <c r="Z153" s="164">
        <f>S112*S153/(S147*S148-S153^2)+T112*T153/(T147*T148-T153^2)+U112*U153/(U147*U148-U153^2)+V112*V153/(V147*V148-V153^2)</f>
        <v>0</v>
      </c>
      <c r="AA153" s="147"/>
      <c r="AB153" s="147"/>
      <c r="AC153" s="147"/>
      <c r="AD153" s="147"/>
      <c r="AG153" s="139"/>
      <c r="AH153" s="147"/>
      <c r="AI153" s="147"/>
      <c r="AJ153" s="147"/>
      <c r="AK153" s="147"/>
      <c r="AM153" s="139" t="s">
        <v>665</v>
      </c>
      <c r="AN153" s="158">
        <f>AN150/(AN149*AN150-AN151^2)</f>
        <v>0.1394700139470014</v>
      </c>
      <c r="AO153" s="158">
        <f>AO150/(AO149*AO150-AO151^2)</f>
        <v>0.29126213592233002</v>
      </c>
      <c r="AP153" s="158">
        <f>AP150/(AP149*AP150-AP151^2)</f>
        <v>0.1394700139470014</v>
      </c>
      <c r="AQ153" s="158">
        <f>AQ150/(AQ149*AQ150-AQ151^2)</f>
        <v>0.29126213592233002</v>
      </c>
    </row>
    <row r="154" spans="1:45">
      <c r="A154" s="206">
        <v>-0.5</v>
      </c>
      <c r="B154" s="138">
        <v>125</v>
      </c>
      <c r="C154" s="138">
        <v>0.7</v>
      </c>
      <c r="D154" s="138">
        <v>1.6</v>
      </c>
      <c r="E154" s="138">
        <v>0.51600000000000001</v>
      </c>
      <c r="F154" s="138">
        <v>0.5</v>
      </c>
      <c r="G154" s="138">
        <v>0.2</v>
      </c>
      <c r="H154" s="205">
        <v>0.9</v>
      </c>
      <c r="R154" s="139" t="s">
        <v>777</v>
      </c>
      <c r="S154" s="138">
        <f>-2*COS(S110/2)*SIN(S110/2)*(COS(S110/2)^2-SIN(S110/2)^2)*$K149+COS(S110/2)*SIN(S110/2)*(COS(S110/2)^2*$K144+SIN(S110/2)^2*$K145)+COS(S110/2)*SIN(S110/2)*(COS(S110/2)^2+SIN(S110/2)^2)*$M144</f>
        <v>0</v>
      </c>
      <c r="T154" s="138">
        <f>-2*COS(T110/2)*SIN(T110/2)*(COS(T110/2)^2-SIN(T110/2)^2)*$K149+COS(T110/2)*SIN(T110/2)*(COS(T110/2)^2*$K144+SIN(T110/2)^2*$K145)+COS(T110/2)*SIN(T110/2)*(COS(T110/2)^2+SIN(T110/2)^2)*$M144</f>
        <v>2.0909173104960418E-15</v>
      </c>
      <c r="U154" s="138">
        <f>-2*COS(U110/2)*SIN(U110/2)*(COS(U110/2)^2-SIN(U110/2)^2)*$K149+COS(U110/2)*SIN(U110/2)*(COS(U110/2)^2*$K144+SIN(U110/2)^2*$K145)+COS(U110/2)*SIN(U110/2)*(COS(U110/2)^2+SIN(U110/2)^2)*$M144</f>
        <v>0</v>
      </c>
      <c r="V154" s="138">
        <f>-2*COS(V110/2)*SIN(V110/2)*(COS(V110/2)^2-SIN(V110/2)^2)*$K149+COS(V110/2)*SIN(V110/2)*(COS(V110/2)^2*$K144+SIN(V110/2)^2*$K145)+COS(V110/2)*SIN(V110/2)*(COS(V110/2)^2+SIN(V110/2)^2)*$M144</f>
        <v>2.0909173104960418E-15</v>
      </c>
      <c r="W154" s="138"/>
      <c r="Y154" s="147">
        <f>S112*S154+T112*T154+U112*U154+V112*V154</f>
        <v>0</v>
      </c>
      <c r="Z154" s="164"/>
      <c r="AA154" s="147"/>
      <c r="AB154" s="147"/>
      <c r="AC154" s="147"/>
      <c r="AD154" s="147"/>
      <c r="AG154" s="139"/>
      <c r="AH154" s="147"/>
      <c r="AI154" s="147"/>
      <c r="AJ154" s="147"/>
      <c r="AK154" s="147"/>
      <c r="AM154" s="138" t="s">
        <v>666</v>
      </c>
      <c r="AN154" s="141">
        <f>-AN151/(AN149*AN150-AN151^2)</f>
        <v>0</v>
      </c>
      <c r="AO154" s="141">
        <f>-AO151/(AO149*AO150-AO151^2)</f>
        <v>-9.2983941852687333E-18</v>
      </c>
      <c r="AP154" s="141">
        <f>-AP151/(AP149*AP150-AP151^2)</f>
        <v>0</v>
      </c>
      <c r="AQ154" s="141">
        <f>-AQ151/(AQ149*AQ150-AQ151^2)</f>
        <v>-9.2983941852687333E-18</v>
      </c>
    </row>
    <row r="155" spans="1:45">
      <c r="A155" s="206">
        <v>0.02</v>
      </c>
      <c r="B155" s="138">
        <v>22.5</v>
      </c>
      <c r="C155" s="207">
        <v>0</v>
      </c>
      <c r="D155" s="138">
        <v>0.6</v>
      </c>
      <c r="E155" s="138">
        <v>0.316</v>
      </c>
      <c r="F155" s="138">
        <v>4.0000000000000001E-3</v>
      </c>
      <c r="G155" s="138">
        <v>4.0000000000000001E-3</v>
      </c>
      <c r="H155" s="205">
        <v>2000</v>
      </c>
      <c r="R155" s="139" t="s">
        <v>781</v>
      </c>
      <c r="S155" s="138">
        <f>2*COS(S110/2)*SIN(S110/2)*(COS(S110/2)^2-SIN(S110/2)^2)*$K149+COS(S110/2)*SIN(S110/2)*(SIN(S110/2)^2*$K144-COS(S110/2)^2*$K145)+COS(S110/2)*SIN(S110/2)*(COS(S110/2)^2-SIN(S110/2)^2)*$M144</f>
        <v>0</v>
      </c>
      <c r="T155" s="138">
        <f>2*COS(T110/2)*SIN(T110/2)*(COS(T110/2)^2-SIN(T110/2)^2)*$K149+COS(T110/2)*SIN(T110/2)*(SIN(T110/2)^2*$K144-COS(T110/2)^2*$K145)+COS(T110/2)*SIN(T110/2)*(COS(T110/2)^2-SIN(T110/2)^2)*$M144</f>
        <v>1.0050870810750773E-14</v>
      </c>
      <c r="U155" s="138">
        <f>2*COS(U110/2)*SIN(U110/2)*(COS(U110/2)^2-SIN(U110/2)^2)*$K149+COS(U110/2)*SIN(U110/2)*(SIN(U110/2)^2*$K144-COS(U110/2)^2*$K145)+COS(U110/2)*SIN(U110/2)*(COS(U110/2)^2-SIN(U110/2)^2)*$M144</f>
        <v>0</v>
      </c>
      <c r="V155" s="138">
        <f>2*COS(V110/2)*SIN(V110/2)*(COS(V110/2)^2-SIN(V110/2)^2)*$K149+COS(V110/2)*SIN(V110/2)*(SIN(V110/2)^2*$K144-COS(V110/2)^2*$K145)+COS(V110/2)*SIN(V110/2)*(COS(V110/2)^2-SIN(V110/2)^2)*$M144</f>
        <v>1.0050870810750773E-14</v>
      </c>
      <c r="W155" s="138"/>
      <c r="Y155" s="147">
        <f>S112*S155+T112*T155+U112*U155+V112*V155</f>
        <v>0</v>
      </c>
      <c r="Z155" s="164"/>
      <c r="AA155" s="147"/>
      <c r="AB155" s="147"/>
      <c r="AC155" s="147"/>
      <c r="AD155" s="147"/>
      <c r="AG155" s="139"/>
      <c r="AH155" s="147"/>
      <c r="AI155" s="147"/>
      <c r="AJ155" s="147"/>
      <c r="AK155" s="147"/>
      <c r="AM155" s="138" t="s">
        <v>637</v>
      </c>
      <c r="AN155" s="141"/>
      <c r="AO155" s="141"/>
      <c r="AR155" s="141"/>
      <c r="AS155" s="141"/>
    </row>
    <row r="156" spans="1:45">
      <c r="A156" s="208">
        <v>0.15</v>
      </c>
      <c r="B156" s="209">
        <v>0.01</v>
      </c>
      <c r="C156" s="209">
        <v>1</v>
      </c>
      <c r="D156" s="209">
        <v>1</v>
      </c>
      <c r="E156" s="209">
        <v>0.1</v>
      </c>
      <c r="F156" s="209">
        <v>0.5</v>
      </c>
      <c r="G156" s="209"/>
      <c r="H156" s="210"/>
      <c r="R156" s="139" t="s">
        <v>784</v>
      </c>
      <c r="S156" s="138">
        <f>COS(S110/2)*SIN(S110/2)*($M145-$M146)</f>
        <v>0</v>
      </c>
      <c r="T156" s="138">
        <f>COS(T110/2)*SIN(T110/2)*($M145-$M146)</f>
        <v>-7.2345820007517372E-17</v>
      </c>
      <c r="U156" s="138">
        <f>COS(U110/2)*SIN(U110/2)*($M145-$M146)</f>
        <v>0</v>
      </c>
      <c r="V156" s="138">
        <f>COS(V110/2)*SIN(V110/2)*($M145-$M146)</f>
        <v>-7.2345820007517372E-17</v>
      </c>
      <c r="W156" s="138"/>
      <c r="Y156" s="164"/>
      <c r="Z156" s="164"/>
      <c r="AA156" s="147"/>
      <c r="AB156" s="147"/>
      <c r="AC156" s="147"/>
      <c r="AD156" s="147"/>
      <c r="AG156" s="139"/>
      <c r="AH156" s="147"/>
      <c r="AI156" s="147"/>
      <c r="AJ156" s="147"/>
      <c r="AK156" s="147"/>
      <c r="AM156" s="137"/>
      <c r="AN156" s="141"/>
      <c r="AO156" s="141"/>
      <c r="AR156" s="141"/>
      <c r="AS156" s="143"/>
    </row>
    <row r="157" spans="1:45">
      <c r="J157" s="137" t="s">
        <v>844</v>
      </c>
      <c r="K157" s="139"/>
      <c r="L157" s="139"/>
      <c r="N157" s="138" t="s">
        <v>1551</v>
      </c>
      <c r="P157" s="140"/>
      <c r="R157" s="138" t="s">
        <v>634</v>
      </c>
      <c r="Y157" s="164"/>
      <c r="Z157" s="138" t="s">
        <v>635</v>
      </c>
      <c r="AG157" s="138" t="s">
        <v>636</v>
      </c>
      <c r="AM157" s="139" t="s">
        <v>243</v>
      </c>
      <c r="AN157" s="143" t="s">
        <v>1562</v>
      </c>
      <c r="AO157" s="143" t="s">
        <v>1563</v>
      </c>
      <c r="AP157" s="143" t="s">
        <v>1564</v>
      </c>
      <c r="AQ157" s="143" t="s">
        <v>1565</v>
      </c>
      <c r="AR157" s="143"/>
      <c r="AS157" s="143"/>
    </row>
    <row r="158" spans="1:45">
      <c r="A158" s="203" t="s">
        <v>845</v>
      </c>
      <c r="J158" s="139" t="str">
        <f>A128</f>
        <v>T3/N52[SI]</v>
      </c>
      <c r="K158" s="137"/>
      <c r="L158" s="139"/>
      <c r="N158" s="139" t="s">
        <v>596</v>
      </c>
      <c r="O158" s="144">
        <f>G129</f>
        <v>22</v>
      </c>
      <c r="P158" s="144">
        <f>B66</f>
        <v>22</v>
      </c>
      <c r="Q158" s="145">
        <f t="shared" ref="Q158:Q163" si="39">P158/O158</f>
        <v>1</v>
      </c>
      <c r="R158" s="137"/>
      <c r="Z158" s="139" t="s">
        <v>531</v>
      </c>
      <c r="AA158" s="146">
        <f t="shared" ref="AA158:AD160" si="40">S160</f>
        <v>0</v>
      </c>
      <c r="AB158" s="146">
        <f t="shared" si="40"/>
        <v>90</v>
      </c>
      <c r="AC158" s="146">
        <f t="shared" si="40"/>
        <v>0</v>
      </c>
      <c r="AD158" s="146">
        <f t="shared" si="40"/>
        <v>90</v>
      </c>
      <c r="AE158" s="139" t="s">
        <v>532</v>
      </c>
      <c r="AF158" s="143" t="s">
        <v>533</v>
      </c>
      <c r="AG158" s="139" t="s">
        <v>531</v>
      </c>
      <c r="AH158" s="146">
        <f t="shared" ref="AH158:AK160" si="41">AA158</f>
        <v>0</v>
      </c>
      <c r="AI158" s="146">
        <f t="shared" si="41"/>
        <v>90</v>
      </c>
      <c r="AJ158" s="146">
        <f t="shared" si="41"/>
        <v>0</v>
      </c>
      <c r="AK158" s="146">
        <f t="shared" si="41"/>
        <v>90</v>
      </c>
      <c r="AM158" s="139" t="s">
        <v>537</v>
      </c>
      <c r="AN158" s="154">
        <f t="shared" ref="AN158:AQ159" si="42">S576</f>
        <v>0</v>
      </c>
      <c r="AO158" s="154">
        <f t="shared" si="42"/>
        <v>90</v>
      </c>
      <c r="AP158" s="154">
        <f t="shared" si="42"/>
        <v>0</v>
      </c>
      <c r="AQ158" s="154">
        <f t="shared" si="42"/>
        <v>90</v>
      </c>
      <c r="AR158" s="143" t="s">
        <v>538</v>
      </c>
      <c r="AS158" s="143" t="s">
        <v>652</v>
      </c>
    </row>
    <row r="159" spans="1:45">
      <c r="A159" s="204" t="s">
        <v>1582</v>
      </c>
      <c r="B159" s="138">
        <v>181</v>
      </c>
      <c r="C159" s="138">
        <v>10.3</v>
      </c>
      <c r="D159" s="138">
        <v>0.28000000000000003</v>
      </c>
      <c r="E159" s="138">
        <v>7.17</v>
      </c>
      <c r="F159" s="138">
        <v>3.4</v>
      </c>
      <c r="G159" s="138">
        <v>122</v>
      </c>
      <c r="H159" s="205">
        <v>160</v>
      </c>
      <c r="J159" s="139"/>
      <c r="K159" s="139"/>
      <c r="L159" s="139"/>
      <c r="N159" s="139" t="s">
        <v>600</v>
      </c>
      <c r="O159" s="147">
        <f>H129</f>
        <v>5.0000000000000001E-3</v>
      </c>
      <c r="P159" s="147">
        <f>C66</f>
        <v>5.0000000000000001E-3</v>
      </c>
      <c r="Q159" s="145">
        <f t="shared" si="39"/>
        <v>1</v>
      </c>
      <c r="R159" s="139" t="s">
        <v>243</v>
      </c>
      <c r="S159" s="143" t="s">
        <v>1562</v>
      </c>
      <c r="T159" s="143" t="s">
        <v>1563</v>
      </c>
      <c r="U159" s="143" t="s">
        <v>1564</v>
      </c>
      <c r="V159" s="143" t="s">
        <v>1565</v>
      </c>
      <c r="W159" s="143"/>
      <c r="X159" s="143"/>
      <c r="Z159" s="139" t="s">
        <v>536</v>
      </c>
      <c r="AA159" s="146">
        <f t="shared" si="40"/>
        <v>0</v>
      </c>
      <c r="AB159" s="146">
        <f t="shared" si="40"/>
        <v>0</v>
      </c>
      <c r="AC159" s="146">
        <f t="shared" si="40"/>
        <v>0</v>
      </c>
      <c r="AD159" s="146">
        <f t="shared" si="40"/>
        <v>0</v>
      </c>
      <c r="AE159" s="139">
        <f>W161</f>
        <v>1</v>
      </c>
      <c r="AF159" s="146">
        <f>X162</f>
        <v>0</v>
      </c>
      <c r="AG159" s="139" t="s">
        <v>536</v>
      </c>
      <c r="AH159" s="146">
        <f t="shared" si="41"/>
        <v>0</v>
      </c>
      <c r="AI159" s="146">
        <f t="shared" si="41"/>
        <v>0</v>
      </c>
      <c r="AJ159" s="146">
        <f t="shared" si="41"/>
        <v>0</v>
      </c>
      <c r="AK159" s="146">
        <f t="shared" si="41"/>
        <v>0</v>
      </c>
      <c r="AM159" s="139" t="s">
        <v>541</v>
      </c>
      <c r="AN159" s="154">
        <f t="shared" si="42"/>
        <v>0</v>
      </c>
      <c r="AO159" s="154">
        <f t="shared" si="42"/>
        <v>0</v>
      </c>
      <c r="AP159" s="154">
        <f t="shared" si="42"/>
        <v>0</v>
      </c>
      <c r="AQ159" s="154">
        <f t="shared" si="42"/>
        <v>0</v>
      </c>
      <c r="AR159" s="156">
        <f>W577</f>
        <v>1</v>
      </c>
      <c r="AS159" s="146">
        <f>SUM(AN159:AQ159)</f>
        <v>0</v>
      </c>
    </row>
    <row r="160" spans="1:45">
      <c r="A160" s="206">
        <v>1500</v>
      </c>
      <c r="B160" s="138">
        <v>1500</v>
      </c>
      <c r="C160" s="138">
        <v>40</v>
      </c>
      <c r="D160" s="138">
        <v>246</v>
      </c>
      <c r="E160" s="138">
        <v>68</v>
      </c>
      <c r="F160" s="138">
        <v>1.2</v>
      </c>
      <c r="G160" s="138">
        <v>22</v>
      </c>
      <c r="H160" s="205">
        <v>5.0000000000000001E-3</v>
      </c>
      <c r="J160" s="139" t="s">
        <v>1553</v>
      </c>
      <c r="K160" s="139" t="s">
        <v>1554</v>
      </c>
      <c r="L160" s="139" t="s">
        <v>1555</v>
      </c>
      <c r="M160" s="153" t="s">
        <v>1556</v>
      </c>
      <c r="N160" s="139" t="s">
        <v>1557</v>
      </c>
      <c r="O160" s="144">
        <f>G128</f>
        <v>122</v>
      </c>
      <c r="P160" s="144">
        <f>O160</f>
        <v>122</v>
      </c>
      <c r="Q160" s="145">
        <f t="shared" si="39"/>
        <v>1</v>
      </c>
      <c r="R160" s="139" t="s">
        <v>537</v>
      </c>
      <c r="S160" s="154">
        <f>C9+I10</f>
        <v>0</v>
      </c>
      <c r="T160" s="154">
        <f>D9+I10</f>
        <v>90</v>
      </c>
      <c r="U160" s="154">
        <f>E9+I10</f>
        <v>0</v>
      </c>
      <c r="V160" s="154">
        <f>F9+I10</f>
        <v>90</v>
      </c>
      <c r="W160" s="143" t="s">
        <v>538</v>
      </c>
      <c r="X160" s="143"/>
      <c r="Z160" s="139" t="s">
        <v>539</v>
      </c>
      <c r="AA160" s="146">
        <f t="shared" si="40"/>
        <v>0</v>
      </c>
      <c r="AB160" s="146">
        <f t="shared" si="40"/>
        <v>3.1415926535897931</v>
      </c>
      <c r="AC160" s="146">
        <f t="shared" si="40"/>
        <v>0</v>
      </c>
      <c r="AD160" s="146">
        <f t="shared" si="40"/>
        <v>3.1415926535897931</v>
      </c>
      <c r="AE160" s="139" t="s">
        <v>540</v>
      </c>
      <c r="AF160" s="141">
        <f>W168</f>
        <v>0</v>
      </c>
      <c r="AG160" s="139" t="s">
        <v>539</v>
      </c>
      <c r="AH160" s="146">
        <f t="shared" si="41"/>
        <v>0</v>
      </c>
      <c r="AI160" s="146">
        <f t="shared" si="41"/>
        <v>3.1415926535897931</v>
      </c>
      <c r="AJ160" s="146">
        <f t="shared" si="41"/>
        <v>0</v>
      </c>
      <c r="AK160" s="146">
        <f t="shared" si="41"/>
        <v>3.1415926535897931</v>
      </c>
      <c r="AM160" s="138" t="s">
        <v>648</v>
      </c>
      <c r="AN160" s="158">
        <f>AN158*PI()/180</f>
        <v>0</v>
      </c>
      <c r="AO160" s="158">
        <f>AO158*PI()/180</f>
        <v>1.5707963267948966</v>
      </c>
      <c r="AP160" s="158">
        <f>AP158*PI()/180</f>
        <v>0</v>
      </c>
      <c r="AQ160" s="158">
        <f>AQ158*PI()/180</f>
        <v>1.5707963267948966</v>
      </c>
      <c r="AS160" s="159" t="s">
        <v>683</v>
      </c>
    </row>
    <row r="161" spans="1:45">
      <c r="A161" s="206">
        <v>-0.5</v>
      </c>
      <c r="B161" s="138">
        <v>125</v>
      </c>
      <c r="C161" s="138">
        <v>0.7</v>
      </c>
      <c r="D161" s="138">
        <v>1.6</v>
      </c>
      <c r="E161" s="138">
        <v>0.51600000000000001</v>
      </c>
      <c r="F161" s="138">
        <v>0.5</v>
      </c>
      <c r="G161" s="138">
        <v>0.2</v>
      </c>
      <c r="H161" s="205">
        <v>0.9</v>
      </c>
      <c r="J161" s="139" t="s">
        <v>298</v>
      </c>
      <c r="K161" s="140">
        <f>B128</f>
        <v>181</v>
      </c>
      <c r="L161" s="140">
        <f>L168*L167</f>
        <v>181.00000000000003</v>
      </c>
      <c r="M161" s="145">
        <f>L161/K161</f>
        <v>1.0000000000000002</v>
      </c>
      <c r="N161" s="139" t="s">
        <v>299</v>
      </c>
      <c r="O161" s="144">
        <f>H128</f>
        <v>160</v>
      </c>
      <c r="P161" s="144">
        <f>O161-H131*(P159)</f>
        <v>150</v>
      </c>
      <c r="Q161" s="145">
        <f t="shared" si="39"/>
        <v>0.9375</v>
      </c>
      <c r="R161" s="139" t="s">
        <v>541</v>
      </c>
      <c r="S161" s="154">
        <f>C10</f>
        <v>0</v>
      </c>
      <c r="T161" s="154">
        <f>D10</f>
        <v>0</v>
      </c>
      <c r="U161" s="154">
        <f>E10</f>
        <v>0</v>
      </c>
      <c r="V161" s="154">
        <f>F10</f>
        <v>0</v>
      </c>
      <c r="W161" s="156">
        <f>G10</f>
        <v>1</v>
      </c>
      <c r="X161" s="143"/>
      <c r="Z161" s="139"/>
      <c r="AA161" s="141">
        <f>AA160/2</f>
        <v>0</v>
      </c>
      <c r="AB161" s="141">
        <f>AB160/2</f>
        <v>1.5707963267948966</v>
      </c>
      <c r="AC161" s="141">
        <f>AC160/2</f>
        <v>0</v>
      </c>
      <c r="AD161" s="141">
        <f>AD160/2</f>
        <v>1.5707963267948966</v>
      </c>
      <c r="AE161" s="143"/>
      <c r="AL161" s="139"/>
      <c r="AM161" s="139" t="s">
        <v>653</v>
      </c>
      <c r="AN161" s="158">
        <f>COS(AN158*PI()/180)</f>
        <v>1</v>
      </c>
      <c r="AO161" s="158">
        <f>COS(AO158*PI()/180)</f>
        <v>6.1257422745431001E-17</v>
      </c>
      <c r="AP161" s="158">
        <f>COS(AP158*PI()/180)</f>
        <v>1</v>
      </c>
      <c r="AQ161" s="158">
        <f>COS(AQ158*PI()/180)</f>
        <v>6.1257422745431001E-17</v>
      </c>
      <c r="AR161" s="143"/>
      <c r="AS161" s="162">
        <f>$L581/1000000/AT5*2/AT7</f>
        <v>0.05</v>
      </c>
    </row>
    <row r="162" spans="1:45">
      <c r="A162" s="206">
        <v>0.02</v>
      </c>
      <c r="B162" s="138">
        <v>22.5</v>
      </c>
      <c r="C162" s="207">
        <v>0</v>
      </c>
      <c r="D162" s="138">
        <v>0.6</v>
      </c>
      <c r="E162" s="138">
        <v>0.316</v>
      </c>
      <c r="F162" s="138">
        <v>4.0000000000000001E-3</v>
      </c>
      <c r="G162" s="138">
        <v>4.0000000000000001E-3</v>
      </c>
      <c r="H162" s="205">
        <v>2000</v>
      </c>
      <c r="J162" s="139" t="s">
        <v>1579</v>
      </c>
      <c r="K162" s="140">
        <f>C128</f>
        <v>10.3</v>
      </c>
      <c r="L162" s="140">
        <f>(1+L171)/(1/L172+L171/L169)</f>
        <v>10.3</v>
      </c>
      <c r="M162" s="145">
        <f>L162/K162</f>
        <v>1</v>
      </c>
      <c r="N162" s="139" t="s">
        <v>1580</v>
      </c>
      <c r="O162" s="140">
        <f>(O161-O158)/(O161-O158)</f>
        <v>1</v>
      </c>
      <c r="P162" s="140">
        <f>(P161-P158)/(P161-O158)</f>
        <v>1</v>
      </c>
      <c r="Q162" s="145">
        <f t="shared" si="39"/>
        <v>1</v>
      </c>
      <c r="R162" s="139" t="s">
        <v>1295</v>
      </c>
      <c r="S162" s="158">
        <f>S160*PI()/90</f>
        <v>0</v>
      </c>
      <c r="T162" s="158">
        <f>T160*PI()/90</f>
        <v>3.1415926535897931</v>
      </c>
      <c r="U162" s="158">
        <f>U160*PI()/90</f>
        <v>0</v>
      </c>
      <c r="V162" s="158">
        <f>V160*PI()/90</f>
        <v>3.1415926535897931</v>
      </c>
      <c r="W162" s="143" t="s">
        <v>1296</v>
      </c>
      <c r="X162" s="146"/>
      <c r="Z162" s="137" t="s">
        <v>1297</v>
      </c>
      <c r="AA162" s="143"/>
      <c r="AB162" s="143"/>
      <c r="AC162" s="141"/>
      <c r="AD162" s="141"/>
      <c r="AE162" s="141"/>
      <c r="AG162" s="137" t="s">
        <v>1298</v>
      </c>
      <c r="AL162" s="139"/>
      <c r="AM162" s="139" t="s">
        <v>654</v>
      </c>
      <c r="AN162" s="158">
        <f>SIN(AN158*PI()/180)</f>
        <v>0</v>
      </c>
      <c r="AO162" s="158">
        <f>SIN(AO158*PI()/180)</f>
        <v>1</v>
      </c>
      <c r="AP162" s="158">
        <f>SIN(AP158*PI()/180)</f>
        <v>0</v>
      </c>
      <c r="AQ162" s="158">
        <f>SIN(AQ158*PI()/180)</f>
        <v>1</v>
      </c>
      <c r="AS162" s="160" t="s">
        <v>655</v>
      </c>
    </row>
    <row r="163" spans="1:45">
      <c r="A163" s="208">
        <v>0.15</v>
      </c>
      <c r="B163" s="209">
        <v>0.01</v>
      </c>
      <c r="C163" s="209">
        <v>1</v>
      </c>
      <c r="D163" s="209">
        <v>1</v>
      </c>
      <c r="E163" s="209">
        <v>0.1</v>
      </c>
      <c r="F163" s="209">
        <v>0.5</v>
      </c>
      <c r="G163" s="209"/>
      <c r="H163" s="210"/>
      <c r="J163" s="139" t="s">
        <v>259</v>
      </c>
      <c r="K163" s="140">
        <f>D128</f>
        <v>0.28000000000000003</v>
      </c>
      <c r="L163" s="140">
        <f>K163*I66</f>
        <v>0.28000000000000003</v>
      </c>
      <c r="M163" s="145">
        <f>L163/K163</f>
        <v>1</v>
      </c>
      <c r="N163" s="139" t="s">
        <v>260</v>
      </c>
      <c r="O163" s="144">
        <f>O158-O160</f>
        <v>-100</v>
      </c>
      <c r="P163" s="144">
        <f>P158-P160</f>
        <v>-100</v>
      </c>
      <c r="Q163" s="145">
        <f t="shared" si="39"/>
        <v>1</v>
      </c>
      <c r="R163" s="139" t="s">
        <v>1300</v>
      </c>
      <c r="S163" s="158">
        <f>2*S162</f>
        <v>0</v>
      </c>
      <c r="T163" s="158">
        <f>2*T162</f>
        <v>6.2831853071795862</v>
      </c>
      <c r="U163" s="158">
        <f>2*U162</f>
        <v>0</v>
      </c>
      <c r="V163" s="158">
        <f>2*V162</f>
        <v>6.2831853071795862</v>
      </c>
      <c r="W163" s="138" t="s">
        <v>651</v>
      </c>
      <c r="X163" s="143" t="s">
        <v>652</v>
      </c>
      <c r="Y163" s="143" t="s">
        <v>646</v>
      </c>
      <c r="Z163" s="139"/>
      <c r="AA163" s="143" t="s">
        <v>1301</v>
      </c>
      <c r="AB163" s="143"/>
      <c r="AC163" s="161" t="s">
        <v>977</v>
      </c>
      <c r="AD163" s="161"/>
      <c r="AE163" s="143" t="s">
        <v>1303</v>
      </c>
      <c r="AF163" s="143" t="s">
        <v>1304</v>
      </c>
      <c r="AG163" s="139" t="s">
        <v>1305</v>
      </c>
      <c r="AH163" s="147">
        <f t="shared" ref="AH163:AK165" si="43">AA169/1000</f>
        <v>0</v>
      </c>
      <c r="AI163" s="147">
        <f t="shared" si="43"/>
        <v>0</v>
      </c>
      <c r="AJ163" s="147">
        <f t="shared" si="43"/>
        <v>0</v>
      </c>
      <c r="AK163" s="147">
        <f t="shared" si="43"/>
        <v>0</v>
      </c>
      <c r="AL163" s="157"/>
      <c r="AM163" s="139" t="s">
        <v>690</v>
      </c>
      <c r="AN163" s="158">
        <f>S616</f>
        <v>7.17</v>
      </c>
      <c r="AO163" s="158">
        <f>T616</f>
        <v>3.433333333333334</v>
      </c>
      <c r="AP163" s="158">
        <f>U616</f>
        <v>7.17</v>
      </c>
      <c r="AQ163" s="158">
        <f>V616</f>
        <v>3.433333333333334</v>
      </c>
      <c r="AR163" s="147"/>
      <c r="AS163" s="138">
        <f>AS159*AS161*AR159</f>
        <v>0</v>
      </c>
    </row>
    <row r="164" spans="1:45">
      <c r="A164" s="204" t="s">
        <v>1582</v>
      </c>
      <c r="B164" s="138">
        <v>181</v>
      </c>
      <c r="C164" s="138">
        <v>10.3</v>
      </c>
      <c r="D164" s="138">
        <v>0.28000000000000003</v>
      </c>
      <c r="E164" s="138">
        <v>7.17</v>
      </c>
      <c r="F164" s="138">
        <v>3.4</v>
      </c>
      <c r="G164" s="138">
        <v>122</v>
      </c>
      <c r="H164" s="205">
        <v>160</v>
      </c>
      <c r="J164" s="139" t="s">
        <v>261</v>
      </c>
      <c r="K164" s="140">
        <f>E128</f>
        <v>7.17</v>
      </c>
      <c r="L164" s="140">
        <f>(1+L174)/(1/L175+L174*2.7/L169)</f>
        <v>7.17</v>
      </c>
      <c r="M164" s="145">
        <f>L164/K164</f>
        <v>1</v>
      </c>
      <c r="N164" s="139"/>
      <c r="O164" s="140"/>
      <c r="P164" s="140"/>
      <c r="Q164" s="140"/>
      <c r="R164" s="139" t="s">
        <v>1321</v>
      </c>
      <c r="S164" s="158">
        <f>2*W161*S161*L165/1000000/Y164</f>
        <v>0</v>
      </c>
      <c r="T164" s="158">
        <f>2*W161*T161*L165/1000000/Y164</f>
        <v>0</v>
      </c>
      <c r="U164" s="158">
        <f>2*W161*U161*L165/1000000/Y164</f>
        <v>0</v>
      </c>
      <c r="V164" s="158">
        <f>2*W161*V161*L165/1000000/Y164</f>
        <v>0</v>
      </c>
      <c r="W164" s="147">
        <f>SUM(S164:V164)</f>
        <v>0</v>
      </c>
      <c r="X164" s="163">
        <f>2*W161*SUM(S161:V161)*L165/1000000</f>
        <v>0</v>
      </c>
      <c r="Y164" s="147">
        <f>Y112</f>
        <v>5.0000000000000001E-4</v>
      </c>
      <c r="Z164" s="139">
        <v>1</v>
      </c>
      <c r="AA164" s="140">
        <f>$B$37</f>
        <v>1</v>
      </c>
      <c r="AB164" s="163"/>
      <c r="AC164" s="140">
        <f>AC112</f>
        <v>119.49416590714854</v>
      </c>
      <c r="AD164" s="163"/>
      <c r="AE164" s="159" t="s">
        <v>1306</v>
      </c>
      <c r="AF164" s="163">
        <f>IF(X164=0,0,(AC164+AC165)/2)</f>
        <v>0</v>
      </c>
      <c r="AG164" s="139" t="s">
        <v>1307</v>
      </c>
      <c r="AH164" s="147">
        <f t="shared" si="43"/>
        <v>0</v>
      </c>
      <c r="AI164" s="147">
        <f t="shared" si="43"/>
        <v>0</v>
      </c>
      <c r="AJ164" s="147">
        <f t="shared" si="43"/>
        <v>0</v>
      </c>
      <c r="AK164" s="147">
        <f t="shared" si="43"/>
        <v>0</v>
      </c>
      <c r="AL164" s="157"/>
      <c r="AM164" s="139" t="s">
        <v>692</v>
      </c>
      <c r="AN164" s="158">
        <f>S615</f>
        <v>3.433333333333334</v>
      </c>
      <c r="AO164" s="158">
        <f>T615</f>
        <v>7.17</v>
      </c>
      <c r="AP164" s="158">
        <f>U615</f>
        <v>3.433333333333334</v>
      </c>
      <c r="AQ164" s="158">
        <f>V615</f>
        <v>7.17</v>
      </c>
    </row>
    <row r="165" spans="1:45">
      <c r="A165" s="206">
        <v>1500</v>
      </c>
      <c r="B165" s="138">
        <v>1500</v>
      </c>
      <c r="C165" s="138">
        <v>40</v>
      </c>
      <c r="D165" s="138">
        <v>246</v>
      </c>
      <c r="E165" s="138">
        <v>68</v>
      </c>
      <c r="F165" s="138">
        <v>1.2</v>
      </c>
      <c r="G165" s="138">
        <v>22</v>
      </c>
      <c r="H165" s="205">
        <v>5.0000000000000001E-3</v>
      </c>
      <c r="J165" s="139" t="s">
        <v>262</v>
      </c>
      <c r="K165" s="144">
        <f>B130</f>
        <v>125</v>
      </c>
      <c r="L165" s="144">
        <f>K165/M167</f>
        <v>125</v>
      </c>
      <c r="M165" s="145">
        <f>L165/K165</f>
        <v>1</v>
      </c>
      <c r="N165" s="137" t="s">
        <v>1531</v>
      </c>
      <c r="O165" s="140"/>
      <c r="P165" s="140"/>
      <c r="Q165" s="140"/>
      <c r="R165" s="139" t="s">
        <v>1325</v>
      </c>
      <c r="S165" s="143" t="s">
        <v>1326</v>
      </c>
      <c r="T165" s="143" t="s">
        <v>1327</v>
      </c>
      <c r="U165" s="143" t="s">
        <v>1328</v>
      </c>
      <c r="V165" s="143" t="s">
        <v>1329</v>
      </c>
      <c r="W165" s="143" t="s">
        <v>1330</v>
      </c>
      <c r="X165" s="139"/>
      <c r="Z165" s="139">
        <v>2</v>
      </c>
      <c r="AA165" s="140">
        <f>$B$38</f>
        <v>0</v>
      </c>
      <c r="AB165" s="163"/>
      <c r="AC165" s="140">
        <f>AC113</f>
        <v>-19.975848039852647</v>
      </c>
      <c r="AD165" s="163"/>
      <c r="AE165" s="159" t="s">
        <v>1309</v>
      </c>
      <c r="AF165" s="163">
        <f>IF(X164=0,0,(AC164-AC165)/2)</f>
        <v>0</v>
      </c>
      <c r="AG165" s="139" t="s">
        <v>1310</v>
      </c>
      <c r="AH165" s="147">
        <f t="shared" si="43"/>
        <v>0</v>
      </c>
      <c r="AI165" s="147">
        <f t="shared" si="43"/>
        <v>0</v>
      </c>
      <c r="AJ165" s="147">
        <f t="shared" si="43"/>
        <v>0</v>
      </c>
      <c r="AK165" s="147">
        <f t="shared" si="43"/>
        <v>0</v>
      </c>
      <c r="AL165" s="157"/>
      <c r="AM165" s="139" t="s">
        <v>660</v>
      </c>
      <c r="AN165" s="158">
        <f>S621</f>
        <v>0</v>
      </c>
      <c r="AO165" s="158">
        <f>T621</f>
        <v>2.2889856965876046E-16</v>
      </c>
      <c r="AP165" s="158">
        <f>U621</f>
        <v>0</v>
      </c>
      <c r="AQ165" s="158">
        <f>V621</f>
        <v>2.2889856965876046E-16</v>
      </c>
    </row>
    <row r="166" spans="1:45">
      <c r="A166" s="206">
        <v>-0.5</v>
      </c>
      <c r="B166" s="138">
        <v>125</v>
      </c>
      <c r="C166" s="138">
        <v>0.7</v>
      </c>
      <c r="D166" s="138">
        <v>1.6</v>
      </c>
      <c r="E166" s="138">
        <v>0.51600000000000001</v>
      </c>
      <c r="F166" s="138">
        <v>0.5</v>
      </c>
      <c r="G166" s="138">
        <v>0.2</v>
      </c>
      <c r="H166" s="205">
        <v>0.9</v>
      </c>
      <c r="J166" s="137" t="s">
        <v>264</v>
      </c>
      <c r="K166" s="140"/>
      <c r="L166" s="140"/>
      <c r="N166" s="139" t="s">
        <v>265</v>
      </c>
      <c r="O166" s="140">
        <f>A131</f>
        <v>0.02</v>
      </c>
      <c r="P166" s="140">
        <f>O166</f>
        <v>0.02</v>
      </c>
      <c r="Q166" s="140">
        <f>P166/O166</f>
        <v>1</v>
      </c>
      <c r="R166" s="139">
        <v>11</v>
      </c>
      <c r="S166" s="140">
        <f>L183+L184*COS(S162)+L185*COS(S163)</f>
        <v>181.81113884441794</v>
      </c>
      <c r="T166" s="140">
        <f>L183+L184*COS(T162)+L185*COS(T163)</f>
        <v>10.346158729820477</v>
      </c>
      <c r="U166" s="140">
        <f>L183+L184*COS(U162)+L185*COS(U163)</f>
        <v>181.81113884441794</v>
      </c>
      <c r="V166" s="140">
        <f>L183+L184*COS(V162)+L185*COS(V163)</f>
        <v>10.346158729820477</v>
      </c>
      <c r="W166" s="163">
        <f>(S164*S166+T164*T166+U164*U166+V164*V166)</f>
        <v>0</v>
      </c>
      <c r="X166" s="147"/>
      <c r="Z166" s="139">
        <v>6</v>
      </c>
      <c r="AA166" s="140">
        <f>$B$39</f>
        <v>0</v>
      </c>
      <c r="AB166" s="163"/>
      <c r="AC166" s="140">
        <f>AC114</f>
        <v>-91.562516762323497</v>
      </c>
      <c r="AD166" s="163"/>
      <c r="AE166" s="159" t="s">
        <v>1312</v>
      </c>
      <c r="AF166" s="163">
        <f>IF(X164=0,0,AC166/2)</f>
        <v>0</v>
      </c>
      <c r="AG166" s="139"/>
      <c r="AH166" s="163"/>
      <c r="AI166" s="163"/>
      <c r="AJ166" s="163"/>
      <c r="AK166" s="163"/>
      <c r="AL166" s="163"/>
      <c r="AM166" s="139" t="s">
        <v>662</v>
      </c>
      <c r="AN166" s="158">
        <f>AN163/(AN163*AN164-AN165^2)</f>
        <v>0.29126213592233002</v>
      </c>
      <c r="AO166" s="158">
        <f>AO163/(AO163*AO164-AO165^2)</f>
        <v>0.1394700139470014</v>
      </c>
      <c r="AP166" s="158">
        <f>AP163/(AP163*AP164-AP165^2)</f>
        <v>0.29126213592233002</v>
      </c>
      <c r="AQ166" s="158">
        <f>AQ163/(AQ163*AQ164-AQ165^2)</f>
        <v>0.1394700139470014</v>
      </c>
    </row>
    <row r="167" spans="1:45">
      <c r="A167" s="206">
        <v>0.02</v>
      </c>
      <c r="B167" s="138">
        <v>22.5</v>
      </c>
      <c r="C167" s="207">
        <v>0</v>
      </c>
      <c r="D167" s="138">
        <v>0.6</v>
      </c>
      <c r="E167" s="138">
        <v>0.316</v>
      </c>
      <c r="F167" s="138">
        <v>4.0000000000000001E-3</v>
      </c>
      <c r="G167" s="138">
        <v>4.0000000000000001E-3</v>
      </c>
      <c r="H167" s="205">
        <v>2000</v>
      </c>
      <c r="J167" s="139" t="s">
        <v>1532</v>
      </c>
      <c r="K167" s="140">
        <f>C130</f>
        <v>0.7</v>
      </c>
      <c r="L167" s="140">
        <f>D66</f>
        <v>0.7</v>
      </c>
      <c r="M167" s="145">
        <f t="shared" ref="M167:M176" si="44">L167/K167</f>
        <v>1</v>
      </c>
      <c r="N167" s="139" t="s">
        <v>1533</v>
      </c>
      <c r="O167" s="140">
        <f>B131</f>
        <v>22.5</v>
      </c>
      <c r="P167" s="140">
        <f>O167*(1-L167)/(1-K167)</f>
        <v>22.5</v>
      </c>
      <c r="Q167" s="140">
        <f>P167/O167</f>
        <v>1</v>
      </c>
      <c r="R167" s="139">
        <v>22</v>
      </c>
      <c r="S167" s="140">
        <f>S166-2*L184*COS(S162)</f>
        <v>10.346158729820473</v>
      </c>
      <c r="T167" s="140">
        <f>T166-2*L184*COS(T162)</f>
        <v>181.81113884441794</v>
      </c>
      <c r="U167" s="140">
        <f>U166-2*L184*COS(U162)</f>
        <v>10.346158729820473</v>
      </c>
      <c r="V167" s="140">
        <f>V166-2*L184*COS(V162)</f>
        <v>181.81113884441794</v>
      </c>
      <c r="W167" s="163">
        <f>(S164*S167+T164*T167+U164*U167+V164*V167)</f>
        <v>0</v>
      </c>
      <c r="X167" s="147"/>
      <c r="AA167" s="163"/>
      <c r="AB167" s="163"/>
      <c r="AC167" s="163"/>
      <c r="AD167" s="163"/>
      <c r="AE167" s="159"/>
      <c r="AF167" s="163"/>
      <c r="AG167" s="139"/>
      <c r="AH167" s="163"/>
      <c r="AI167" s="163"/>
      <c r="AJ167" s="163"/>
      <c r="AK167" s="163"/>
      <c r="AL167" s="163"/>
      <c r="AM167" s="139" t="s">
        <v>665</v>
      </c>
      <c r="AN167" s="158">
        <f>AN164/(AN163*AN164-AN165^2)</f>
        <v>0.1394700139470014</v>
      </c>
      <c r="AO167" s="158">
        <f>AO164/(AO163*AO164-AO165^2)</f>
        <v>0.29126213592233002</v>
      </c>
      <c r="AP167" s="158">
        <f>AP164/(AP163*AP164-AP165^2)</f>
        <v>0.1394700139470014</v>
      </c>
      <c r="AQ167" s="158">
        <f>AQ164/(AQ163*AQ164-AQ165^2)</f>
        <v>0.29126213592233002</v>
      </c>
    </row>
    <row r="168" spans="1:45">
      <c r="A168" s="208">
        <v>0.15</v>
      </c>
      <c r="B168" s="209">
        <v>0.01</v>
      </c>
      <c r="C168" s="209">
        <v>1</v>
      </c>
      <c r="D168" s="209">
        <v>1</v>
      </c>
      <c r="E168" s="209">
        <v>0.1</v>
      </c>
      <c r="F168" s="209">
        <v>0.5</v>
      </c>
      <c r="G168" s="209"/>
      <c r="H168" s="210"/>
      <c r="J168" s="139" t="s">
        <v>1534</v>
      </c>
      <c r="K168" s="144">
        <f>K161/K167</f>
        <v>258.57142857142861</v>
      </c>
      <c r="L168" s="144">
        <f>F66*P162^F131</f>
        <v>258.57142857142861</v>
      </c>
      <c r="M168" s="145">
        <f t="shared" si="44"/>
        <v>1</v>
      </c>
      <c r="N168" s="138" t="s">
        <v>1535</v>
      </c>
      <c r="O168" s="140"/>
      <c r="P168" s="140"/>
      <c r="Q168" s="140"/>
      <c r="R168" s="139" t="s">
        <v>1345</v>
      </c>
      <c r="S168" s="140">
        <f>L186-L185*COS(S163)</f>
        <v>2.8969244443497324</v>
      </c>
      <c r="T168" s="140">
        <f>L186-L185*COS(T163)</f>
        <v>2.8969244443497324</v>
      </c>
      <c r="U168" s="140">
        <f>L186-L185*COS(U163)</f>
        <v>2.8969244443497324</v>
      </c>
      <c r="V168" s="140">
        <f>L186-L185*COS(V163)</f>
        <v>2.8969244443497324</v>
      </c>
      <c r="W168" s="163">
        <f>(S164*S168+T164*T168+U164*U168+V164*V168)</f>
        <v>0</v>
      </c>
      <c r="X168" s="147"/>
      <c r="Z168" s="137" t="s">
        <v>1323</v>
      </c>
      <c r="AA168" s="163"/>
      <c r="AB168" s="163"/>
      <c r="AC168" s="163"/>
      <c r="AD168" s="163"/>
      <c r="AE168" s="159" t="s">
        <v>661</v>
      </c>
      <c r="AF168" s="163">
        <f>L163/L161*L178+L176/L162*L180</f>
        <v>0.42188220063345594</v>
      </c>
      <c r="AG168" s="139"/>
      <c r="AH168" s="163"/>
      <c r="AI168" s="163"/>
      <c r="AJ168" s="163"/>
      <c r="AK168" s="163"/>
      <c r="AL168" s="163"/>
      <c r="AM168" s="138" t="s">
        <v>666</v>
      </c>
      <c r="AN168" s="141">
        <f>-AN165/(AN163*AN164-AN165^2)</f>
        <v>0</v>
      </c>
      <c r="AO168" s="141">
        <f>-AO165/(AO163*AO164-AO165^2)</f>
        <v>-9.2983941852687333E-18</v>
      </c>
      <c r="AP168" s="141">
        <f>-AP165/(AP163*AP164-AP165^2)</f>
        <v>0</v>
      </c>
      <c r="AQ168" s="141">
        <f>-AQ165/(AQ163*AQ164-AQ165^2)</f>
        <v>-9.2983941852687333E-18</v>
      </c>
    </row>
    <row r="169" spans="1:45">
      <c r="J169" s="139" t="s">
        <v>1536</v>
      </c>
      <c r="K169" s="140">
        <f>F128</f>
        <v>3.4</v>
      </c>
      <c r="L169" s="140">
        <f>E66*P162^F130*I66</f>
        <v>3.4</v>
      </c>
      <c r="M169" s="145">
        <f t="shared" si="44"/>
        <v>1</v>
      </c>
      <c r="N169" s="139" t="s">
        <v>1537</v>
      </c>
      <c r="O169" s="140">
        <f>C131</f>
        <v>0</v>
      </c>
      <c r="P169" s="140">
        <f>O169</f>
        <v>0</v>
      </c>
      <c r="Q169" s="140">
        <v>1</v>
      </c>
      <c r="R169" s="139">
        <v>66</v>
      </c>
      <c r="S169" s="140">
        <f>S168-L186+L187</f>
        <v>7.1700000000000053</v>
      </c>
      <c r="T169" s="140">
        <f>T168-L186+L187</f>
        <v>7.1700000000000053</v>
      </c>
      <c r="U169" s="140">
        <f>U168-L186+L187</f>
        <v>7.1700000000000053</v>
      </c>
      <c r="V169" s="140">
        <f>V168-L186+L187</f>
        <v>7.1700000000000053</v>
      </c>
      <c r="W169" s="163">
        <f>(S164*S169+T164*T169+U164*U169+V164*V169)</f>
        <v>0</v>
      </c>
      <c r="X169" s="147"/>
      <c r="Z169" s="139" t="s">
        <v>1324</v>
      </c>
      <c r="AA169" s="147">
        <f>(AF164+AF165*COS(AA160)+AF166*SIN(AA160))</f>
        <v>0</v>
      </c>
      <c r="AB169" s="147">
        <f>(AF164+AF165*COS(AB160)+AF166*SIN(AB160))</f>
        <v>0</v>
      </c>
      <c r="AC169" s="147">
        <f>(AF164+AF165*COS(AC160)+AF166*SIN(AC160))</f>
        <v>0</v>
      </c>
      <c r="AD169" s="147">
        <f>(AF164+AF165*COS(AD160)+AF166*SIN(AD160))</f>
        <v>0</v>
      </c>
      <c r="AE169" s="159" t="s">
        <v>664</v>
      </c>
      <c r="AF169" s="163">
        <f>L163/L161*L180+L176/L162*L179</f>
        <v>0.50672214511948566</v>
      </c>
      <c r="AG169" s="137"/>
      <c r="AH169" s="159"/>
      <c r="AI169" s="159"/>
      <c r="AJ169" s="159"/>
      <c r="AK169" s="159"/>
      <c r="AL169" s="163"/>
      <c r="AM169" s="138" t="s">
        <v>637</v>
      </c>
      <c r="AN169" s="141"/>
      <c r="AO169" s="141"/>
      <c r="AR169" s="141"/>
      <c r="AS169" s="141"/>
    </row>
    <row r="170" spans="1:45">
      <c r="A170" s="203" t="s">
        <v>846</v>
      </c>
      <c r="J170" s="139" t="s">
        <v>1538</v>
      </c>
      <c r="K170" s="140">
        <f>E130</f>
        <v>0.51600000000000001</v>
      </c>
      <c r="L170" s="140">
        <f>K170*P162^G130</f>
        <v>0.51600000000000001</v>
      </c>
      <c r="M170" s="145">
        <f t="shared" si="44"/>
        <v>1</v>
      </c>
      <c r="N170" s="139" t="s">
        <v>1539</v>
      </c>
      <c r="O170" s="140">
        <f>D131</f>
        <v>0.6</v>
      </c>
      <c r="P170" s="140">
        <f>O170*(1-L167)/(1-K167)</f>
        <v>0.6</v>
      </c>
      <c r="Q170" s="140">
        <f>P170/O170</f>
        <v>1</v>
      </c>
      <c r="R170" s="139" t="s">
        <v>1347</v>
      </c>
      <c r="S170" s="140">
        <f>L184*SIN(S162)/2+L185*SIN(S163)</f>
        <v>0</v>
      </c>
      <c r="T170" s="140">
        <f>L184*SIN(T162)/2+L185*SIN(T163)</f>
        <v>4.221105484146412E-16</v>
      </c>
      <c r="U170" s="140">
        <f>L184*SIN(U162)/2+L185*SIN(U163)</f>
        <v>0</v>
      </c>
      <c r="V170" s="140">
        <f>L184*SIN(V162)/2+L185*SIN(V163)</f>
        <v>4.221105484146412E-16</v>
      </c>
      <c r="W170" s="163">
        <f>(S164*S170+T164*T170+U164*U170+V164*V170)</f>
        <v>0</v>
      </c>
      <c r="X170" s="147"/>
      <c r="Z170" s="139" t="s">
        <v>1332</v>
      </c>
      <c r="AA170" s="147">
        <f>2*AF164-AA169</f>
        <v>0</v>
      </c>
      <c r="AB170" s="147">
        <f>2*AF164-AB169</f>
        <v>0</v>
      </c>
      <c r="AC170" s="147">
        <f>2*AF164-AC169</f>
        <v>0</v>
      </c>
      <c r="AD170" s="147">
        <f>2*AF164-AD169</f>
        <v>0</v>
      </c>
      <c r="AE170" s="159"/>
      <c r="AF170" s="163"/>
      <c r="AG170" s="139" t="s">
        <v>1333</v>
      </c>
      <c r="AH170" s="163">
        <f>P189*AH163^2+2*P191*AH163*AH164+P190*AH164^2+P192*AH165^2</f>
        <v>0</v>
      </c>
      <c r="AI170" s="163">
        <f>P189*AI163^2+2*P191*AI163*AI164+P190*AI164^2+P192*AI165^2</f>
        <v>0</v>
      </c>
      <c r="AJ170" s="163">
        <f>P189*AJ163^2+2*P191*AJ163*AJ164+P190*AJ164^2+P192*AJ165^2</f>
        <v>0</v>
      </c>
      <c r="AK170" s="163">
        <f>P189*AK163^2+2*P191*AK163*AK164+P190*AK164^2+P192*AK165^2</f>
        <v>0</v>
      </c>
      <c r="AL170" s="163"/>
      <c r="AM170" s="137"/>
      <c r="AN170" s="141"/>
      <c r="AO170" s="141"/>
      <c r="AR170" s="141"/>
      <c r="AS170" s="143"/>
    </row>
    <row r="171" spans="1:45">
      <c r="A171" s="204" t="s">
        <v>1582</v>
      </c>
      <c r="B171" s="138">
        <v>181</v>
      </c>
      <c r="C171" s="138">
        <v>10.3</v>
      </c>
      <c r="D171" s="138">
        <v>0.28000000000000003</v>
      </c>
      <c r="E171" s="138">
        <v>7.17</v>
      </c>
      <c r="F171" s="138">
        <v>3.4</v>
      </c>
      <c r="G171" s="138">
        <v>122</v>
      </c>
      <c r="H171" s="205">
        <v>160</v>
      </c>
      <c r="J171" s="139" t="s">
        <v>1547</v>
      </c>
      <c r="K171" s="140">
        <f>K170*(1-K167)/K167</f>
        <v>0.2211428571428572</v>
      </c>
      <c r="L171" s="140">
        <f>L170*(1-L167)/L167</f>
        <v>0.2211428571428572</v>
      </c>
      <c r="M171" s="145">
        <f t="shared" si="44"/>
        <v>1</v>
      </c>
      <c r="O171" s="140"/>
      <c r="P171" s="140"/>
      <c r="Q171" s="140"/>
      <c r="R171" s="139" t="s">
        <v>1349</v>
      </c>
      <c r="S171" s="140">
        <f>L184*SIN(S162)-S170</f>
        <v>0</v>
      </c>
      <c r="T171" s="140">
        <f>L184*SIN(T162)-T170</f>
        <v>1.0081392224502176E-14</v>
      </c>
      <c r="U171" s="140">
        <f>L184*SIN(U162)-U170</f>
        <v>0</v>
      </c>
      <c r="V171" s="140">
        <f>L184*SIN(V162)-V170</f>
        <v>1.0081392224502176E-14</v>
      </c>
      <c r="W171" s="163">
        <f>(S164*S171+T164*T171+U164*U171+V164*V171)</f>
        <v>0</v>
      </c>
      <c r="X171" s="147"/>
      <c r="Z171" s="139" t="s">
        <v>1334</v>
      </c>
      <c r="AA171" s="147">
        <f>(2*(AF166*COS(AA160)-AF165*SIN(AA160)))</f>
        <v>0</v>
      </c>
      <c r="AB171" s="147">
        <f>(2*(AF166*COS(AB160)-AF165*SIN(AB160)))</f>
        <v>0</v>
      </c>
      <c r="AC171" s="147">
        <f>(2*(AF166*COS(AC160)-AF165*SIN(AC160)))</f>
        <v>0</v>
      </c>
      <c r="AD171" s="147">
        <f>(2*(AF166*COS(AD160)-AF165*SIN(AD160)))</f>
        <v>0</v>
      </c>
      <c r="AE171" s="159"/>
      <c r="AF171" s="163"/>
      <c r="AG171" s="139" t="s">
        <v>1335</v>
      </c>
      <c r="AH171" s="163">
        <f>P193*AH163+P194*AH164</f>
        <v>0</v>
      </c>
      <c r="AI171" s="163">
        <f>P193*AI163+P194*AI164</f>
        <v>0</v>
      </c>
      <c r="AJ171" s="163">
        <f>P193*AJ163+P194*AJ164</f>
        <v>0</v>
      </c>
      <c r="AK171" s="163">
        <f>P193*AK163+P194*AK164</f>
        <v>0</v>
      </c>
      <c r="AL171" s="163"/>
      <c r="AM171" s="139" t="s">
        <v>243</v>
      </c>
      <c r="AN171" s="143" t="s">
        <v>1562</v>
      </c>
      <c r="AO171" s="143" t="s">
        <v>1563</v>
      </c>
      <c r="AP171" s="143" t="s">
        <v>1564</v>
      </c>
      <c r="AQ171" s="143" t="s">
        <v>1565</v>
      </c>
      <c r="AR171" s="143"/>
      <c r="AS171" s="143"/>
    </row>
    <row r="172" spans="1:45">
      <c r="A172" s="206">
        <v>1500</v>
      </c>
      <c r="B172" s="138">
        <v>1500</v>
      </c>
      <c r="C172" s="138">
        <v>40</v>
      </c>
      <c r="D172" s="138">
        <v>246</v>
      </c>
      <c r="E172" s="138">
        <v>68</v>
      </c>
      <c r="F172" s="138">
        <v>1.2</v>
      </c>
      <c r="G172" s="138">
        <v>22</v>
      </c>
      <c r="H172" s="205">
        <v>5.0000000000000001E-3</v>
      </c>
      <c r="J172" s="139" t="s">
        <v>1643</v>
      </c>
      <c r="K172" s="140">
        <f>1/((1+K171)/K162-K171/K169)</f>
        <v>18.686160319541436</v>
      </c>
      <c r="L172" s="140">
        <f>K172*P162^F131</f>
        <v>18.686160319541436</v>
      </c>
      <c r="M172" s="145">
        <f t="shared" si="44"/>
        <v>1</v>
      </c>
      <c r="N172" s="138" t="s">
        <v>176</v>
      </c>
      <c r="O172" s="140"/>
      <c r="P172" s="140"/>
      <c r="Q172" s="140"/>
      <c r="R172" s="139"/>
      <c r="S172" s="143"/>
      <c r="T172" s="143"/>
      <c r="U172" s="143"/>
      <c r="V172" s="139"/>
      <c r="W172" s="143"/>
      <c r="Z172" s="139" t="s">
        <v>671</v>
      </c>
      <c r="AA172" s="164">
        <f>S190*S164</f>
        <v>0</v>
      </c>
      <c r="AB172" s="164">
        <f>T190*T164</f>
        <v>0</v>
      </c>
      <c r="AC172" s="164">
        <f>U190*U164</f>
        <v>0</v>
      </c>
      <c r="AD172" s="164">
        <f>V190*V164</f>
        <v>0</v>
      </c>
      <c r="AE172" s="164">
        <f>W164*(P167+P166*AF168+AF169*P167)-AF168*SUM(AA172:AD172)-AF169*SUM(AA173:AD173)</f>
        <v>0</v>
      </c>
      <c r="AF172" s="164"/>
      <c r="AG172" s="139" t="s">
        <v>1344</v>
      </c>
      <c r="AH172" s="163" t="e">
        <f>AH171/2/AH170</f>
        <v>#DIV/0!</v>
      </c>
      <c r="AI172" s="163" t="e">
        <f>AI171/2/AI170</f>
        <v>#DIV/0!</v>
      </c>
      <c r="AJ172" s="163" t="e">
        <f>AJ171/2/AJ170</f>
        <v>#DIV/0!</v>
      </c>
      <c r="AK172" s="163" t="e">
        <f>AK171/2/AK170</f>
        <v>#DIV/0!</v>
      </c>
      <c r="AL172" s="163"/>
      <c r="AM172" s="139" t="s">
        <v>537</v>
      </c>
      <c r="AN172" s="154">
        <f t="shared" ref="AN172:AQ173" si="45">S628</f>
        <v>0</v>
      </c>
      <c r="AO172" s="154">
        <f t="shared" si="45"/>
        <v>90</v>
      </c>
      <c r="AP172" s="154">
        <f t="shared" si="45"/>
        <v>0</v>
      </c>
      <c r="AQ172" s="154">
        <f t="shared" si="45"/>
        <v>90</v>
      </c>
      <c r="AR172" s="143" t="s">
        <v>538</v>
      </c>
      <c r="AS172" s="143" t="s">
        <v>652</v>
      </c>
    </row>
    <row r="173" spans="1:45">
      <c r="A173" s="206">
        <v>-0.5</v>
      </c>
      <c r="B173" s="138">
        <v>125</v>
      </c>
      <c r="C173" s="138">
        <v>0.7</v>
      </c>
      <c r="D173" s="138">
        <v>1.6</v>
      </c>
      <c r="E173" s="138">
        <v>0.51600000000000001</v>
      </c>
      <c r="F173" s="138">
        <v>0.5</v>
      </c>
      <c r="G173" s="138">
        <v>0.2</v>
      </c>
      <c r="H173" s="205">
        <v>0.9</v>
      </c>
      <c r="J173" s="139" t="s">
        <v>295</v>
      </c>
      <c r="K173" s="140">
        <f>E131</f>
        <v>0.316</v>
      </c>
      <c r="L173" s="140">
        <f>K173*P162^G130</f>
        <v>0.316</v>
      </c>
      <c r="M173" s="145">
        <f t="shared" si="44"/>
        <v>1</v>
      </c>
      <c r="N173" s="139" t="s">
        <v>296</v>
      </c>
      <c r="O173" s="144">
        <f>A129</f>
        <v>1500</v>
      </c>
      <c r="P173" s="144">
        <f>P179*L167</f>
        <v>1500</v>
      </c>
      <c r="Q173" s="140">
        <f t="shared" ref="Q173:Q180" si="46">P173/O173</f>
        <v>1</v>
      </c>
      <c r="R173" s="139"/>
      <c r="T173" s="164"/>
      <c r="U173" s="140"/>
      <c r="V173" s="140"/>
      <c r="W173" s="140"/>
      <c r="X173" s="143"/>
      <c r="Y173" s="139"/>
      <c r="Z173" s="139" t="s">
        <v>675</v>
      </c>
      <c r="AA173" s="164">
        <f>S191*S164</f>
        <v>0</v>
      </c>
      <c r="AB173" s="164">
        <f>T191*T164</f>
        <v>0</v>
      </c>
      <c r="AC173" s="164">
        <f>U191*U164</f>
        <v>0</v>
      </c>
      <c r="AD173" s="164">
        <f>V191*V164</f>
        <v>0</v>
      </c>
      <c r="AE173" s="164"/>
      <c r="AF173" s="164"/>
      <c r="AG173" s="139"/>
      <c r="AH173" s="163"/>
      <c r="AI173" s="163"/>
      <c r="AJ173" s="163"/>
      <c r="AK173" s="163"/>
      <c r="AL173" s="163"/>
      <c r="AM173" s="139" t="s">
        <v>541</v>
      </c>
      <c r="AN173" s="154">
        <f t="shared" si="45"/>
        <v>0</v>
      </c>
      <c r="AO173" s="154">
        <f t="shared" si="45"/>
        <v>0</v>
      </c>
      <c r="AP173" s="154">
        <f t="shared" si="45"/>
        <v>0</v>
      </c>
      <c r="AQ173" s="154">
        <f t="shared" si="45"/>
        <v>0</v>
      </c>
      <c r="AR173" s="156">
        <f>W629</f>
        <v>1</v>
      </c>
      <c r="AS173" s="146">
        <f>SUM(AN173:AQ173)</f>
        <v>0</v>
      </c>
    </row>
    <row r="174" spans="1:45">
      <c r="A174" s="206">
        <v>0.02</v>
      </c>
      <c r="B174" s="138">
        <v>22.5</v>
      </c>
      <c r="C174" s="207">
        <v>0</v>
      </c>
      <c r="D174" s="138">
        <v>0.6</v>
      </c>
      <c r="E174" s="138">
        <v>0.316</v>
      </c>
      <c r="F174" s="138">
        <v>4.0000000000000001E-3</v>
      </c>
      <c r="G174" s="138">
        <v>4.0000000000000001E-3</v>
      </c>
      <c r="H174" s="205">
        <v>2000</v>
      </c>
      <c r="J174" s="139" t="s">
        <v>301</v>
      </c>
      <c r="K174" s="140">
        <f>K173*(1-K167)/K167</f>
        <v>0.13542857142857145</v>
      </c>
      <c r="L174" s="140">
        <f>L173*(1-L167)/L167</f>
        <v>0.13542857142857145</v>
      </c>
      <c r="M174" s="145">
        <f t="shared" si="44"/>
        <v>1</v>
      </c>
      <c r="N174" s="139" t="s">
        <v>302</v>
      </c>
      <c r="O174" s="144">
        <f>B129</f>
        <v>1500</v>
      </c>
      <c r="P174" s="144">
        <f>O174*Q173*M164^F132</f>
        <v>1500</v>
      </c>
      <c r="Q174" s="140">
        <f t="shared" si="46"/>
        <v>1</v>
      </c>
      <c r="R174" s="139"/>
      <c r="T174" s="164"/>
      <c r="U174" s="140"/>
      <c r="V174" s="140"/>
      <c r="W174" s="140"/>
      <c r="X174" s="140"/>
      <c r="Y174" s="140"/>
      <c r="Z174" s="139" t="s">
        <v>677</v>
      </c>
      <c r="AA174" s="164">
        <f>S192*S164</f>
        <v>0</v>
      </c>
      <c r="AB174" s="164">
        <f>T192*T164</f>
        <v>0</v>
      </c>
      <c r="AC174" s="164">
        <f>U192*U164</f>
        <v>0</v>
      </c>
      <c r="AD174" s="164">
        <f>V192*V164</f>
        <v>0</v>
      </c>
      <c r="AE174" s="164">
        <f>W164*(P170+P169*AF168+AF169*P170)-AF168*SUM(AA174:AD174)-AF169*SUM(AA175:AD175)</f>
        <v>0</v>
      </c>
      <c r="AF174" s="164"/>
      <c r="AG174" s="139"/>
      <c r="AH174" s="163"/>
      <c r="AI174" s="147"/>
      <c r="AJ174" s="163"/>
      <c r="AK174" s="163"/>
      <c r="AL174" s="163"/>
      <c r="AM174" s="138" t="s">
        <v>648</v>
      </c>
      <c r="AN174" s="158">
        <f>AN172*PI()/180</f>
        <v>0</v>
      </c>
      <c r="AO174" s="158">
        <f>AO172*PI()/180</f>
        <v>1.5707963267948966</v>
      </c>
      <c r="AP174" s="158">
        <f>AP172*PI()/180</f>
        <v>0</v>
      </c>
      <c r="AQ174" s="158">
        <f>AQ172*PI()/180</f>
        <v>1.5707963267948966</v>
      </c>
      <c r="AS174" s="159" t="s">
        <v>683</v>
      </c>
    </row>
    <row r="175" spans="1:45">
      <c r="A175" s="208">
        <v>0.15</v>
      </c>
      <c r="B175" s="209">
        <v>0.01</v>
      </c>
      <c r="C175" s="209">
        <v>1</v>
      </c>
      <c r="D175" s="209">
        <v>1</v>
      </c>
      <c r="E175" s="209">
        <v>0.1</v>
      </c>
      <c r="F175" s="209">
        <v>0.5</v>
      </c>
      <c r="G175" s="209"/>
      <c r="H175" s="210"/>
      <c r="J175" s="139" t="s">
        <v>304</v>
      </c>
      <c r="K175" s="140">
        <f>1/((1+K174)/K164-K174*2.7/K169)</f>
        <v>19.680382632972858</v>
      </c>
      <c r="L175" s="140">
        <f>K175*P162^F131</f>
        <v>19.680382632972858</v>
      </c>
      <c r="M175" s="145">
        <f t="shared" si="44"/>
        <v>1</v>
      </c>
      <c r="N175" s="139" t="s">
        <v>305</v>
      </c>
      <c r="O175" s="144">
        <f>C129</f>
        <v>40</v>
      </c>
      <c r="P175" s="144">
        <f>O175*Q180</f>
        <v>40</v>
      </c>
      <c r="Q175" s="140">
        <f t="shared" si="46"/>
        <v>1</v>
      </c>
      <c r="R175" s="139"/>
      <c r="T175" s="164"/>
      <c r="U175" s="140"/>
      <c r="V175" s="140"/>
      <c r="W175" s="140"/>
      <c r="X175" s="140"/>
      <c r="Y175" s="140"/>
      <c r="Z175" s="138" t="s">
        <v>679</v>
      </c>
      <c r="AA175" s="164">
        <f>S193*S164</f>
        <v>0</v>
      </c>
      <c r="AB175" s="164">
        <f>T193*T164</f>
        <v>0</v>
      </c>
      <c r="AC175" s="164">
        <f>U193*U164</f>
        <v>0</v>
      </c>
      <c r="AD175" s="164">
        <f>V193*V164</f>
        <v>0</v>
      </c>
      <c r="AE175" s="164"/>
      <c r="AF175" s="164"/>
      <c r="AG175" s="139"/>
      <c r="AH175" s="163"/>
      <c r="AI175" s="163"/>
      <c r="AJ175" s="163"/>
      <c r="AK175" s="163"/>
      <c r="AL175" s="159" t="s">
        <v>1348</v>
      </c>
      <c r="AM175" s="139" t="s">
        <v>653</v>
      </c>
      <c r="AN175" s="158">
        <f>COS(AN172*PI()/180)</f>
        <v>1</v>
      </c>
      <c r="AO175" s="158">
        <f>COS(AO172*PI()/180)</f>
        <v>6.1257422745431001E-17</v>
      </c>
      <c r="AP175" s="158">
        <f>COS(AP172*PI()/180)</f>
        <v>1</v>
      </c>
      <c r="AQ175" s="158">
        <f>COS(AQ172*PI()/180)</f>
        <v>6.1257422745431001E-17</v>
      </c>
      <c r="AR175" s="143"/>
      <c r="AS175" s="162">
        <f>$L633/1000000/AT5*2/AT7</f>
        <v>0.05</v>
      </c>
    </row>
    <row r="176" spans="1:45">
      <c r="A176" s="204" t="s">
        <v>1582</v>
      </c>
      <c r="B176" s="138">
        <v>181</v>
      </c>
      <c r="C176" s="138">
        <v>10.3</v>
      </c>
      <c r="D176" s="138">
        <v>0.28000000000000003</v>
      </c>
      <c r="E176" s="138">
        <v>7.17</v>
      </c>
      <c r="F176" s="138">
        <v>3.4</v>
      </c>
      <c r="G176" s="138">
        <v>122</v>
      </c>
      <c r="H176" s="205">
        <v>160</v>
      </c>
      <c r="J176" s="139" t="s">
        <v>1581</v>
      </c>
      <c r="K176" s="140">
        <f>F132</f>
        <v>0.5</v>
      </c>
      <c r="L176" s="140">
        <f>K176</f>
        <v>0.5</v>
      </c>
      <c r="M176" s="140">
        <f t="shared" si="44"/>
        <v>1</v>
      </c>
      <c r="N176" s="139" t="s">
        <v>1542</v>
      </c>
      <c r="O176" s="144">
        <f>D129</f>
        <v>246</v>
      </c>
      <c r="P176" s="144">
        <f>O176*Q180</f>
        <v>246</v>
      </c>
      <c r="Q176" s="140">
        <f t="shared" si="46"/>
        <v>1</v>
      </c>
      <c r="R176" s="139"/>
      <c r="T176" s="164"/>
      <c r="U176" s="140"/>
      <c r="V176" s="140"/>
      <c r="W176" s="138"/>
      <c r="X176" s="140"/>
      <c r="Y176" s="140"/>
      <c r="Z176" s="139" t="s">
        <v>682</v>
      </c>
      <c r="AA176" s="164">
        <f>S164*(AA169+S194/1000)</f>
        <v>0</v>
      </c>
      <c r="AB176" s="164">
        <f>T164*(AB169+T194/1000)</f>
        <v>0</v>
      </c>
      <c r="AC176" s="164">
        <f>U164*(AC169+U194/1000)</f>
        <v>0</v>
      </c>
      <c r="AD176" s="164">
        <f>V164*(AD169+V194/1000)</f>
        <v>0</v>
      </c>
      <c r="AE176" s="164">
        <f>W164*((1+AF169)*(P167*P163/1000000+P170*P159)+AF168*(P166*P163/1000000+P169*P159))*1000-AF168*SUM(AA176:AD176)-AF169*SUM(AA177:AD177)</f>
        <v>0</v>
      </c>
      <c r="AF176" s="164"/>
      <c r="AG176" s="139" t="s">
        <v>1351</v>
      </c>
      <c r="AH176" s="147" t="e">
        <f>(AH172^2+1/AH170)^0.5-AH172</f>
        <v>#DIV/0!</v>
      </c>
      <c r="AI176" s="147" t="e">
        <f>(AI172^2+1/AI170)^0.5-AI172</f>
        <v>#DIV/0!</v>
      </c>
      <c r="AJ176" s="147" t="e">
        <f>(AJ172^2+1/AJ170)^0.5-AJ172</f>
        <v>#DIV/0!</v>
      </c>
      <c r="AK176" s="147" t="e">
        <f>(AK172^2+1/AK170)^0.5-AK172</f>
        <v>#DIV/0!</v>
      </c>
      <c r="AL176" s="147">
        <f>MIN(AH177:AK177)</f>
        <v>1000000000</v>
      </c>
      <c r="AM176" s="139" t="s">
        <v>654</v>
      </c>
      <c r="AN176" s="158">
        <f>SIN(AN172*PI()/180)</f>
        <v>0</v>
      </c>
      <c r="AO176" s="158">
        <f>SIN(AO172*PI()/180)</f>
        <v>1</v>
      </c>
      <c r="AP176" s="158">
        <f>SIN(AP172*PI()/180)</f>
        <v>0</v>
      </c>
      <c r="AQ176" s="158">
        <f>SIN(AQ172*PI()/180)</f>
        <v>1</v>
      </c>
      <c r="AS176" s="160" t="s">
        <v>655</v>
      </c>
    </row>
    <row r="177" spans="1:45">
      <c r="A177" s="206">
        <v>1500</v>
      </c>
      <c r="B177" s="138">
        <v>1500</v>
      </c>
      <c r="C177" s="138">
        <v>40</v>
      </c>
      <c r="D177" s="138">
        <v>246</v>
      </c>
      <c r="E177" s="138">
        <v>68</v>
      </c>
      <c r="F177" s="138">
        <v>1.2</v>
      </c>
      <c r="G177" s="138">
        <v>22</v>
      </c>
      <c r="H177" s="205">
        <v>5.0000000000000001E-3</v>
      </c>
      <c r="J177" s="138" t="s">
        <v>1507</v>
      </c>
      <c r="N177" s="139" t="s">
        <v>1543</v>
      </c>
      <c r="O177" s="165">
        <f>E129</f>
        <v>68</v>
      </c>
      <c r="P177" s="165">
        <f>O177*Q180</f>
        <v>68</v>
      </c>
      <c r="Q177" s="140">
        <f t="shared" si="46"/>
        <v>1</v>
      </c>
      <c r="R177" s="139"/>
      <c r="T177" s="164"/>
      <c r="U177" s="140"/>
      <c r="V177" s="140"/>
      <c r="W177" s="138"/>
      <c r="X177" s="138"/>
      <c r="Z177" s="139" t="s">
        <v>685</v>
      </c>
      <c r="AA177" s="164">
        <f>S164*(AA170+S195/1000)</f>
        <v>0</v>
      </c>
      <c r="AB177" s="164">
        <f>T164*(AB170+T195/1000)</f>
        <v>0</v>
      </c>
      <c r="AC177" s="164">
        <f>U164*(AC170+U195/1000)</f>
        <v>0</v>
      </c>
      <c r="AD177" s="164">
        <f>V164*(AD170+V195/1000)</f>
        <v>0</v>
      </c>
      <c r="AE177" s="164"/>
      <c r="AF177" s="164"/>
      <c r="AG177" s="139"/>
      <c r="AH177" s="147">
        <f>IF(AH159=0,1000000000,AH176)</f>
        <v>1000000000</v>
      </c>
      <c r="AI177" s="147">
        <f>IF(AI159=0,1000000000,AI176)</f>
        <v>1000000000</v>
      </c>
      <c r="AJ177" s="147">
        <f>IF(AJ159=0,1000000000,AJ176)</f>
        <v>1000000000</v>
      </c>
      <c r="AK177" s="147">
        <f>IF(AK159=0,1000000000,AK176)</f>
        <v>1000000000</v>
      </c>
      <c r="AM177" s="139" t="s">
        <v>690</v>
      </c>
      <c r="AN177" s="158">
        <f>S668</f>
        <v>7.17</v>
      </c>
      <c r="AO177" s="158">
        <f>T668</f>
        <v>3.433333333333334</v>
      </c>
      <c r="AP177" s="158">
        <f>U668</f>
        <v>7.17</v>
      </c>
      <c r="AQ177" s="158">
        <f>V668</f>
        <v>3.433333333333334</v>
      </c>
      <c r="AR177" s="147"/>
      <c r="AS177" s="138">
        <f>AS173*AS175*AR173</f>
        <v>0</v>
      </c>
    </row>
    <row r="178" spans="1:45">
      <c r="A178" s="206">
        <v>-0.5</v>
      </c>
      <c r="B178" s="138">
        <v>125</v>
      </c>
      <c r="C178" s="138">
        <v>0.7</v>
      </c>
      <c r="D178" s="138">
        <v>1.6</v>
      </c>
      <c r="E178" s="138">
        <v>0.51600000000000001</v>
      </c>
      <c r="F178" s="138">
        <v>0.5</v>
      </c>
      <c r="G178" s="138">
        <v>0.2</v>
      </c>
      <c r="H178" s="205">
        <v>0.9</v>
      </c>
      <c r="J178" s="139" t="s">
        <v>1354</v>
      </c>
      <c r="K178" s="140">
        <f>K161/(1-K163^2*K162/K161)</f>
        <v>181.81113884441791</v>
      </c>
      <c r="L178" s="140">
        <f>L161/(1-L163^2*L162/L161)</f>
        <v>181.81113884441794</v>
      </c>
      <c r="M178" s="145">
        <f>L178/K178</f>
        <v>1.0000000000000002</v>
      </c>
      <c r="N178" s="139" t="s">
        <v>1168</v>
      </c>
      <c r="O178" s="145">
        <f>A130</f>
        <v>-0.5</v>
      </c>
      <c r="P178" s="145">
        <f>O178*I66</f>
        <v>-0.5</v>
      </c>
      <c r="Q178" s="140">
        <f t="shared" si="46"/>
        <v>1</v>
      </c>
      <c r="R178" s="139"/>
      <c r="T178" s="164"/>
      <c r="U178" s="140"/>
      <c r="V178" s="140"/>
      <c r="W178" s="138"/>
      <c r="X178" s="138"/>
      <c r="Z178" s="138" t="s">
        <v>686</v>
      </c>
      <c r="AA178" s="140">
        <f>($AF168*COS(AA161)^2+$AF169*SIN(AA161)^2)*S164</f>
        <v>0</v>
      </c>
      <c r="AB178" s="140">
        <f>($AF168*COS(AB161)^2+$AF169*SIN(AB161)^2)*T164</f>
        <v>0</v>
      </c>
      <c r="AC178" s="140">
        <f>($AF168*COS(AC161)^2+$AF169*SIN(AC161)^2)*U164</f>
        <v>0</v>
      </c>
      <c r="AD178" s="140">
        <f>($AF168*COS(AD161)^2+$AF169*SIN(AD161)^2)*V164</f>
        <v>0</v>
      </c>
      <c r="AE178" s="163">
        <f>SUM(AA178:AD178)</f>
        <v>0</v>
      </c>
      <c r="AF178" s="163"/>
      <c r="AG178" s="138" t="s">
        <v>1360</v>
      </c>
      <c r="AH178" s="147">
        <f>IF(AH159=0,0,AH176)</f>
        <v>0</v>
      </c>
      <c r="AI178" s="147">
        <f>IF(AI159=0,0,AI176)</f>
        <v>0</v>
      </c>
      <c r="AJ178" s="147">
        <f>IF(AJ159=0,0,AJ176)</f>
        <v>0</v>
      </c>
      <c r="AK178" s="147">
        <f>IF(AK159=0,0,AK176)</f>
        <v>0</v>
      </c>
      <c r="AM178" s="139" t="s">
        <v>692</v>
      </c>
      <c r="AN178" s="158">
        <f>S667</f>
        <v>3.433333333333334</v>
      </c>
      <c r="AO178" s="158">
        <f>T667</f>
        <v>7.17</v>
      </c>
      <c r="AP178" s="158">
        <f>U667</f>
        <v>3.433333333333334</v>
      </c>
      <c r="AQ178" s="158">
        <f>V667</f>
        <v>7.17</v>
      </c>
    </row>
    <row r="179" spans="1:45">
      <c r="A179" s="206">
        <v>0.02</v>
      </c>
      <c r="B179" s="138">
        <v>22.5</v>
      </c>
      <c r="C179" s="207">
        <v>0</v>
      </c>
      <c r="D179" s="138">
        <v>0.6</v>
      </c>
      <c r="E179" s="138">
        <v>0.316</v>
      </c>
      <c r="F179" s="138">
        <v>4.0000000000000001E-3</v>
      </c>
      <c r="G179" s="138">
        <v>4.0000000000000001E-3</v>
      </c>
      <c r="H179" s="205">
        <v>2000</v>
      </c>
      <c r="J179" s="139" t="s">
        <v>1361</v>
      </c>
      <c r="K179" s="140">
        <f>K178*K162/K161</f>
        <v>10.346158729820468</v>
      </c>
      <c r="L179" s="140">
        <f>L178*L162/L161</f>
        <v>10.346158729820468</v>
      </c>
      <c r="M179" s="145">
        <f>L179/K179</f>
        <v>1</v>
      </c>
      <c r="N179" s="139" t="s">
        <v>1175</v>
      </c>
      <c r="O179" s="144">
        <f>O173/K167</f>
        <v>2142.8571428571431</v>
      </c>
      <c r="P179" s="144">
        <f>H66*P162^G131</f>
        <v>2142.8571428571431</v>
      </c>
      <c r="Q179" s="140">
        <f t="shared" si="46"/>
        <v>1</v>
      </c>
      <c r="T179" s="147"/>
      <c r="U179" s="141"/>
      <c r="V179" s="141"/>
      <c r="W179" s="138"/>
      <c r="X179" s="138"/>
      <c r="Z179" s="138" t="s">
        <v>689</v>
      </c>
      <c r="AA179" s="140">
        <f>($AF168*SIN(AA161)^2+$AF169*COS(AA161)^2)*S164</f>
        <v>0</v>
      </c>
      <c r="AB179" s="140">
        <f>($AF168*SIN(AB161)^2+$AF169*COS(AB161)^2)*T164</f>
        <v>0</v>
      </c>
      <c r="AC179" s="140">
        <f>($AF168*SIN(AC161)^2+$AF169*COS(AC161)^2)*U164</f>
        <v>0</v>
      </c>
      <c r="AD179" s="140">
        <f>($AF168*SIN(AD161)^2+$AF169*COS(AD161)^2)*V164</f>
        <v>0</v>
      </c>
      <c r="AE179" s="163">
        <f>SUM(AA179:AD179)</f>
        <v>0</v>
      </c>
      <c r="AF179" s="163"/>
      <c r="AG179" s="139" t="s">
        <v>1364</v>
      </c>
      <c r="AH179" s="138">
        <f>(S194-P166*P163)/1000000-P169*P159</f>
        <v>3.7599999999999944E-4</v>
      </c>
      <c r="AI179" s="138">
        <f>(T194-P166*P163)/1000000-P169*P159</f>
        <v>3.7599999999999965E-4</v>
      </c>
      <c r="AJ179" s="157">
        <f>(U194-P166*P163)/1000000-P169*P159</f>
        <v>3.7599999999999944E-4</v>
      </c>
      <c r="AK179" s="157">
        <f>(V194-P166*P163)/1000000-P169*P159</f>
        <v>3.7599999999999965E-4</v>
      </c>
      <c r="AL179" s="163"/>
      <c r="AM179" s="139" t="s">
        <v>660</v>
      </c>
      <c r="AN179" s="158">
        <f>S673</f>
        <v>0</v>
      </c>
      <c r="AO179" s="158">
        <f>T673</f>
        <v>2.2889856965876046E-16</v>
      </c>
      <c r="AP179" s="158">
        <f>U673</f>
        <v>0</v>
      </c>
      <c r="AQ179" s="158">
        <f>V673</f>
        <v>2.2889856965876046E-16</v>
      </c>
    </row>
    <row r="180" spans="1:45">
      <c r="A180" s="208">
        <v>0.15</v>
      </c>
      <c r="B180" s="209">
        <v>0.01</v>
      </c>
      <c r="C180" s="209">
        <v>1</v>
      </c>
      <c r="D180" s="209">
        <v>1</v>
      </c>
      <c r="E180" s="209">
        <v>0.1</v>
      </c>
      <c r="F180" s="209">
        <v>0.5</v>
      </c>
      <c r="G180" s="209"/>
      <c r="H180" s="210"/>
      <c r="J180" s="139" t="s">
        <v>1365</v>
      </c>
      <c r="K180" s="140">
        <f>K179*K163</f>
        <v>2.8969244443497315</v>
      </c>
      <c r="L180" s="140">
        <f>L179*L163</f>
        <v>2.8969244443497315</v>
      </c>
      <c r="M180" s="145">
        <f>L180/K180</f>
        <v>1</v>
      </c>
      <c r="N180" s="139" t="s">
        <v>1176</v>
      </c>
      <c r="O180" s="144">
        <f>O175</f>
        <v>40</v>
      </c>
      <c r="P180" s="144">
        <f>G66*P162^H130</f>
        <v>40</v>
      </c>
      <c r="Q180" s="140">
        <f t="shared" si="46"/>
        <v>1</v>
      </c>
      <c r="R180" s="137" t="s">
        <v>1185</v>
      </c>
      <c r="U180" s="141"/>
      <c r="W180" s="138"/>
      <c r="X180" s="138"/>
      <c r="AA180" s="140"/>
      <c r="AE180" s="163"/>
      <c r="AF180" s="163"/>
      <c r="AG180" s="139" t="s">
        <v>1367</v>
      </c>
      <c r="AH180" s="138">
        <f>(S195-P167*P163)/1000000-P170*P159</f>
        <v>-3.7600000000000047E-4</v>
      </c>
      <c r="AI180" s="138">
        <f>(T195-P167*P163)/1000000-P170*P159</f>
        <v>-3.7600000000000047E-4</v>
      </c>
      <c r="AJ180" s="157">
        <f>(U195-P167*P163)/1000000-P170*P159</f>
        <v>-3.7600000000000047E-4</v>
      </c>
      <c r="AK180" s="157">
        <f>(V195-P167*P163)/1000000-P170*P159</f>
        <v>-3.7600000000000047E-4</v>
      </c>
      <c r="AL180" s="163"/>
      <c r="AM180" s="139" t="s">
        <v>662</v>
      </c>
      <c r="AN180" s="158">
        <f>AN177/(AN177*AN178-AN179^2)</f>
        <v>0.29126213592233002</v>
      </c>
      <c r="AO180" s="158">
        <f>AO177/(AO177*AO178-AO179^2)</f>
        <v>0.1394700139470014</v>
      </c>
      <c r="AP180" s="158">
        <f>AP177/(AP177*AP178-AP179^2)</f>
        <v>0.29126213592233002</v>
      </c>
      <c r="AQ180" s="158">
        <f>AQ177/(AQ177*AQ178-AQ179^2)</f>
        <v>0.1394700139470014</v>
      </c>
    </row>
    <row r="181" spans="1:45">
      <c r="J181" s="139" t="s">
        <v>1370</v>
      </c>
      <c r="K181" s="140">
        <f>K164</f>
        <v>7.17</v>
      </c>
      <c r="L181" s="140">
        <f>L164</f>
        <v>7.17</v>
      </c>
      <c r="M181" s="145">
        <f>L181/K181</f>
        <v>1</v>
      </c>
      <c r="R181" s="143" t="s">
        <v>695</v>
      </c>
      <c r="S181" s="147">
        <f>S164*COS(S162)</f>
        <v>0</v>
      </c>
      <c r="T181" s="147">
        <f>T164*COS(T162)</f>
        <v>0</v>
      </c>
      <c r="U181" s="147">
        <f>U164*COS(U162)</f>
        <v>0</v>
      </c>
      <c r="V181" s="147">
        <f>V164*COS(V162)</f>
        <v>0</v>
      </c>
      <c r="W181" s="147">
        <f>SUM(S181:V181)</f>
        <v>0</v>
      </c>
      <c r="X181" s="138"/>
      <c r="AF181" s="163"/>
      <c r="AG181" s="139" t="s">
        <v>1372</v>
      </c>
      <c r="AH181" s="138">
        <f>S209/1000000</f>
        <v>0</v>
      </c>
      <c r="AI181" s="138">
        <f>T209/1000000</f>
        <v>0</v>
      </c>
      <c r="AJ181" s="157">
        <f>U209/1000000</f>
        <v>0</v>
      </c>
      <c r="AK181" s="157">
        <f>V209/1000000</f>
        <v>0</v>
      </c>
      <c r="AL181" s="163"/>
      <c r="AM181" s="139" t="s">
        <v>665</v>
      </c>
      <c r="AN181" s="158">
        <f>AN178/(AN177*AN178-AN179^2)</f>
        <v>0.1394700139470014</v>
      </c>
      <c r="AO181" s="158">
        <f>AO178/(AO177*AO178-AO179^2)</f>
        <v>0.29126213592233002</v>
      </c>
      <c r="AP181" s="158">
        <f>AP178/(AP177*AP178-AP179^2)</f>
        <v>0.1394700139470014</v>
      </c>
      <c r="AQ181" s="158">
        <f>AQ178/(AQ177*AQ178-AQ179^2)</f>
        <v>0.29126213592233002</v>
      </c>
    </row>
    <row r="182" spans="1:45">
      <c r="A182" s="203" t="s">
        <v>847</v>
      </c>
      <c r="C182" s="143"/>
      <c r="D182" s="143"/>
      <c r="E182" s="143"/>
      <c r="F182" s="143"/>
      <c r="J182" s="138" t="s">
        <v>1510</v>
      </c>
      <c r="K182" s="140"/>
      <c r="L182" s="140"/>
      <c r="N182" s="138" t="s">
        <v>1375</v>
      </c>
      <c r="R182" s="139" t="s">
        <v>696</v>
      </c>
      <c r="S182" s="147">
        <f>S164*SIN(S162)</f>
        <v>0</v>
      </c>
      <c r="T182" s="147">
        <f>T164*SIN(T162)</f>
        <v>0</v>
      </c>
      <c r="U182" s="147">
        <f>U164*SIN(U162)</f>
        <v>0</v>
      </c>
      <c r="V182" s="147">
        <f>V164*SIN(V162)</f>
        <v>0</v>
      </c>
      <c r="W182" s="147">
        <f>SUM(S182:V182)</f>
        <v>0</v>
      </c>
      <c r="X182" s="138"/>
      <c r="AF182" s="163"/>
      <c r="AG182" s="163"/>
      <c r="AH182" s="163"/>
      <c r="AI182" s="163"/>
      <c r="AJ182" s="163"/>
      <c r="AK182" s="163"/>
      <c r="AL182" s="163"/>
      <c r="AM182" s="138" t="s">
        <v>666</v>
      </c>
      <c r="AN182" s="141">
        <f>-AN179/(AN177*AN178-AN179^2)</f>
        <v>0</v>
      </c>
      <c r="AO182" s="141">
        <f>-AO179/(AO177*AO178-AO179^2)</f>
        <v>-9.2983941852687333E-18</v>
      </c>
      <c r="AP182" s="141">
        <f>-AP179/(AP177*AP178-AP179^2)</f>
        <v>0</v>
      </c>
      <c r="AQ182" s="141">
        <f>-AQ179/(AQ177*AQ178-AQ179^2)</f>
        <v>-9.2983941852687333E-18</v>
      </c>
    </row>
    <row r="183" spans="1:45">
      <c r="A183" s="204" t="s">
        <v>1582</v>
      </c>
      <c r="B183" s="138">
        <v>181</v>
      </c>
      <c r="C183" s="138">
        <v>10.3</v>
      </c>
      <c r="D183" s="138">
        <v>0.28000000000000003</v>
      </c>
      <c r="E183" s="138">
        <v>7.17</v>
      </c>
      <c r="F183" s="138">
        <v>3.4</v>
      </c>
      <c r="G183" s="138">
        <v>122</v>
      </c>
      <c r="H183" s="205">
        <v>160</v>
      </c>
      <c r="J183" s="139" t="s">
        <v>1380</v>
      </c>
      <c r="K183" s="140">
        <f>(3*K178+3*K179+2*K180+4*K181)/8</f>
        <v>76.368217701426829</v>
      </c>
      <c r="L183" s="140">
        <f>(3*L178+3*L179+2*L180+4*L181)/8</f>
        <v>76.368217701426843</v>
      </c>
      <c r="M183" s="145">
        <f>L183/K183</f>
        <v>1.0000000000000002</v>
      </c>
      <c r="N183" s="139" t="s">
        <v>1381</v>
      </c>
      <c r="O183" s="140">
        <f>1/O173/O174*1000000</f>
        <v>0.44444444444444442</v>
      </c>
      <c r="P183" s="140">
        <f>1/P173/P174*1000000</f>
        <v>0.44444444444444442</v>
      </c>
      <c r="Q183" s="140">
        <f>P183/O183</f>
        <v>1</v>
      </c>
      <c r="R183" s="139"/>
      <c r="S183" s="138" t="s">
        <v>698</v>
      </c>
      <c r="T183" s="137"/>
      <c r="U183" s="143" t="s">
        <v>700</v>
      </c>
      <c r="V183" s="137"/>
      <c r="W183" s="137" t="s">
        <v>702</v>
      </c>
      <c r="X183" s="138"/>
      <c r="Y183" s="137" t="s">
        <v>704</v>
      </c>
      <c r="Z183" s="137" t="s">
        <v>705</v>
      </c>
      <c r="AA183" s="138" t="s">
        <v>706</v>
      </c>
      <c r="AB183" s="139"/>
      <c r="AC183" s="139"/>
      <c r="AF183" s="138"/>
      <c r="AG183" s="159" t="s">
        <v>1383</v>
      </c>
      <c r="AH183" s="166">
        <f>P189*AH179^2+2*P191*AH179*AH180+P190*AH180^2+P192*AH181^2</f>
        <v>4.0749146542514705E-3</v>
      </c>
      <c r="AI183" s="163">
        <f>P189*AI179^2+2*P191*AI179*AI180+P190*AI180^2+P192*AI181^2</f>
        <v>4.0749146542514731E-3</v>
      </c>
      <c r="AJ183" s="163">
        <f>P189*AJ179^2+2*P191*AJ179*AJ180+P190*AJ180^2+P192*AJ181^2</f>
        <v>4.0749146542514705E-3</v>
      </c>
      <c r="AK183" s="163">
        <f>P189*AK179^2+2*P191*AK179*AK180+P190*AK180^2+P192*AK181^2</f>
        <v>4.0749146542514731E-3</v>
      </c>
      <c r="AL183" s="163"/>
      <c r="AM183" s="138" t="s">
        <v>637</v>
      </c>
      <c r="AN183" s="141"/>
      <c r="AO183" s="141"/>
      <c r="AR183" s="141"/>
      <c r="AS183" s="141"/>
    </row>
    <row r="184" spans="1:45">
      <c r="A184" s="206">
        <v>1500</v>
      </c>
      <c r="B184" s="138">
        <v>1500</v>
      </c>
      <c r="C184" s="138">
        <v>40</v>
      </c>
      <c r="D184" s="138">
        <v>246</v>
      </c>
      <c r="E184" s="138">
        <v>68</v>
      </c>
      <c r="F184" s="138">
        <v>1.2</v>
      </c>
      <c r="G184" s="138">
        <v>22</v>
      </c>
      <c r="H184" s="205">
        <v>5.0000000000000001E-3</v>
      </c>
      <c r="J184" s="139" t="s">
        <v>1384</v>
      </c>
      <c r="K184" s="140">
        <f>(K178-K179)/2</f>
        <v>85.732490057298719</v>
      </c>
      <c r="L184" s="140">
        <f>(L178-L179)/2</f>
        <v>85.732490057298733</v>
      </c>
      <c r="M184" s="145">
        <f>L184/K184</f>
        <v>1.0000000000000002</v>
      </c>
      <c r="N184" s="139" t="s">
        <v>1385</v>
      </c>
      <c r="O184" s="140">
        <f>1/O175/O176*1000000</f>
        <v>101.6260162601626</v>
      </c>
      <c r="P184" s="140">
        <f>1/P175/P176*1000000</f>
        <v>101.6260162601626</v>
      </c>
      <c r="Q184" s="140">
        <f>P184/O184</f>
        <v>1</v>
      </c>
      <c r="R184" s="139">
        <v>1</v>
      </c>
      <c r="S184" s="138">
        <f>(S188*W164+S189*W181)</f>
        <v>0</v>
      </c>
      <c r="T184" s="138"/>
      <c r="U184" s="138">
        <f>(T188*W164+T189*W181)</f>
        <v>0</v>
      </c>
      <c r="V184" s="147"/>
      <c r="W184" s="138">
        <f>S184*P163+U184*P159</f>
        <v>0</v>
      </c>
      <c r="X184" s="147"/>
      <c r="Y184" s="138">
        <f t="shared" ref="Y184:AA186" si="47">Y132</f>
        <v>11.259999999999984</v>
      </c>
      <c r="Z184" s="138">
        <f t="shared" si="47"/>
        <v>0.29999999999999954</v>
      </c>
      <c r="AA184" s="138">
        <f t="shared" si="47"/>
        <v>373.99999999999937</v>
      </c>
      <c r="AB184" s="147"/>
      <c r="AC184" s="147"/>
      <c r="AF184" s="138"/>
      <c r="AG184" s="159" t="s">
        <v>1387</v>
      </c>
      <c r="AH184" s="166">
        <f>P193*AH179+P194*AH180</f>
        <v>-5.8636980773925068E-2</v>
      </c>
      <c r="AI184" s="163">
        <f>P193*AI179+P194*AI180</f>
        <v>-5.8636980773925054E-2</v>
      </c>
      <c r="AJ184" s="163">
        <f>P193*AJ179+P194*AJ180</f>
        <v>-5.8636980773925068E-2</v>
      </c>
      <c r="AK184" s="163">
        <f>P193*AK179+P194*AK180</f>
        <v>-5.8636980773925054E-2</v>
      </c>
      <c r="AL184" s="163"/>
      <c r="AM184" s="137"/>
      <c r="AN184" s="141"/>
      <c r="AO184" s="141"/>
      <c r="AR184" s="141"/>
      <c r="AS184" s="143"/>
    </row>
    <row r="185" spans="1:45">
      <c r="A185" s="206">
        <v>-0.5</v>
      </c>
      <c r="B185" s="138">
        <v>125</v>
      </c>
      <c r="C185" s="138">
        <v>0.7</v>
      </c>
      <c r="D185" s="138">
        <v>1.6</v>
      </c>
      <c r="E185" s="138">
        <v>0.51600000000000001</v>
      </c>
      <c r="F185" s="138">
        <v>0.5</v>
      </c>
      <c r="G185" s="138">
        <v>0.2</v>
      </c>
      <c r="H185" s="205">
        <v>0.9</v>
      </c>
      <c r="J185" s="139" t="s">
        <v>1388</v>
      </c>
      <c r="K185" s="140">
        <f>(K178+K179-2*K180-4*K181)/8</f>
        <v>19.710431085692363</v>
      </c>
      <c r="L185" s="140">
        <f>(L178+L179-2*L180-4*L181)/8</f>
        <v>19.710431085692367</v>
      </c>
      <c r="M185" s="145">
        <f>L185/K185</f>
        <v>1.0000000000000002</v>
      </c>
      <c r="N185" s="139" t="s">
        <v>1389</v>
      </c>
      <c r="O185" s="140">
        <f>O178*(O183*O184)^0.5</f>
        <v>-3.3603243272729659</v>
      </c>
      <c r="P185" s="140">
        <f>P178*(P183*P184)^0.5</f>
        <v>-3.3603243272729659</v>
      </c>
      <c r="Q185" s="140">
        <f>P185/O185</f>
        <v>1</v>
      </c>
      <c r="R185" s="139">
        <v>2</v>
      </c>
      <c r="S185" s="138">
        <f>(S188*W164-S189*W181)</f>
        <v>0</v>
      </c>
      <c r="T185" s="138"/>
      <c r="U185" s="138">
        <f>(T188*W164-T189*W181)</f>
        <v>0</v>
      </c>
      <c r="V185" s="147"/>
      <c r="W185" s="138">
        <f>S185*P163+U185*P159</f>
        <v>0</v>
      </c>
      <c r="X185" s="147"/>
      <c r="Y185" s="138">
        <f t="shared" si="47"/>
        <v>11.259999999999993</v>
      </c>
      <c r="Z185" s="138">
        <f t="shared" si="47"/>
        <v>0.29999999999999977</v>
      </c>
      <c r="AA185" s="138">
        <f t="shared" si="47"/>
        <v>373.99999999999966</v>
      </c>
      <c r="AB185" s="147"/>
      <c r="AC185" s="147"/>
      <c r="AF185" s="138"/>
      <c r="AG185" s="159" t="s">
        <v>1390</v>
      </c>
      <c r="AH185" s="166">
        <f>AH183+AH184</f>
        <v>-5.4562066119673597E-2</v>
      </c>
      <c r="AI185" s="163">
        <f>AI183+AI184</f>
        <v>-5.4562066119673583E-2</v>
      </c>
      <c r="AJ185" s="163">
        <f>AJ183+AJ184</f>
        <v>-5.4562066119673597E-2</v>
      </c>
      <c r="AK185" s="163">
        <f>AK183+AK184</f>
        <v>-5.4562066119673583E-2</v>
      </c>
      <c r="AL185" s="163"/>
      <c r="AM185" s="139" t="s">
        <v>243</v>
      </c>
      <c r="AN185" s="143" t="s">
        <v>1562</v>
      </c>
      <c r="AO185" s="143" t="s">
        <v>1563</v>
      </c>
      <c r="AP185" s="143" t="s">
        <v>1564</v>
      </c>
      <c r="AQ185" s="143" t="s">
        <v>1565</v>
      </c>
      <c r="AR185" s="143"/>
      <c r="AS185" s="143"/>
    </row>
    <row r="186" spans="1:45">
      <c r="A186" s="206">
        <v>0.02</v>
      </c>
      <c r="B186" s="138">
        <v>22.5</v>
      </c>
      <c r="C186" s="207">
        <v>0</v>
      </c>
      <c r="D186" s="138">
        <v>0.6</v>
      </c>
      <c r="E186" s="138">
        <v>0.316</v>
      </c>
      <c r="F186" s="138">
        <v>4.0000000000000001E-3</v>
      </c>
      <c r="G186" s="138">
        <v>4.0000000000000001E-3</v>
      </c>
      <c r="H186" s="205">
        <v>2000</v>
      </c>
      <c r="J186" s="139" t="s">
        <v>1391</v>
      </c>
      <c r="K186" s="140">
        <f>(K178+K179+6*K180-4*K181)/8</f>
        <v>22.607355530042096</v>
      </c>
      <c r="L186" s="140">
        <f>(L178+L179+6*L180-4*L181)/8</f>
        <v>22.607355530042099</v>
      </c>
      <c r="M186" s="145">
        <f>L186/K186</f>
        <v>1.0000000000000002</v>
      </c>
      <c r="N186" s="139" t="s">
        <v>1392</v>
      </c>
      <c r="O186" s="140">
        <f>1/O177^2*1000000</f>
        <v>216.26297577854672</v>
      </c>
      <c r="P186" s="140">
        <f>1/P177^2*1000000</f>
        <v>216.26297577854672</v>
      </c>
      <c r="Q186" s="140">
        <f>P186/O186</f>
        <v>1</v>
      </c>
      <c r="R186" s="139">
        <v>6</v>
      </c>
      <c r="S186" s="139">
        <f>S189*W182</f>
        <v>0</v>
      </c>
      <c r="T186" s="138"/>
      <c r="U186" s="139">
        <f>T189*W182</f>
        <v>0</v>
      </c>
      <c r="V186" s="147"/>
      <c r="W186" s="138">
        <f>S186*P163+U186*P159</f>
        <v>0</v>
      </c>
      <c r="X186" s="147"/>
      <c r="Y186" s="138">
        <f t="shared" si="47"/>
        <v>-22.479999999999976</v>
      </c>
      <c r="Z186" s="138">
        <f t="shared" si="47"/>
        <v>-0.5999999999999992</v>
      </c>
      <c r="AA186" s="138">
        <f t="shared" si="47"/>
        <v>-397.02012514617672</v>
      </c>
      <c r="AB186" s="147"/>
      <c r="AC186" s="147"/>
      <c r="AF186" s="138"/>
      <c r="AG186" s="159" t="s">
        <v>1395</v>
      </c>
      <c r="AH186" s="166">
        <f>-1+AH185</f>
        <v>-1.0545620661196735</v>
      </c>
      <c r="AI186" s="163">
        <f>-1+AI185</f>
        <v>-1.0545620661196735</v>
      </c>
      <c r="AJ186" s="163">
        <f>-1+AJ185</f>
        <v>-1.0545620661196735</v>
      </c>
      <c r="AK186" s="163">
        <f>-1+AK185</f>
        <v>-1.0545620661196735</v>
      </c>
      <c r="AL186" s="163"/>
      <c r="AM186" s="139" t="s">
        <v>537</v>
      </c>
      <c r="AN186" s="154">
        <f t="shared" ref="AN186:AQ187" si="48">S680</f>
        <v>0</v>
      </c>
      <c r="AO186" s="154">
        <f t="shared" si="48"/>
        <v>90</v>
      </c>
      <c r="AP186" s="154">
        <f t="shared" si="48"/>
        <v>0</v>
      </c>
      <c r="AQ186" s="154">
        <f t="shared" si="48"/>
        <v>90</v>
      </c>
      <c r="AR186" s="143" t="s">
        <v>538</v>
      </c>
      <c r="AS186" s="143" t="s">
        <v>652</v>
      </c>
    </row>
    <row r="187" spans="1:45">
      <c r="A187" s="208">
        <v>0.15</v>
      </c>
      <c r="B187" s="209">
        <v>0.01</v>
      </c>
      <c r="C187" s="209">
        <v>1</v>
      </c>
      <c r="D187" s="209">
        <v>1</v>
      </c>
      <c r="E187" s="209">
        <v>0.1</v>
      </c>
      <c r="F187" s="209">
        <v>0.5</v>
      </c>
      <c r="G187" s="209"/>
      <c r="H187" s="210"/>
      <c r="J187" s="139" t="s">
        <v>1396</v>
      </c>
      <c r="K187" s="140">
        <f>(K183-K186)/2</f>
        <v>26.880431085692365</v>
      </c>
      <c r="L187" s="140">
        <f>(L183-L186)/2</f>
        <v>26.880431085692372</v>
      </c>
      <c r="M187" s="145">
        <f>L187/K187</f>
        <v>1.0000000000000002</v>
      </c>
      <c r="N187" s="139" t="s">
        <v>1397</v>
      </c>
      <c r="O187" s="140">
        <f>(1/O173-1/O174)*1000</f>
        <v>0</v>
      </c>
      <c r="P187" s="140">
        <f>(1/P173-1/P174)*1000</f>
        <v>0</v>
      </c>
      <c r="Q187" s="140">
        <f>IF(O187=0,1,P187/O187)</f>
        <v>1</v>
      </c>
      <c r="R187" s="143"/>
      <c r="S187" s="143" t="s">
        <v>709</v>
      </c>
      <c r="T187" s="143" t="s">
        <v>710</v>
      </c>
      <c r="U187" s="143"/>
      <c r="V187" s="141"/>
      <c r="W187" s="138"/>
      <c r="X187" s="139" t="s">
        <v>711</v>
      </c>
      <c r="Y187" s="138">
        <f>(Y184+Y185)/2</f>
        <v>11.259999999999987</v>
      </c>
      <c r="Z187" s="138">
        <f>(Z184+Z185)/2</f>
        <v>0.29999999999999966</v>
      </c>
      <c r="AA187" s="138">
        <f>(AA184+AA185)/2</f>
        <v>373.99999999999955</v>
      </c>
      <c r="AF187" s="138"/>
      <c r="AG187" s="159" t="s">
        <v>1399</v>
      </c>
      <c r="AH187" s="166">
        <f>2*(P189*AH163*AH179+P190*AH164*AH180+P191*(AH163*AH180+AH179*AH164)+P192*AH165*AH181)</f>
        <v>0</v>
      </c>
      <c r="AI187" s="163">
        <f>2*(P189*AI163*AI179+P190*AI164*AI180+P191*(AI163*AI180+AI179*AI164)+P192*AI165*AI181)</f>
        <v>0</v>
      </c>
      <c r="AJ187" s="163">
        <f>2*(P189*AJ163*AJ179+P190*AJ164*AJ180+P191*(AJ163*AJ180+AJ179*AJ164)+P192*AJ165*AJ181)</f>
        <v>0</v>
      </c>
      <c r="AK187" s="163">
        <f>2*(P189*AK163*AK179+P190*AK164*AK180+P191*(AK163*AK180+AK179*AK164)+P192*AK165*AK181)</f>
        <v>0</v>
      </c>
      <c r="AL187" s="163"/>
      <c r="AM187" s="139" t="s">
        <v>541</v>
      </c>
      <c r="AN187" s="154">
        <f t="shared" si="48"/>
        <v>0</v>
      </c>
      <c r="AO187" s="154">
        <f t="shared" si="48"/>
        <v>0</v>
      </c>
      <c r="AP187" s="154">
        <f t="shared" si="48"/>
        <v>0</v>
      </c>
      <c r="AQ187" s="154">
        <f t="shared" si="48"/>
        <v>0</v>
      </c>
      <c r="AR187" s="156">
        <f>W681</f>
        <v>1</v>
      </c>
      <c r="AS187" s="146">
        <f>SUM(AN187:AQ187)</f>
        <v>0</v>
      </c>
    </row>
    <row r="188" spans="1:45">
      <c r="A188" s="204" t="s">
        <v>1582</v>
      </c>
      <c r="B188" s="138">
        <v>181</v>
      </c>
      <c r="C188" s="138">
        <v>10.3</v>
      </c>
      <c r="D188" s="138">
        <v>0.28000000000000003</v>
      </c>
      <c r="E188" s="138">
        <v>7.17</v>
      </c>
      <c r="F188" s="138">
        <v>3.4</v>
      </c>
      <c r="G188" s="138">
        <v>122</v>
      </c>
      <c r="H188" s="205">
        <v>160</v>
      </c>
      <c r="J188" s="138" t="s">
        <v>1400</v>
      </c>
      <c r="N188" s="139" t="s">
        <v>1401</v>
      </c>
      <c r="O188" s="140">
        <f>(1/O175-1/O176)*1000</f>
        <v>20.934959349593495</v>
      </c>
      <c r="P188" s="140">
        <f>(1/P175-1/P176)*1000</f>
        <v>20.934959349593495</v>
      </c>
      <c r="Q188" s="140">
        <f t="shared" ref="Q188:Q194" si="49">P188/O188</f>
        <v>1</v>
      </c>
      <c r="R188" s="167" t="s">
        <v>711</v>
      </c>
      <c r="S188" s="138">
        <f>((K178+K180)*P166+(L180+L179)*P167)/2/1000000</f>
        <v>1.5083176634230242E-4</v>
      </c>
      <c r="T188" s="138">
        <f>((L178+L180)*P169+(L180+L179)*P170)/2</f>
        <v>3.9729249522510592</v>
      </c>
      <c r="U188" s="143"/>
      <c r="V188" s="141"/>
      <c r="W188" s="138"/>
      <c r="X188" s="143" t="s">
        <v>712</v>
      </c>
      <c r="Y188" s="164">
        <f>(Y184-Y185)/2</f>
        <v>-4.4408920985006262E-15</v>
      </c>
      <c r="Z188" s="164">
        <f>(Z184-Z185)/2</f>
        <v>-1.1102230246251565E-16</v>
      </c>
      <c r="AA188" s="164">
        <f>(AA184-AA185)/2</f>
        <v>-1.4210854715202004E-13</v>
      </c>
      <c r="AF188" s="138"/>
      <c r="AG188" s="159" t="s">
        <v>1403</v>
      </c>
      <c r="AH188" s="166">
        <f>AH187+AH171</f>
        <v>0</v>
      </c>
      <c r="AI188" s="163">
        <f>AI187+AI171</f>
        <v>0</v>
      </c>
      <c r="AJ188" s="163">
        <f>AJ187+AJ171</f>
        <v>0</v>
      </c>
      <c r="AK188" s="163">
        <f>AK187+AK171</f>
        <v>0</v>
      </c>
      <c r="AL188" s="163"/>
      <c r="AM188" s="138" t="s">
        <v>648</v>
      </c>
      <c r="AN188" s="158">
        <f>AN186*PI()/180</f>
        <v>0</v>
      </c>
      <c r="AO188" s="158">
        <f>AO186*PI()/180</f>
        <v>1.5707963267948966</v>
      </c>
      <c r="AP188" s="158">
        <f>AP186*PI()/180</f>
        <v>0</v>
      </c>
      <c r="AQ188" s="158">
        <f>AQ186*PI()/180</f>
        <v>1.5707963267948966</v>
      </c>
      <c r="AS188" s="159" t="s">
        <v>683</v>
      </c>
    </row>
    <row r="189" spans="1:45">
      <c r="A189" s="206">
        <v>1500</v>
      </c>
      <c r="B189" s="138">
        <v>1500</v>
      </c>
      <c r="C189" s="138">
        <v>40</v>
      </c>
      <c r="D189" s="138">
        <v>246</v>
      </c>
      <c r="E189" s="138">
        <v>68</v>
      </c>
      <c r="F189" s="138">
        <v>1.2</v>
      </c>
      <c r="G189" s="138">
        <v>22</v>
      </c>
      <c r="H189" s="205">
        <v>5.0000000000000001E-3</v>
      </c>
      <c r="J189" s="139" t="s">
        <v>1404</v>
      </c>
      <c r="K189" s="140">
        <f>(1-(K186/K183)^2)*K183</f>
        <v>69.675740916648124</v>
      </c>
      <c r="L189" s="140">
        <f>(1-(L186/L183)^2)*L183</f>
        <v>69.675740916648138</v>
      </c>
      <c r="M189" s="140">
        <f>L189/K189</f>
        <v>1.0000000000000002</v>
      </c>
      <c r="N189" s="139" t="s">
        <v>1405</v>
      </c>
      <c r="O189" s="144">
        <f>(O183*K178^2+2*O185*K178*K180+O184*K180^2)</f>
        <v>12004.38353147296</v>
      </c>
      <c r="P189" s="144">
        <f>(P183*L178^2+2*P185*L178*L180+P184*L180^2)</f>
        <v>12004.38353147296</v>
      </c>
      <c r="Q189" s="140">
        <f t="shared" si="49"/>
        <v>1</v>
      </c>
      <c r="R189" s="167" t="s">
        <v>712</v>
      </c>
      <c r="S189" s="138">
        <f>((L178-L180)*P166+(L180-L179)*P167)/2/1000000</f>
        <v>-8.2014743567545106E-5</v>
      </c>
      <c r="T189" s="138">
        <f>((L178-L180)*P169+(L180-L179)*P170)/2</f>
        <v>-2.234770285641221</v>
      </c>
      <c r="U189" s="143"/>
      <c r="V189" s="141"/>
      <c r="W189" s="138"/>
      <c r="X189" s="143" t="s">
        <v>714</v>
      </c>
      <c r="Y189" s="164">
        <f>Y186/2</f>
        <v>-11.239999999999988</v>
      </c>
      <c r="Z189" s="164">
        <f>Z186/2</f>
        <v>-0.2999999999999996</v>
      </c>
      <c r="AA189" s="164">
        <f>AA186/2</f>
        <v>-198.51006257308836</v>
      </c>
      <c r="AG189" s="159" t="s">
        <v>1412</v>
      </c>
      <c r="AH189" s="166" t="e">
        <f>AH188/2/AH170</f>
        <v>#DIV/0!</v>
      </c>
      <c r="AI189" s="163" t="e">
        <f>AI188/2/AI170</f>
        <v>#DIV/0!</v>
      </c>
      <c r="AJ189" s="163" t="e">
        <f>AJ188/2/AJ170</f>
        <v>#DIV/0!</v>
      </c>
      <c r="AK189" s="163" t="e">
        <f>AK188/2/AK170</f>
        <v>#DIV/0!</v>
      </c>
      <c r="AL189" s="163"/>
      <c r="AM189" s="139" t="s">
        <v>653</v>
      </c>
      <c r="AN189" s="158">
        <f>COS(AN186*PI()/180)</f>
        <v>1</v>
      </c>
      <c r="AO189" s="158">
        <f>COS(AO186*PI()/180)</f>
        <v>6.1257422745431001E-17</v>
      </c>
      <c r="AP189" s="158">
        <f>COS(AP186*PI()/180)</f>
        <v>1</v>
      </c>
      <c r="AQ189" s="158">
        <f>COS(AQ186*PI()/180)</f>
        <v>6.1257422745431001E-17</v>
      </c>
      <c r="AR189" s="143"/>
      <c r="AS189" s="162">
        <f>$L685/1000000/AT5*2/AT7</f>
        <v>0.05</v>
      </c>
    </row>
    <row r="190" spans="1:45">
      <c r="A190" s="206">
        <v>-0.5</v>
      </c>
      <c r="B190" s="138">
        <v>125</v>
      </c>
      <c r="C190" s="138">
        <v>0.7</v>
      </c>
      <c r="D190" s="138">
        <v>1.6</v>
      </c>
      <c r="E190" s="138">
        <v>0.51600000000000001</v>
      </c>
      <c r="F190" s="138">
        <v>0.5</v>
      </c>
      <c r="G190" s="138">
        <v>0.2</v>
      </c>
      <c r="H190" s="205">
        <v>0.9</v>
      </c>
      <c r="J190" s="139" t="s">
        <v>1414</v>
      </c>
      <c r="K190" s="140">
        <f>K186/K183</f>
        <v>0.29603094337527941</v>
      </c>
      <c r="L190" s="140">
        <f>L186/L183</f>
        <v>0.29603094337527941</v>
      </c>
      <c r="M190" s="140">
        <f>L190/K190</f>
        <v>1</v>
      </c>
      <c r="N190" s="139" t="s">
        <v>1415</v>
      </c>
      <c r="O190" s="144">
        <f>(O183*K180^2+2*O185*K180*K179+O184*K179^2)</f>
        <v>10680.652008265077</v>
      </c>
      <c r="P190" s="144">
        <f>(P183*L180^2+2*P185*L180*L179+P184*L179^2)</f>
        <v>10680.652008265077</v>
      </c>
      <c r="Q190" s="140">
        <f t="shared" si="49"/>
        <v>1</v>
      </c>
      <c r="R190" s="139" t="s">
        <v>715</v>
      </c>
      <c r="S190" s="138">
        <f>Y187+Y188*COS(S162)+Y189*SIN(S162)</f>
        <v>11.259999999999984</v>
      </c>
      <c r="T190" s="138">
        <f>Y187+Y188*COS(T162)+Y189*SIN(T162)</f>
        <v>11.259999999999989</v>
      </c>
      <c r="U190" s="138">
        <f>Y187+Y188*COS(U162)+Y189*SIN(U162)</f>
        <v>11.259999999999984</v>
      </c>
      <c r="V190" s="138">
        <f>Y187+Y188*COS(V162)+Y189*SIN(V162)</f>
        <v>11.259999999999989</v>
      </c>
      <c r="W190" s="138"/>
      <c r="Y190" s="164"/>
      <c r="AC190" s="140"/>
      <c r="AG190" s="159"/>
      <c r="AH190" s="147"/>
      <c r="AI190" s="163"/>
      <c r="AJ190" s="163"/>
      <c r="AK190" s="163"/>
      <c r="AL190" s="163"/>
      <c r="AM190" s="139" t="s">
        <v>654</v>
      </c>
      <c r="AN190" s="158">
        <f>SIN(AN186*PI()/180)</f>
        <v>0</v>
      </c>
      <c r="AO190" s="158">
        <f>SIN(AO186*PI()/180)</f>
        <v>1</v>
      </c>
      <c r="AP190" s="158">
        <f>SIN(AP186*PI()/180)</f>
        <v>0</v>
      </c>
      <c r="AQ190" s="158">
        <f>SIN(AQ186*PI()/180)</f>
        <v>1</v>
      </c>
      <c r="AS190" s="160" t="s">
        <v>655</v>
      </c>
    </row>
    <row r="191" spans="1:45">
      <c r="A191" s="206">
        <v>0.02</v>
      </c>
      <c r="B191" s="138">
        <v>22.5</v>
      </c>
      <c r="C191" s="207">
        <v>0</v>
      </c>
      <c r="D191" s="138">
        <v>0.6</v>
      </c>
      <c r="E191" s="138">
        <v>0.316</v>
      </c>
      <c r="F191" s="138">
        <v>4.0000000000000001E-3</v>
      </c>
      <c r="G191" s="138">
        <v>4.0000000000000001E-3</v>
      </c>
      <c r="H191" s="205">
        <v>2000</v>
      </c>
      <c r="J191" s="139" t="s">
        <v>716</v>
      </c>
      <c r="K191" s="138">
        <f>(1-L163^2*L162/L161)*L162/(1-L163^2*L162/L161-L176^2-L163^2*L162/L161-2*L163^2*L162/L161*L176)</f>
        <v>13.920484365408951</v>
      </c>
      <c r="N191" s="139" t="s">
        <v>1416</v>
      </c>
      <c r="O191" s="144">
        <f>(O183*K178*K180+O185*(K178*K179+K180^2)+O184*K180*K179)</f>
        <v>-3069.103206291968</v>
      </c>
      <c r="P191" s="144">
        <f>(P183*L178*L180+P185*(L178*L179+L180^2)+P184*L180*L179)</f>
        <v>-3069.1032062919689</v>
      </c>
      <c r="Q191" s="140">
        <f t="shared" si="49"/>
        <v>1.0000000000000002</v>
      </c>
      <c r="R191" s="139" t="s">
        <v>717</v>
      </c>
      <c r="S191" s="138">
        <f>2*Y187-S190</f>
        <v>11.259999999999991</v>
      </c>
      <c r="T191" s="138">
        <f>2*Y187-T190</f>
        <v>11.259999999999986</v>
      </c>
      <c r="U191" s="138">
        <f>2*Y187-U190</f>
        <v>11.259999999999991</v>
      </c>
      <c r="V191" s="138">
        <f>2*Y187-V190</f>
        <v>11.259999999999986</v>
      </c>
      <c r="W191" s="138"/>
      <c r="Y191" s="164"/>
      <c r="AC191" s="140"/>
      <c r="AG191" s="159"/>
      <c r="AH191" s="147"/>
      <c r="AI191" s="163"/>
      <c r="AJ191" s="163"/>
      <c r="AK191" s="163"/>
      <c r="AL191" s="163"/>
      <c r="AM191" s="139" t="s">
        <v>690</v>
      </c>
      <c r="AN191" s="158">
        <f>S720</f>
        <v>7.17</v>
      </c>
      <c r="AO191" s="158">
        <f>T720</f>
        <v>3.433333333333334</v>
      </c>
      <c r="AP191" s="158">
        <f>U720</f>
        <v>7.17</v>
      </c>
      <c r="AQ191" s="158">
        <f>V720</f>
        <v>3.433333333333334</v>
      </c>
      <c r="AR191" s="147"/>
      <c r="AS191" s="138">
        <f>AS187*AS189*AR187</f>
        <v>0</v>
      </c>
    </row>
    <row r="192" spans="1:45">
      <c r="A192" s="208">
        <v>0.15</v>
      </c>
      <c r="B192" s="209">
        <v>0.01</v>
      </c>
      <c r="C192" s="209">
        <v>1</v>
      </c>
      <c r="D192" s="209">
        <v>1</v>
      </c>
      <c r="E192" s="209">
        <v>0.1</v>
      </c>
      <c r="F192" s="209">
        <v>0.5</v>
      </c>
      <c r="G192" s="209"/>
      <c r="H192" s="210"/>
      <c r="J192" s="139" t="s">
        <v>1193</v>
      </c>
      <c r="K192" s="140">
        <f>D130</f>
        <v>1.6</v>
      </c>
      <c r="L192" s="140">
        <f>L193*(1-L167)+L194*L167</f>
        <v>1.6</v>
      </c>
      <c r="M192" s="140">
        <f>L192/K192</f>
        <v>1</v>
      </c>
      <c r="N192" s="139" t="s">
        <v>1418</v>
      </c>
      <c r="O192" s="144">
        <f>O186*K181^2</f>
        <v>11117.841695501729</v>
      </c>
      <c r="P192" s="144">
        <f>P186*L181^2</f>
        <v>11117.841695501729</v>
      </c>
      <c r="Q192" s="140">
        <f t="shared" si="49"/>
        <v>1</v>
      </c>
      <c r="R192" s="139" t="s">
        <v>124</v>
      </c>
      <c r="S192" s="138">
        <f>Z187+Z188*COS(S162)+Z189*SIN(S162)</f>
        <v>0.29999999999999954</v>
      </c>
      <c r="T192" s="138">
        <f>Z187+Z188*COS(T162)+Z189*SIN(T162)</f>
        <v>0.29999999999999971</v>
      </c>
      <c r="U192" s="138">
        <f>Z187+Z188*COS(U162)+Z189*SIN(U162)</f>
        <v>0.29999999999999954</v>
      </c>
      <c r="V192" s="138">
        <f>Z187+Z188*COS(V162)+Z189*SIN(V162)</f>
        <v>0.29999999999999971</v>
      </c>
      <c r="W192" s="138"/>
      <c r="Y192" s="164"/>
      <c r="AC192" s="140"/>
      <c r="AG192" s="159"/>
      <c r="AH192" s="147"/>
      <c r="AI192" s="163"/>
      <c r="AJ192" s="163"/>
      <c r="AK192" s="163"/>
      <c r="AL192" s="159" t="s">
        <v>1421</v>
      </c>
      <c r="AM192" s="139" t="s">
        <v>692</v>
      </c>
      <c r="AN192" s="158">
        <f>S719</f>
        <v>3.433333333333334</v>
      </c>
      <c r="AO192" s="158">
        <f>T719</f>
        <v>7.17</v>
      </c>
      <c r="AP192" s="158">
        <f>U719</f>
        <v>3.433333333333334</v>
      </c>
      <c r="AQ192" s="158">
        <f>V719</f>
        <v>7.17</v>
      </c>
    </row>
    <row r="193" spans="1:45">
      <c r="J193" s="139" t="s">
        <v>274</v>
      </c>
      <c r="K193" s="140">
        <f>F129</f>
        <v>1.2</v>
      </c>
      <c r="L193" s="140">
        <f>K193</f>
        <v>1.2</v>
      </c>
      <c r="M193" s="140">
        <f>L193/K193</f>
        <v>1</v>
      </c>
      <c r="N193" s="139" t="s">
        <v>1422</v>
      </c>
      <c r="O193" s="144">
        <f>(O187*K178+O188*K180)</f>
        <v>60.646995481305353</v>
      </c>
      <c r="P193" s="144">
        <f>(P187*L178+P188*L180)</f>
        <v>60.646995481305353</v>
      </c>
      <c r="Q193" s="140">
        <f t="shared" si="49"/>
        <v>1</v>
      </c>
      <c r="R193" s="167" t="s">
        <v>125</v>
      </c>
      <c r="S193" s="138">
        <f>2*Z187-S192</f>
        <v>0.29999999999999977</v>
      </c>
      <c r="T193" s="138">
        <f>2*Z187-T192</f>
        <v>0.2999999999999996</v>
      </c>
      <c r="U193" s="138">
        <f>2*Z187-U192</f>
        <v>0.29999999999999977</v>
      </c>
      <c r="V193" s="138">
        <f>2*Z187-V192</f>
        <v>0.2999999999999996</v>
      </c>
      <c r="W193" s="138"/>
      <c r="Y193" s="164"/>
      <c r="Z193" s="164"/>
      <c r="AA193" s="147"/>
      <c r="AB193" s="147"/>
      <c r="AC193" s="147"/>
      <c r="AD193" s="147"/>
      <c r="AG193" s="139" t="s">
        <v>1424</v>
      </c>
      <c r="AH193" s="147" t="e">
        <f>(AH189^2-AH186/AH170)^0.5-AH189</f>
        <v>#DIV/0!</v>
      </c>
      <c r="AI193" s="147" t="e">
        <f>(AI189^2-AI186/AI170)^0.5-AI189</f>
        <v>#DIV/0!</v>
      </c>
      <c r="AJ193" s="147" t="e">
        <f>(AJ189^2-AJ186/AJ170)^0.5-AJ189</f>
        <v>#DIV/0!</v>
      </c>
      <c r="AK193" s="147" t="e">
        <f>(AK189^2-AK186/AK170)^0.5-AK189</f>
        <v>#DIV/0!</v>
      </c>
      <c r="AL193" s="147">
        <f>MIN(AH194:AK194)</f>
        <v>1000000000</v>
      </c>
      <c r="AM193" s="139" t="s">
        <v>660</v>
      </c>
      <c r="AN193" s="158">
        <f>S725</f>
        <v>0</v>
      </c>
      <c r="AO193" s="158">
        <f>T725</f>
        <v>2.2889856965876046E-16</v>
      </c>
      <c r="AP193" s="158">
        <f>U725</f>
        <v>0</v>
      </c>
      <c r="AQ193" s="158">
        <f>V725</f>
        <v>2.2889856965876046E-16</v>
      </c>
    </row>
    <row r="194" spans="1:45">
      <c r="A194" s="203" t="s">
        <v>848</v>
      </c>
      <c r="J194" s="139" t="s">
        <v>1195</v>
      </c>
      <c r="K194" s="140">
        <f>(K192-K193*(1-K167))/K167</f>
        <v>1.7714285714285716</v>
      </c>
      <c r="L194" s="140">
        <f>K194</f>
        <v>1.7714285714285716</v>
      </c>
      <c r="M194" s="140">
        <f>L194/K194</f>
        <v>1</v>
      </c>
      <c r="N194" s="139" t="s">
        <v>1426</v>
      </c>
      <c r="O194" s="144">
        <f>(O187*K180+O188*K179)</f>
        <v>216.59641243323335</v>
      </c>
      <c r="P194" s="144">
        <f>(P187*L180+P188*L179)</f>
        <v>216.59641243323335</v>
      </c>
      <c r="Q194" s="140">
        <f t="shared" si="49"/>
        <v>1</v>
      </c>
      <c r="R194" s="139" t="s">
        <v>126</v>
      </c>
      <c r="S194" s="138">
        <f>AA187+AA188*COS(S162)+AA189*SIN(S162)</f>
        <v>373.99999999999943</v>
      </c>
      <c r="T194" s="138">
        <f>AA187+AA188*COS(T162)+AA189*SIN(T162)</f>
        <v>373.99999999999966</v>
      </c>
      <c r="U194" s="138">
        <f>AA187+AA188*COS(U162)+AA189*SIN(U162)</f>
        <v>373.99999999999943</v>
      </c>
      <c r="V194" s="138">
        <f>AA187+AA188*COS(V162)+AA189*SIN(V162)</f>
        <v>373.99999999999966</v>
      </c>
      <c r="W194" s="138"/>
      <c r="Y194" s="164"/>
      <c r="Z194" s="164"/>
      <c r="AA194" s="147"/>
      <c r="AB194" s="147"/>
      <c r="AC194" s="147"/>
      <c r="AD194" s="147"/>
      <c r="AG194" s="139" t="s">
        <v>194</v>
      </c>
      <c r="AH194" s="147">
        <f>IF(AH159=0,1000000000,AH193)</f>
        <v>1000000000</v>
      </c>
      <c r="AI194" s="147">
        <f>IF(AI159=0,1000000000,AI193)</f>
        <v>1000000000</v>
      </c>
      <c r="AJ194" s="147">
        <f>IF(AJ159=0,1000000000,AJ193)</f>
        <v>1000000000</v>
      </c>
      <c r="AK194" s="147">
        <f>IF(AK159=0,1000000000,AK193)</f>
        <v>1000000000</v>
      </c>
      <c r="AM194" s="139" t="s">
        <v>662</v>
      </c>
      <c r="AN194" s="158">
        <f>AN191/(AN191*AN192-AN193^2)</f>
        <v>0.29126213592233002</v>
      </c>
      <c r="AO194" s="158">
        <f>AO191/(AO191*AO192-AO193^2)</f>
        <v>0.1394700139470014</v>
      </c>
      <c r="AP194" s="158">
        <f>AP191/(AP191*AP192-AP193^2)</f>
        <v>0.29126213592233002</v>
      </c>
      <c r="AQ194" s="158">
        <f>AQ191/(AQ191*AQ192-AQ193^2)</f>
        <v>0.1394700139470014</v>
      </c>
    </row>
    <row r="195" spans="1:45">
      <c r="A195" s="204" t="s">
        <v>1582</v>
      </c>
      <c r="B195" s="138">
        <v>181</v>
      </c>
      <c r="C195" s="138">
        <v>10.3</v>
      </c>
      <c r="D195" s="138">
        <v>0.28000000000000003</v>
      </c>
      <c r="E195" s="138">
        <v>7.17</v>
      </c>
      <c r="F195" s="138">
        <v>3.4</v>
      </c>
      <c r="G195" s="138">
        <v>122</v>
      </c>
      <c r="H195" s="205">
        <v>160</v>
      </c>
      <c r="L195" s="138" t="s">
        <v>234</v>
      </c>
      <c r="R195" s="139" t="s">
        <v>127</v>
      </c>
      <c r="S195" s="138">
        <f>2*AA187-S194</f>
        <v>373.99999999999966</v>
      </c>
      <c r="T195" s="138">
        <f>2*AA187-T194</f>
        <v>373.99999999999943</v>
      </c>
      <c r="U195" s="138">
        <f>2*AA187-U194</f>
        <v>373.99999999999966</v>
      </c>
      <c r="V195" s="138">
        <f>2*AA187-V194</f>
        <v>373.99999999999943</v>
      </c>
      <c r="W195" s="138"/>
      <c r="Y195" s="164"/>
      <c r="Z195" s="164" t="s">
        <v>129</v>
      </c>
      <c r="AA195" s="147"/>
      <c r="AB195" s="147"/>
      <c r="AC195" s="147"/>
      <c r="AD195" s="147"/>
      <c r="AG195" s="139" t="s">
        <v>194</v>
      </c>
      <c r="AH195" s="147">
        <f>IF(AH159=0,0,AH193)</f>
        <v>0</v>
      </c>
      <c r="AI195" s="147">
        <f>IF(AI159=0,0,AI193)</f>
        <v>0</v>
      </c>
      <c r="AJ195" s="147">
        <f>IF(AJ159=0,0,AJ193)</f>
        <v>0</v>
      </c>
      <c r="AK195" s="147">
        <f>IF(AK159=0,0,AK193)</f>
        <v>0</v>
      </c>
      <c r="AM195" s="139" t="s">
        <v>665</v>
      </c>
      <c r="AN195" s="158">
        <f>AN192/(AN191*AN192-AN193^2)</f>
        <v>0.1394700139470014</v>
      </c>
      <c r="AO195" s="158">
        <f>AO192/(AO191*AO192-AO193^2)</f>
        <v>0.29126213592233002</v>
      </c>
      <c r="AP195" s="158">
        <f>AP192/(AP191*AP192-AP193^2)</f>
        <v>0.1394700139470014</v>
      </c>
      <c r="AQ195" s="158">
        <f>AQ192/(AQ191*AQ192-AQ193^2)</f>
        <v>0.29126213592233002</v>
      </c>
    </row>
    <row r="196" spans="1:45">
      <c r="A196" s="206">
        <v>1500</v>
      </c>
      <c r="B196" s="138">
        <v>1500</v>
      </c>
      <c r="C196" s="138">
        <v>40</v>
      </c>
      <c r="D196" s="138">
        <v>246</v>
      </c>
      <c r="E196" s="138">
        <v>68</v>
      </c>
      <c r="F196" s="138">
        <v>1.2</v>
      </c>
      <c r="G196" s="138">
        <v>22</v>
      </c>
      <c r="H196" s="205">
        <v>5.0000000000000001E-3</v>
      </c>
      <c r="J196" s="139" t="s">
        <v>134</v>
      </c>
      <c r="K196" s="138">
        <f>(1-L176^2)*O197*L161</f>
        <v>184.28877056365894</v>
      </c>
      <c r="L196" s="139" t="s">
        <v>135</v>
      </c>
      <c r="M196" s="138">
        <f>L163*(1+L176)*O197*L162</f>
        <v>5.8728045779623468</v>
      </c>
      <c r="R196" s="139" t="s">
        <v>136</v>
      </c>
      <c r="S196" s="138">
        <f>4*COS(S162/2)^2*SIN(S162/2)^2*$K201+COS(S162/2)^4*$K196+SIN(S162/2)^4*$K197+2*COS(S162/2)^2*SIN(S162/2)^2*$M196</f>
        <v>184.28877056365894</v>
      </c>
      <c r="T196" s="138">
        <f>4*COS(T162/2)^2*SIN(T162/2)^2*$K201+COS(T162/2)^4*$K196+SIN(T162/2)^4*$K197+2*COS(T162/2)^2*SIN(T162/2)^2*$M196</f>
        <v>13.920484365408953</v>
      </c>
      <c r="U196" s="138">
        <f>4*COS(U162/2)^2*SIN(U162/2)^2*$K201+COS(U162/2)^4*$K196+SIN(U162/2)^4*$K197+2*COS(U162/2)^2*SIN(U162/2)^2*$M196</f>
        <v>184.28877056365894</v>
      </c>
      <c r="V196" s="138">
        <f>4*COS(V162/2)^2*SIN(V162/2)^2*$K201+COS(V162/2)^4*$K196+SIN(V162/2)^4*$K197+2*COS(V162/2)^2*SIN(V162/2)^2*$M196</f>
        <v>13.920484365408953</v>
      </c>
      <c r="W196" s="138" t="s">
        <v>137</v>
      </c>
      <c r="X196" s="147">
        <f>S164/S198+T164/T198+U164/U198+V164/V198</f>
        <v>0</v>
      </c>
      <c r="Y196" s="147">
        <f>S164*S196+T164*T196+U164*U196+V164*V196</f>
        <v>0</v>
      </c>
      <c r="Z196" s="164"/>
      <c r="AA196" s="147"/>
      <c r="AB196" s="147"/>
      <c r="AC196" s="147"/>
      <c r="AD196" s="147"/>
      <c r="AG196" s="139"/>
      <c r="AH196" s="147"/>
      <c r="AI196" s="147"/>
      <c r="AJ196" s="147"/>
      <c r="AK196" s="147"/>
      <c r="AM196" s="138" t="s">
        <v>666</v>
      </c>
      <c r="AN196" s="141">
        <f>-AN193/(AN191*AN192-AN193^2)</f>
        <v>0</v>
      </c>
      <c r="AO196" s="141">
        <f>-AO193/(AO191*AO192-AO193^2)</f>
        <v>-9.2983941852687333E-18</v>
      </c>
      <c r="AP196" s="141">
        <f>-AP193/(AP191*AP192-AP193^2)</f>
        <v>0</v>
      </c>
      <c r="AQ196" s="141">
        <f>-AQ193/(AQ191*AQ192-AQ193^2)</f>
        <v>-9.2983941852687333E-18</v>
      </c>
    </row>
    <row r="197" spans="1:45">
      <c r="A197" s="206">
        <v>-0.5</v>
      </c>
      <c r="B197" s="138">
        <v>125</v>
      </c>
      <c r="C197" s="138">
        <v>0.7</v>
      </c>
      <c r="D197" s="138">
        <v>1.6</v>
      </c>
      <c r="E197" s="138">
        <v>0.51600000000000001</v>
      </c>
      <c r="F197" s="138">
        <v>0.5</v>
      </c>
      <c r="G197" s="138">
        <v>0.2</v>
      </c>
      <c r="H197" s="205">
        <v>0.9</v>
      </c>
      <c r="J197" s="139" t="s">
        <v>138</v>
      </c>
      <c r="K197" s="138">
        <f>(1-L163^2*L162/L161)*O197*L162</f>
        <v>13.920484365408953</v>
      </c>
      <c r="L197" s="139" t="s">
        <v>139</v>
      </c>
      <c r="M197" s="138">
        <f>M196</f>
        <v>5.8728045779623468</v>
      </c>
      <c r="N197" s="139" t="s">
        <v>140</v>
      </c>
      <c r="O197" s="138">
        <f>1/((1+L176)*(1-L176-2*L163^2*L162/L161))</f>
        <v>1.3575600041521836</v>
      </c>
      <c r="R197" s="139" t="s">
        <v>141</v>
      </c>
      <c r="S197" s="138">
        <f>4*COS(S162/2)^2*SIN(S162/2)^2*$K201+SIN(S162/2)^4*$K196+COS(S162/2)^4*$K197+2*COS(S162/2)^2*SIN(S162/2)^2*$M196</f>
        <v>13.920484365408953</v>
      </c>
      <c r="T197" s="138">
        <f>4*COS(T162/2)^2*SIN(T162/2)^2*$K201+SIN(T162/2)^4*$K196+COS(T162/2)^4*$K197+2*COS(T162/2)^2*SIN(T162/2)^2*$M196</f>
        <v>184.28877056365894</v>
      </c>
      <c r="U197" s="138">
        <f>4*COS(U162/2)^2*SIN(U162/2)^2*$K201+SIN(U162/2)^4*$K196+COS(U162/2)^4*$K197+2*COS(U162/2)^2*SIN(U162/2)^2*$M196</f>
        <v>13.920484365408953</v>
      </c>
      <c r="V197" s="138">
        <f>4*COS(V162/2)^2*SIN(V162/2)^2*$K201+SIN(V162/2)^4*$K196+COS(V162/2)^4*$K197+2*COS(V162/2)^2*SIN(V162/2)^2*$M196</f>
        <v>184.28877056365894</v>
      </c>
      <c r="W197" s="138" t="s">
        <v>142</v>
      </c>
      <c r="X197" s="141">
        <f>S164*S203/S198+T164*T203/T198+U164*U203/U198+V164*V203/V198</f>
        <v>0</v>
      </c>
      <c r="Y197" s="147">
        <f>S164*S197+T164*T197+U164*U197+V164*V197</f>
        <v>0</v>
      </c>
      <c r="Z197" s="164"/>
      <c r="AA197" s="147"/>
      <c r="AB197" s="147"/>
      <c r="AC197" s="147"/>
      <c r="AD197" s="147"/>
      <c r="AG197" s="139"/>
      <c r="AH197" s="147"/>
      <c r="AI197" s="147"/>
      <c r="AJ197" s="147"/>
      <c r="AK197" s="147"/>
      <c r="AM197" s="138" t="s">
        <v>637</v>
      </c>
      <c r="AN197" s="141"/>
      <c r="AO197" s="141"/>
      <c r="AR197" s="141"/>
      <c r="AS197" s="141"/>
    </row>
    <row r="198" spans="1:45">
      <c r="A198" s="206">
        <v>0.02</v>
      </c>
      <c r="B198" s="138">
        <v>22.5</v>
      </c>
      <c r="C198" s="207">
        <v>0</v>
      </c>
      <c r="D198" s="138">
        <v>0.6</v>
      </c>
      <c r="E198" s="138">
        <v>0.316</v>
      </c>
      <c r="F198" s="138">
        <v>4.0000000000000001E-3</v>
      </c>
      <c r="G198" s="138">
        <v>4.0000000000000001E-3</v>
      </c>
      <c r="H198" s="205">
        <v>2000</v>
      </c>
      <c r="J198" s="139" t="s">
        <v>146</v>
      </c>
      <c r="K198" s="138">
        <f>K197</f>
        <v>13.920484365408953</v>
      </c>
      <c r="L198" s="139" t="s">
        <v>147</v>
      </c>
      <c r="M198" s="138">
        <f>(L176+L163^2*L162/L161)*O197*L162</f>
        <v>7.053817698742284</v>
      </c>
      <c r="R198" s="139" t="s">
        <v>716</v>
      </c>
      <c r="S198" s="138">
        <f>$K198</f>
        <v>13.920484365408953</v>
      </c>
      <c r="T198" s="138">
        <f>$K198</f>
        <v>13.920484365408953</v>
      </c>
      <c r="U198" s="138">
        <f>$K198</f>
        <v>13.920484365408953</v>
      </c>
      <c r="V198" s="138">
        <f>$K198</f>
        <v>13.920484365408953</v>
      </c>
      <c r="W198" s="138" t="s">
        <v>148</v>
      </c>
      <c r="X198" s="141">
        <f>S164*S204/S198+T164*T204/T198+U164*U204/U198+V164*V204/V198</f>
        <v>0</v>
      </c>
      <c r="Y198" s="164"/>
      <c r="Z198" s="164"/>
      <c r="AA198" s="147"/>
      <c r="AB198" s="147"/>
      <c r="AC198" s="147"/>
      <c r="AD198" s="147"/>
      <c r="AG198" s="139"/>
      <c r="AH198" s="147"/>
      <c r="AI198" s="147"/>
      <c r="AJ198" s="147"/>
      <c r="AK198" s="147"/>
      <c r="AM198" s="137"/>
      <c r="AN198" s="141"/>
      <c r="AO198" s="141"/>
      <c r="AR198" s="141"/>
      <c r="AS198" s="143"/>
    </row>
    <row r="199" spans="1:45">
      <c r="A199" s="208">
        <v>0.15</v>
      </c>
      <c r="B199" s="209">
        <v>0.01</v>
      </c>
      <c r="C199" s="209">
        <v>1</v>
      </c>
      <c r="D199" s="209">
        <v>1</v>
      </c>
      <c r="E199" s="209">
        <v>0.1</v>
      </c>
      <c r="F199" s="209">
        <v>0.5</v>
      </c>
      <c r="G199" s="209"/>
      <c r="H199" s="210"/>
      <c r="J199" s="139" t="s">
        <v>152</v>
      </c>
      <c r="K199" s="138">
        <f>(1-L176-2*L163^2*L162/L161)*O197*L162/2</f>
        <v>3.433333333333334</v>
      </c>
      <c r="R199" s="139" t="s">
        <v>153</v>
      </c>
      <c r="S199" s="138">
        <f>COS(S162/2)^2*$K199+SIN(S162/2)^2*$K200</f>
        <v>3.433333333333334</v>
      </c>
      <c r="T199" s="138">
        <f>COS(T162/2)^2*$K199+SIN(T162/2)^2*$K200</f>
        <v>7.17</v>
      </c>
      <c r="U199" s="138">
        <f>COS(U162/2)^2*$K199+SIN(U162/2)^2*$K200</f>
        <v>3.433333333333334</v>
      </c>
      <c r="V199" s="138">
        <f>COS(V162/2)^2*$K199+SIN(V162/2)^2*$K200</f>
        <v>7.17</v>
      </c>
      <c r="W199" s="138" t="s">
        <v>154</v>
      </c>
      <c r="X199" s="141">
        <f>S164*S208/S198+T164*T208/T198+U164*U208/U198+V164*V208/V198</f>
        <v>0</v>
      </c>
      <c r="Y199" s="164"/>
      <c r="Z199" s="164">
        <f>S164*S199/(S199*S200-S205^2)+T164*T199/(T199*T200-T205^2)+U164*U199/(U199*U200-U205^2)+V164*V199/(V199*V200-V205^2)</f>
        <v>0</v>
      </c>
      <c r="AA199" s="147"/>
      <c r="AB199" s="147"/>
      <c r="AC199" s="147"/>
      <c r="AD199" s="147"/>
      <c r="AG199" s="139"/>
      <c r="AH199" s="147"/>
      <c r="AI199" s="147"/>
      <c r="AJ199" s="147"/>
      <c r="AK199" s="147"/>
      <c r="AM199" s="139" t="s">
        <v>243</v>
      </c>
      <c r="AN199" s="143" t="s">
        <v>1562</v>
      </c>
      <c r="AO199" s="143" t="s">
        <v>1563</v>
      </c>
      <c r="AP199" s="143" t="s">
        <v>1564</v>
      </c>
      <c r="AQ199" s="143" t="s">
        <v>1565</v>
      </c>
      <c r="AR199" s="143"/>
      <c r="AS199" s="143"/>
    </row>
    <row r="200" spans="1:45">
      <c r="A200" s="204" t="s">
        <v>1582</v>
      </c>
      <c r="B200" s="138">
        <v>181</v>
      </c>
      <c r="C200" s="138">
        <v>10.3</v>
      </c>
      <c r="D200" s="138">
        <v>0.28000000000000003</v>
      </c>
      <c r="E200" s="138">
        <v>7.17</v>
      </c>
      <c r="F200" s="138">
        <v>3.4</v>
      </c>
      <c r="G200" s="138">
        <v>122</v>
      </c>
      <c r="H200" s="205">
        <v>160</v>
      </c>
      <c r="J200" s="139" t="s">
        <v>769</v>
      </c>
      <c r="K200" s="140">
        <f>L164</f>
        <v>7.17</v>
      </c>
      <c r="R200" s="139" t="s">
        <v>770</v>
      </c>
      <c r="S200" s="138">
        <f>SIN(S162/2)^2*$K199+COS(S162/2)^2*$K200</f>
        <v>7.17</v>
      </c>
      <c r="T200" s="138">
        <f>SIN(T162/2)^2*$K199+COS(T162/2)^2*$K200</f>
        <v>3.433333333333334</v>
      </c>
      <c r="U200" s="138">
        <f>SIN(U162/2)^2*$K199+COS(U162/2)^2*$K200</f>
        <v>7.17</v>
      </c>
      <c r="V200" s="138">
        <f>SIN(V162/2)^2*$K199+COS(V162/2)^2*$K200</f>
        <v>3.433333333333334</v>
      </c>
      <c r="W200" s="138" t="s">
        <v>771</v>
      </c>
      <c r="X200" s="141">
        <f>S164*S203^2/S198+T164*T203^2/T198+U164*U203^2/U198+V164*V203^2/V198</f>
        <v>0</v>
      </c>
      <c r="Y200" s="164"/>
      <c r="Z200" s="164">
        <f>S164*S200/(S199*S200-S205^2)+T164*T200/(T199*T200-T205^2)+U164*U200/(U199*U200-U205^2)+V164*V200/(V199*V200-V205^2)</f>
        <v>0</v>
      </c>
      <c r="AA200" s="147"/>
      <c r="AB200" s="147"/>
      <c r="AC200" s="147"/>
      <c r="AD200" s="147"/>
      <c r="AG200" s="139"/>
      <c r="AH200" s="147"/>
      <c r="AI200" s="147"/>
      <c r="AJ200" s="147"/>
      <c r="AK200" s="147"/>
      <c r="AM200" s="139" t="s">
        <v>537</v>
      </c>
      <c r="AN200" s="154">
        <f t="shared" ref="AN200:AQ201" si="50">S732</f>
        <v>0</v>
      </c>
      <c r="AO200" s="154">
        <f t="shared" si="50"/>
        <v>90</v>
      </c>
      <c r="AP200" s="154">
        <f t="shared" si="50"/>
        <v>0</v>
      </c>
      <c r="AQ200" s="154">
        <f t="shared" si="50"/>
        <v>90</v>
      </c>
      <c r="AR200" s="143" t="s">
        <v>538</v>
      </c>
      <c r="AS200" s="143" t="s">
        <v>652</v>
      </c>
    </row>
    <row r="201" spans="1:45">
      <c r="A201" s="206">
        <v>1500</v>
      </c>
      <c r="B201" s="138">
        <v>1500</v>
      </c>
      <c r="C201" s="138">
        <v>40</v>
      </c>
      <c r="D201" s="138">
        <v>246</v>
      </c>
      <c r="E201" s="138">
        <v>68</v>
      </c>
      <c r="F201" s="138">
        <v>1.2</v>
      </c>
      <c r="G201" s="138">
        <v>22</v>
      </c>
      <c r="H201" s="205">
        <v>5.0000000000000001E-3</v>
      </c>
      <c r="J201" s="139" t="s">
        <v>773</v>
      </c>
      <c r="K201" s="140">
        <f>K200</f>
        <v>7.17</v>
      </c>
      <c r="P201" s="185"/>
      <c r="Q201" s="185"/>
      <c r="R201" s="186" t="s">
        <v>774</v>
      </c>
      <c r="S201" s="185">
        <f>(COS(S162/2)^2-SIN(S162/2)^2)^2*$K201+COS(S162/2)^2*SIN(S162/2)^2*($K196+$K197-2*$M196)</f>
        <v>7.17</v>
      </c>
      <c r="T201" s="185">
        <f>(COS(T162/2)^2-SIN(T162/2)^2)^2*$K201+COS(T162/2)^2*SIN(T162/2)^2*($K196+$K197-2*$M196)</f>
        <v>7.17</v>
      </c>
      <c r="U201" s="185">
        <f>(COS(U162/2)^2-SIN(U162/2)^2)^2*$K201+COS(U162/2)^2*SIN(U162/2)^2*($K196+$K197-2*$M196)</f>
        <v>7.17</v>
      </c>
      <c r="V201" s="185">
        <f>(COS(V162/2)^2-SIN(V162/2)^2)^2*$K201+COS(V162/2)^2*SIN(V162/2)^2*($K196+$K197-2*$M196)</f>
        <v>7.17</v>
      </c>
      <c r="W201" s="185" t="s">
        <v>775</v>
      </c>
      <c r="X201" s="187">
        <f>S164*S204^2/S198+T164*T204^2/T198+U164*U204^2/U198+V164*V204^2/V198</f>
        <v>0</v>
      </c>
      <c r="Y201" s="147">
        <f>S164*S201+T164*T201+U164*U201+V164*V201</f>
        <v>0</v>
      </c>
      <c r="Z201" s="188"/>
      <c r="AA201" s="190"/>
      <c r="AB201" s="190"/>
      <c r="AC201" s="190"/>
      <c r="AD201" s="190"/>
      <c r="AE201" s="185"/>
      <c r="AF201" s="187"/>
      <c r="AG201" s="186"/>
      <c r="AH201" s="190"/>
      <c r="AI201" s="190"/>
      <c r="AJ201" s="190"/>
      <c r="AK201" s="190"/>
      <c r="AL201" s="185"/>
      <c r="AM201" s="139" t="s">
        <v>541</v>
      </c>
      <c r="AN201" s="154">
        <f t="shared" si="50"/>
        <v>0</v>
      </c>
      <c r="AO201" s="154">
        <f t="shared" si="50"/>
        <v>0</v>
      </c>
      <c r="AP201" s="154">
        <f t="shared" si="50"/>
        <v>0</v>
      </c>
      <c r="AQ201" s="154">
        <f t="shared" si="50"/>
        <v>0</v>
      </c>
      <c r="AR201" s="156">
        <f>W733</f>
        <v>1</v>
      </c>
      <c r="AS201" s="146">
        <f>SUM(AN201:AQ201)</f>
        <v>0</v>
      </c>
    </row>
    <row r="202" spans="1:45">
      <c r="A202" s="206">
        <v>-0.5</v>
      </c>
      <c r="B202" s="138">
        <v>125</v>
      </c>
      <c r="C202" s="138">
        <v>0.7</v>
      </c>
      <c r="D202" s="138">
        <v>1.6</v>
      </c>
      <c r="E202" s="138">
        <v>0.51600000000000001</v>
      </c>
      <c r="F202" s="138">
        <v>0.5</v>
      </c>
      <c r="G202" s="138">
        <v>0.2</v>
      </c>
      <c r="H202" s="205">
        <v>0.9</v>
      </c>
      <c r="J202" s="185"/>
      <c r="K202" s="185"/>
      <c r="L202" s="185"/>
      <c r="M202" s="185"/>
      <c r="N202" s="185"/>
      <c r="O202" s="185"/>
      <c r="R202" s="139" t="s">
        <v>145</v>
      </c>
      <c r="S202" s="138">
        <f>-4*COS(S162/2)^2*SIN(S162/2)^2*$K201+COS(S162/2)^2*SIN(S162/2)^2*($K196+$K197)+(COS(S162/2)^4+SIN(S162/2)^4)*$M196</f>
        <v>5.8728045779623468</v>
      </c>
      <c r="T202" s="138">
        <f>-4*COS(T162/2)^2*SIN(T162/2)^2*$K201+COS(T162/2)^2*SIN(T162/2)^2*($K196+$K197)+(COS(T162/2)^4+SIN(T162/2)^4)*$M196</f>
        <v>5.8728045779623468</v>
      </c>
      <c r="U202" s="138">
        <f>-4*COS(U162/2)^2*SIN(U162/2)^2*$K201+COS(U162/2)^2*SIN(U162/2)^2*($K196+$K197)+(COS(U162/2)^4+SIN(U162/2)^4)*$M196</f>
        <v>5.8728045779623468</v>
      </c>
      <c r="V202" s="138">
        <f>-4*COS(V162/2)^2*SIN(V162/2)^2*$K201+COS(V162/2)^2*SIN(V162/2)^2*($K196+$K197)+(COS(V162/2)^4+SIN(V162/2)^4)*$M196</f>
        <v>5.8728045779623468</v>
      </c>
      <c r="W202" s="138" t="s">
        <v>778</v>
      </c>
      <c r="X202" s="141">
        <f>S164*S203*S204/S198+T164*T203*T204/T198+U164*U203*U204/U198+V164*V203*V204/V198</f>
        <v>0</v>
      </c>
      <c r="Y202" s="147">
        <f>S164*S202+T164*T202+U164*U202+V164*V202</f>
        <v>0</v>
      </c>
      <c r="Z202" s="164"/>
      <c r="AA202" s="147"/>
      <c r="AB202" s="147"/>
      <c r="AC202" s="147"/>
      <c r="AD202" s="147"/>
      <c r="AG202" s="139"/>
      <c r="AH202" s="147"/>
      <c r="AI202" s="147"/>
      <c r="AJ202" s="147"/>
      <c r="AK202" s="147"/>
      <c r="AM202" s="138" t="s">
        <v>648</v>
      </c>
      <c r="AN202" s="158">
        <f>AN200*PI()/180</f>
        <v>0</v>
      </c>
      <c r="AO202" s="158">
        <f>AO200*PI()/180</f>
        <v>1.5707963267948966</v>
      </c>
      <c r="AP202" s="158">
        <f>AP200*PI()/180</f>
        <v>0</v>
      </c>
      <c r="AQ202" s="158">
        <f>AQ200*PI()/180</f>
        <v>1.5707963267948966</v>
      </c>
      <c r="AS202" s="159" t="s">
        <v>683</v>
      </c>
    </row>
    <row r="203" spans="1:45">
      <c r="A203" s="206">
        <v>0.02</v>
      </c>
      <c r="B203" s="138">
        <v>22.5</v>
      </c>
      <c r="C203" s="207">
        <v>0</v>
      </c>
      <c r="D203" s="138">
        <v>0.6</v>
      </c>
      <c r="E203" s="138">
        <v>0.316</v>
      </c>
      <c r="F203" s="138">
        <v>4.0000000000000001E-3</v>
      </c>
      <c r="G203" s="138">
        <v>4.0000000000000001E-3</v>
      </c>
      <c r="H203" s="205">
        <v>2000</v>
      </c>
      <c r="R203" s="139" t="s">
        <v>151</v>
      </c>
      <c r="S203" s="138">
        <f>COS(S162/2)^2*$M197+SIN(S162/2)^2*$M198</f>
        <v>5.8728045779623468</v>
      </c>
      <c r="T203" s="138">
        <f>COS(T162/2)^2*$M197+SIN(T162/2)^2*$M198</f>
        <v>7.053817698742284</v>
      </c>
      <c r="U203" s="138">
        <f>COS(U162/2)^2*$M197+SIN(U162/2)^2*$M198</f>
        <v>5.8728045779623468</v>
      </c>
      <c r="V203" s="138">
        <f>COS(V162/2)^2*$M197+SIN(V162/2)^2*$M198</f>
        <v>7.053817698742284</v>
      </c>
      <c r="W203" s="138" t="s">
        <v>782</v>
      </c>
      <c r="X203" s="141">
        <f>S164*S208*S203/S198+T164*T208*T203/T198+U164*U208*U203/U198+V164*V208*V203/V198</f>
        <v>0</v>
      </c>
      <c r="Y203" s="147"/>
      <c r="Z203" s="164"/>
      <c r="AA203" s="147"/>
      <c r="AB203" s="147"/>
      <c r="AC203" s="147"/>
      <c r="AD203" s="147"/>
      <c r="AG203" s="139"/>
      <c r="AH203" s="147"/>
      <c r="AI203" s="147"/>
      <c r="AJ203" s="147"/>
      <c r="AK203" s="147"/>
      <c r="AM203" s="139" t="s">
        <v>653</v>
      </c>
      <c r="AN203" s="158">
        <f>COS(AN200*PI()/180)</f>
        <v>1</v>
      </c>
      <c r="AO203" s="158">
        <f>COS(AO200*PI()/180)</f>
        <v>6.1257422745431001E-17</v>
      </c>
      <c r="AP203" s="158">
        <f>COS(AP200*PI()/180)</f>
        <v>1</v>
      </c>
      <c r="AQ203" s="158">
        <f>COS(AQ200*PI()/180)</f>
        <v>6.1257422745431001E-17</v>
      </c>
      <c r="AR203" s="143"/>
      <c r="AS203" s="162">
        <f>$L737/1000000/AT5*2/AT7</f>
        <v>0.05</v>
      </c>
    </row>
    <row r="204" spans="1:45">
      <c r="A204" s="208">
        <v>0.15</v>
      </c>
      <c r="B204" s="209">
        <v>0.01</v>
      </c>
      <c r="C204" s="209">
        <v>1</v>
      </c>
      <c r="D204" s="209">
        <v>1</v>
      </c>
      <c r="E204" s="209">
        <v>0.1</v>
      </c>
      <c r="F204" s="209">
        <v>0.5</v>
      </c>
      <c r="G204" s="209"/>
      <c r="H204" s="210"/>
      <c r="R204" s="139" t="s">
        <v>768</v>
      </c>
      <c r="S204" s="138">
        <f>SIN(S162/2)^2*$M197+COS(S162/2)^2*$M198</f>
        <v>7.053817698742284</v>
      </c>
      <c r="T204" s="138">
        <f>SIN(T162/2)^2*$M197+COS(T162/2)^2*$M198</f>
        <v>5.8728045779623468</v>
      </c>
      <c r="U204" s="138">
        <f>SIN(U162/2)^2*$M197+COS(U162/2)^2*$M198</f>
        <v>7.053817698742284</v>
      </c>
      <c r="V204" s="138">
        <f>SIN(V162/2)^2*$M197+COS(V162/2)^2*$M198</f>
        <v>5.8728045779623468</v>
      </c>
      <c r="W204" s="138" t="s">
        <v>785</v>
      </c>
      <c r="X204" s="141">
        <f>S164*S208*S204/S198+T164*T208*T204/T198+U164*U208*U204/U198+V164*V208*V204/V198</f>
        <v>0</v>
      </c>
      <c r="Y204" s="164"/>
      <c r="Z204" s="164"/>
      <c r="AA204" s="147"/>
      <c r="AB204" s="147"/>
      <c r="AC204" s="147"/>
      <c r="AD204" s="147"/>
      <c r="AG204" s="139"/>
      <c r="AH204" s="147"/>
      <c r="AI204" s="147"/>
      <c r="AJ204" s="147"/>
      <c r="AK204" s="147"/>
      <c r="AM204" s="139" t="s">
        <v>654</v>
      </c>
      <c r="AN204" s="158">
        <f>SIN(AN200*PI()/180)</f>
        <v>0</v>
      </c>
      <c r="AO204" s="158">
        <f>SIN(AO200*PI()/180)</f>
        <v>1</v>
      </c>
      <c r="AP204" s="158">
        <f>SIN(AP200*PI()/180)</f>
        <v>0</v>
      </c>
      <c r="AQ204" s="158">
        <f>SIN(AQ200*PI()/180)</f>
        <v>1</v>
      </c>
      <c r="AS204" s="160" t="s">
        <v>655</v>
      </c>
    </row>
    <row r="205" spans="1:45">
      <c r="R205" s="139" t="s">
        <v>660</v>
      </c>
      <c r="S205" s="138">
        <f>COS(S162/2)*SIN(S162/2)*(-$K199+$K200)</f>
        <v>0</v>
      </c>
      <c r="T205" s="138">
        <f>COS(T162/2)*SIN(T162/2)*(-$K199+$K200)</f>
        <v>2.2889856965876046E-16</v>
      </c>
      <c r="U205" s="138">
        <f>COS(U162/2)*SIN(U162/2)*(-$K199+$K200)</f>
        <v>0</v>
      </c>
      <c r="V205" s="138">
        <f>COS(V162/2)*SIN(V162/2)*(-$K199+$K200)</f>
        <v>2.2889856965876046E-16</v>
      </c>
      <c r="W205" s="138" t="s">
        <v>1048</v>
      </c>
      <c r="X205" s="141">
        <f>S164*S208^2/S198+T164*T208^2/T198+U164*U208^2/U198+V164*V208^2/V198</f>
        <v>0</v>
      </c>
      <c r="Y205" s="164"/>
      <c r="Z205" s="164">
        <f>S164*S205/(S199*S200-S205^2)+T164*T205/(T199*T200-T205^2)+U164*U205/(U199*U200-U205^2)+V164*V205/(V199*V200-V205^2)</f>
        <v>0</v>
      </c>
      <c r="AA205" s="147"/>
      <c r="AB205" s="147"/>
      <c r="AC205" s="147"/>
      <c r="AD205" s="147"/>
      <c r="AG205" s="139"/>
      <c r="AH205" s="147"/>
      <c r="AI205" s="147"/>
      <c r="AJ205" s="147"/>
      <c r="AK205" s="147"/>
      <c r="AM205" s="139" t="s">
        <v>690</v>
      </c>
      <c r="AN205" s="158">
        <f>S772</f>
        <v>7.17</v>
      </c>
      <c r="AO205" s="158">
        <f>T772</f>
        <v>3.433333333333334</v>
      </c>
      <c r="AP205" s="158">
        <f>U772</f>
        <v>7.17</v>
      </c>
      <c r="AQ205" s="158">
        <f>V772</f>
        <v>3.433333333333334</v>
      </c>
      <c r="AR205" s="147"/>
      <c r="AS205" s="138">
        <f>AS201*AS203*AR201</f>
        <v>0</v>
      </c>
    </row>
    <row r="206" spans="1:45">
      <c r="R206" s="139" t="s">
        <v>777</v>
      </c>
      <c r="S206" s="138">
        <f>-2*COS(S162/2)*SIN(S162/2)*(COS(S162/2)^2-SIN(S162/2)^2)*$K201+COS(S162/2)*SIN(S162/2)*(COS(S162/2)^2*$K196+SIN(S162/2)^2*$K197)+COS(S162/2)*SIN(S162/2)*(COS(S162/2)^2+SIN(S162/2)^2)*$M196</f>
        <v>0</v>
      </c>
      <c r="T206" s="138">
        <f>-2*COS(T162/2)*SIN(T162/2)*(COS(T162/2)^2-SIN(T162/2)^2)*$K201+COS(T162/2)*SIN(T162/2)*(COS(T162/2)^2*$K196+SIN(T162/2)^2*$K197)+COS(T162/2)*SIN(T162/2)*(COS(T162/2)^2+SIN(T162/2)^2)*$M196</f>
        <v>2.0909173104960418E-15</v>
      </c>
      <c r="U206" s="138">
        <f>-2*COS(U162/2)*SIN(U162/2)*(COS(U162/2)^2-SIN(U162/2)^2)*$K201+COS(U162/2)*SIN(U162/2)*(COS(U162/2)^2*$K196+SIN(U162/2)^2*$K197)+COS(U162/2)*SIN(U162/2)*(COS(U162/2)^2+SIN(U162/2)^2)*$M196</f>
        <v>0</v>
      </c>
      <c r="V206" s="138">
        <f>-2*COS(V162/2)*SIN(V162/2)*(COS(V162/2)^2-SIN(V162/2)^2)*$K201+COS(V162/2)*SIN(V162/2)*(COS(V162/2)^2*$K196+SIN(V162/2)^2*$K197)+COS(V162/2)*SIN(V162/2)*(COS(V162/2)^2+SIN(V162/2)^2)*$M196</f>
        <v>2.0909173104960418E-15</v>
      </c>
      <c r="W206" s="138"/>
      <c r="Y206" s="147">
        <f>S164*S206+T164*T206+U164*U206+V164*V206</f>
        <v>0</v>
      </c>
      <c r="Z206" s="164"/>
      <c r="AA206" s="147"/>
      <c r="AB206" s="147"/>
      <c r="AC206" s="147"/>
      <c r="AD206" s="147"/>
      <c r="AG206" s="139"/>
      <c r="AH206" s="147"/>
      <c r="AI206" s="147"/>
      <c r="AJ206" s="147"/>
      <c r="AK206" s="147"/>
      <c r="AM206" s="139" t="s">
        <v>692</v>
      </c>
      <c r="AN206" s="158">
        <f>S771</f>
        <v>3.433333333333334</v>
      </c>
      <c r="AO206" s="158">
        <f>T771</f>
        <v>7.17</v>
      </c>
      <c r="AP206" s="158">
        <f>U771</f>
        <v>3.433333333333334</v>
      </c>
      <c r="AQ206" s="158">
        <f>V771</f>
        <v>7.17</v>
      </c>
    </row>
    <row r="207" spans="1:45">
      <c r="R207" s="139" t="s">
        <v>781</v>
      </c>
      <c r="S207" s="138">
        <f>2*COS(S162/2)*SIN(S162/2)*(COS(S162/2)^2-SIN(S162/2)^2)*$K201+COS(S162/2)*SIN(S162/2)*(SIN(S162/2)^2*$K196-COS(S162/2)^2*$K197)+COS(S162/2)*SIN(S162/2)*(COS(S162/2)^2-SIN(S162/2)^2)*$M196</f>
        <v>0</v>
      </c>
      <c r="T207" s="138">
        <f>2*COS(T162/2)*SIN(T162/2)*(COS(T162/2)^2-SIN(T162/2)^2)*$K201+COS(T162/2)*SIN(T162/2)*(SIN(T162/2)^2*$K196-COS(T162/2)^2*$K197)+COS(T162/2)*SIN(T162/2)*(COS(T162/2)^2-SIN(T162/2)^2)*$M196</f>
        <v>1.0050870810750773E-14</v>
      </c>
      <c r="U207" s="138">
        <f>2*COS(U162/2)*SIN(U162/2)*(COS(U162/2)^2-SIN(U162/2)^2)*$K201+COS(U162/2)*SIN(U162/2)*(SIN(U162/2)^2*$K196-COS(U162/2)^2*$K197)+COS(U162/2)*SIN(U162/2)*(COS(U162/2)^2-SIN(U162/2)^2)*$M196</f>
        <v>0</v>
      </c>
      <c r="V207" s="138">
        <f>2*COS(V162/2)*SIN(V162/2)*(COS(V162/2)^2-SIN(V162/2)^2)*$K201+COS(V162/2)*SIN(V162/2)*(SIN(V162/2)^2*$K196-COS(V162/2)^2*$K197)+COS(V162/2)*SIN(V162/2)*(COS(V162/2)^2-SIN(V162/2)^2)*$M196</f>
        <v>1.0050870810750773E-14</v>
      </c>
      <c r="W207" s="138"/>
      <c r="Y207" s="147">
        <f>S164*S207+T164*T207+U164*U207+V164*V207</f>
        <v>0</v>
      </c>
      <c r="Z207" s="164"/>
      <c r="AA207" s="147"/>
      <c r="AB207" s="147"/>
      <c r="AC207" s="147"/>
      <c r="AD207" s="147"/>
      <c r="AG207" s="139"/>
      <c r="AH207" s="147"/>
      <c r="AI207" s="147"/>
      <c r="AJ207" s="147"/>
      <c r="AK207" s="147"/>
      <c r="AM207" s="139" t="s">
        <v>660</v>
      </c>
      <c r="AN207" s="158">
        <f>S777</f>
        <v>0</v>
      </c>
      <c r="AO207" s="158">
        <f>T777</f>
        <v>2.2889856965876046E-16</v>
      </c>
      <c r="AP207" s="158">
        <f>U777</f>
        <v>0</v>
      </c>
      <c r="AQ207" s="158">
        <f>V777</f>
        <v>2.2889856965876046E-16</v>
      </c>
    </row>
    <row r="208" spans="1:45">
      <c r="A208" s="211"/>
      <c r="B208" s="212"/>
      <c r="C208" s="212"/>
      <c r="D208" s="212"/>
      <c r="E208" s="212"/>
      <c r="F208" s="212"/>
      <c r="G208" s="212"/>
      <c r="H208" s="213"/>
      <c r="R208" s="139" t="s">
        <v>784</v>
      </c>
      <c r="S208" s="138">
        <f>COS(S162/2)*SIN(S162/2)*($M197-$M198)</f>
        <v>0</v>
      </c>
      <c r="T208" s="138">
        <f>COS(T162/2)*SIN(T162/2)*($M197-$M198)</f>
        <v>-7.2345820007517372E-17</v>
      </c>
      <c r="U208" s="138">
        <f>COS(U162/2)*SIN(U162/2)*($M197-$M198)</f>
        <v>0</v>
      </c>
      <c r="V208" s="138">
        <f>COS(V162/2)*SIN(V162/2)*($M197-$M198)</f>
        <v>-7.2345820007517372E-17</v>
      </c>
      <c r="W208" s="138"/>
      <c r="Y208" s="164"/>
      <c r="Z208" s="164"/>
      <c r="AA208" s="147"/>
      <c r="AB208" s="147"/>
      <c r="AC208" s="147"/>
      <c r="AD208" s="147"/>
      <c r="AG208" s="139"/>
      <c r="AH208" s="147"/>
      <c r="AI208" s="147"/>
      <c r="AJ208" s="147"/>
      <c r="AK208" s="147"/>
      <c r="AM208" s="139" t="s">
        <v>662</v>
      </c>
      <c r="AN208" s="158">
        <f>AN205/(AN205*AN206-AN207^2)</f>
        <v>0.29126213592233002</v>
      </c>
      <c r="AO208" s="158">
        <f>AO205/(AO205*AO206-AO207^2)</f>
        <v>0.1394700139470014</v>
      </c>
      <c r="AP208" s="158">
        <f>AP205/(AP205*AP206-AP207^2)</f>
        <v>0.29126213592233002</v>
      </c>
      <c r="AQ208" s="158">
        <f>AQ205/(AQ205*AQ206-AQ207^2)</f>
        <v>0.1394700139470014</v>
      </c>
    </row>
    <row r="209" spans="1:45">
      <c r="A209" s="206"/>
      <c r="H209" s="205"/>
      <c r="J209" s="137" t="s">
        <v>849</v>
      </c>
      <c r="K209" s="139"/>
      <c r="L209" s="139"/>
      <c r="N209" s="138" t="s">
        <v>1551</v>
      </c>
      <c r="P209" s="140"/>
      <c r="R209" s="138" t="s">
        <v>634</v>
      </c>
      <c r="Y209" s="164"/>
      <c r="Z209" s="138" t="s">
        <v>635</v>
      </c>
      <c r="AG209" s="138" t="s">
        <v>636</v>
      </c>
      <c r="AM209" s="139" t="s">
        <v>665</v>
      </c>
      <c r="AN209" s="158">
        <f>AN206/(AN205*AN206-AN207^2)</f>
        <v>0.1394700139470014</v>
      </c>
      <c r="AO209" s="158">
        <f>AO206/(AO205*AO206-AO207^2)</f>
        <v>0.29126213592233002</v>
      </c>
      <c r="AP209" s="158">
        <f>AP206/(AP205*AP206-AP207^2)</f>
        <v>0.1394700139470014</v>
      </c>
      <c r="AQ209" s="158">
        <f>AQ206/(AQ205*AQ206-AQ207^2)</f>
        <v>0.29126213592233002</v>
      </c>
    </row>
    <row r="210" spans="1:45">
      <c r="A210" s="206"/>
      <c r="H210" s="205"/>
      <c r="J210" s="139" t="str">
        <f>A135</f>
        <v>T3/N52[SI]</v>
      </c>
      <c r="K210" s="137"/>
      <c r="L210" s="139"/>
      <c r="N210" s="139" t="s">
        <v>596</v>
      </c>
      <c r="O210" s="144">
        <f>G136</f>
        <v>22</v>
      </c>
      <c r="P210" s="144">
        <f>B68</f>
        <v>22</v>
      </c>
      <c r="Q210" s="145">
        <f t="shared" ref="Q210:Q215" si="51">P210/O210</f>
        <v>1</v>
      </c>
      <c r="R210" s="137"/>
      <c r="Z210" s="139" t="s">
        <v>531</v>
      </c>
      <c r="AA210" s="146">
        <f t="shared" ref="AA210:AD212" si="52">S212</f>
        <v>0</v>
      </c>
      <c r="AB210" s="146">
        <f t="shared" si="52"/>
        <v>90</v>
      </c>
      <c r="AC210" s="146">
        <f t="shared" si="52"/>
        <v>0</v>
      </c>
      <c r="AD210" s="146">
        <f t="shared" si="52"/>
        <v>90</v>
      </c>
      <c r="AE210" s="139" t="s">
        <v>532</v>
      </c>
      <c r="AF210" s="143" t="s">
        <v>533</v>
      </c>
      <c r="AG210" s="139" t="s">
        <v>531</v>
      </c>
      <c r="AH210" s="146">
        <f t="shared" ref="AH210:AK212" si="53">AA210</f>
        <v>0</v>
      </c>
      <c r="AI210" s="146">
        <f t="shared" si="53"/>
        <v>90</v>
      </c>
      <c r="AJ210" s="146">
        <f t="shared" si="53"/>
        <v>0</v>
      </c>
      <c r="AK210" s="146">
        <f t="shared" si="53"/>
        <v>90</v>
      </c>
      <c r="AM210" s="138" t="s">
        <v>666</v>
      </c>
      <c r="AN210" s="141">
        <f>-AN207/(AN205*AN206-AN207^2)</f>
        <v>0</v>
      </c>
      <c r="AO210" s="141">
        <f>-AO207/(AO205*AO206-AO207^2)</f>
        <v>-9.2983941852687333E-18</v>
      </c>
      <c r="AP210" s="141">
        <f>-AP207/(AP205*AP206-AP207^2)</f>
        <v>0</v>
      </c>
      <c r="AQ210" s="141">
        <f>-AQ207/(AQ205*AQ206-AQ207^2)</f>
        <v>-9.2983941852687333E-18</v>
      </c>
    </row>
    <row r="211" spans="1:45">
      <c r="A211" s="206"/>
      <c r="C211" s="207"/>
      <c r="H211" s="205"/>
      <c r="J211" s="139"/>
      <c r="K211" s="139"/>
      <c r="L211" s="139"/>
      <c r="N211" s="139" t="s">
        <v>600</v>
      </c>
      <c r="O211" s="147">
        <f>H136</f>
        <v>5.0000000000000001E-3</v>
      </c>
      <c r="P211" s="147">
        <f>C68</f>
        <v>5.0000000000000001E-3</v>
      </c>
      <c r="Q211" s="145">
        <f t="shared" si="51"/>
        <v>1</v>
      </c>
      <c r="R211" s="139" t="s">
        <v>243</v>
      </c>
      <c r="S211" s="143" t="s">
        <v>1562</v>
      </c>
      <c r="T211" s="143" t="s">
        <v>1563</v>
      </c>
      <c r="U211" s="143" t="s">
        <v>1564</v>
      </c>
      <c r="V211" s="143" t="s">
        <v>1565</v>
      </c>
      <c r="W211" s="143"/>
      <c r="X211" s="143"/>
      <c r="Z211" s="139" t="s">
        <v>536</v>
      </c>
      <c r="AA211" s="146">
        <f t="shared" si="52"/>
        <v>0</v>
      </c>
      <c r="AB211" s="146">
        <f t="shared" si="52"/>
        <v>0</v>
      </c>
      <c r="AC211" s="146">
        <f t="shared" si="52"/>
        <v>0</v>
      </c>
      <c r="AD211" s="146">
        <f t="shared" si="52"/>
        <v>0</v>
      </c>
      <c r="AE211" s="139">
        <f>W213</f>
        <v>1</v>
      </c>
      <c r="AF211" s="146">
        <f>X214</f>
        <v>0</v>
      </c>
      <c r="AG211" s="139" t="s">
        <v>536</v>
      </c>
      <c r="AH211" s="146">
        <f t="shared" si="53"/>
        <v>0</v>
      </c>
      <c r="AI211" s="146">
        <f t="shared" si="53"/>
        <v>0</v>
      </c>
      <c r="AJ211" s="146">
        <f t="shared" si="53"/>
        <v>0</v>
      </c>
      <c r="AK211" s="146">
        <f t="shared" si="53"/>
        <v>0</v>
      </c>
      <c r="AM211" s="138" t="s">
        <v>637</v>
      </c>
      <c r="AN211" s="141"/>
      <c r="AO211" s="141"/>
      <c r="AR211" s="141"/>
      <c r="AS211" s="141"/>
    </row>
    <row r="212" spans="1:45">
      <c r="A212" s="206"/>
      <c r="H212" s="205"/>
      <c r="J212" s="139" t="s">
        <v>1553</v>
      </c>
      <c r="K212" s="139" t="s">
        <v>1554</v>
      </c>
      <c r="L212" s="139" t="s">
        <v>1555</v>
      </c>
      <c r="M212" s="153" t="s">
        <v>1556</v>
      </c>
      <c r="N212" s="139" t="s">
        <v>1557</v>
      </c>
      <c r="O212" s="144">
        <f>G135</f>
        <v>122</v>
      </c>
      <c r="P212" s="144">
        <f>O212</f>
        <v>122</v>
      </c>
      <c r="Q212" s="145">
        <f t="shared" si="51"/>
        <v>1</v>
      </c>
      <c r="R212" s="139" t="s">
        <v>537</v>
      </c>
      <c r="S212" s="154">
        <f>C11+I12</f>
        <v>0</v>
      </c>
      <c r="T212" s="154">
        <f>D11+I12</f>
        <v>90</v>
      </c>
      <c r="U212" s="154">
        <f>E11+I12</f>
        <v>0</v>
      </c>
      <c r="V212" s="154">
        <f>F11+I12</f>
        <v>90</v>
      </c>
      <c r="W212" s="143" t="s">
        <v>538</v>
      </c>
      <c r="X212" s="143"/>
      <c r="Z212" s="139" t="s">
        <v>539</v>
      </c>
      <c r="AA212" s="146">
        <f t="shared" si="52"/>
        <v>0</v>
      </c>
      <c r="AB212" s="146">
        <f t="shared" si="52"/>
        <v>3.1415926535897931</v>
      </c>
      <c r="AC212" s="146">
        <f t="shared" si="52"/>
        <v>0</v>
      </c>
      <c r="AD212" s="146">
        <f t="shared" si="52"/>
        <v>3.1415926535897931</v>
      </c>
      <c r="AE212" s="139" t="s">
        <v>540</v>
      </c>
      <c r="AF212" s="141">
        <f>W220</f>
        <v>0</v>
      </c>
      <c r="AG212" s="139" t="s">
        <v>539</v>
      </c>
      <c r="AH212" s="146">
        <f t="shared" si="53"/>
        <v>0</v>
      </c>
      <c r="AI212" s="146">
        <f t="shared" si="53"/>
        <v>3.1415926535897931</v>
      </c>
      <c r="AJ212" s="146">
        <f t="shared" si="53"/>
        <v>0</v>
      </c>
      <c r="AK212" s="146">
        <f t="shared" si="53"/>
        <v>3.1415926535897931</v>
      </c>
      <c r="AM212" s="137"/>
      <c r="AN212" s="141"/>
      <c r="AO212" s="141"/>
      <c r="AR212" s="141"/>
      <c r="AS212" s="143"/>
    </row>
    <row r="213" spans="1:45">
      <c r="A213" s="204"/>
      <c r="H213" s="205"/>
      <c r="J213" s="139" t="s">
        <v>298</v>
      </c>
      <c r="K213" s="140">
        <f>B135</f>
        <v>181</v>
      </c>
      <c r="L213" s="140">
        <f>L220*L219</f>
        <v>181.00000000000003</v>
      </c>
      <c r="M213" s="145">
        <f>L213/K213</f>
        <v>1.0000000000000002</v>
      </c>
      <c r="N213" s="139" t="s">
        <v>299</v>
      </c>
      <c r="O213" s="144">
        <f>H135</f>
        <v>160</v>
      </c>
      <c r="P213" s="144">
        <f>O213-H138*(P211)</f>
        <v>150</v>
      </c>
      <c r="Q213" s="145">
        <f t="shared" si="51"/>
        <v>0.9375</v>
      </c>
      <c r="R213" s="139" t="s">
        <v>541</v>
      </c>
      <c r="S213" s="154">
        <f>C12</f>
        <v>0</v>
      </c>
      <c r="T213" s="154">
        <f>D12</f>
        <v>0</v>
      </c>
      <c r="U213" s="154">
        <f>E12</f>
        <v>0</v>
      </c>
      <c r="V213" s="154">
        <f>F12</f>
        <v>0</v>
      </c>
      <c r="W213" s="156">
        <f>G12</f>
        <v>1</v>
      </c>
      <c r="X213" s="143"/>
      <c r="Z213" s="139"/>
      <c r="AA213" s="141">
        <f>AA212/2</f>
        <v>0</v>
      </c>
      <c r="AB213" s="141">
        <f>AB212/2</f>
        <v>1.5707963267948966</v>
      </c>
      <c r="AC213" s="141">
        <f>AC212/2</f>
        <v>0</v>
      </c>
      <c r="AD213" s="141">
        <f>AD212/2</f>
        <v>1.5707963267948966</v>
      </c>
      <c r="AE213" s="143"/>
      <c r="AL213" s="139"/>
      <c r="AM213" s="139" t="s">
        <v>243</v>
      </c>
      <c r="AN213" s="143" t="s">
        <v>1562</v>
      </c>
      <c r="AO213" s="143" t="s">
        <v>1563</v>
      </c>
      <c r="AP213" s="143" t="s">
        <v>1564</v>
      </c>
      <c r="AQ213" s="143" t="s">
        <v>1565</v>
      </c>
      <c r="AR213" s="143"/>
      <c r="AS213" s="143"/>
    </row>
    <row r="214" spans="1:45">
      <c r="A214" s="206"/>
      <c r="H214" s="205"/>
      <c r="J214" s="139" t="s">
        <v>1579</v>
      </c>
      <c r="K214" s="140">
        <f>C135</f>
        <v>10.3</v>
      </c>
      <c r="L214" s="140">
        <f>(1+L223)/(1/L224+L223/L221)</f>
        <v>10.3</v>
      </c>
      <c r="M214" s="145">
        <f>L214/K214</f>
        <v>1</v>
      </c>
      <c r="N214" s="139" t="s">
        <v>1580</v>
      </c>
      <c r="O214" s="140">
        <f>(O213-O210)/(O213-O210)</f>
        <v>1</v>
      </c>
      <c r="P214" s="140">
        <f>(P213-P210)/(P213-O210)</f>
        <v>1</v>
      </c>
      <c r="Q214" s="145">
        <f t="shared" si="51"/>
        <v>1</v>
      </c>
      <c r="R214" s="139" t="s">
        <v>1295</v>
      </c>
      <c r="S214" s="158">
        <f>S212*PI()/90</f>
        <v>0</v>
      </c>
      <c r="T214" s="158">
        <f>T212*PI()/90</f>
        <v>3.1415926535897931</v>
      </c>
      <c r="U214" s="158">
        <f>U212*PI()/90</f>
        <v>0</v>
      </c>
      <c r="V214" s="158">
        <f>V212*PI()/90</f>
        <v>3.1415926535897931</v>
      </c>
      <c r="W214" s="143" t="s">
        <v>1296</v>
      </c>
      <c r="X214" s="146"/>
      <c r="Z214" s="137" t="s">
        <v>1297</v>
      </c>
      <c r="AA214" s="143"/>
      <c r="AB214" s="143"/>
      <c r="AC214" s="141"/>
      <c r="AD214" s="141"/>
      <c r="AE214" s="141"/>
      <c r="AG214" s="137" t="s">
        <v>1298</v>
      </c>
      <c r="AL214" s="139"/>
      <c r="AM214" s="139" t="s">
        <v>537</v>
      </c>
      <c r="AN214" s="154">
        <f t="shared" ref="AN214:AQ215" si="54">S784</f>
        <v>0</v>
      </c>
      <c r="AO214" s="154">
        <f t="shared" si="54"/>
        <v>90</v>
      </c>
      <c r="AP214" s="154">
        <f t="shared" si="54"/>
        <v>0</v>
      </c>
      <c r="AQ214" s="154">
        <f t="shared" si="54"/>
        <v>90</v>
      </c>
      <c r="AR214" s="143" t="s">
        <v>538</v>
      </c>
      <c r="AS214" s="143" t="s">
        <v>652</v>
      </c>
    </row>
    <row r="215" spans="1:45">
      <c r="A215" s="206"/>
      <c r="H215" s="205"/>
      <c r="J215" s="139" t="s">
        <v>259</v>
      </c>
      <c r="K215" s="140">
        <f>D135</f>
        <v>0.28000000000000003</v>
      </c>
      <c r="L215" s="140">
        <f>K215*I68</f>
        <v>0.28000000000000003</v>
      </c>
      <c r="M215" s="145">
        <f>L215/K215</f>
        <v>1</v>
      </c>
      <c r="N215" s="139" t="s">
        <v>260</v>
      </c>
      <c r="O215" s="144">
        <f>O210-O212</f>
        <v>-100</v>
      </c>
      <c r="P215" s="144">
        <f>P210-P212</f>
        <v>-100</v>
      </c>
      <c r="Q215" s="145">
        <f t="shared" si="51"/>
        <v>1</v>
      </c>
      <c r="R215" s="139" t="s">
        <v>1300</v>
      </c>
      <c r="S215" s="158">
        <f>2*S214</f>
        <v>0</v>
      </c>
      <c r="T215" s="158">
        <f>2*T214</f>
        <v>6.2831853071795862</v>
      </c>
      <c r="U215" s="158">
        <f>2*U214</f>
        <v>0</v>
      </c>
      <c r="V215" s="158">
        <f>2*V214</f>
        <v>6.2831853071795862</v>
      </c>
      <c r="W215" s="138" t="s">
        <v>651</v>
      </c>
      <c r="X215" s="143" t="s">
        <v>652</v>
      </c>
      <c r="Y215" s="143" t="s">
        <v>646</v>
      </c>
      <c r="Z215" s="139"/>
      <c r="AA215" s="143" t="s">
        <v>1301</v>
      </c>
      <c r="AB215" s="143"/>
      <c r="AC215" s="161" t="s">
        <v>977</v>
      </c>
      <c r="AD215" s="161"/>
      <c r="AE215" s="143" t="s">
        <v>1303</v>
      </c>
      <c r="AF215" s="143" t="s">
        <v>1304</v>
      </c>
      <c r="AG215" s="139" t="s">
        <v>1305</v>
      </c>
      <c r="AH215" s="147">
        <f t="shared" ref="AH215:AK217" si="55">AA221/1000</f>
        <v>0</v>
      </c>
      <c r="AI215" s="147">
        <f t="shared" si="55"/>
        <v>0</v>
      </c>
      <c r="AJ215" s="147">
        <f t="shared" si="55"/>
        <v>0</v>
      </c>
      <c r="AK215" s="147">
        <f t="shared" si="55"/>
        <v>0</v>
      </c>
      <c r="AL215" s="157"/>
      <c r="AM215" s="139" t="s">
        <v>541</v>
      </c>
      <c r="AN215" s="154">
        <f t="shared" si="54"/>
        <v>0</v>
      </c>
      <c r="AO215" s="154">
        <f t="shared" si="54"/>
        <v>0</v>
      </c>
      <c r="AP215" s="154">
        <f t="shared" si="54"/>
        <v>0</v>
      </c>
      <c r="AQ215" s="154">
        <f t="shared" si="54"/>
        <v>0</v>
      </c>
      <c r="AR215" s="156">
        <f>W785</f>
        <v>1</v>
      </c>
      <c r="AS215" s="146">
        <f>SUM(AN215:AQ215)</f>
        <v>0</v>
      </c>
    </row>
    <row r="216" spans="1:45">
      <c r="A216" s="206"/>
      <c r="C216" s="207"/>
      <c r="D216" s="207"/>
      <c r="H216" s="205"/>
      <c r="J216" s="139" t="s">
        <v>261</v>
      </c>
      <c r="K216" s="140">
        <f>E135</f>
        <v>7.17</v>
      </c>
      <c r="L216" s="140">
        <f>(1+L226)/(1/L227+L226*2.7/L221)</f>
        <v>7.17</v>
      </c>
      <c r="M216" s="145">
        <f>L216/K216</f>
        <v>1</v>
      </c>
      <c r="N216" s="139"/>
      <c r="O216" s="140"/>
      <c r="P216" s="140"/>
      <c r="Q216" s="140"/>
      <c r="R216" s="139" t="s">
        <v>1321</v>
      </c>
      <c r="S216" s="158">
        <f>2*W213*S213*L217/1000000/Y216</f>
        <v>0</v>
      </c>
      <c r="T216" s="158">
        <f>2*W213*T213*L217/1000000/Y216</f>
        <v>0</v>
      </c>
      <c r="U216" s="158">
        <f>2*W213*U213*L217/1000000/Y216</f>
        <v>0</v>
      </c>
      <c r="V216" s="158">
        <f>2*W213*V213*L217/1000000/Y216</f>
        <v>0</v>
      </c>
      <c r="W216" s="147">
        <f>SUM(S216:V216)</f>
        <v>0</v>
      </c>
      <c r="X216" s="163">
        <f>2*W213*SUM(S213:V213)*L217/1000000</f>
        <v>0</v>
      </c>
      <c r="Y216" s="147">
        <f>Y164</f>
        <v>5.0000000000000001E-4</v>
      </c>
      <c r="Z216" s="139">
        <v>1</v>
      </c>
      <c r="AA216" s="140">
        <f>$B$37</f>
        <v>1</v>
      </c>
      <c r="AB216" s="163"/>
      <c r="AC216" s="140">
        <f>AC164</f>
        <v>119.49416590714854</v>
      </c>
      <c r="AD216" s="163"/>
      <c r="AE216" s="159" t="s">
        <v>1306</v>
      </c>
      <c r="AF216" s="163">
        <f>IF(X216=0,0,(AC216+AC217)/2)</f>
        <v>0</v>
      </c>
      <c r="AG216" s="139" t="s">
        <v>1307</v>
      </c>
      <c r="AH216" s="147">
        <f t="shared" si="55"/>
        <v>0</v>
      </c>
      <c r="AI216" s="147">
        <f t="shared" si="55"/>
        <v>0</v>
      </c>
      <c r="AJ216" s="147">
        <f t="shared" si="55"/>
        <v>0</v>
      </c>
      <c r="AK216" s="147">
        <f t="shared" si="55"/>
        <v>0</v>
      </c>
      <c r="AL216" s="157"/>
      <c r="AM216" s="138" t="s">
        <v>648</v>
      </c>
      <c r="AN216" s="158">
        <f>AN214*PI()/180</f>
        <v>0</v>
      </c>
      <c r="AO216" s="158">
        <f>AO214*PI()/180</f>
        <v>1.5707963267948966</v>
      </c>
      <c r="AP216" s="158">
        <f>AP214*PI()/180</f>
        <v>0</v>
      </c>
      <c r="AQ216" s="158">
        <f>AQ214*PI()/180</f>
        <v>1.5707963267948966</v>
      </c>
      <c r="AS216" s="159" t="s">
        <v>683</v>
      </c>
    </row>
    <row r="217" spans="1:45">
      <c r="A217" s="206"/>
      <c r="H217" s="205"/>
      <c r="J217" s="139" t="s">
        <v>262</v>
      </c>
      <c r="K217" s="144">
        <f>B137</f>
        <v>125</v>
      </c>
      <c r="L217" s="144">
        <f>K217/M219</f>
        <v>125</v>
      </c>
      <c r="M217" s="145">
        <f>L217/K217</f>
        <v>1</v>
      </c>
      <c r="N217" s="137" t="s">
        <v>1531</v>
      </c>
      <c r="O217" s="140"/>
      <c r="P217" s="140"/>
      <c r="Q217" s="140"/>
      <c r="R217" s="139" t="s">
        <v>1325</v>
      </c>
      <c r="S217" s="143" t="s">
        <v>1326</v>
      </c>
      <c r="T217" s="143" t="s">
        <v>1327</v>
      </c>
      <c r="U217" s="143" t="s">
        <v>1328</v>
      </c>
      <c r="V217" s="143" t="s">
        <v>1329</v>
      </c>
      <c r="W217" s="143" t="s">
        <v>1330</v>
      </c>
      <c r="X217" s="139"/>
      <c r="Z217" s="139">
        <v>2</v>
      </c>
      <c r="AA217" s="140">
        <f>$B$38</f>
        <v>0</v>
      </c>
      <c r="AB217" s="163"/>
      <c r="AC217" s="140">
        <f>AC165</f>
        <v>-19.975848039852647</v>
      </c>
      <c r="AD217" s="163"/>
      <c r="AE217" s="159" t="s">
        <v>1309</v>
      </c>
      <c r="AF217" s="163">
        <f>IF(X216=0,0,(AC216-AC217)/2)</f>
        <v>0</v>
      </c>
      <c r="AG217" s="139" t="s">
        <v>1310</v>
      </c>
      <c r="AH217" s="147">
        <f t="shared" si="55"/>
        <v>0</v>
      </c>
      <c r="AI217" s="147">
        <f t="shared" si="55"/>
        <v>0</v>
      </c>
      <c r="AJ217" s="147">
        <f t="shared" si="55"/>
        <v>0</v>
      </c>
      <c r="AK217" s="147">
        <f t="shared" si="55"/>
        <v>0</v>
      </c>
      <c r="AL217" s="157"/>
      <c r="AM217" s="139" t="s">
        <v>653</v>
      </c>
      <c r="AN217" s="158">
        <f>COS(AN214*PI()/180)</f>
        <v>1</v>
      </c>
      <c r="AO217" s="158">
        <f>COS(AO214*PI()/180)</f>
        <v>6.1257422745431001E-17</v>
      </c>
      <c r="AP217" s="158">
        <f>COS(AP214*PI()/180)</f>
        <v>1</v>
      </c>
      <c r="AQ217" s="158">
        <f>COS(AQ214*PI()/180)</f>
        <v>6.1257422745431001E-17</v>
      </c>
      <c r="AR217" s="143"/>
      <c r="AS217" s="162">
        <f>$L789/1000000/AT5*2/AT7</f>
        <v>0.05</v>
      </c>
    </row>
    <row r="218" spans="1:45">
      <c r="A218" s="204"/>
      <c r="H218" s="205"/>
      <c r="J218" s="137" t="s">
        <v>264</v>
      </c>
      <c r="K218" s="140"/>
      <c r="L218" s="140"/>
      <c r="N218" s="139" t="s">
        <v>265</v>
      </c>
      <c r="O218" s="140">
        <f>A138</f>
        <v>0.02</v>
      </c>
      <c r="P218" s="140">
        <f>O218</f>
        <v>0.02</v>
      </c>
      <c r="Q218" s="140">
        <f>P218/O218</f>
        <v>1</v>
      </c>
      <c r="R218" s="139">
        <v>11</v>
      </c>
      <c r="S218" s="140">
        <f>L235+L236*COS(S214)+L237*COS(S215)</f>
        <v>181.81113884441794</v>
      </c>
      <c r="T218" s="140">
        <f>L235+L236*COS(T214)+L237*COS(T215)</f>
        <v>10.346158729820477</v>
      </c>
      <c r="U218" s="140">
        <f>L235+L236*COS(U214)+L237*COS(U215)</f>
        <v>181.81113884441794</v>
      </c>
      <c r="V218" s="140">
        <f>L235+L236*COS(V214)+L237*COS(V215)</f>
        <v>10.346158729820477</v>
      </c>
      <c r="W218" s="163">
        <f>(S216*S218+T216*T218+U216*U218+V216*V218)</f>
        <v>0</v>
      </c>
      <c r="X218" s="147"/>
      <c r="Z218" s="139">
        <v>6</v>
      </c>
      <c r="AA218" s="140">
        <f>$B$39</f>
        <v>0</v>
      </c>
      <c r="AB218" s="163"/>
      <c r="AC218" s="140">
        <f>AC166</f>
        <v>-91.562516762323497</v>
      </c>
      <c r="AD218" s="163"/>
      <c r="AE218" s="159" t="s">
        <v>1312</v>
      </c>
      <c r="AF218" s="163">
        <f>IF(X216=0,0,AC218/2)</f>
        <v>0</v>
      </c>
      <c r="AG218" s="139"/>
      <c r="AH218" s="163"/>
      <c r="AI218" s="163"/>
      <c r="AJ218" s="163"/>
      <c r="AK218" s="163"/>
      <c r="AL218" s="163"/>
      <c r="AM218" s="139" t="s">
        <v>654</v>
      </c>
      <c r="AN218" s="158">
        <f>SIN(AN214*PI()/180)</f>
        <v>0</v>
      </c>
      <c r="AO218" s="158">
        <f>SIN(AO214*PI()/180)</f>
        <v>1</v>
      </c>
      <c r="AP218" s="158">
        <f>SIN(AP214*PI()/180)</f>
        <v>0</v>
      </c>
      <c r="AQ218" s="158">
        <f>SIN(AQ214*PI()/180)</f>
        <v>1</v>
      </c>
      <c r="AS218" s="160" t="s">
        <v>655</v>
      </c>
    </row>
    <row r="219" spans="1:45">
      <c r="A219" s="206"/>
      <c r="H219" s="205"/>
      <c r="J219" s="139" t="s">
        <v>1532</v>
      </c>
      <c r="K219" s="140">
        <f>C137</f>
        <v>0.7</v>
      </c>
      <c r="L219" s="140">
        <f>D68</f>
        <v>0.7</v>
      </c>
      <c r="M219" s="145">
        <f t="shared" ref="M219:M228" si="56">L219/K219</f>
        <v>1</v>
      </c>
      <c r="N219" s="139" t="s">
        <v>1533</v>
      </c>
      <c r="O219" s="140">
        <f>B138</f>
        <v>22.5</v>
      </c>
      <c r="P219" s="140">
        <f>O219*(1-L219)/(1-K219)</f>
        <v>22.5</v>
      </c>
      <c r="Q219" s="140">
        <f>P219/O219</f>
        <v>1</v>
      </c>
      <c r="R219" s="139">
        <v>22</v>
      </c>
      <c r="S219" s="140">
        <f>S218-2*L236*COS(S214)</f>
        <v>10.346158729820473</v>
      </c>
      <c r="T219" s="140">
        <f>T218-2*L236*COS(T214)</f>
        <v>181.81113884441794</v>
      </c>
      <c r="U219" s="140">
        <f>U218-2*L236*COS(U214)</f>
        <v>10.346158729820473</v>
      </c>
      <c r="V219" s="140">
        <f>V218-2*L236*COS(V214)</f>
        <v>181.81113884441794</v>
      </c>
      <c r="W219" s="163">
        <f>(S216*S219+T216*T219+U216*U219+V216*V219)</f>
        <v>0</v>
      </c>
      <c r="X219" s="147"/>
      <c r="AA219" s="163"/>
      <c r="AB219" s="163"/>
      <c r="AC219" s="163"/>
      <c r="AD219" s="163"/>
      <c r="AE219" s="159"/>
      <c r="AF219" s="163"/>
      <c r="AG219" s="139"/>
      <c r="AH219" s="163"/>
      <c r="AI219" s="163"/>
      <c r="AJ219" s="163"/>
      <c r="AK219" s="163"/>
      <c r="AL219" s="163"/>
      <c r="AM219" s="139" t="s">
        <v>690</v>
      </c>
      <c r="AN219" s="158">
        <f>S824</f>
        <v>7.17</v>
      </c>
      <c r="AO219" s="158">
        <f>T824</f>
        <v>3.433333333333334</v>
      </c>
      <c r="AP219" s="158">
        <f>U824</f>
        <v>7.17</v>
      </c>
      <c r="AQ219" s="158">
        <f>V824</f>
        <v>3.433333333333334</v>
      </c>
      <c r="AR219" s="147"/>
      <c r="AS219" s="138">
        <f>AS215*AS217*AR215</f>
        <v>0</v>
      </c>
    </row>
    <row r="220" spans="1:45">
      <c r="A220" s="206"/>
      <c r="H220" s="205"/>
      <c r="J220" s="139" t="s">
        <v>1534</v>
      </c>
      <c r="K220" s="144">
        <f>K213/K219</f>
        <v>258.57142857142861</v>
      </c>
      <c r="L220" s="144">
        <f>F68*P214^F138</f>
        <v>258.57142857142861</v>
      </c>
      <c r="M220" s="145">
        <f t="shared" si="56"/>
        <v>1</v>
      </c>
      <c r="N220" s="138" t="s">
        <v>1535</v>
      </c>
      <c r="O220" s="140"/>
      <c r="P220" s="140"/>
      <c r="Q220" s="140"/>
      <c r="R220" s="139" t="s">
        <v>1345</v>
      </c>
      <c r="S220" s="140">
        <f>L238-L237*COS(S215)</f>
        <v>2.8969244443497324</v>
      </c>
      <c r="T220" s="140">
        <f>L238-L237*COS(T215)</f>
        <v>2.8969244443497324</v>
      </c>
      <c r="U220" s="140">
        <f>L238-L237*COS(U215)</f>
        <v>2.8969244443497324</v>
      </c>
      <c r="V220" s="140">
        <f>L238-L237*COS(V215)</f>
        <v>2.8969244443497324</v>
      </c>
      <c r="W220" s="163">
        <f>(S216*S220+T216*T220+U216*U220+V216*V220)</f>
        <v>0</v>
      </c>
      <c r="X220" s="147"/>
      <c r="Z220" s="137" t="s">
        <v>1323</v>
      </c>
      <c r="AA220" s="163"/>
      <c r="AB220" s="163"/>
      <c r="AC220" s="163"/>
      <c r="AD220" s="163"/>
      <c r="AE220" s="159" t="s">
        <v>661</v>
      </c>
      <c r="AF220" s="163">
        <f>L215/L213*L230+L228/L214*L232</f>
        <v>0.42188220063345594</v>
      </c>
      <c r="AG220" s="139"/>
      <c r="AH220" s="163"/>
      <c r="AI220" s="163"/>
      <c r="AJ220" s="163"/>
      <c r="AK220" s="163"/>
      <c r="AL220" s="163"/>
      <c r="AM220" s="139" t="s">
        <v>692</v>
      </c>
      <c r="AN220" s="158">
        <f>S823</f>
        <v>3.433333333333334</v>
      </c>
      <c r="AO220" s="158">
        <f>T823</f>
        <v>7.17</v>
      </c>
      <c r="AP220" s="158">
        <f>U823</f>
        <v>3.433333333333334</v>
      </c>
      <c r="AQ220" s="158">
        <f>V823</f>
        <v>7.17</v>
      </c>
    </row>
    <row r="221" spans="1:45">
      <c r="A221" s="206"/>
      <c r="C221" s="207"/>
      <c r="H221" s="205"/>
      <c r="J221" s="139" t="s">
        <v>1536</v>
      </c>
      <c r="K221" s="140">
        <f>F135</f>
        <v>3.4</v>
      </c>
      <c r="L221" s="140">
        <f>E68*P214^F137*I68</f>
        <v>3.4</v>
      </c>
      <c r="M221" s="145">
        <f t="shared" si="56"/>
        <v>1</v>
      </c>
      <c r="N221" s="139" t="s">
        <v>1537</v>
      </c>
      <c r="O221" s="140">
        <f>C138</f>
        <v>0</v>
      </c>
      <c r="P221" s="140">
        <f>O221</f>
        <v>0</v>
      </c>
      <c r="Q221" s="140">
        <v>1</v>
      </c>
      <c r="R221" s="139">
        <v>66</v>
      </c>
      <c r="S221" s="140">
        <f>S220-L238+L239</f>
        <v>7.1700000000000053</v>
      </c>
      <c r="T221" s="140">
        <f>T220-L238+L239</f>
        <v>7.1700000000000053</v>
      </c>
      <c r="U221" s="140">
        <f>U220-L238+L239</f>
        <v>7.1700000000000053</v>
      </c>
      <c r="V221" s="140">
        <f>V220-L238+L239</f>
        <v>7.1700000000000053</v>
      </c>
      <c r="W221" s="163">
        <f>(S216*S221+T216*T221+U216*U221+V216*V221)</f>
        <v>0</v>
      </c>
      <c r="X221" s="147"/>
      <c r="Z221" s="139" t="s">
        <v>1324</v>
      </c>
      <c r="AA221" s="147">
        <f>(AF216+AF217*COS(AA212)+AF218*SIN(AA212))</f>
        <v>0</v>
      </c>
      <c r="AB221" s="147">
        <f>(AF216+AF217*COS(AB212)+AF218*SIN(AB212))</f>
        <v>0</v>
      </c>
      <c r="AC221" s="147">
        <f>(AF216+AF217*COS(AC212)+AF218*SIN(AC212))</f>
        <v>0</v>
      </c>
      <c r="AD221" s="147">
        <f>(AF216+AF217*COS(AD212)+AF218*SIN(AD212))</f>
        <v>0</v>
      </c>
      <c r="AE221" s="159" t="s">
        <v>664</v>
      </c>
      <c r="AF221" s="163">
        <f>L215/L213*L232+L228/L214*L231</f>
        <v>0.50672214511948566</v>
      </c>
      <c r="AG221" s="137"/>
      <c r="AH221" s="159"/>
      <c r="AI221" s="159"/>
      <c r="AJ221" s="159"/>
      <c r="AK221" s="159"/>
      <c r="AL221" s="163"/>
      <c r="AM221" s="139" t="s">
        <v>660</v>
      </c>
      <c r="AN221" s="158">
        <f>S829</f>
        <v>0</v>
      </c>
      <c r="AO221" s="158">
        <f>T829</f>
        <v>2.2889856965876046E-16</v>
      </c>
      <c r="AP221" s="158">
        <f>U829</f>
        <v>0</v>
      </c>
      <c r="AQ221" s="158">
        <f>V829</f>
        <v>2.2889856965876046E-16</v>
      </c>
    </row>
    <row r="222" spans="1:45">
      <c r="A222" s="206"/>
      <c r="H222" s="205"/>
      <c r="J222" s="139" t="s">
        <v>1538</v>
      </c>
      <c r="K222" s="140">
        <f>E137</f>
        <v>0.51600000000000001</v>
      </c>
      <c r="L222" s="140">
        <f>K222*P214^G137</f>
        <v>0.51600000000000001</v>
      </c>
      <c r="M222" s="145">
        <f t="shared" si="56"/>
        <v>1</v>
      </c>
      <c r="N222" s="139" t="s">
        <v>1539</v>
      </c>
      <c r="O222" s="140">
        <f>D138</f>
        <v>0.6</v>
      </c>
      <c r="P222" s="140">
        <f>O222*(1-L219)/(1-K219)</f>
        <v>0.6</v>
      </c>
      <c r="Q222" s="140">
        <f>P222/O222</f>
        <v>1</v>
      </c>
      <c r="R222" s="139" t="s">
        <v>1347</v>
      </c>
      <c r="S222" s="140">
        <f>L236*SIN(S214)/2+L237*SIN(S215)</f>
        <v>0</v>
      </c>
      <c r="T222" s="140">
        <f>L236*SIN(T214)/2+L237*SIN(T215)</f>
        <v>4.221105484146412E-16</v>
      </c>
      <c r="U222" s="140">
        <f>L236*SIN(U214)/2+L237*SIN(U215)</f>
        <v>0</v>
      </c>
      <c r="V222" s="140">
        <f>L236*SIN(V214)/2+L237*SIN(V215)</f>
        <v>4.221105484146412E-16</v>
      </c>
      <c r="W222" s="163">
        <f>(S216*S222+T216*T222+U216*U222+V216*V222)</f>
        <v>0</v>
      </c>
      <c r="X222" s="147"/>
      <c r="Z222" s="139" t="s">
        <v>1332</v>
      </c>
      <c r="AA222" s="147">
        <f>2*AF216-AA221</f>
        <v>0</v>
      </c>
      <c r="AB222" s="147">
        <f>2*AF216-AB221</f>
        <v>0</v>
      </c>
      <c r="AC222" s="147">
        <f>2*AF216-AC221</f>
        <v>0</v>
      </c>
      <c r="AD222" s="147">
        <f>2*AF216-AD221</f>
        <v>0</v>
      </c>
      <c r="AE222" s="159"/>
      <c r="AF222" s="163"/>
      <c r="AG222" s="139" t="s">
        <v>1333</v>
      </c>
      <c r="AH222" s="163">
        <f>P241*AH215^2+2*P243*AH215*AH216+P242*AH216^2+P244*AH217^2</f>
        <v>0</v>
      </c>
      <c r="AI222" s="163">
        <f>P241*AI215^2+2*P243*AI215*AI216+P242*AI216^2+P244*AI217^2</f>
        <v>0</v>
      </c>
      <c r="AJ222" s="163">
        <f>P241*AJ215^2+2*P243*AJ215*AJ216+P242*AJ216^2+P244*AJ217^2</f>
        <v>0</v>
      </c>
      <c r="AK222" s="163">
        <f>P241*AK215^2+2*P243*AK215*AK216+P242*AK216^2+P244*AK217^2</f>
        <v>0</v>
      </c>
      <c r="AL222" s="163"/>
      <c r="AM222" s="139" t="s">
        <v>662</v>
      </c>
      <c r="AN222" s="158">
        <f>AN219/(AN219*AN220-AN221^2)</f>
        <v>0.29126213592233002</v>
      </c>
      <c r="AO222" s="158">
        <f>AO219/(AO219*AO220-AO221^2)</f>
        <v>0.1394700139470014</v>
      </c>
      <c r="AP222" s="158">
        <f>AP219/(AP219*AP220-AP221^2)</f>
        <v>0.29126213592233002</v>
      </c>
      <c r="AQ222" s="158">
        <f>AQ219/(AQ219*AQ220-AQ221^2)</f>
        <v>0.1394700139470014</v>
      </c>
    </row>
    <row r="223" spans="1:45">
      <c r="A223" s="204"/>
      <c r="H223" s="205"/>
      <c r="J223" s="139" t="s">
        <v>1547</v>
      </c>
      <c r="K223" s="140">
        <f>K222*(1-K219)/K219</f>
        <v>0.2211428571428572</v>
      </c>
      <c r="L223" s="140">
        <f>L222*(1-L219)/L219</f>
        <v>0.2211428571428572</v>
      </c>
      <c r="M223" s="145">
        <f t="shared" si="56"/>
        <v>1</v>
      </c>
      <c r="O223" s="140"/>
      <c r="P223" s="140"/>
      <c r="Q223" s="140"/>
      <c r="R223" s="139" t="s">
        <v>1349</v>
      </c>
      <c r="S223" s="140">
        <f>L236*SIN(S214)-S222</f>
        <v>0</v>
      </c>
      <c r="T223" s="140">
        <f>L236*SIN(T214)-T222</f>
        <v>1.0081392224502176E-14</v>
      </c>
      <c r="U223" s="140">
        <f>L236*SIN(U214)-U222</f>
        <v>0</v>
      </c>
      <c r="V223" s="140">
        <f>L236*SIN(V214)-V222</f>
        <v>1.0081392224502176E-14</v>
      </c>
      <c r="W223" s="163">
        <f>(S216*S223+T216*T223+U216*U223+V216*V223)</f>
        <v>0</v>
      </c>
      <c r="X223" s="147"/>
      <c r="Z223" s="139" t="s">
        <v>1334</v>
      </c>
      <c r="AA223" s="147">
        <f>(2*(AF218*COS(AA212)-AF217*SIN(AA212)))</f>
        <v>0</v>
      </c>
      <c r="AB223" s="147">
        <f>(2*(AF218*COS(AB212)-AF217*SIN(AB212)))</f>
        <v>0</v>
      </c>
      <c r="AC223" s="147">
        <f>(2*(AF218*COS(AC212)-AF217*SIN(AC212)))</f>
        <v>0</v>
      </c>
      <c r="AD223" s="147">
        <f>(2*(AF218*COS(AD212)-AF217*SIN(AD212)))</f>
        <v>0</v>
      </c>
      <c r="AE223" s="159"/>
      <c r="AF223" s="163"/>
      <c r="AG223" s="139" t="s">
        <v>1335</v>
      </c>
      <c r="AH223" s="163">
        <f>P245*AH215+P246*AH216</f>
        <v>0</v>
      </c>
      <c r="AI223" s="163">
        <f>P245*AI215+P246*AI216</f>
        <v>0</v>
      </c>
      <c r="AJ223" s="163">
        <f>P245*AJ215+P246*AJ216</f>
        <v>0</v>
      </c>
      <c r="AK223" s="163">
        <f>P245*AK215+P246*AK216</f>
        <v>0</v>
      </c>
      <c r="AL223" s="163"/>
      <c r="AM223" s="139" t="s">
        <v>665</v>
      </c>
      <c r="AN223" s="158">
        <f>AN220/(AN219*AN220-AN221^2)</f>
        <v>0.1394700139470014</v>
      </c>
      <c r="AO223" s="158">
        <f>AO220/(AO219*AO220-AO221^2)</f>
        <v>0.29126213592233002</v>
      </c>
      <c r="AP223" s="158">
        <f>AP220/(AP219*AP220-AP221^2)</f>
        <v>0.1394700139470014</v>
      </c>
      <c r="AQ223" s="158">
        <f>AQ220/(AQ219*AQ220-AQ221^2)</f>
        <v>0.29126213592233002</v>
      </c>
    </row>
    <row r="224" spans="1:45">
      <c r="A224" s="206"/>
      <c r="H224" s="205"/>
      <c r="J224" s="139" t="s">
        <v>1643</v>
      </c>
      <c r="K224" s="140">
        <f>1/((1+K223)/K214-K223/K221)</f>
        <v>18.686160319541436</v>
      </c>
      <c r="L224" s="140">
        <f>K224*P214^F138</f>
        <v>18.686160319541436</v>
      </c>
      <c r="M224" s="145">
        <f t="shared" si="56"/>
        <v>1</v>
      </c>
      <c r="N224" s="138" t="s">
        <v>176</v>
      </c>
      <c r="O224" s="140"/>
      <c r="P224" s="140"/>
      <c r="Q224" s="140"/>
      <c r="R224" s="139"/>
      <c r="S224" s="143"/>
      <c r="T224" s="143"/>
      <c r="U224" s="143"/>
      <c r="V224" s="139"/>
      <c r="W224" s="143"/>
      <c r="Z224" s="139" t="s">
        <v>671</v>
      </c>
      <c r="AA224" s="164">
        <f>S242*S216</f>
        <v>0</v>
      </c>
      <c r="AB224" s="164">
        <f>T242*T216</f>
        <v>0</v>
      </c>
      <c r="AC224" s="164">
        <f>U242*U216</f>
        <v>0</v>
      </c>
      <c r="AD224" s="164">
        <f>V242*V216</f>
        <v>0</v>
      </c>
      <c r="AE224" s="164">
        <f>W216*(P219+P218*AF220+AF221*P219)-AF220*SUM(AA224:AD224)-AF221*SUM(AA225:AD225)</f>
        <v>0</v>
      </c>
      <c r="AF224" s="164"/>
      <c r="AG224" s="139" t="s">
        <v>1344</v>
      </c>
      <c r="AH224" s="163" t="e">
        <f>AH223/2/AH222</f>
        <v>#DIV/0!</v>
      </c>
      <c r="AI224" s="163" t="e">
        <f>AI223/2/AI222</f>
        <v>#DIV/0!</v>
      </c>
      <c r="AJ224" s="163" t="e">
        <f>AJ223/2/AJ222</f>
        <v>#DIV/0!</v>
      </c>
      <c r="AK224" s="163" t="e">
        <f>AK223/2/AK222</f>
        <v>#DIV/0!</v>
      </c>
      <c r="AL224" s="163"/>
      <c r="AM224" s="138" t="s">
        <v>666</v>
      </c>
      <c r="AN224" s="141">
        <f>-AN221/(AN219*AN220-AN221^2)</f>
        <v>0</v>
      </c>
      <c r="AO224" s="141">
        <f>-AO221/(AO219*AO220-AO221^2)</f>
        <v>-9.2983941852687333E-18</v>
      </c>
      <c r="AP224" s="141">
        <f>-AP221/(AP219*AP220-AP221^2)</f>
        <v>0</v>
      </c>
      <c r="AQ224" s="141">
        <f>-AQ221/(AQ219*AQ220-AQ221^2)</f>
        <v>-9.2983941852687333E-18</v>
      </c>
    </row>
    <row r="225" spans="1:38">
      <c r="A225" s="206"/>
      <c r="H225" s="205"/>
      <c r="J225" s="139" t="s">
        <v>295</v>
      </c>
      <c r="K225" s="140">
        <f>E138</f>
        <v>0.316</v>
      </c>
      <c r="L225" s="140">
        <f>K225*P214^G137</f>
        <v>0.316</v>
      </c>
      <c r="M225" s="145">
        <f t="shared" si="56"/>
        <v>1</v>
      </c>
      <c r="N225" s="139" t="s">
        <v>296</v>
      </c>
      <c r="O225" s="144">
        <f>A136</f>
        <v>1500</v>
      </c>
      <c r="P225" s="144">
        <f>P231*L219</f>
        <v>1500</v>
      </c>
      <c r="Q225" s="140">
        <f t="shared" ref="Q225:Q232" si="57">P225/O225</f>
        <v>1</v>
      </c>
      <c r="R225" s="139"/>
      <c r="T225" s="164"/>
      <c r="U225" s="140"/>
      <c r="V225" s="140"/>
      <c r="W225" s="140"/>
      <c r="X225" s="143"/>
      <c r="Y225" s="139"/>
      <c r="Z225" s="139" t="s">
        <v>675</v>
      </c>
      <c r="AA225" s="164">
        <f>S243*S216</f>
        <v>0</v>
      </c>
      <c r="AB225" s="164">
        <f>T243*T216</f>
        <v>0</v>
      </c>
      <c r="AC225" s="164">
        <f>U243*U216</f>
        <v>0</v>
      </c>
      <c r="AD225" s="164">
        <f>V243*V216</f>
        <v>0</v>
      </c>
      <c r="AE225" s="164"/>
      <c r="AF225" s="164"/>
      <c r="AG225" s="139"/>
      <c r="AH225" s="163"/>
      <c r="AI225" s="163"/>
      <c r="AJ225" s="163"/>
      <c r="AK225" s="163"/>
      <c r="AL225" s="163"/>
    </row>
    <row r="226" spans="1:38">
      <c r="A226" s="206"/>
      <c r="C226" s="207"/>
      <c r="H226" s="205"/>
      <c r="J226" s="139" t="s">
        <v>301</v>
      </c>
      <c r="K226" s="140">
        <f>K225*(1-K219)/K219</f>
        <v>0.13542857142857145</v>
      </c>
      <c r="L226" s="140">
        <f>L225*(1-L219)/L219</f>
        <v>0.13542857142857145</v>
      </c>
      <c r="M226" s="145">
        <f t="shared" si="56"/>
        <v>1</v>
      </c>
      <c r="N226" s="139" t="s">
        <v>302</v>
      </c>
      <c r="O226" s="144">
        <f>B136</f>
        <v>1500</v>
      </c>
      <c r="P226" s="144">
        <f>O226*Q225*M216^F139</f>
        <v>1500</v>
      </c>
      <c r="Q226" s="140">
        <f t="shared" si="57"/>
        <v>1</v>
      </c>
      <c r="R226" s="139"/>
      <c r="T226" s="164"/>
      <c r="U226" s="140"/>
      <c r="V226" s="140"/>
      <c r="W226" s="140"/>
      <c r="X226" s="140"/>
      <c r="Y226" s="140"/>
      <c r="Z226" s="139" t="s">
        <v>677</v>
      </c>
      <c r="AA226" s="164">
        <f>S244*S216</f>
        <v>0</v>
      </c>
      <c r="AB226" s="164">
        <f>T244*T216</f>
        <v>0</v>
      </c>
      <c r="AC226" s="164">
        <f>U244*U216</f>
        <v>0</v>
      </c>
      <c r="AD226" s="164">
        <f>V244*V216</f>
        <v>0</v>
      </c>
      <c r="AE226" s="164">
        <f>W216*(P222+P221*AF220+AF221*P222)-AF220*SUM(AA226:AD226)-AF221*SUM(AA227:AD227)</f>
        <v>0</v>
      </c>
      <c r="AF226" s="164"/>
      <c r="AG226" s="139"/>
      <c r="AH226" s="163"/>
      <c r="AI226" s="147"/>
      <c r="AJ226" s="163"/>
      <c r="AK226" s="163"/>
      <c r="AL226" s="163"/>
    </row>
    <row r="227" spans="1:38">
      <c r="A227" s="206"/>
      <c r="H227" s="205"/>
      <c r="J227" s="139" t="s">
        <v>304</v>
      </c>
      <c r="K227" s="140">
        <f>1/((1+K226)/K216-K226*2.7/K221)</f>
        <v>19.680382632972858</v>
      </c>
      <c r="L227" s="140">
        <f>K227*P214^F138</f>
        <v>19.680382632972858</v>
      </c>
      <c r="M227" s="145">
        <f t="shared" si="56"/>
        <v>1</v>
      </c>
      <c r="N227" s="139" t="s">
        <v>305</v>
      </c>
      <c r="O227" s="144">
        <f>C136</f>
        <v>40</v>
      </c>
      <c r="P227" s="144">
        <f>O227*Q232</f>
        <v>40</v>
      </c>
      <c r="Q227" s="140">
        <f t="shared" si="57"/>
        <v>1</v>
      </c>
      <c r="R227" s="139"/>
      <c r="T227" s="164"/>
      <c r="U227" s="140"/>
      <c r="V227" s="140"/>
      <c r="W227" s="140"/>
      <c r="X227" s="140"/>
      <c r="Y227" s="140"/>
      <c r="Z227" s="138" t="s">
        <v>679</v>
      </c>
      <c r="AA227" s="164">
        <f>S245*S216</f>
        <v>0</v>
      </c>
      <c r="AB227" s="164">
        <f>T245*T216</f>
        <v>0</v>
      </c>
      <c r="AC227" s="164">
        <f>U245*U216</f>
        <v>0</v>
      </c>
      <c r="AD227" s="164">
        <f>V245*V216</f>
        <v>0</v>
      </c>
      <c r="AE227" s="164"/>
      <c r="AF227" s="164"/>
      <c r="AG227" s="139"/>
      <c r="AH227" s="163"/>
      <c r="AI227" s="163"/>
      <c r="AJ227" s="163"/>
      <c r="AK227" s="163"/>
      <c r="AL227" s="159" t="s">
        <v>1348</v>
      </c>
    </row>
    <row r="228" spans="1:38">
      <c r="A228" s="204"/>
      <c r="H228" s="205"/>
      <c r="J228" s="139" t="s">
        <v>1581</v>
      </c>
      <c r="K228" s="140">
        <f>F139</f>
        <v>0.5</v>
      </c>
      <c r="L228" s="140">
        <f>K228</f>
        <v>0.5</v>
      </c>
      <c r="M228" s="140">
        <f t="shared" si="56"/>
        <v>1</v>
      </c>
      <c r="N228" s="139" t="s">
        <v>1542</v>
      </c>
      <c r="O228" s="144">
        <f>D136</f>
        <v>246</v>
      </c>
      <c r="P228" s="144">
        <f>O228*Q232</f>
        <v>246</v>
      </c>
      <c r="Q228" s="140">
        <f t="shared" si="57"/>
        <v>1</v>
      </c>
      <c r="R228" s="139"/>
      <c r="T228" s="164"/>
      <c r="U228" s="140"/>
      <c r="V228" s="140"/>
      <c r="W228" s="138"/>
      <c r="X228" s="140"/>
      <c r="Y228" s="140"/>
      <c r="Z228" s="139" t="s">
        <v>682</v>
      </c>
      <c r="AA228" s="164">
        <f>S216*(AA221+S246/1000)</f>
        <v>0</v>
      </c>
      <c r="AB228" s="164">
        <f>T216*(AB221+T246/1000)</f>
        <v>0</v>
      </c>
      <c r="AC228" s="164">
        <f>U216*(AC221+U246/1000)</f>
        <v>0</v>
      </c>
      <c r="AD228" s="164">
        <f>V216*(AD221+V246/1000)</f>
        <v>0</v>
      </c>
      <c r="AE228" s="164">
        <f>W216*((1+AF221)*(P219*P215/1000000+P222*P211)+AF220*(P218*P215/1000000+P221*P211))*1000-AF220*SUM(AA228:AD228)-AF221*SUM(AA229:AD229)</f>
        <v>0</v>
      </c>
      <c r="AF228" s="164"/>
      <c r="AG228" s="139" t="s">
        <v>1351</v>
      </c>
      <c r="AH228" s="147" t="e">
        <f>(AH224^2+1/AH222)^0.5-AH224</f>
        <v>#DIV/0!</v>
      </c>
      <c r="AI228" s="147" t="e">
        <f>(AI224^2+1/AI222)^0.5-AI224</f>
        <v>#DIV/0!</v>
      </c>
      <c r="AJ228" s="147" t="e">
        <f>(AJ224^2+1/AJ222)^0.5-AJ224</f>
        <v>#DIV/0!</v>
      </c>
      <c r="AK228" s="147" t="e">
        <f>(AK224^2+1/AK222)^0.5-AK224</f>
        <v>#DIV/0!</v>
      </c>
      <c r="AL228" s="147">
        <f>MIN(AH229:AK229)</f>
        <v>1000000000</v>
      </c>
    </row>
    <row r="229" spans="1:38">
      <c r="A229" s="206"/>
      <c r="H229" s="205"/>
      <c r="J229" s="138" t="s">
        <v>1507</v>
      </c>
      <c r="N229" s="139" t="s">
        <v>1543</v>
      </c>
      <c r="O229" s="165">
        <f>E136</f>
        <v>68</v>
      </c>
      <c r="P229" s="165">
        <f>O229*Q232</f>
        <v>68</v>
      </c>
      <c r="Q229" s="140">
        <f t="shared" si="57"/>
        <v>1</v>
      </c>
      <c r="R229" s="139"/>
      <c r="T229" s="164"/>
      <c r="U229" s="140"/>
      <c r="V229" s="140"/>
      <c r="W229" s="138"/>
      <c r="X229" s="138"/>
      <c r="Z229" s="139" t="s">
        <v>685</v>
      </c>
      <c r="AA229" s="164">
        <f>S216*(AA222+S247/1000)</f>
        <v>0</v>
      </c>
      <c r="AB229" s="164">
        <f>T216*(AB222+T247/1000)</f>
        <v>0</v>
      </c>
      <c r="AC229" s="164">
        <f>U216*(AC222+U247/1000)</f>
        <v>0</v>
      </c>
      <c r="AD229" s="164">
        <f>V216*(AD222+V247/1000)</f>
        <v>0</v>
      </c>
      <c r="AE229" s="164"/>
      <c r="AF229" s="164"/>
      <c r="AG229" s="139"/>
      <c r="AH229" s="147">
        <f>IF(AH211=0,1000000000,AH228)</f>
        <v>1000000000</v>
      </c>
      <c r="AI229" s="147">
        <f>IF(AI211=0,1000000000,AI228)</f>
        <v>1000000000</v>
      </c>
      <c r="AJ229" s="147">
        <f>IF(AJ211=0,1000000000,AJ228)</f>
        <v>1000000000</v>
      </c>
      <c r="AK229" s="147">
        <f>IF(AK211=0,1000000000,AK228)</f>
        <v>1000000000</v>
      </c>
    </row>
    <row r="230" spans="1:38">
      <c r="A230" s="206"/>
      <c r="H230" s="205"/>
      <c r="J230" s="139" t="s">
        <v>1354</v>
      </c>
      <c r="K230" s="140">
        <f>K213/(1-K215^2*K214/K213)</f>
        <v>181.81113884441791</v>
      </c>
      <c r="L230" s="140">
        <f>L213/(1-L215^2*L214/L213)</f>
        <v>181.81113884441794</v>
      </c>
      <c r="M230" s="145">
        <f>L230/K230</f>
        <v>1.0000000000000002</v>
      </c>
      <c r="N230" s="139" t="s">
        <v>1168</v>
      </c>
      <c r="O230" s="145">
        <f>A137</f>
        <v>-0.5</v>
      </c>
      <c r="P230" s="145">
        <f>O230*I68</f>
        <v>-0.5</v>
      </c>
      <c r="Q230" s="140">
        <f t="shared" si="57"/>
        <v>1</v>
      </c>
      <c r="R230" s="139"/>
      <c r="T230" s="164"/>
      <c r="U230" s="140"/>
      <c r="V230" s="140"/>
      <c r="W230" s="138"/>
      <c r="X230" s="138"/>
      <c r="Z230" s="138" t="s">
        <v>686</v>
      </c>
      <c r="AA230" s="140">
        <f>($AF220*COS(AA213)^2+$AF221*SIN(AA213)^2)*S216</f>
        <v>0</v>
      </c>
      <c r="AB230" s="140">
        <f>($AF220*COS(AB213)^2+$AF221*SIN(AB213)^2)*T216</f>
        <v>0</v>
      </c>
      <c r="AC230" s="140">
        <f>($AF220*COS(AC213)^2+$AF221*SIN(AC213)^2)*U216</f>
        <v>0</v>
      </c>
      <c r="AD230" s="140">
        <f>($AF220*COS(AD213)^2+$AF221*SIN(AD213)^2)*V216</f>
        <v>0</v>
      </c>
      <c r="AE230" s="163">
        <f>SUM(AA230:AD230)</f>
        <v>0</v>
      </c>
      <c r="AF230" s="163"/>
      <c r="AG230" s="138" t="s">
        <v>1360</v>
      </c>
      <c r="AH230" s="147">
        <f>IF(AH211=0,0,AH228)</f>
        <v>0</v>
      </c>
      <c r="AI230" s="147">
        <f>IF(AI211=0,0,AI228)</f>
        <v>0</v>
      </c>
      <c r="AJ230" s="147">
        <f>IF(AJ211=0,0,AJ228)</f>
        <v>0</v>
      </c>
      <c r="AK230" s="147">
        <f>IF(AK211=0,0,AK228)</f>
        <v>0</v>
      </c>
    </row>
    <row r="231" spans="1:38">
      <c r="A231" s="206"/>
      <c r="C231" s="207"/>
      <c r="H231" s="205"/>
      <c r="J231" s="139" t="s">
        <v>1361</v>
      </c>
      <c r="K231" s="140">
        <f>K230*K214/K213</f>
        <v>10.346158729820468</v>
      </c>
      <c r="L231" s="140">
        <f>L230*L214/L213</f>
        <v>10.346158729820468</v>
      </c>
      <c r="M231" s="145">
        <f>L231/K231</f>
        <v>1</v>
      </c>
      <c r="N231" s="139" t="s">
        <v>1175</v>
      </c>
      <c r="O231" s="144">
        <f>O225/K219</f>
        <v>2142.8571428571431</v>
      </c>
      <c r="P231" s="144">
        <f>H68*P214^G138</f>
        <v>2142.8571428571431</v>
      </c>
      <c r="Q231" s="140">
        <f t="shared" si="57"/>
        <v>1</v>
      </c>
      <c r="T231" s="147"/>
      <c r="U231" s="141"/>
      <c r="V231" s="141"/>
      <c r="W231" s="138"/>
      <c r="X231" s="138"/>
      <c r="Z231" s="138" t="s">
        <v>689</v>
      </c>
      <c r="AA231" s="140">
        <f>($AF220*SIN(AA213)^2+$AF221*COS(AA213)^2)*S216</f>
        <v>0</v>
      </c>
      <c r="AB231" s="140">
        <f>($AF220*SIN(AB213)^2+$AF221*COS(AB213)^2)*T216</f>
        <v>0</v>
      </c>
      <c r="AC231" s="140">
        <f>($AF220*SIN(AC213)^2+$AF221*COS(AC213)^2)*U216</f>
        <v>0</v>
      </c>
      <c r="AD231" s="140">
        <f>($AF220*SIN(AD213)^2+$AF221*COS(AD213)^2)*V216</f>
        <v>0</v>
      </c>
      <c r="AE231" s="163">
        <f>SUM(AA231:AD231)</f>
        <v>0</v>
      </c>
      <c r="AF231" s="163"/>
      <c r="AG231" s="139" t="s">
        <v>1364</v>
      </c>
      <c r="AH231" s="138">
        <f>(S246-P218*P215)/1000000-P221*P211</f>
        <v>3.7599999999999944E-4</v>
      </c>
      <c r="AI231" s="138">
        <f>(T246-P218*P215)/1000000-P221*P211</f>
        <v>3.7599999999999965E-4</v>
      </c>
      <c r="AJ231" s="157">
        <f>(U246-P218*P215)/1000000-P221*P211</f>
        <v>3.7599999999999944E-4</v>
      </c>
      <c r="AK231" s="157">
        <f>(V246-P218*P215)/1000000-P221*P211</f>
        <v>3.7599999999999965E-4</v>
      </c>
      <c r="AL231" s="163"/>
    </row>
    <row r="232" spans="1:38">
      <c r="A232" s="206"/>
      <c r="H232" s="205"/>
      <c r="J232" s="139" t="s">
        <v>1365</v>
      </c>
      <c r="K232" s="140">
        <f>K231*K215</f>
        <v>2.8969244443497315</v>
      </c>
      <c r="L232" s="140">
        <f>L231*L215</f>
        <v>2.8969244443497315</v>
      </c>
      <c r="M232" s="145">
        <f>L232/K232</f>
        <v>1</v>
      </c>
      <c r="N232" s="139" t="s">
        <v>1176</v>
      </c>
      <c r="O232" s="144">
        <f>O227</f>
        <v>40</v>
      </c>
      <c r="P232" s="144">
        <f>G68*P214^H137</f>
        <v>40</v>
      </c>
      <c r="Q232" s="140">
        <f t="shared" si="57"/>
        <v>1</v>
      </c>
      <c r="R232" s="137" t="s">
        <v>1185</v>
      </c>
      <c r="U232" s="141"/>
      <c r="W232" s="138"/>
      <c r="X232" s="138"/>
      <c r="AA232" s="140"/>
      <c r="AE232" s="163"/>
      <c r="AF232" s="163"/>
      <c r="AG232" s="139" t="s">
        <v>1367</v>
      </c>
      <c r="AH232" s="138">
        <f>(S247-P219*P215)/1000000-P222*P211</f>
        <v>-3.7600000000000047E-4</v>
      </c>
      <c r="AI232" s="138">
        <f>(T247-P219*P215)/1000000-P222*P211</f>
        <v>-3.7600000000000047E-4</v>
      </c>
      <c r="AJ232" s="157">
        <f>(U247-P219*P215)/1000000-P222*P211</f>
        <v>-3.7600000000000047E-4</v>
      </c>
      <c r="AK232" s="157">
        <f>(V247-P219*P215)/1000000-P222*P211</f>
        <v>-3.7600000000000047E-4</v>
      </c>
      <c r="AL232" s="163"/>
    </row>
    <row r="233" spans="1:38">
      <c r="A233" s="206"/>
      <c r="H233" s="205"/>
      <c r="J233" s="139" t="s">
        <v>1370</v>
      </c>
      <c r="K233" s="140">
        <f>K216</f>
        <v>7.17</v>
      </c>
      <c r="L233" s="140">
        <f>L216</f>
        <v>7.17</v>
      </c>
      <c r="M233" s="145">
        <f>L233/K233</f>
        <v>1</v>
      </c>
      <c r="R233" s="143" t="s">
        <v>695</v>
      </c>
      <c r="S233" s="147">
        <f>S216*COS(S214)</f>
        <v>0</v>
      </c>
      <c r="T233" s="147">
        <f>T216*COS(T214)</f>
        <v>0</v>
      </c>
      <c r="U233" s="147">
        <f>U216*COS(U214)</f>
        <v>0</v>
      </c>
      <c r="V233" s="147">
        <f>V216*COS(V214)</f>
        <v>0</v>
      </c>
      <c r="W233" s="147">
        <f>SUM(S233:V233)</f>
        <v>0</v>
      </c>
      <c r="X233" s="138"/>
      <c r="AF233" s="163"/>
      <c r="AG233" s="139" t="s">
        <v>1372</v>
      </c>
      <c r="AH233" s="138">
        <f>S261/1000000</f>
        <v>0</v>
      </c>
      <c r="AI233" s="138">
        <f>T261/1000000</f>
        <v>0</v>
      </c>
      <c r="AJ233" s="157">
        <f>U261/1000000</f>
        <v>0</v>
      </c>
      <c r="AK233" s="157">
        <f>V261/1000000</f>
        <v>0</v>
      </c>
      <c r="AL233" s="163"/>
    </row>
    <row r="234" spans="1:38">
      <c r="A234" s="206"/>
      <c r="H234" s="205"/>
      <c r="J234" s="138" t="s">
        <v>1510</v>
      </c>
      <c r="K234" s="140"/>
      <c r="L234" s="140"/>
      <c r="N234" s="138" t="s">
        <v>1375</v>
      </c>
      <c r="R234" s="139" t="s">
        <v>696</v>
      </c>
      <c r="S234" s="147">
        <f>S216*SIN(S214)</f>
        <v>0</v>
      </c>
      <c r="T234" s="147">
        <f>T216*SIN(T214)</f>
        <v>0</v>
      </c>
      <c r="U234" s="147">
        <f>U216*SIN(U214)</f>
        <v>0</v>
      </c>
      <c r="V234" s="147">
        <f>V216*SIN(V214)</f>
        <v>0</v>
      </c>
      <c r="W234" s="147">
        <f>SUM(S234:V234)</f>
        <v>0</v>
      </c>
      <c r="X234" s="138"/>
      <c r="AF234" s="163"/>
      <c r="AG234" s="163"/>
      <c r="AH234" s="163"/>
      <c r="AI234" s="163"/>
      <c r="AJ234" s="163"/>
      <c r="AK234" s="163"/>
      <c r="AL234" s="163"/>
    </row>
    <row r="235" spans="1:38">
      <c r="A235" s="206"/>
      <c r="H235" s="205"/>
      <c r="J235" s="139" t="s">
        <v>1380</v>
      </c>
      <c r="K235" s="140">
        <f>(3*K230+3*K231+2*K232+4*K233)/8</f>
        <v>76.368217701426829</v>
      </c>
      <c r="L235" s="140">
        <f>(3*L230+3*L231+2*L232+4*L233)/8</f>
        <v>76.368217701426843</v>
      </c>
      <c r="M235" s="145">
        <f>L235/K235</f>
        <v>1.0000000000000002</v>
      </c>
      <c r="N235" s="139" t="s">
        <v>1381</v>
      </c>
      <c r="O235" s="140">
        <f>1/O225/O226*1000000</f>
        <v>0.44444444444444442</v>
      </c>
      <c r="P235" s="140">
        <f>1/P225/P226*1000000</f>
        <v>0.44444444444444442</v>
      </c>
      <c r="Q235" s="140">
        <f>P235/O235</f>
        <v>1</v>
      </c>
      <c r="R235" s="139"/>
      <c r="S235" s="138" t="s">
        <v>698</v>
      </c>
      <c r="T235" s="137"/>
      <c r="U235" s="143" t="s">
        <v>700</v>
      </c>
      <c r="V235" s="137"/>
      <c r="W235" s="137" t="s">
        <v>702</v>
      </c>
      <c r="X235" s="138"/>
      <c r="Y235" s="137" t="s">
        <v>704</v>
      </c>
      <c r="Z235" s="137" t="s">
        <v>705</v>
      </c>
      <c r="AA235" s="138" t="s">
        <v>706</v>
      </c>
      <c r="AB235" s="139"/>
      <c r="AC235" s="139"/>
      <c r="AF235" s="138"/>
      <c r="AG235" s="159" t="s">
        <v>1383</v>
      </c>
      <c r="AH235" s="166">
        <f>P241*AH231^2+2*P243*AH231*AH232+P242*AH232^2+P244*AH233^2</f>
        <v>4.0749146542514705E-3</v>
      </c>
      <c r="AI235" s="163">
        <f>P241*AI231^2+2*P243*AI231*AI232+P242*AI232^2+P244*AI233^2</f>
        <v>4.0749146542514731E-3</v>
      </c>
      <c r="AJ235" s="163">
        <f>P241*AJ231^2+2*P243*AJ231*AJ232+P242*AJ232^2+P244*AJ233^2</f>
        <v>4.0749146542514705E-3</v>
      </c>
      <c r="AK235" s="163">
        <f>P241*AK231^2+2*P243*AK231*AK232+P242*AK232^2+P244*AK233^2</f>
        <v>4.0749146542514731E-3</v>
      </c>
      <c r="AL235" s="163"/>
    </row>
    <row r="236" spans="1:38">
      <c r="A236" s="206"/>
      <c r="H236" s="205"/>
      <c r="J236" s="139" t="s">
        <v>1384</v>
      </c>
      <c r="K236" s="140">
        <f>(K230-K231)/2</f>
        <v>85.732490057298719</v>
      </c>
      <c r="L236" s="140">
        <f>(L230-L231)/2</f>
        <v>85.732490057298733</v>
      </c>
      <c r="M236" s="145">
        <f>L236/K236</f>
        <v>1.0000000000000002</v>
      </c>
      <c r="N236" s="139" t="s">
        <v>1385</v>
      </c>
      <c r="O236" s="140">
        <f>1/O227/O228*1000000</f>
        <v>101.6260162601626</v>
      </c>
      <c r="P236" s="140">
        <f>1/P227/P228*1000000</f>
        <v>101.6260162601626</v>
      </c>
      <c r="Q236" s="140">
        <f>P236/O236</f>
        <v>1</v>
      </c>
      <c r="R236" s="139">
        <v>1</v>
      </c>
      <c r="S236" s="138">
        <f>(S240*W216+S241*W233)</f>
        <v>0</v>
      </c>
      <c r="T236" s="138"/>
      <c r="U236" s="138">
        <f>(T240*W216+T241*W233)</f>
        <v>0</v>
      </c>
      <c r="V236" s="147"/>
      <c r="W236" s="138">
        <f>S236*P215+U236*P211</f>
        <v>0</v>
      </c>
      <c r="X236" s="147"/>
      <c r="Y236" s="138">
        <f t="shared" ref="Y236:AA238" si="58">Y184</f>
        <v>11.259999999999984</v>
      </c>
      <c r="Z236" s="138">
        <f t="shared" si="58"/>
        <v>0.29999999999999954</v>
      </c>
      <c r="AA236" s="138">
        <f t="shared" si="58"/>
        <v>373.99999999999937</v>
      </c>
      <c r="AB236" s="147"/>
      <c r="AC236" s="147"/>
      <c r="AF236" s="138"/>
      <c r="AG236" s="159" t="s">
        <v>1387</v>
      </c>
      <c r="AH236" s="166">
        <f>P245*AH231+P246*AH232</f>
        <v>-5.8636980773925068E-2</v>
      </c>
      <c r="AI236" s="163">
        <f>P245*AI231+P246*AI232</f>
        <v>-5.8636980773925054E-2</v>
      </c>
      <c r="AJ236" s="163">
        <f>P245*AJ231+P246*AJ232</f>
        <v>-5.8636980773925068E-2</v>
      </c>
      <c r="AK236" s="163">
        <f>P245*AK231+P246*AK232</f>
        <v>-5.8636980773925054E-2</v>
      </c>
      <c r="AL236" s="163"/>
    </row>
    <row r="237" spans="1:38">
      <c r="A237" s="206"/>
      <c r="H237" s="205"/>
      <c r="J237" s="139" t="s">
        <v>1388</v>
      </c>
      <c r="K237" s="140">
        <f>(K230+K231-2*K232-4*K233)/8</f>
        <v>19.710431085692363</v>
      </c>
      <c r="L237" s="140">
        <f>(L230+L231-2*L232-4*L233)/8</f>
        <v>19.710431085692367</v>
      </c>
      <c r="M237" s="145">
        <f>L237/K237</f>
        <v>1.0000000000000002</v>
      </c>
      <c r="N237" s="139" t="s">
        <v>1389</v>
      </c>
      <c r="O237" s="140">
        <f>O230*(O235*O236)^0.5</f>
        <v>-3.3603243272729659</v>
      </c>
      <c r="P237" s="140">
        <f>P230*(P235*P236)^0.5</f>
        <v>-3.3603243272729659</v>
      </c>
      <c r="Q237" s="140">
        <f>P237/O237</f>
        <v>1</v>
      </c>
      <c r="R237" s="139">
        <v>2</v>
      </c>
      <c r="S237" s="138">
        <f>(S240*W216-S241*W233)</f>
        <v>0</v>
      </c>
      <c r="T237" s="138"/>
      <c r="U237" s="138">
        <f>(T240*W216-T241*W233)</f>
        <v>0</v>
      </c>
      <c r="V237" s="147"/>
      <c r="W237" s="138">
        <f>S237*P215+U237*P211</f>
        <v>0</v>
      </c>
      <c r="X237" s="147"/>
      <c r="Y237" s="138">
        <f t="shared" si="58"/>
        <v>11.259999999999993</v>
      </c>
      <c r="Z237" s="138">
        <f t="shared" si="58"/>
        <v>0.29999999999999977</v>
      </c>
      <c r="AA237" s="138">
        <f t="shared" si="58"/>
        <v>373.99999999999966</v>
      </c>
      <c r="AB237" s="147"/>
      <c r="AC237" s="147"/>
      <c r="AF237" s="138"/>
      <c r="AG237" s="159" t="s">
        <v>1390</v>
      </c>
      <c r="AH237" s="166">
        <f>AH235+AH236</f>
        <v>-5.4562066119673597E-2</v>
      </c>
      <c r="AI237" s="163">
        <f>AI235+AI236</f>
        <v>-5.4562066119673583E-2</v>
      </c>
      <c r="AJ237" s="163">
        <f>AJ235+AJ236</f>
        <v>-5.4562066119673597E-2</v>
      </c>
      <c r="AK237" s="163">
        <f>AK235+AK236</f>
        <v>-5.4562066119673583E-2</v>
      </c>
      <c r="AL237" s="163"/>
    </row>
    <row r="238" spans="1:38">
      <c r="A238" s="204"/>
      <c r="H238" s="205"/>
      <c r="J238" s="139" t="s">
        <v>1391</v>
      </c>
      <c r="K238" s="140">
        <f>(K230+K231+6*K232-4*K233)/8</f>
        <v>22.607355530042096</v>
      </c>
      <c r="L238" s="140">
        <f>(L230+L231+6*L232-4*L233)/8</f>
        <v>22.607355530042099</v>
      </c>
      <c r="M238" s="145">
        <f>L238/K238</f>
        <v>1.0000000000000002</v>
      </c>
      <c r="N238" s="139" t="s">
        <v>1392</v>
      </c>
      <c r="O238" s="140">
        <f>1/O229^2*1000000</f>
        <v>216.26297577854672</v>
      </c>
      <c r="P238" s="140">
        <f>1/P229^2*1000000</f>
        <v>216.26297577854672</v>
      </c>
      <c r="Q238" s="140">
        <f>P238/O238</f>
        <v>1</v>
      </c>
      <c r="R238" s="139">
        <v>6</v>
      </c>
      <c r="S238" s="139">
        <f>S241*W234</f>
        <v>0</v>
      </c>
      <c r="T238" s="138"/>
      <c r="U238" s="139">
        <f>T241*W234</f>
        <v>0</v>
      </c>
      <c r="V238" s="147"/>
      <c r="W238" s="138">
        <f>S238*P215+U238*P211</f>
        <v>0</v>
      </c>
      <c r="X238" s="147"/>
      <c r="Y238" s="138">
        <f t="shared" si="58"/>
        <v>-22.479999999999976</v>
      </c>
      <c r="Z238" s="138">
        <f t="shared" si="58"/>
        <v>-0.5999999999999992</v>
      </c>
      <c r="AA238" s="138">
        <f t="shared" si="58"/>
        <v>-397.02012514617672</v>
      </c>
      <c r="AB238" s="147"/>
      <c r="AC238" s="147"/>
      <c r="AF238" s="138"/>
      <c r="AG238" s="159" t="s">
        <v>1395</v>
      </c>
      <c r="AH238" s="166">
        <f>-1+AH237</f>
        <v>-1.0545620661196735</v>
      </c>
      <c r="AI238" s="163">
        <f>-1+AI237</f>
        <v>-1.0545620661196735</v>
      </c>
      <c r="AJ238" s="163">
        <f>-1+AJ237</f>
        <v>-1.0545620661196735</v>
      </c>
      <c r="AK238" s="163">
        <f>-1+AK237</f>
        <v>-1.0545620661196735</v>
      </c>
      <c r="AL238" s="163"/>
    </row>
    <row r="239" spans="1:38">
      <c r="A239" s="206"/>
      <c r="H239" s="205"/>
      <c r="J239" s="139" t="s">
        <v>1396</v>
      </c>
      <c r="K239" s="140">
        <f>(K235-K238)/2</f>
        <v>26.880431085692365</v>
      </c>
      <c r="L239" s="140">
        <f>(L235-L238)/2</f>
        <v>26.880431085692372</v>
      </c>
      <c r="M239" s="145">
        <f>L239/K239</f>
        <v>1.0000000000000002</v>
      </c>
      <c r="N239" s="139" t="s">
        <v>1397</v>
      </c>
      <c r="O239" s="140">
        <f>(1/O225-1/O226)*1000</f>
        <v>0</v>
      </c>
      <c r="P239" s="140">
        <f>(1/P225-1/P226)*1000</f>
        <v>0</v>
      </c>
      <c r="Q239" s="140">
        <f>IF(O239=0,1,P239/O239)</f>
        <v>1</v>
      </c>
      <c r="R239" s="143"/>
      <c r="S239" s="143" t="s">
        <v>709</v>
      </c>
      <c r="T239" s="143" t="s">
        <v>710</v>
      </c>
      <c r="U239" s="143"/>
      <c r="V239" s="141"/>
      <c r="W239" s="138"/>
      <c r="X239" s="139" t="s">
        <v>711</v>
      </c>
      <c r="Y239" s="138">
        <f>(Y236+Y237)/2</f>
        <v>11.259999999999987</v>
      </c>
      <c r="Z239" s="138">
        <f>(Z236+Z237)/2</f>
        <v>0.29999999999999966</v>
      </c>
      <c r="AA239" s="138">
        <f>(AA236+AA237)/2</f>
        <v>373.99999999999955</v>
      </c>
      <c r="AF239" s="138"/>
      <c r="AG239" s="159" t="s">
        <v>1399</v>
      </c>
      <c r="AH239" s="166">
        <f>2*(P241*AH215*AH231+P242*AH216*AH232+P243*(AH215*AH232+AH231*AH216)+P244*AH217*AH233)</f>
        <v>0</v>
      </c>
      <c r="AI239" s="163">
        <f>2*(P241*AI215*AI231+P242*AI216*AI232+P243*(AI215*AI232+AI231*AI216)+P244*AI217*AI233)</f>
        <v>0</v>
      </c>
      <c r="AJ239" s="163">
        <f>2*(P241*AJ215*AJ231+P242*AJ216*AJ232+P243*(AJ215*AJ232+AJ231*AJ216)+P244*AJ217*AJ233)</f>
        <v>0</v>
      </c>
      <c r="AK239" s="163">
        <f>2*(P241*AK215*AK231+P242*AK216*AK232+P243*(AK215*AK232+AK231*AK216)+P244*AK217*AK233)</f>
        <v>0</v>
      </c>
      <c r="AL239" s="163"/>
    </row>
    <row r="240" spans="1:38">
      <c r="A240" s="206"/>
      <c r="H240" s="205"/>
      <c r="J240" s="138" t="s">
        <v>1400</v>
      </c>
      <c r="N240" s="139" t="s">
        <v>1401</v>
      </c>
      <c r="O240" s="140">
        <f>(1/O227-1/O228)*1000</f>
        <v>20.934959349593495</v>
      </c>
      <c r="P240" s="140">
        <f>(1/P227-1/P228)*1000</f>
        <v>20.934959349593495</v>
      </c>
      <c r="Q240" s="140">
        <f t="shared" ref="Q240:Q246" si="59">P240/O240</f>
        <v>1</v>
      </c>
      <c r="R240" s="167" t="s">
        <v>711</v>
      </c>
      <c r="S240" s="138">
        <f>((K230+K232)*P218+(L232+L231)*P219)/2/1000000</f>
        <v>1.5083176634230242E-4</v>
      </c>
      <c r="T240" s="138">
        <f>((L230+L232)*P221+(L232+L231)*P222)/2</f>
        <v>3.9729249522510592</v>
      </c>
      <c r="U240" s="143"/>
      <c r="V240" s="141"/>
      <c r="W240" s="138"/>
      <c r="X240" s="143" t="s">
        <v>712</v>
      </c>
      <c r="Y240" s="164">
        <f>(Y236-Y237)/2</f>
        <v>-4.4408920985006262E-15</v>
      </c>
      <c r="Z240" s="164">
        <f>(Z236-Z237)/2</f>
        <v>-1.1102230246251565E-16</v>
      </c>
      <c r="AA240" s="164">
        <f>(AA236-AA237)/2</f>
        <v>-1.4210854715202004E-13</v>
      </c>
      <c r="AF240" s="138"/>
      <c r="AG240" s="159" t="s">
        <v>1403</v>
      </c>
      <c r="AH240" s="166">
        <f>AH239+AH223</f>
        <v>0</v>
      </c>
      <c r="AI240" s="163">
        <f>AI239+AI223</f>
        <v>0</v>
      </c>
      <c r="AJ240" s="163">
        <f>AJ239+AJ223</f>
        <v>0</v>
      </c>
      <c r="AK240" s="163">
        <f>AK239+AK223</f>
        <v>0</v>
      </c>
      <c r="AL240" s="163"/>
    </row>
    <row r="241" spans="1:38">
      <c r="A241" s="206"/>
      <c r="C241" s="207"/>
      <c r="H241" s="205"/>
      <c r="J241" s="139" t="s">
        <v>1404</v>
      </c>
      <c r="K241" s="140">
        <f>(1-(K238/K235)^2)*K235</f>
        <v>69.675740916648124</v>
      </c>
      <c r="L241" s="140">
        <f>(1-(L238/L235)^2)*L235</f>
        <v>69.675740916648138</v>
      </c>
      <c r="M241" s="140">
        <f>L241/K241</f>
        <v>1.0000000000000002</v>
      </c>
      <c r="N241" s="139" t="s">
        <v>1405</v>
      </c>
      <c r="O241" s="144">
        <f>(O235*K230^2+2*O237*K230*K232+O236*K232^2)</f>
        <v>12004.38353147296</v>
      </c>
      <c r="P241" s="144">
        <f>(P235*L230^2+2*P237*L230*L232+P236*L232^2)</f>
        <v>12004.38353147296</v>
      </c>
      <c r="Q241" s="140">
        <f t="shared" si="59"/>
        <v>1</v>
      </c>
      <c r="R241" s="167" t="s">
        <v>712</v>
      </c>
      <c r="S241" s="138">
        <f>((L230-L232)*P218+(L232-L231)*P219)/2/1000000</f>
        <v>-8.2014743567545106E-5</v>
      </c>
      <c r="T241" s="138">
        <f>((L230-L232)*P221+(L232-L231)*P222)/2</f>
        <v>-2.234770285641221</v>
      </c>
      <c r="U241" s="143"/>
      <c r="V241" s="141"/>
      <c r="W241" s="138"/>
      <c r="X241" s="143" t="s">
        <v>714</v>
      </c>
      <c r="Y241" s="164">
        <f>Y238/2</f>
        <v>-11.239999999999988</v>
      </c>
      <c r="Z241" s="164">
        <f>Z238/2</f>
        <v>-0.2999999999999996</v>
      </c>
      <c r="AA241" s="164">
        <f>AA238/2</f>
        <v>-198.51006257308836</v>
      </c>
      <c r="AG241" s="159" t="s">
        <v>1412</v>
      </c>
      <c r="AH241" s="166" t="e">
        <f>AH240/2/AH222</f>
        <v>#DIV/0!</v>
      </c>
      <c r="AI241" s="163" t="e">
        <f>AI240/2/AI222</f>
        <v>#DIV/0!</v>
      </c>
      <c r="AJ241" s="163" t="e">
        <f>AJ240/2/AJ222</f>
        <v>#DIV/0!</v>
      </c>
      <c r="AK241" s="163" t="e">
        <f>AK240/2/AK222</f>
        <v>#DIV/0!</v>
      </c>
      <c r="AL241" s="163"/>
    </row>
    <row r="242" spans="1:38">
      <c r="A242" s="206"/>
      <c r="H242" s="205"/>
      <c r="J242" s="139" t="s">
        <v>1414</v>
      </c>
      <c r="K242" s="140">
        <f>K238/K235</f>
        <v>0.29603094337527941</v>
      </c>
      <c r="L242" s="140">
        <f>L238/L235</f>
        <v>0.29603094337527941</v>
      </c>
      <c r="M242" s="140">
        <f>L242/K242</f>
        <v>1</v>
      </c>
      <c r="N242" s="139" t="s">
        <v>1415</v>
      </c>
      <c r="O242" s="144">
        <f>(O235*K232^2+2*O237*K232*K231+O236*K231^2)</f>
        <v>10680.652008265077</v>
      </c>
      <c r="P242" s="144">
        <f>(P235*L232^2+2*P237*L232*L231+P236*L231^2)</f>
        <v>10680.652008265077</v>
      </c>
      <c r="Q242" s="140">
        <f t="shared" si="59"/>
        <v>1</v>
      </c>
      <c r="R242" s="139" t="s">
        <v>715</v>
      </c>
      <c r="S242" s="138">
        <f>Y239+Y240*COS(S214)+Y241*SIN(S214)</f>
        <v>11.259999999999984</v>
      </c>
      <c r="T242" s="138">
        <f>Y239+Y240*COS(T214)+Y241*SIN(T214)</f>
        <v>11.259999999999989</v>
      </c>
      <c r="U242" s="138">
        <f>Y239+Y240*COS(U214)+Y241*SIN(U214)</f>
        <v>11.259999999999984</v>
      </c>
      <c r="V242" s="138">
        <f>Y239+Y240*COS(V214)+Y241*SIN(V214)</f>
        <v>11.259999999999989</v>
      </c>
      <c r="W242" s="138"/>
      <c r="Y242" s="164"/>
      <c r="AC242" s="140"/>
      <c r="AG242" s="159"/>
      <c r="AH242" s="147"/>
      <c r="AI242" s="163"/>
      <c r="AJ242" s="163"/>
      <c r="AK242" s="163"/>
      <c r="AL242" s="163"/>
    </row>
    <row r="243" spans="1:38">
      <c r="A243" s="204"/>
      <c r="H243" s="205"/>
      <c r="J243" s="139" t="s">
        <v>716</v>
      </c>
      <c r="K243" s="138">
        <f>(1-L215^2*L214/L213)*L214/(1-L215^2*L214/L213-L228^2-L215^2*L214/L213-2*L215^2*L214/L213*L228)</f>
        <v>13.920484365408951</v>
      </c>
      <c r="N243" s="139" t="s">
        <v>1416</v>
      </c>
      <c r="O243" s="144">
        <f>(O235*K230*K232+O237*(K230*K231+K232^2)+O236*K232*K231)</f>
        <v>-3069.103206291968</v>
      </c>
      <c r="P243" s="144">
        <f>(P235*L230*L232+P237*(L230*L231+L232^2)+P236*L232*L231)</f>
        <v>-3069.1032062919689</v>
      </c>
      <c r="Q243" s="140">
        <f t="shared" si="59"/>
        <v>1.0000000000000002</v>
      </c>
      <c r="R243" s="139" t="s">
        <v>717</v>
      </c>
      <c r="S243" s="138">
        <f>2*Y239-S242</f>
        <v>11.259999999999991</v>
      </c>
      <c r="T243" s="138">
        <f>2*Y239-T242</f>
        <v>11.259999999999986</v>
      </c>
      <c r="U243" s="138">
        <f>2*Y239-U242</f>
        <v>11.259999999999991</v>
      </c>
      <c r="V243" s="138">
        <f>2*Y239-V242</f>
        <v>11.259999999999986</v>
      </c>
      <c r="W243" s="138"/>
      <c r="Y243" s="164"/>
      <c r="AC243" s="140"/>
      <c r="AG243" s="159"/>
      <c r="AH243" s="147"/>
      <c r="AI243" s="163"/>
      <c r="AJ243" s="163"/>
      <c r="AK243" s="163"/>
      <c r="AL243" s="163"/>
    </row>
    <row r="244" spans="1:38">
      <c r="A244" s="206"/>
      <c r="H244" s="205"/>
      <c r="J244" s="139" t="s">
        <v>1193</v>
      </c>
      <c r="K244" s="140">
        <f>D137</f>
        <v>1.6</v>
      </c>
      <c r="L244" s="140">
        <f>L245*(1-L219)+L246*L219</f>
        <v>1.6</v>
      </c>
      <c r="M244" s="140">
        <f>L244/K244</f>
        <v>1</v>
      </c>
      <c r="N244" s="139" t="s">
        <v>1418</v>
      </c>
      <c r="O244" s="144">
        <f>O238*K233^2</f>
        <v>11117.841695501729</v>
      </c>
      <c r="P244" s="144">
        <f>P238*L233^2</f>
        <v>11117.841695501729</v>
      </c>
      <c r="Q244" s="140">
        <f t="shared" si="59"/>
        <v>1</v>
      </c>
      <c r="R244" s="139" t="s">
        <v>124</v>
      </c>
      <c r="S244" s="138">
        <f>Z239+Z240*COS(S214)+Z241*SIN(S214)</f>
        <v>0.29999999999999954</v>
      </c>
      <c r="T244" s="138">
        <f>Z239+Z240*COS(T214)+Z241*SIN(T214)</f>
        <v>0.29999999999999971</v>
      </c>
      <c r="U244" s="138">
        <f>Z239+Z240*COS(U214)+Z241*SIN(U214)</f>
        <v>0.29999999999999954</v>
      </c>
      <c r="V244" s="138">
        <f>Z239+Z240*COS(V214)+Z241*SIN(V214)</f>
        <v>0.29999999999999971</v>
      </c>
      <c r="W244" s="138"/>
      <c r="Y244" s="164"/>
      <c r="AC244" s="140"/>
      <c r="AG244" s="159"/>
      <c r="AH244" s="147"/>
      <c r="AI244" s="163"/>
      <c r="AJ244" s="163"/>
      <c r="AK244" s="163"/>
      <c r="AL244" s="159" t="s">
        <v>1421</v>
      </c>
    </row>
    <row r="245" spans="1:38">
      <c r="A245" s="206"/>
      <c r="H245" s="205"/>
      <c r="J245" s="139" t="s">
        <v>274</v>
      </c>
      <c r="K245" s="140">
        <f>F136</f>
        <v>1.2</v>
      </c>
      <c r="L245" s="140">
        <f>K245</f>
        <v>1.2</v>
      </c>
      <c r="M245" s="140">
        <f>L245/K245</f>
        <v>1</v>
      </c>
      <c r="N245" s="139" t="s">
        <v>1422</v>
      </c>
      <c r="O245" s="144">
        <f>(O239*K230+O240*K232)</f>
        <v>60.646995481305353</v>
      </c>
      <c r="P245" s="144">
        <f>(P239*L230+P240*L232)</f>
        <v>60.646995481305353</v>
      </c>
      <c r="Q245" s="140">
        <f t="shared" si="59"/>
        <v>1</v>
      </c>
      <c r="R245" s="167" t="s">
        <v>125</v>
      </c>
      <c r="S245" s="138">
        <f>2*Z239-S244</f>
        <v>0.29999999999999977</v>
      </c>
      <c r="T245" s="138">
        <f>2*Z239-T244</f>
        <v>0.2999999999999996</v>
      </c>
      <c r="U245" s="138">
        <f>2*Z239-U244</f>
        <v>0.29999999999999977</v>
      </c>
      <c r="V245" s="138">
        <f>2*Z239-V244</f>
        <v>0.2999999999999996</v>
      </c>
      <c r="W245" s="138"/>
      <c r="Y245" s="164"/>
      <c r="Z245" s="164"/>
      <c r="AA245" s="147"/>
      <c r="AB245" s="147"/>
      <c r="AC245" s="147"/>
      <c r="AD245" s="147"/>
      <c r="AG245" s="139" t="s">
        <v>1424</v>
      </c>
      <c r="AH245" s="147" t="e">
        <f>(AH241^2-AH238/AH222)^0.5-AH241</f>
        <v>#DIV/0!</v>
      </c>
      <c r="AI245" s="147" t="e">
        <f>(AI241^2-AI238/AI222)^0.5-AI241</f>
        <v>#DIV/0!</v>
      </c>
      <c r="AJ245" s="147" t="e">
        <f>(AJ241^2-AJ238/AJ222)^0.5-AJ241</f>
        <v>#DIV/0!</v>
      </c>
      <c r="AK245" s="147" t="e">
        <f>(AK241^2-AK238/AK222)^0.5-AK241</f>
        <v>#DIV/0!</v>
      </c>
      <c r="AL245" s="147">
        <f>MIN(AH246:AK246)</f>
        <v>1000000000</v>
      </c>
    </row>
    <row r="246" spans="1:38">
      <c r="A246" s="206"/>
      <c r="C246" s="207"/>
      <c r="H246" s="205"/>
      <c r="J246" s="139" t="s">
        <v>1195</v>
      </c>
      <c r="K246" s="140">
        <f>(K244-K245*(1-K219))/K219</f>
        <v>1.7714285714285716</v>
      </c>
      <c r="L246" s="140">
        <f>K246</f>
        <v>1.7714285714285716</v>
      </c>
      <c r="M246" s="140">
        <f>L246/K246</f>
        <v>1</v>
      </c>
      <c r="N246" s="139" t="s">
        <v>1426</v>
      </c>
      <c r="O246" s="144">
        <f>(O239*K232+O240*K231)</f>
        <v>216.59641243323335</v>
      </c>
      <c r="P246" s="144">
        <f>(P239*L232+P240*L231)</f>
        <v>216.59641243323335</v>
      </c>
      <c r="Q246" s="140">
        <f t="shared" si="59"/>
        <v>1</v>
      </c>
      <c r="R246" s="139" t="s">
        <v>126</v>
      </c>
      <c r="S246" s="138">
        <f>AA239+AA240*COS(S214)+AA241*SIN(S214)</f>
        <v>373.99999999999943</v>
      </c>
      <c r="T246" s="138">
        <f>AA239+AA240*COS(T214)+AA241*SIN(T214)</f>
        <v>373.99999999999966</v>
      </c>
      <c r="U246" s="138">
        <f>AA239+AA240*COS(U214)+AA241*SIN(U214)</f>
        <v>373.99999999999943</v>
      </c>
      <c r="V246" s="138">
        <f>AA239+AA240*COS(V214)+AA241*SIN(V214)</f>
        <v>373.99999999999966</v>
      </c>
      <c r="W246" s="138"/>
      <c r="Y246" s="164"/>
      <c r="Z246" s="164"/>
      <c r="AA246" s="147"/>
      <c r="AB246" s="147"/>
      <c r="AC246" s="147"/>
      <c r="AD246" s="147"/>
      <c r="AG246" s="139" t="s">
        <v>194</v>
      </c>
      <c r="AH246" s="147">
        <f>IF(AH211=0,1000000000,AH245)</f>
        <v>1000000000</v>
      </c>
      <c r="AI246" s="147">
        <f>IF(AI211=0,1000000000,AI245)</f>
        <v>1000000000</v>
      </c>
      <c r="AJ246" s="147">
        <f>IF(AJ211=0,1000000000,AJ245)</f>
        <v>1000000000</v>
      </c>
      <c r="AK246" s="147">
        <f>IF(AK211=0,1000000000,AK245)</f>
        <v>1000000000</v>
      </c>
    </row>
    <row r="247" spans="1:38">
      <c r="A247" s="208"/>
      <c r="B247" s="209"/>
      <c r="C247" s="209"/>
      <c r="D247" s="209"/>
      <c r="E247" s="209"/>
      <c r="F247" s="209"/>
      <c r="G247" s="209"/>
      <c r="H247" s="210"/>
      <c r="L247" s="138" t="s">
        <v>234</v>
      </c>
      <c r="R247" s="139" t="s">
        <v>127</v>
      </c>
      <c r="S247" s="138">
        <f>2*AA239-S246</f>
        <v>373.99999999999966</v>
      </c>
      <c r="T247" s="138">
        <f>2*AA239-T246</f>
        <v>373.99999999999943</v>
      </c>
      <c r="U247" s="138">
        <f>2*AA239-U246</f>
        <v>373.99999999999966</v>
      </c>
      <c r="V247" s="138">
        <f>2*AA239-V246</f>
        <v>373.99999999999943</v>
      </c>
      <c r="W247" s="138"/>
      <c r="Y247" s="164"/>
      <c r="Z247" s="164" t="s">
        <v>129</v>
      </c>
      <c r="AA247" s="147"/>
      <c r="AB247" s="147"/>
      <c r="AC247" s="147"/>
      <c r="AD247" s="147"/>
      <c r="AG247" s="139" t="s">
        <v>194</v>
      </c>
      <c r="AH247" s="147">
        <f>IF(AH211=0,0,AH245)</f>
        <v>0</v>
      </c>
      <c r="AI247" s="147">
        <f>IF(AI211=0,0,AI245)</f>
        <v>0</v>
      </c>
      <c r="AJ247" s="147">
        <f>IF(AJ211=0,0,AJ245)</f>
        <v>0</v>
      </c>
      <c r="AK247" s="147">
        <f>IF(AK211=0,0,AK245)</f>
        <v>0</v>
      </c>
    </row>
    <row r="248" spans="1:38">
      <c r="J248" s="139" t="s">
        <v>134</v>
      </c>
      <c r="K248" s="138">
        <f>(1-L228^2)*O249*L213</f>
        <v>184.28877056365894</v>
      </c>
      <c r="L248" s="139" t="s">
        <v>135</v>
      </c>
      <c r="M248" s="138">
        <f>L215*(1+L228)*O249*L214</f>
        <v>5.8728045779623468</v>
      </c>
      <c r="R248" s="139" t="s">
        <v>136</v>
      </c>
      <c r="S248" s="138">
        <f>4*COS(S214/2)^2*SIN(S214/2)^2*$K253+COS(S214/2)^4*$K248+SIN(S214/2)^4*$K249+2*COS(S214/2)^2*SIN(S214/2)^2*$M248</f>
        <v>184.28877056365894</v>
      </c>
      <c r="T248" s="138">
        <f>4*COS(T214/2)^2*SIN(T214/2)^2*$K253+COS(T214/2)^4*$K248+SIN(T214/2)^4*$K249+2*COS(T214/2)^2*SIN(T214/2)^2*$M248</f>
        <v>13.920484365408953</v>
      </c>
      <c r="U248" s="138">
        <f>4*COS(U214/2)^2*SIN(U214/2)^2*$K253+COS(U214/2)^4*$K248+SIN(U214/2)^4*$K249+2*COS(U214/2)^2*SIN(U214/2)^2*$M248</f>
        <v>184.28877056365894</v>
      </c>
      <c r="V248" s="138">
        <f>4*COS(V214/2)^2*SIN(V214/2)^2*$K253+COS(V214/2)^4*$K248+SIN(V214/2)^4*$K249+2*COS(V214/2)^2*SIN(V214/2)^2*$M248</f>
        <v>13.920484365408953</v>
      </c>
      <c r="W248" s="138" t="s">
        <v>137</v>
      </c>
      <c r="X248" s="147">
        <f>S216/S250+T216/T250+U216/U250+V216/V250</f>
        <v>0</v>
      </c>
      <c r="Y248" s="147">
        <f>S216*S248+T216*T248+U216*U248+V216*V248</f>
        <v>0</v>
      </c>
      <c r="Z248" s="164"/>
      <c r="AA248" s="147"/>
      <c r="AB248" s="147"/>
      <c r="AC248" s="147"/>
      <c r="AD248" s="147"/>
      <c r="AG248" s="139"/>
      <c r="AH248" s="147"/>
      <c r="AI248" s="147"/>
      <c r="AJ248" s="147"/>
      <c r="AK248" s="147"/>
    </row>
    <row r="249" spans="1:38">
      <c r="J249" s="139" t="s">
        <v>138</v>
      </c>
      <c r="K249" s="138">
        <f>(1-L215^2*L214/L213)*O249*L214</f>
        <v>13.920484365408953</v>
      </c>
      <c r="L249" s="139" t="s">
        <v>139</v>
      </c>
      <c r="M249" s="138">
        <f>M248</f>
        <v>5.8728045779623468</v>
      </c>
      <c r="N249" s="139" t="s">
        <v>140</v>
      </c>
      <c r="O249" s="138">
        <f>1/((1+L228)*(1-L228-2*L215^2*L214/L213))</f>
        <v>1.3575600041521836</v>
      </c>
      <c r="R249" s="139" t="s">
        <v>141</v>
      </c>
      <c r="S249" s="138">
        <f>4*COS(S214/2)^2*SIN(S214/2)^2*$K253+SIN(S214/2)^4*$K248+COS(S214/2)^4*$K249+2*COS(S214/2)^2*SIN(S214/2)^2*$M248</f>
        <v>13.920484365408953</v>
      </c>
      <c r="T249" s="138">
        <f>4*COS(T214/2)^2*SIN(T214/2)^2*$K253+SIN(T214/2)^4*$K248+COS(T214/2)^4*$K249+2*COS(T214/2)^2*SIN(T214/2)^2*$M248</f>
        <v>184.28877056365894</v>
      </c>
      <c r="U249" s="138">
        <f>4*COS(U214/2)^2*SIN(U214/2)^2*$K253+SIN(U214/2)^4*$K248+COS(U214/2)^4*$K249+2*COS(U214/2)^2*SIN(U214/2)^2*$M248</f>
        <v>13.920484365408953</v>
      </c>
      <c r="V249" s="138">
        <f>4*COS(V214/2)^2*SIN(V214/2)^2*$K253+SIN(V214/2)^4*$K248+COS(V214/2)^4*$K249+2*COS(V214/2)^2*SIN(V214/2)^2*$M248</f>
        <v>184.28877056365894</v>
      </c>
      <c r="W249" s="138" t="s">
        <v>142</v>
      </c>
      <c r="X249" s="141">
        <f>S216*S255/S250+T216*T255/T250+U216*U255/U250+V216*V255/V250</f>
        <v>0</v>
      </c>
      <c r="Y249" s="147">
        <f>S216*S249+T216*T249+U216*U249+V216*V249</f>
        <v>0</v>
      </c>
      <c r="Z249" s="164"/>
      <c r="AA249" s="147"/>
      <c r="AB249" s="147"/>
      <c r="AC249" s="147"/>
      <c r="AD249" s="147"/>
      <c r="AG249" s="139"/>
      <c r="AH249" s="147"/>
      <c r="AI249" s="147"/>
      <c r="AJ249" s="147"/>
      <c r="AK249" s="147"/>
    </row>
    <row r="250" spans="1:38">
      <c r="A250" s="214"/>
      <c r="B250" s="178"/>
      <c r="C250" s="178"/>
      <c r="D250" s="178"/>
      <c r="E250" s="178"/>
      <c r="F250" s="212"/>
      <c r="G250" s="212"/>
      <c r="H250" s="213"/>
      <c r="J250" s="139" t="s">
        <v>146</v>
      </c>
      <c r="K250" s="138">
        <f>K249</f>
        <v>13.920484365408953</v>
      </c>
      <c r="L250" s="139" t="s">
        <v>147</v>
      </c>
      <c r="M250" s="138">
        <f>(L228+L215^2*L214/L213)*O249*L214</f>
        <v>7.053817698742284</v>
      </c>
      <c r="R250" s="139" t="s">
        <v>716</v>
      </c>
      <c r="S250" s="138">
        <f>$K250</f>
        <v>13.920484365408953</v>
      </c>
      <c r="T250" s="138">
        <f>$K250</f>
        <v>13.920484365408953</v>
      </c>
      <c r="U250" s="138">
        <f>$K250</f>
        <v>13.920484365408953</v>
      </c>
      <c r="V250" s="138">
        <f>$K250</f>
        <v>13.920484365408953</v>
      </c>
      <c r="W250" s="138" t="s">
        <v>148</v>
      </c>
      <c r="X250" s="141">
        <f>S216*S256/S250+T216*T256/T250+U216*U256/U250+V216*V256/V250</f>
        <v>0</v>
      </c>
      <c r="Y250" s="164"/>
      <c r="Z250" s="164"/>
      <c r="AA250" s="147"/>
      <c r="AB250" s="147"/>
      <c r="AC250" s="147"/>
      <c r="AD250" s="147"/>
      <c r="AG250" s="139"/>
      <c r="AH250" s="147"/>
      <c r="AI250" s="147"/>
      <c r="AJ250" s="147"/>
      <c r="AK250" s="147"/>
    </row>
    <row r="251" spans="1:38">
      <c r="A251" s="215"/>
      <c r="B251" s="140"/>
      <c r="C251" s="140"/>
      <c r="D251" s="140"/>
      <c r="E251" s="140"/>
      <c r="H251" s="205"/>
      <c r="J251" s="139" t="s">
        <v>152</v>
      </c>
      <c r="K251" s="138">
        <f>(1-L228-2*L215^2*L214/L213)*O249*L214/2</f>
        <v>3.433333333333334</v>
      </c>
      <c r="R251" s="139" t="s">
        <v>153</v>
      </c>
      <c r="S251" s="138">
        <f>COS(S214/2)^2*$K251+SIN(S214/2)^2*$K252</f>
        <v>3.433333333333334</v>
      </c>
      <c r="T251" s="138">
        <f>COS(T214/2)^2*$K251+SIN(T214/2)^2*$K252</f>
        <v>7.17</v>
      </c>
      <c r="U251" s="138">
        <f>COS(U214/2)^2*$K251+SIN(U214/2)^2*$K252</f>
        <v>3.433333333333334</v>
      </c>
      <c r="V251" s="138">
        <f>COS(V214/2)^2*$K251+SIN(V214/2)^2*$K252</f>
        <v>7.17</v>
      </c>
      <c r="W251" s="138" t="s">
        <v>154</v>
      </c>
      <c r="X251" s="141">
        <f>S216*S260/S250+T216*T260/T250+U216*U260/U250+V216*V260/V250</f>
        <v>0</v>
      </c>
      <c r="Y251" s="164"/>
      <c r="Z251" s="164">
        <f>S216*S251/(S251*S252-S257^2)+T216*T251/(T251*T252-T257^2)+U216*U251/(U251*U252-U257^2)+V216*V251/(V251*V252-V257^2)</f>
        <v>0</v>
      </c>
      <c r="AA251" s="147"/>
      <c r="AB251" s="147"/>
      <c r="AC251" s="147"/>
      <c r="AD251" s="147"/>
      <c r="AG251" s="139"/>
      <c r="AH251" s="147"/>
      <c r="AI251" s="147"/>
      <c r="AJ251" s="147"/>
      <c r="AK251" s="147"/>
    </row>
    <row r="252" spans="1:38">
      <c r="A252" s="206"/>
      <c r="B252" s="144"/>
      <c r="H252" s="205"/>
      <c r="J252" s="139" t="s">
        <v>769</v>
      </c>
      <c r="K252" s="140">
        <f>L216</f>
        <v>7.17</v>
      </c>
      <c r="R252" s="139" t="s">
        <v>770</v>
      </c>
      <c r="S252" s="138">
        <f>SIN(S214/2)^2*$K251+COS(S214/2)^2*$K252</f>
        <v>7.17</v>
      </c>
      <c r="T252" s="138">
        <f>SIN(T214/2)^2*$K251+COS(T214/2)^2*$K252</f>
        <v>3.433333333333334</v>
      </c>
      <c r="U252" s="138">
        <f>SIN(U214/2)^2*$K251+COS(U214/2)^2*$K252</f>
        <v>7.17</v>
      </c>
      <c r="V252" s="138">
        <f>SIN(V214/2)^2*$K251+COS(V214/2)^2*$K252</f>
        <v>3.433333333333334</v>
      </c>
      <c r="W252" s="138" t="s">
        <v>771</v>
      </c>
      <c r="X252" s="141">
        <f>S216*S255^2/S250+T216*T255^2/T250+U216*U255^2/U250+V216*V255^2/V250</f>
        <v>0</v>
      </c>
      <c r="Y252" s="164"/>
      <c r="Z252" s="164">
        <f>S216*S252/(S251*S252-S257^2)+T216*T252/(T251*T252-T257^2)+U216*U252/(U251*U252-U257^2)+V216*V252/(V251*V252-V257^2)</f>
        <v>0</v>
      </c>
      <c r="AA252" s="147"/>
      <c r="AB252" s="147"/>
      <c r="AC252" s="147"/>
      <c r="AD252" s="147"/>
      <c r="AG252" s="139"/>
      <c r="AH252" s="147"/>
      <c r="AI252" s="147"/>
      <c r="AJ252" s="147"/>
      <c r="AK252" s="147"/>
    </row>
    <row r="253" spans="1:38">
      <c r="A253" s="215"/>
      <c r="B253" s="140"/>
      <c r="H253" s="205"/>
      <c r="J253" s="139" t="s">
        <v>773</v>
      </c>
      <c r="K253" s="140">
        <f>K252</f>
        <v>7.17</v>
      </c>
      <c r="P253" s="185"/>
      <c r="Q253" s="185"/>
      <c r="R253" s="186" t="s">
        <v>774</v>
      </c>
      <c r="S253" s="185">
        <f>(COS(S214/2)^2-SIN(S214/2)^2)^2*$K253+COS(S214/2)^2*SIN(S214/2)^2*($K248+$K249-2*$M248)</f>
        <v>7.17</v>
      </c>
      <c r="T253" s="185">
        <f>(COS(T214/2)^2-SIN(T214/2)^2)^2*$K253+COS(T214/2)^2*SIN(T214/2)^2*($K248+$K249-2*$M248)</f>
        <v>7.17</v>
      </c>
      <c r="U253" s="185">
        <f>(COS(U214/2)^2-SIN(U214/2)^2)^2*$K253+COS(U214/2)^2*SIN(U214/2)^2*($K248+$K249-2*$M248)</f>
        <v>7.17</v>
      </c>
      <c r="V253" s="185">
        <f>(COS(V214/2)^2-SIN(V214/2)^2)^2*$K253+COS(V214/2)^2*SIN(V214/2)^2*($K248+$K249-2*$M248)</f>
        <v>7.17</v>
      </c>
      <c r="W253" s="185" t="s">
        <v>775</v>
      </c>
      <c r="X253" s="187">
        <f>S216*S256^2/S250+T216*T256^2/T250+U216*U256^2/U250+V216*V256^2/V250</f>
        <v>0</v>
      </c>
      <c r="Y253" s="147">
        <f>S216*S253+T216*T253+U216*U253+V216*V253</f>
        <v>0</v>
      </c>
      <c r="Z253" s="188"/>
      <c r="AA253" s="190"/>
      <c r="AB253" s="190"/>
      <c r="AC253" s="190"/>
      <c r="AD253" s="190"/>
      <c r="AE253" s="185"/>
      <c r="AF253" s="187"/>
      <c r="AG253" s="186"/>
      <c r="AH253" s="190"/>
      <c r="AI253" s="190"/>
      <c r="AJ253" s="190"/>
      <c r="AK253" s="190"/>
      <c r="AL253" s="185"/>
    </row>
    <row r="254" spans="1:38">
      <c r="A254" s="206"/>
      <c r="B254" s="140"/>
      <c r="H254" s="205"/>
      <c r="J254" s="185"/>
      <c r="K254" s="185"/>
      <c r="L254" s="185"/>
      <c r="M254" s="185"/>
      <c r="N254" s="185"/>
      <c r="O254" s="185"/>
      <c r="R254" s="139" t="s">
        <v>145</v>
      </c>
      <c r="S254" s="138">
        <f>-4*COS(S214/2)^2*SIN(S214/2)^2*$K253+COS(S214/2)^2*SIN(S214/2)^2*($K248+$K249)+(COS(S214/2)^4+SIN(S214/2)^4)*$M248</f>
        <v>5.8728045779623468</v>
      </c>
      <c r="T254" s="138">
        <f>-4*COS(T214/2)^2*SIN(T214/2)^2*$K253+COS(T214/2)^2*SIN(T214/2)^2*($K248+$K249)+(COS(T214/2)^4+SIN(T214/2)^4)*$M248</f>
        <v>5.8728045779623468</v>
      </c>
      <c r="U254" s="138">
        <f>-4*COS(U214/2)^2*SIN(U214/2)^2*$K253+COS(U214/2)^2*SIN(U214/2)^2*($K248+$K249)+(COS(U214/2)^4+SIN(U214/2)^4)*$M248</f>
        <v>5.8728045779623468</v>
      </c>
      <c r="V254" s="138">
        <f>-4*COS(V214/2)^2*SIN(V214/2)^2*$K253+COS(V214/2)^2*SIN(V214/2)^2*($K248+$K249)+(COS(V214/2)^4+SIN(V214/2)^4)*$M248</f>
        <v>5.8728045779623468</v>
      </c>
      <c r="W254" s="138" t="s">
        <v>778</v>
      </c>
      <c r="X254" s="141">
        <f>S216*S255*S256/S250+T216*T255*T256/T250+U216*U255*U256/U250+V216*V255*V256/V250</f>
        <v>0</v>
      </c>
      <c r="Y254" s="147">
        <f>S216*S254+T216*T254+U216*U254+V216*V254</f>
        <v>0</v>
      </c>
      <c r="Z254" s="164"/>
      <c r="AA254" s="147"/>
      <c r="AB254" s="147"/>
      <c r="AC254" s="147"/>
      <c r="AD254" s="147"/>
      <c r="AG254" s="139"/>
      <c r="AH254" s="147"/>
      <c r="AI254" s="147"/>
      <c r="AJ254" s="147"/>
      <c r="AK254" s="147"/>
    </row>
    <row r="255" spans="1:38">
      <c r="A255" s="206"/>
      <c r="B255" s="140"/>
      <c r="H255" s="205"/>
      <c r="R255" s="139" t="s">
        <v>151</v>
      </c>
      <c r="S255" s="138">
        <f>COS(S214/2)^2*$M249+SIN(S214/2)^2*$M250</f>
        <v>5.8728045779623468</v>
      </c>
      <c r="T255" s="138">
        <f>COS(T214/2)^2*$M249+SIN(T214/2)^2*$M250</f>
        <v>7.053817698742284</v>
      </c>
      <c r="U255" s="138">
        <f>COS(U214/2)^2*$M249+SIN(U214/2)^2*$M250</f>
        <v>5.8728045779623468</v>
      </c>
      <c r="V255" s="138">
        <f>COS(V214/2)^2*$M249+SIN(V214/2)^2*$M250</f>
        <v>7.053817698742284</v>
      </c>
      <c r="W255" s="138" t="s">
        <v>782</v>
      </c>
      <c r="X255" s="141">
        <f>S216*S260*S255/S250+T216*T260*T255/T250+U216*U260*U255/U250+V216*V260*V255/V250</f>
        <v>0</v>
      </c>
      <c r="Y255" s="147"/>
      <c r="Z255" s="164"/>
      <c r="AA255" s="147"/>
      <c r="AB255" s="147"/>
      <c r="AC255" s="147"/>
      <c r="AD255" s="147"/>
      <c r="AG255" s="139"/>
      <c r="AH255" s="147"/>
      <c r="AI255" s="147"/>
      <c r="AJ255" s="147"/>
      <c r="AK255" s="147"/>
    </row>
    <row r="256" spans="1:38">
      <c r="A256" s="215"/>
      <c r="B256" s="140"/>
      <c r="H256" s="205"/>
      <c r="R256" s="139" t="s">
        <v>768</v>
      </c>
      <c r="S256" s="138">
        <f>SIN(S214/2)^2*$M249+COS(S214/2)^2*$M250</f>
        <v>7.053817698742284</v>
      </c>
      <c r="T256" s="138">
        <f>SIN(T214/2)^2*$M249+COS(T214/2)^2*$M250</f>
        <v>5.8728045779623468</v>
      </c>
      <c r="U256" s="138">
        <f>SIN(U214/2)^2*$M249+COS(U214/2)^2*$M250</f>
        <v>7.053817698742284</v>
      </c>
      <c r="V256" s="138">
        <f>SIN(V214/2)^2*$M249+COS(V214/2)^2*$M250</f>
        <v>5.8728045779623468</v>
      </c>
      <c r="W256" s="138" t="s">
        <v>785</v>
      </c>
      <c r="X256" s="141">
        <f>S216*S260*S256/S250+T216*T260*T256/T250+U216*U260*U256/U250+V216*V260*V256/V250</f>
        <v>0</v>
      </c>
      <c r="Y256" s="164"/>
      <c r="Z256" s="164"/>
      <c r="AA256" s="147"/>
      <c r="AB256" s="147"/>
      <c r="AC256" s="147"/>
      <c r="AD256" s="147"/>
      <c r="AG256" s="139"/>
      <c r="AH256" s="147"/>
      <c r="AI256" s="147"/>
      <c r="AJ256" s="147"/>
      <c r="AK256" s="147"/>
    </row>
    <row r="257" spans="1:38">
      <c r="A257" s="206"/>
      <c r="B257" s="144"/>
      <c r="H257" s="205"/>
      <c r="R257" s="139" t="s">
        <v>660</v>
      </c>
      <c r="S257" s="138">
        <f>COS(S214/2)*SIN(S214/2)*(-$K251+$K252)</f>
        <v>0</v>
      </c>
      <c r="T257" s="138">
        <f>COS(T214/2)*SIN(T214/2)*(-$K251+$K252)</f>
        <v>2.2889856965876046E-16</v>
      </c>
      <c r="U257" s="138">
        <f>COS(U214/2)*SIN(U214/2)*(-$K251+$K252)</f>
        <v>0</v>
      </c>
      <c r="V257" s="138">
        <f>COS(V214/2)*SIN(V214/2)*(-$K251+$K252)</f>
        <v>2.2889856965876046E-16</v>
      </c>
      <c r="W257" s="138" t="s">
        <v>1048</v>
      </c>
      <c r="X257" s="141">
        <f>S216*S260^2/S250+T216*T260^2/T250+U216*U260^2/U250+V216*V260^2/V250</f>
        <v>0</v>
      </c>
      <c r="Y257" s="164"/>
      <c r="Z257" s="164">
        <f>S216*S257/(S251*S252-S257^2)+T216*T257/(T251*T252-T257^2)+U216*U257/(U251*U252-U257^2)+V216*V257/(V251*V252-V257^2)</f>
        <v>0</v>
      </c>
      <c r="AA257" s="147"/>
      <c r="AB257" s="147"/>
      <c r="AC257" s="147"/>
      <c r="AD257" s="147"/>
      <c r="AG257" s="139"/>
      <c r="AH257" s="147"/>
      <c r="AI257" s="147"/>
      <c r="AJ257" s="147"/>
      <c r="AK257" s="147"/>
    </row>
    <row r="258" spans="1:38">
      <c r="A258" s="215"/>
      <c r="B258" s="140"/>
      <c r="H258" s="205"/>
      <c r="R258" s="139" t="s">
        <v>777</v>
      </c>
      <c r="S258" s="138">
        <f>-2*COS(S214/2)*SIN(S214/2)*(COS(S214/2)^2-SIN(S214/2)^2)*$K253+COS(S214/2)*SIN(S214/2)*(COS(S214/2)^2*$K248+SIN(S214/2)^2*$K249)+COS(S214/2)*SIN(S214/2)*(COS(S214/2)^2+SIN(S214/2)^2)*$M248</f>
        <v>0</v>
      </c>
      <c r="T258" s="138">
        <f>-2*COS(T214/2)*SIN(T214/2)*(COS(T214/2)^2-SIN(T214/2)^2)*$K253+COS(T214/2)*SIN(T214/2)*(COS(T214/2)^2*$K248+SIN(T214/2)^2*$K249)+COS(T214/2)*SIN(T214/2)*(COS(T214/2)^2+SIN(T214/2)^2)*$M248</f>
        <v>2.0909173104960418E-15</v>
      </c>
      <c r="U258" s="138">
        <f>-2*COS(U214/2)*SIN(U214/2)*(COS(U214/2)^2-SIN(U214/2)^2)*$K253+COS(U214/2)*SIN(U214/2)*(COS(U214/2)^2*$K248+SIN(U214/2)^2*$K249)+COS(U214/2)*SIN(U214/2)*(COS(U214/2)^2+SIN(U214/2)^2)*$M248</f>
        <v>0</v>
      </c>
      <c r="V258" s="138">
        <f>-2*COS(V214/2)*SIN(V214/2)*(COS(V214/2)^2-SIN(V214/2)^2)*$K253+COS(V214/2)*SIN(V214/2)*(COS(V214/2)^2*$K248+SIN(V214/2)^2*$K249)+COS(V214/2)*SIN(V214/2)*(COS(V214/2)^2+SIN(V214/2)^2)*$M248</f>
        <v>2.0909173104960418E-15</v>
      </c>
      <c r="W258" s="138"/>
      <c r="Y258" s="147">
        <f>S216*S258+T216*T258+U216*U258+V216*V258</f>
        <v>0</v>
      </c>
      <c r="Z258" s="164"/>
      <c r="AA258" s="147"/>
      <c r="AB258" s="147"/>
      <c r="AC258" s="147"/>
      <c r="AD258" s="147"/>
      <c r="AG258" s="139"/>
      <c r="AH258" s="147"/>
      <c r="AI258" s="147"/>
      <c r="AJ258" s="147"/>
      <c r="AK258" s="147"/>
    </row>
    <row r="259" spans="1:38">
      <c r="A259" s="206"/>
      <c r="B259" s="140"/>
      <c r="H259" s="205"/>
      <c r="R259" s="139" t="s">
        <v>781</v>
      </c>
      <c r="S259" s="138">
        <f>2*COS(S214/2)*SIN(S214/2)*(COS(S214/2)^2-SIN(S214/2)^2)*$K253+COS(S214/2)*SIN(S214/2)*(SIN(S214/2)^2*$K248-COS(S214/2)^2*$K249)+COS(S214/2)*SIN(S214/2)*(COS(S214/2)^2-SIN(S214/2)^2)*$M248</f>
        <v>0</v>
      </c>
      <c r="T259" s="138">
        <f>2*COS(T214/2)*SIN(T214/2)*(COS(T214/2)^2-SIN(T214/2)^2)*$K253+COS(T214/2)*SIN(T214/2)*(SIN(T214/2)^2*$K248-COS(T214/2)^2*$K249)+COS(T214/2)*SIN(T214/2)*(COS(T214/2)^2-SIN(T214/2)^2)*$M248</f>
        <v>1.0050870810750773E-14</v>
      </c>
      <c r="U259" s="138">
        <f>2*COS(U214/2)*SIN(U214/2)*(COS(U214/2)^2-SIN(U214/2)^2)*$K253+COS(U214/2)*SIN(U214/2)*(SIN(U214/2)^2*$K248-COS(U214/2)^2*$K249)+COS(U214/2)*SIN(U214/2)*(COS(U214/2)^2-SIN(U214/2)^2)*$M248</f>
        <v>0</v>
      </c>
      <c r="V259" s="138">
        <f>2*COS(V214/2)*SIN(V214/2)*(COS(V214/2)^2-SIN(V214/2)^2)*$K253+COS(V214/2)*SIN(V214/2)*(SIN(V214/2)^2*$K248-COS(V214/2)^2*$K249)+COS(V214/2)*SIN(V214/2)*(COS(V214/2)^2-SIN(V214/2)^2)*$M248</f>
        <v>1.0050870810750773E-14</v>
      </c>
      <c r="W259" s="138"/>
      <c r="Y259" s="147">
        <f>S216*S259+T216*T259+U216*U259+V216*V259</f>
        <v>0</v>
      </c>
      <c r="Z259" s="164"/>
      <c r="AA259" s="147"/>
      <c r="AB259" s="147"/>
      <c r="AC259" s="147"/>
      <c r="AD259" s="147"/>
      <c r="AG259" s="139"/>
      <c r="AH259" s="147"/>
      <c r="AI259" s="147"/>
      <c r="AJ259" s="147"/>
      <c r="AK259" s="147"/>
    </row>
    <row r="260" spans="1:38">
      <c r="A260" s="206"/>
      <c r="B260" s="140"/>
      <c r="C260" s="140"/>
      <c r="D260" s="140"/>
      <c r="E260" s="140"/>
      <c r="H260" s="205"/>
      <c r="R260" s="139" t="s">
        <v>784</v>
      </c>
      <c r="S260" s="138">
        <f>COS(S214/2)*SIN(S214/2)*($M249-$M250)</f>
        <v>0</v>
      </c>
      <c r="T260" s="138">
        <f>COS(T214/2)*SIN(T214/2)*($M249-$M250)</f>
        <v>-7.2345820007517372E-17</v>
      </c>
      <c r="U260" s="138">
        <f>COS(U214/2)*SIN(U214/2)*($M249-$M250)</f>
        <v>0</v>
      </c>
      <c r="V260" s="138">
        <f>COS(V214/2)*SIN(V214/2)*($M249-$M250)</f>
        <v>-7.2345820007517372E-17</v>
      </c>
      <c r="W260" s="138"/>
      <c r="Y260" s="164"/>
      <c r="Z260" s="164"/>
      <c r="AA260" s="147"/>
      <c r="AB260" s="147"/>
      <c r="AC260" s="147"/>
      <c r="AD260" s="147"/>
      <c r="AG260" s="139"/>
      <c r="AH260" s="147"/>
      <c r="AI260" s="147"/>
      <c r="AJ260" s="147"/>
      <c r="AK260" s="147"/>
    </row>
    <row r="261" spans="1:38">
      <c r="A261" s="215"/>
      <c r="B261" s="140"/>
      <c r="C261" s="140"/>
      <c r="D261" s="140"/>
      <c r="E261" s="140"/>
      <c r="H261" s="205"/>
      <c r="J261" s="137" t="s">
        <v>850</v>
      </c>
      <c r="K261" s="139"/>
      <c r="L261" s="139"/>
      <c r="N261" s="138" t="s">
        <v>1551</v>
      </c>
      <c r="P261" s="140"/>
      <c r="R261" s="138" t="s">
        <v>634</v>
      </c>
      <c r="Y261" s="164"/>
      <c r="Z261" s="138" t="s">
        <v>635</v>
      </c>
      <c r="AG261" s="138" t="s">
        <v>636</v>
      </c>
    </row>
    <row r="262" spans="1:38">
      <c r="A262" s="206"/>
      <c r="B262" s="144"/>
      <c r="H262" s="205"/>
      <c r="J262" s="139" t="str">
        <f>A140</f>
        <v>T3/N52[SI]</v>
      </c>
      <c r="K262" s="137"/>
      <c r="L262" s="139"/>
      <c r="N262" s="139" t="s">
        <v>596</v>
      </c>
      <c r="O262" s="144">
        <f>G141</f>
        <v>22</v>
      </c>
      <c r="P262" s="144">
        <f>B70</f>
        <v>22</v>
      </c>
      <c r="Q262" s="145">
        <f t="shared" ref="Q262:Q267" si="60">P262/O262</f>
        <v>1</v>
      </c>
      <c r="R262" s="137"/>
      <c r="Z262" s="139" t="s">
        <v>531</v>
      </c>
      <c r="AA262" s="146">
        <f t="shared" ref="AA262:AD264" si="61">S264</f>
        <v>0</v>
      </c>
      <c r="AB262" s="146">
        <f t="shared" si="61"/>
        <v>90</v>
      </c>
      <c r="AC262" s="146">
        <f t="shared" si="61"/>
        <v>0</v>
      </c>
      <c r="AD262" s="146">
        <f t="shared" si="61"/>
        <v>90</v>
      </c>
      <c r="AE262" s="139" t="s">
        <v>532</v>
      </c>
      <c r="AF262" s="143" t="s">
        <v>533</v>
      </c>
      <c r="AG262" s="139" t="s">
        <v>531</v>
      </c>
      <c r="AH262" s="146">
        <f t="shared" ref="AH262:AK264" si="62">AA262</f>
        <v>0</v>
      </c>
      <c r="AI262" s="146">
        <f t="shared" si="62"/>
        <v>90</v>
      </c>
      <c r="AJ262" s="146">
        <f t="shared" si="62"/>
        <v>0</v>
      </c>
      <c r="AK262" s="146">
        <f t="shared" si="62"/>
        <v>90</v>
      </c>
    </row>
    <row r="263" spans="1:38">
      <c r="A263" s="215"/>
      <c r="B263" s="140"/>
      <c r="H263" s="205"/>
      <c r="J263" s="139"/>
      <c r="K263" s="139"/>
      <c r="L263" s="139"/>
      <c r="N263" s="139" t="s">
        <v>600</v>
      </c>
      <c r="O263" s="147">
        <f>H141</f>
        <v>5.0000000000000001E-3</v>
      </c>
      <c r="P263" s="147">
        <f>C70</f>
        <v>5.0000000000000001E-3</v>
      </c>
      <c r="Q263" s="145">
        <f t="shared" si="60"/>
        <v>1</v>
      </c>
      <c r="R263" s="139" t="s">
        <v>243</v>
      </c>
      <c r="S263" s="143" t="s">
        <v>1562</v>
      </c>
      <c r="T263" s="143" t="s">
        <v>1563</v>
      </c>
      <c r="U263" s="143" t="s">
        <v>1564</v>
      </c>
      <c r="V263" s="143" t="s">
        <v>1565</v>
      </c>
      <c r="W263" s="143"/>
      <c r="X263" s="143"/>
      <c r="Z263" s="139" t="s">
        <v>536</v>
      </c>
      <c r="AA263" s="146">
        <f t="shared" si="61"/>
        <v>0</v>
      </c>
      <c r="AB263" s="146">
        <f t="shared" si="61"/>
        <v>0</v>
      </c>
      <c r="AC263" s="146">
        <f t="shared" si="61"/>
        <v>0</v>
      </c>
      <c r="AD263" s="146">
        <f t="shared" si="61"/>
        <v>0</v>
      </c>
      <c r="AE263" s="139">
        <f>W265</f>
        <v>1</v>
      </c>
      <c r="AF263" s="146">
        <f>X266</f>
        <v>0</v>
      </c>
      <c r="AG263" s="139" t="s">
        <v>536</v>
      </c>
      <c r="AH263" s="146">
        <f t="shared" si="62"/>
        <v>0</v>
      </c>
      <c r="AI263" s="146">
        <f t="shared" si="62"/>
        <v>0</v>
      </c>
      <c r="AJ263" s="146">
        <f t="shared" si="62"/>
        <v>0</v>
      </c>
      <c r="AK263" s="146">
        <f t="shared" si="62"/>
        <v>0</v>
      </c>
    </row>
    <row r="264" spans="1:38">
      <c r="A264" s="206"/>
      <c r="H264" s="205"/>
      <c r="J264" s="139" t="s">
        <v>1553</v>
      </c>
      <c r="K264" s="139" t="s">
        <v>1554</v>
      </c>
      <c r="L264" s="139" t="s">
        <v>1555</v>
      </c>
      <c r="M264" s="153" t="s">
        <v>1556</v>
      </c>
      <c r="N264" s="139" t="s">
        <v>1557</v>
      </c>
      <c r="O264" s="144">
        <f>G140</f>
        <v>122</v>
      </c>
      <c r="P264" s="144">
        <f>O264</f>
        <v>122</v>
      </c>
      <c r="Q264" s="145">
        <f t="shared" si="60"/>
        <v>1</v>
      </c>
      <c r="R264" s="139" t="s">
        <v>537</v>
      </c>
      <c r="S264" s="154">
        <f>C13+I14</f>
        <v>0</v>
      </c>
      <c r="T264" s="154">
        <f>D13+I14</f>
        <v>90</v>
      </c>
      <c r="U264" s="154">
        <f>E13+I14</f>
        <v>0</v>
      </c>
      <c r="V264" s="154">
        <f>F13+I14</f>
        <v>90</v>
      </c>
      <c r="W264" s="143" t="s">
        <v>538</v>
      </c>
      <c r="X264" s="143"/>
      <c r="Z264" s="139" t="s">
        <v>539</v>
      </c>
      <c r="AA264" s="146">
        <f t="shared" si="61"/>
        <v>0</v>
      </c>
      <c r="AB264" s="146">
        <f t="shared" si="61"/>
        <v>3.1415926535897931</v>
      </c>
      <c r="AC264" s="146">
        <f t="shared" si="61"/>
        <v>0</v>
      </c>
      <c r="AD264" s="146">
        <f t="shared" si="61"/>
        <v>3.1415926535897931</v>
      </c>
      <c r="AE264" s="139" t="s">
        <v>540</v>
      </c>
      <c r="AF264" s="141">
        <f>W272</f>
        <v>0</v>
      </c>
      <c r="AG264" s="139" t="s">
        <v>539</v>
      </c>
      <c r="AH264" s="146">
        <f t="shared" si="62"/>
        <v>0</v>
      </c>
      <c r="AI264" s="146">
        <f t="shared" si="62"/>
        <v>3.1415926535897931</v>
      </c>
      <c r="AJ264" s="146">
        <f t="shared" si="62"/>
        <v>0</v>
      </c>
      <c r="AK264" s="146">
        <f t="shared" si="62"/>
        <v>3.1415926535897931</v>
      </c>
    </row>
    <row r="265" spans="1:38">
      <c r="A265" s="206"/>
      <c r="B265" s="140"/>
      <c r="E265" s="140"/>
      <c r="H265" s="205"/>
      <c r="J265" s="139" t="s">
        <v>298</v>
      </c>
      <c r="K265" s="140">
        <f>B140</f>
        <v>181</v>
      </c>
      <c r="L265" s="140">
        <f>L272*L271</f>
        <v>181.00000000000003</v>
      </c>
      <c r="M265" s="145">
        <f>L265/K265</f>
        <v>1.0000000000000002</v>
      </c>
      <c r="N265" s="139" t="s">
        <v>299</v>
      </c>
      <c r="O265" s="144">
        <f>H140</f>
        <v>160</v>
      </c>
      <c r="P265" s="144">
        <f>O265-H143*(P263)</f>
        <v>150</v>
      </c>
      <c r="Q265" s="145">
        <f t="shared" si="60"/>
        <v>0.9375</v>
      </c>
      <c r="R265" s="139" t="s">
        <v>541</v>
      </c>
      <c r="S265" s="154">
        <f>C14</f>
        <v>0</v>
      </c>
      <c r="T265" s="154">
        <f>D14</f>
        <v>0</v>
      </c>
      <c r="U265" s="154">
        <f>E14</f>
        <v>0</v>
      </c>
      <c r="V265" s="154">
        <f>F14</f>
        <v>0</v>
      </c>
      <c r="W265" s="156">
        <f>G14</f>
        <v>1</v>
      </c>
      <c r="X265" s="143"/>
      <c r="Z265" s="139"/>
      <c r="AA265" s="141">
        <f>AA264/2</f>
        <v>0</v>
      </c>
      <c r="AB265" s="141">
        <f>AB264/2</f>
        <v>1.5707963267948966</v>
      </c>
      <c r="AC265" s="141">
        <f>AC264/2</f>
        <v>0</v>
      </c>
      <c r="AD265" s="141">
        <f>AD264/2</f>
        <v>1.5707963267948966</v>
      </c>
      <c r="AE265" s="143"/>
      <c r="AL265" s="139"/>
    </row>
    <row r="266" spans="1:38">
      <c r="A266" s="215"/>
      <c r="B266" s="140"/>
      <c r="C266" s="140"/>
      <c r="D266" s="140"/>
      <c r="E266" s="140"/>
      <c r="H266" s="205"/>
      <c r="J266" s="139" t="s">
        <v>1579</v>
      </c>
      <c r="K266" s="140">
        <f>C140</f>
        <v>10.3</v>
      </c>
      <c r="L266" s="140">
        <f>(1+L275)/(1/L276+L275/L273)</f>
        <v>10.3</v>
      </c>
      <c r="M266" s="145">
        <f>L266/K266</f>
        <v>1</v>
      </c>
      <c r="N266" s="139" t="s">
        <v>1580</v>
      </c>
      <c r="O266" s="140">
        <f>(O265-O262)/(O265-O262)</f>
        <v>1</v>
      </c>
      <c r="P266" s="140">
        <f>(P265-P262)/(P265-O262)</f>
        <v>1</v>
      </c>
      <c r="Q266" s="145">
        <f t="shared" si="60"/>
        <v>1</v>
      </c>
      <c r="R266" s="139" t="s">
        <v>1295</v>
      </c>
      <c r="S266" s="158">
        <f>S264*PI()/90</f>
        <v>0</v>
      </c>
      <c r="T266" s="158">
        <f>T264*PI()/90</f>
        <v>3.1415926535897931</v>
      </c>
      <c r="U266" s="158">
        <f>U264*PI()/90</f>
        <v>0</v>
      </c>
      <c r="V266" s="158">
        <f>V264*PI()/90</f>
        <v>3.1415926535897931</v>
      </c>
      <c r="W266" s="143" t="s">
        <v>1296</v>
      </c>
      <c r="X266" s="146"/>
      <c r="Z266" s="137" t="s">
        <v>1297</v>
      </c>
      <c r="AA266" s="143"/>
      <c r="AB266" s="143"/>
      <c r="AC266" s="141"/>
      <c r="AD266" s="141"/>
      <c r="AE266" s="141"/>
      <c r="AG266" s="137" t="s">
        <v>1298</v>
      </c>
      <c r="AL266" s="139"/>
    </row>
    <row r="267" spans="1:38">
      <c r="A267" s="206"/>
      <c r="B267" s="144"/>
      <c r="H267" s="205"/>
      <c r="J267" s="139" t="s">
        <v>259</v>
      </c>
      <c r="K267" s="140">
        <f>D140</f>
        <v>0.28000000000000003</v>
      </c>
      <c r="L267" s="140">
        <f>K267*I70</f>
        <v>0.28000000000000003</v>
      </c>
      <c r="M267" s="145">
        <f>L267/K267</f>
        <v>1</v>
      </c>
      <c r="N267" s="139" t="s">
        <v>260</v>
      </c>
      <c r="O267" s="144">
        <f>O262-O264</f>
        <v>-100</v>
      </c>
      <c r="P267" s="144">
        <f>P262-P264</f>
        <v>-100</v>
      </c>
      <c r="Q267" s="145">
        <f t="shared" si="60"/>
        <v>1</v>
      </c>
      <c r="R267" s="139" t="s">
        <v>1300</v>
      </c>
      <c r="S267" s="158">
        <f>2*S266</f>
        <v>0</v>
      </c>
      <c r="T267" s="158">
        <f>2*T266</f>
        <v>6.2831853071795862</v>
      </c>
      <c r="U267" s="158">
        <f>2*U266</f>
        <v>0</v>
      </c>
      <c r="V267" s="158">
        <f>2*V266</f>
        <v>6.2831853071795862</v>
      </c>
      <c r="W267" s="138" t="s">
        <v>651</v>
      </c>
      <c r="X267" s="143" t="s">
        <v>652</v>
      </c>
      <c r="Y267" s="143" t="s">
        <v>646</v>
      </c>
      <c r="Z267" s="139"/>
      <c r="AA267" s="143" t="s">
        <v>1301</v>
      </c>
      <c r="AB267" s="143"/>
      <c r="AC267" s="161" t="s">
        <v>977</v>
      </c>
      <c r="AD267" s="161"/>
      <c r="AE267" s="143" t="s">
        <v>1303</v>
      </c>
      <c r="AF267" s="143" t="s">
        <v>1304</v>
      </c>
      <c r="AG267" s="139" t="s">
        <v>1305</v>
      </c>
      <c r="AH267" s="147">
        <f t="shared" ref="AH267:AK269" si="63">AA273/1000</f>
        <v>0</v>
      </c>
      <c r="AI267" s="147">
        <f t="shared" si="63"/>
        <v>0</v>
      </c>
      <c r="AJ267" s="147">
        <f t="shared" si="63"/>
        <v>0</v>
      </c>
      <c r="AK267" s="147">
        <f t="shared" si="63"/>
        <v>0</v>
      </c>
      <c r="AL267" s="157"/>
    </row>
    <row r="268" spans="1:38">
      <c r="A268" s="215"/>
      <c r="B268" s="140"/>
      <c r="H268" s="205"/>
      <c r="J268" s="139" t="s">
        <v>261</v>
      </c>
      <c r="K268" s="140">
        <f>E140</f>
        <v>7.17</v>
      </c>
      <c r="L268" s="140">
        <f>(1+L278)/(1/L279+L278*2.7/L273)</f>
        <v>7.17</v>
      </c>
      <c r="M268" s="145">
        <f>L268/K268</f>
        <v>1</v>
      </c>
      <c r="N268" s="139"/>
      <c r="O268" s="140"/>
      <c r="P268" s="140"/>
      <c r="Q268" s="140"/>
      <c r="R268" s="139" t="s">
        <v>1321</v>
      </c>
      <c r="S268" s="158">
        <f>2*W265*S265*L269/1000000/Y268</f>
        <v>0</v>
      </c>
      <c r="T268" s="158">
        <f>2*W265*T265*L269/1000000/Y268</f>
        <v>0</v>
      </c>
      <c r="U268" s="158">
        <f>2*W265*U265*L269/1000000/Y268</f>
        <v>0</v>
      </c>
      <c r="V268" s="158">
        <f>2*W265*V265*L269/1000000/Y268</f>
        <v>0</v>
      </c>
      <c r="W268" s="147">
        <f>SUM(S268:V268)</f>
        <v>0</v>
      </c>
      <c r="X268" s="163">
        <f>2*W265*SUM(S265:V265)*L269/1000000</f>
        <v>0</v>
      </c>
      <c r="Y268" s="147">
        <f>Y216</f>
        <v>5.0000000000000001E-4</v>
      </c>
      <c r="Z268" s="139">
        <v>1</v>
      </c>
      <c r="AA268" s="140">
        <f>$B$37</f>
        <v>1</v>
      </c>
      <c r="AB268" s="163"/>
      <c r="AC268" s="140">
        <f>AC216</f>
        <v>119.49416590714854</v>
      </c>
      <c r="AD268" s="163"/>
      <c r="AE268" s="159" t="s">
        <v>1306</v>
      </c>
      <c r="AF268" s="163">
        <f>IF(X268=0,0,(AC268+AC269)/2)</f>
        <v>0</v>
      </c>
      <c r="AG268" s="139" t="s">
        <v>1307</v>
      </c>
      <c r="AH268" s="147">
        <f t="shared" si="63"/>
        <v>0</v>
      </c>
      <c r="AI268" s="147">
        <f t="shared" si="63"/>
        <v>0</v>
      </c>
      <c r="AJ268" s="147">
        <f t="shared" si="63"/>
        <v>0</v>
      </c>
      <c r="AK268" s="147">
        <f t="shared" si="63"/>
        <v>0</v>
      </c>
      <c r="AL268" s="157"/>
    </row>
    <row r="269" spans="1:38">
      <c r="A269" s="206"/>
      <c r="B269" s="140"/>
      <c r="H269" s="205"/>
      <c r="J269" s="139" t="s">
        <v>262</v>
      </c>
      <c r="K269" s="144">
        <f>B142</f>
        <v>125</v>
      </c>
      <c r="L269" s="144">
        <f>K269/M271</f>
        <v>125</v>
      </c>
      <c r="M269" s="145">
        <f>L269/K269</f>
        <v>1</v>
      </c>
      <c r="N269" s="137" t="s">
        <v>1531</v>
      </c>
      <c r="O269" s="140"/>
      <c r="P269" s="140"/>
      <c r="Q269" s="140"/>
      <c r="R269" s="139" t="s">
        <v>1325</v>
      </c>
      <c r="S269" s="143" t="s">
        <v>1326</v>
      </c>
      <c r="T269" s="143" t="s">
        <v>1327</v>
      </c>
      <c r="U269" s="143" t="s">
        <v>1328</v>
      </c>
      <c r="V269" s="143" t="s">
        <v>1329</v>
      </c>
      <c r="W269" s="143" t="s">
        <v>1330</v>
      </c>
      <c r="X269" s="139"/>
      <c r="Z269" s="139">
        <v>2</v>
      </c>
      <c r="AA269" s="140">
        <f>$B$38</f>
        <v>0</v>
      </c>
      <c r="AB269" s="163"/>
      <c r="AC269" s="140">
        <f>AC217</f>
        <v>-19.975848039852647</v>
      </c>
      <c r="AD269" s="163"/>
      <c r="AE269" s="159" t="s">
        <v>1309</v>
      </c>
      <c r="AF269" s="163">
        <f>IF(X268=0,0,(AC268-AC269)/2)</f>
        <v>0</v>
      </c>
      <c r="AG269" s="139" t="s">
        <v>1310</v>
      </c>
      <c r="AH269" s="147">
        <f t="shared" si="63"/>
        <v>0</v>
      </c>
      <c r="AI269" s="147">
        <f t="shared" si="63"/>
        <v>0</v>
      </c>
      <c r="AJ269" s="147">
        <f t="shared" si="63"/>
        <v>0</v>
      </c>
      <c r="AK269" s="147">
        <f t="shared" si="63"/>
        <v>0</v>
      </c>
      <c r="AL269" s="157"/>
    </row>
    <row r="270" spans="1:38">
      <c r="A270" s="206"/>
      <c r="B270" s="140"/>
      <c r="C270" s="140"/>
      <c r="D270" s="140"/>
      <c r="E270" s="140"/>
      <c r="H270" s="205"/>
      <c r="J270" s="137" t="s">
        <v>264</v>
      </c>
      <c r="K270" s="140"/>
      <c r="L270" s="140"/>
      <c r="N270" s="139" t="s">
        <v>265</v>
      </c>
      <c r="O270" s="140">
        <f>A143</f>
        <v>0.02</v>
      </c>
      <c r="P270" s="140">
        <f>O270</f>
        <v>0.02</v>
      </c>
      <c r="Q270" s="140">
        <f>P270/O270</f>
        <v>1</v>
      </c>
      <c r="R270" s="139">
        <v>11</v>
      </c>
      <c r="S270" s="140">
        <f>L287+L288*COS(S266)+L289*COS(S267)</f>
        <v>181.81113884441794</v>
      </c>
      <c r="T270" s="140">
        <f>L287+L288*COS(T266)+L289*COS(T267)</f>
        <v>10.346158729820477</v>
      </c>
      <c r="U270" s="140">
        <f>L287+L288*COS(U266)+L289*COS(U267)</f>
        <v>181.81113884441794</v>
      </c>
      <c r="V270" s="140">
        <f>L287+L288*COS(V266)+L289*COS(V267)</f>
        <v>10.346158729820477</v>
      </c>
      <c r="W270" s="163">
        <f>(S268*S270+T268*T270+U268*U270+V268*V270)</f>
        <v>0</v>
      </c>
      <c r="X270" s="147"/>
      <c r="Z270" s="139">
        <v>6</v>
      </c>
      <c r="AA270" s="140">
        <f>$B$39</f>
        <v>0</v>
      </c>
      <c r="AB270" s="163"/>
      <c r="AC270" s="140">
        <f>AC218</f>
        <v>-91.562516762323497</v>
      </c>
      <c r="AD270" s="163"/>
      <c r="AE270" s="159" t="s">
        <v>1312</v>
      </c>
      <c r="AF270" s="163">
        <f>IF(X268=0,0,AC270/2)</f>
        <v>0</v>
      </c>
      <c r="AG270" s="139"/>
      <c r="AH270" s="163"/>
      <c r="AI270" s="163"/>
      <c r="AJ270" s="163"/>
      <c r="AK270" s="163"/>
      <c r="AL270" s="163"/>
    </row>
    <row r="271" spans="1:38">
      <c r="A271" s="215"/>
      <c r="B271" s="140"/>
      <c r="C271" s="140"/>
      <c r="D271" s="140"/>
      <c r="E271" s="140"/>
      <c r="H271" s="205"/>
      <c r="J271" s="139" t="s">
        <v>1532</v>
      </c>
      <c r="K271" s="140">
        <f>C142</f>
        <v>0.7</v>
      </c>
      <c r="L271" s="140">
        <f>D70</f>
        <v>0.7</v>
      </c>
      <c r="M271" s="145">
        <f t="shared" ref="M271:M280" si="64">L271/K271</f>
        <v>1</v>
      </c>
      <c r="N271" s="139" t="s">
        <v>1533</v>
      </c>
      <c r="O271" s="140">
        <f>B143</f>
        <v>22.5</v>
      </c>
      <c r="P271" s="140">
        <f>O271*(1-L271)/(1-K271)</f>
        <v>22.5</v>
      </c>
      <c r="Q271" s="140">
        <f>P271/O271</f>
        <v>1</v>
      </c>
      <c r="R271" s="139">
        <v>22</v>
      </c>
      <c r="S271" s="140">
        <f>S270-2*L288*COS(S266)</f>
        <v>10.346158729820473</v>
      </c>
      <c r="T271" s="140">
        <f>T270-2*L288*COS(T266)</f>
        <v>181.81113884441794</v>
      </c>
      <c r="U271" s="140">
        <f>U270-2*L288*COS(U266)</f>
        <v>10.346158729820473</v>
      </c>
      <c r="V271" s="140">
        <f>V270-2*L288*COS(V266)</f>
        <v>181.81113884441794</v>
      </c>
      <c r="W271" s="163">
        <f>(S268*S271+T268*T271+U268*U271+V268*V271)</f>
        <v>0</v>
      </c>
      <c r="X271" s="147"/>
      <c r="AA271" s="163"/>
      <c r="AB271" s="163"/>
      <c r="AC271" s="163"/>
      <c r="AD271" s="163"/>
      <c r="AE271" s="159"/>
      <c r="AF271" s="163"/>
      <c r="AG271" s="139"/>
      <c r="AH271" s="163"/>
      <c r="AI271" s="163"/>
      <c r="AJ271" s="163"/>
      <c r="AK271" s="163"/>
      <c r="AL271" s="163"/>
    </row>
    <row r="272" spans="1:38">
      <c r="A272" s="206"/>
      <c r="B272" s="144"/>
      <c r="H272" s="205"/>
      <c r="J272" s="139" t="s">
        <v>1534</v>
      </c>
      <c r="K272" s="144">
        <f>K265/K271</f>
        <v>258.57142857142861</v>
      </c>
      <c r="L272" s="144">
        <f>F70*P266^F143</f>
        <v>258.57142857142861</v>
      </c>
      <c r="M272" s="145">
        <f t="shared" si="64"/>
        <v>1</v>
      </c>
      <c r="N272" s="138" t="s">
        <v>1535</v>
      </c>
      <c r="O272" s="140"/>
      <c r="P272" s="140"/>
      <c r="Q272" s="140"/>
      <c r="R272" s="139" t="s">
        <v>1345</v>
      </c>
      <c r="S272" s="140">
        <f>L290-L289*COS(S267)</f>
        <v>2.8969244443497324</v>
      </c>
      <c r="T272" s="140">
        <f>L290-L289*COS(T267)</f>
        <v>2.8969244443497324</v>
      </c>
      <c r="U272" s="140">
        <f>L290-L289*COS(U267)</f>
        <v>2.8969244443497324</v>
      </c>
      <c r="V272" s="140">
        <f>L290-L289*COS(V267)</f>
        <v>2.8969244443497324</v>
      </c>
      <c r="W272" s="163">
        <f>(S268*S272+T268*T272+U268*U272+V268*V272)</f>
        <v>0</v>
      </c>
      <c r="X272" s="147"/>
      <c r="Z272" s="137" t="s">
        <v>1323</v>
      </c>
      <c r="AA272" s="163"/>
      <c r="AB272" s="163"/>
      <c r="AC272" s="163"/>
      <c r="AD272" s="163"/>
      <c r="AE272" s="159" t="s">
        <v>661</v>
      </c>
      <c r="AF272" s="163">
        <f>L267/L265*L282+L280/L266*L284</f>
        <v>0.42188220063345594</v>
      </c>
      <c r="AG272" s="139"/>
      <c r="AH272" s="163"/>
      <c r="AI272" s="163"/>
      <c r="AJ272" s="163"/>
      <c r="AK272" s="163"/>
      <c r="AL272" s="163"/>
    </row>
    <row r="273" spans="1:38">
      <c r="A273" s="215"/>
      <c r="B273" s="140"/>
      <c r="H273" s="205"/>
      <c r="J273" s="139" t="s">
        <v>1536</v>
      </c>
      <c r="K273" s="140">
        <f>F140</f>
        <v>3.4</v>
      </c>
      <c r="L273" s="140">
        <f>E70*P266^F142*I70</f>
        <v>3.4</v>
      </c>
      <c r="M273" s="145">
        <f t="shared" si="64"/>
        <v>1</v>
      </c>
      <c r="N273" s="139" t="s">
        <v>1537</v>
      </c>
      <c r="O273" s="140">
        <f>C143</f>
        <v>0</v>
      </c>
      <c r="P273" s="140">
        <f>O273</f>
        <v>0</v>
      </c>
      <c r="Q273" s="140">
        <v>1</v>
      </c>
      <c r="R273" s="139">
        <v>66</v>
      </c>
      <c r="S273" s="140">
        <f>S272-L290+L291</f>
        <v>7.1700000000000053</v>
      </c>
      <c r="T273" s="140">
        <f>T272-L290+L291</f>
        <v>7.1700000000000053</v>
      </c>
      <c r="U273" s="140">
        <f>U272-L290+L291</f>
        <v>7.1700000000000053</v>
      </c>
      <c r="V273" s="140">
        <f>V272-L290+L291</f>
        <v>7.1700000000000053</v>
      </c>
      <c r="W273" s="163">
        <f>(S268*S273+T268*T273+U268*U273+V268*V273)</f>
        <v>0</v>
      </c>
      <c r="X273" s="147"/>
      <c r="Z273" s="139" t="s">
        <v>1324</v>
      </c>
      <c r="AA273" s="147">
        <f>(AF268+AF269*COS(AA264)+AF270*SIN(AA264))</f>
        <v>0</v>
      </c>
      <c r="AB273" s="147">
        <f>(AF268+AF269*COS(AB264)+AF270*SIN(AB264))</f>
        <v>0</v>
      </c>
      <c r="AC273" s="147">
        <f>(AF268+AF269*COS(AC264)+AF270*SIN(AC264))</f>
        <v>0</v>
      </c>
      <c r="AD273" s="147">
        <f>(AF268+AF269*COS(AD264)+AF270*SIN(AD264))</f>
        <v>0</v>
      </c>
      <c r="AE273" s="159" t="s">
        <v>664</v>
      </c>
      <c r="AF273" s="163">
        <f>L267/L265*L284+L280/L266*L283</f>
        <v>0.50672214511948566</v>
      </c>
      <c r="AG273" s="137"/>
      <c r="AH273" s="159"/>
      <c r="AI273" s="159"/>
      <c r="AJ273" s="159"/>
      <c r="AK273" s="159"/>
      <c r="AL273" s="163"/>
    </row>
    <row r="274" spans="1:38">
      <c r="A274" s="206"/>
      <c r="B274" s="140"/>
      <c r="H274" s="205"/>
      <c r="J274" s="139" t="s">
        <v>1538</v>
      </c>
      <c r="K274" s="140">
        <f>E142</f>
        <v>0.51600000000000001</v>
      </c>
      <c r="L274" s="140">
        <f>K274*P266^G142</f>
        <v>0.51600000000000001</v>
      </c>
      <c r="M274" s="145">
        <f t="shared" si="64"/>
        <v>1</v>
      </c>
      <c r="N274" s="139" t="s">
        <v>1539</v>
      </c>
      <c r="O274" s="140">
        <f>D143</f>
        <v>0.6</v>
      </c>
      <c r="P274" s="140">
        <f>O274*(1-L271)/(1-K271)</f>
        <v>0.6</v>
      </c>
      <c r="Q274" s="140">
        <f>P274/O274</f>
        <v>1</v>
      </c>
      <c r="R274" s="139" t="s">
        <v>1347</v>
      </c>
      <c r="S274" s="140">
        <f>L288*SIN(S266)/2+L289*SIN(S267)</f>
        <v>0</v>
      </c>
      <c r="T274" s="140">
        <f>L288*SIN(T266)/2+L289*SIN(T267)</f>
        <v>4.221105484146412E-16</v>
      </c>
      <c r="U274" s="140">
        <f>L288*SIN(U266)/2+L289*SIN(U267)</f>
        <v>0</v>
      </c>
      <c r="V274" s="140">
        <f>L288*SIN(V266)/2+L289*SIN(V267)</f>
        <v>4.221105484146412E-16</v>
      </c>
      <c r="W274" s="163">
        <f>(S268*S274+T268*T274+U268*U274+V268*V274)</f>
        <v>0</v>
      </c>
      <c r="X274" s="147"/>
      <c r="Z274" s="139" t="s">
        <v>1332</v>
      </c>
      <c r="AA274" s="147">
        <f>2*AF268-AA273</f>
        <v>0</v>
      </c>
      <c r="AB274" s="147">
        <f>2*AF268-AB273</f>
        <v>0</v>
      </c>
      <c r="AC274" s="147">
        <f>2*AF268-AC273</f>
        <v>0</v>
      </c>
      <c r="AD274" s="147">
        <f>2*AF268-AD273</f>
        <v>0</v>
      </c>
      <c r="AE274" s="159"/>
      <c r="AF274" s="163"/>
      <c r="AG274" s="139" t="s">
        <v>1333</v>
      </c>
      <c r="AH274" s="163">
        <f>P293*AH267^2+2*P295*AH267*AH268+P294*AH268^2+P296*AH269^2</f>
        <v>0</v>
      </c>
      <c r="AI274" s="163">
        <f>P293*AI267^2+2*P295*AI267*AI268+P294*AI268^2+P296*AI269^2</f>
        <v>0</v>
      </c>
      <c r="AJ274" s="163">
        <f>P293*AJ267^2+2*P295*AJ267*AJ268+P294*AJ268^2+P296*AJ269^2</f>
        <v>0</v>
      </c>
      <c r="AK274" s="163">
        <f>P293*AK267^2+2*P295*AK267*AK268+P294*AK268^2+P296*AK269^2</f>
        <v>0</v>
      </c>
      <c r="AL274" s="163"/>
    </row>
    <row r="275" spans="1:38">
      <c r="A275" s="215"/>
      <c r="B275" s="140"/>
      <c r="C275" s="140"/>
      <c r="D275" s="140"/>
      <c r="E275" s="140"/>
      <c r="H275" s="205"/>
      <c r="J275" s="139" t="s">
        <v>1547</v>
      </c>
      <c r="K275" s="140">
        <f>K274*(1-K271)/K271</f>
        <v>0.2211428571428572</v>
      </c>
      <c r="L275" s="140">
        <f>L274*(1-L271)/L271</f>
        <v>0.2211428571428572</v>
      </c>
      <c r="M275" s="145">
        <f t="shared" si="64"/>
        <v>1</v>
      </c>
      <c r="O275" s="140"/>
      <c r="P275" s="140"/>
      <c r="Q275" s="140"/>
      <c r="R275" s="139" t="s">
        <v>1349</v>
      </c>
      <c r="S275" s="140">
        <f>L288*SIN(S266)-S274</f>
        <v>0</v>
      </c>
      <c r="T275" s="140">
        <f>L288*SIN(T266)-T274</f>
        <v>1.0081392224502176E-14</v>
      </c>
      <c r="U275" s="140">
        <f>L288*SIN(U266)-U274</f>
        <v>0</v>
      </c>
      <c r="V275" s="140">
        <f>L288*SIN(V266)-V274</f>
        <v>1.0081392224502176E-14</v>
      </c>
      <c r="W275" s="163">
        <f>(S268*S275+T268*T275+U268*U275+V268*V275)</f>
        <v>0</v>
      </c>
      <c r="X275" s="147"/>
      <c r="Z275" s="139" t="s">
        <v>1334</v>
      </c>
      <c r="AA275" s="147">
        <f>(2*(AF270*COS(AA264)-AF269*SIN(AA264)))</f>
        <v>0</v>
      </c>
      <c r="AB275" s="147">
        <f>(2*(AF270*COS(AB264)-AF269*SIN(AB264)))</f>
        <v>0</v>
      </c>
      <c r="AC275" s="147">
        <f>(2*(AF270*COS(AC264)-AF269*SIN(AC264)))</f>
        <v>0</v>
      </c>
      <c r="AD275" s="147">
        <f>(2*(AF270*COS(AD264)-AF269*SIN(AD264)))</f>
        <v>0</v>
      </c>
      <c r="AE275" s="159"/>
      <c r="AF275" s="163"/>
      <c r="AG275" s="139" t="s">
        <v>1335</v>
      </c>
      <c r="AH275" s="163">
        <f>P297*AH267+P298*AH268</f>
        <v>0</v>
      </c>
      <c r="AI275" s="163">
        <f>P297*AI267+P298*AI268</f>
        <v>0</v>
      </c>
      <c r="AJ275" s="163">
        <f>P297*AJ267+P298*AJ268</f>
        <v>0</v>
      </c>
      <c r="AK275" s="163">
        <f>P297*AK267+P298*AK268</f>
        <v>0</v>
      </c>
      <c r="AL275" s="163"/>
    </row>
    <row r="276" spans="1:38">
      <c r="A276" s="215"/>
      <c r="B276" s="140"/>
      <c r="C276" s="140"/>
      <c r="D276" s="140"/>
      <c r="E276" s="140"/>
      <c r="H276" s="205"/>
      <c r="J276" s="139" t="s">
        <v>1643</v>
      </c>
      <c r="K276" s="140">
        <f>1/((1+K275)/K266-K275/K273)</f>
        <v>18.686160319541436</v>
      </c>
      <c r="L276" s="140">
        <f>K276*P266^F143</f>
        <v>18.686160319541436</v>
      </c>
      <c r="M276" s="145">
        <f t="shared" si="64"/>
        <v>1</v>
      </c>
      <c r="N276" s="138" t="s">
        <v>176</v>
      </c>
      <c r="O276" s="140"/>
      <c r="P276" s="140"/>
      <c r="Q276" s="140"/>
      <c r="R276" s="139"/>
      <c r="S276" s="143"/>
      <c r="T276" s="143"/>
      <c r="U276" s="143"/>
      <c r="V276" s="139"/>
      <c r="W276" s="143"/>
      <c r="Z276" s="139" t="s">
        <v>671</v>
      </c>
      <c r="AA276" s="164">
        <f>S294*S268</f>
        <v>0</v>
      </c>
      <c r="AB276" s="164">
        <f>T294*T268</f>
        <v>0</v>
      </c>
      <c r="AC276" s="164">
        <f>U294*U268</f>
        <v>0</v>
      </c>
      <c r="AD276" s="164">
        <f>V294*V268</f>
        <v>0</v>
      </c>
      <c r="AE276" s="164">
        <f>W268*(P271+P270*AF272+AF273*P271)-AF272*SUM(AA276:AD276)-AF273*SUM(AA277:AD277)</f>
        <v>0</v>
      </c>
      <c r="AF276" s="164"/>
      <c r="AG276" s="139" t="s">
        <v>1344</v>
      </c>
      <c r="AH276" s="163" t="e">
        <f>AH275/2/AH274</f>
        <v>#DIV/0!</v>
      </c>
      <c r="AI276" s="163" t="e">
        <f>AI275/2/AI274</f>
        <v>#DIV/0!</v>
      </c>
      <c r="AJ276" s="163" t="e">
        <f>AJ275/2/AJ274</f>
        <v>#DIV/0!</v>
      </c>
      <c r="AK276" s="163" t="e">
        <f>AK275/2/AK274</f>
        <v>#DIV/0!</v>
      </c>
      <c r="AL276" s="163"/>
    </row>
    <row r="277" spans="1:38">
      <c r="A277" s="206"/>
      <c r="B277" s="144"/>
      <c r="H277" s="205"/>
      <c r="J277" s="139" t="s">
        <v>295</v>
      </c>
      <c r="K277" s="140">
        <f>E143</f>
        <v>0.316</v>
      </c>
      <c r="L277" s="140">
        <f>K277*P266^G142</f>
        <v>0.316</v>
      </c>
      <c r="M277" s="145">
        <f t="shared" si="64"/>
        <v>1</v>
      </c>
      <c r="N277" s="139" t="s">
        <v>296</v>
      </c>
      <c r="O277" s="144">
        <f>A141</f>
        <v>1500</v>
      </c>
      <c r="P277" s="144">
        <f>P283*L271</f>
        <v>1500</v>
      </c>
      <c r="Q277" s="140">
        <f t="shared" ref="Q277:Q284" si="65">P277/O277</f>
        <v>1</v>
      </c>
      <c r="R277" s="139"/>
      <c r="T277" s="164"/>
      <c r="U277" s="140"/>
      <c r="V277" s="140"/>
      <c r="W277" s="140"/>
      <c r="X277" s="143"/>
      <c r="Y277" s="139"/>
      <c r="Z277" s="139" t="s">
        <v>675</v>
      </c>
      <c r="AA277" s="164">
        <f>S295*S268</f>
        <v>0</v>
      </c>
      <c r="AB277" s="164">
        <f>T295*T268</f>
        <v>0</v>
      </c>
      <c r="AC277" s="164">
        <f>U295*U268</f>
        <v>0</v>
      </c>
      <c r="AD277" s="164">
        <f>V295*V268</f>
        <v>0</v>
      </c>
      <c r="AE277" s="164"/>
      <c r="AF277" s="164"/>
      <c r="AG277" s="139"/>
      <c r="AH277" s="163"/>
      <c r="AI277" s="163"/>
      <c r="AJ277" s="163"/>
      <c r="AK277" s="163"/>
      <c r="AL277" s="163"/>
    </row>
    <row r="278" spans="1:38">
      <c r="A278" s="215"/>
      <c r="B278" s="140"/>
      <c r="H278" s="205"/>
      <c r="J278" s="139" t="s">
        <v>301</v>
      </c>
      <c r="K278" s="140">
        <f>K277*(1-K271)/K271</f>
        <v>0.13542857142857145</v>
      </c>
      <c r="L278" s="140">
        <f>L277*(1-L271)/L271</f>
        <v>0.13542857142857145</v>
      </c>
      <c r="M278" s="145">
        <f t="shared" si="64"/>
        <v>1</v>
      </c>
      <c r="N278" s="139" t="s">
        <v>302</v>
      </c>
      <c r="O278" s="144">
        <f>B141</f>
        <v>1500</v>
      </c>
      <c r="P278" s="144">
        <f>O278*Q277*M268^F144</f>
        <v>1500</v>
      </c>
      <c r="Q278" s="140">
        <f t="shared" si="65"/>
        <v>1</v>
      </c>
      <c r="R278" s="139"/>
      <c r="T278" s="164"/>
      <c r="U278" s="140"/>
      <c r="V278" s="140"/>
      <c r="W278" s="140"/>
      <c r="X278" s="140"/>
      <c r="Y278" s="140"/>
      <c r="Z278" s="139" t="s">
        <v>677</v>
      </c>
      <c r="AA278" s="164">
        <f>S296*S268</f>
        <v>0</v>
      </c>
      <c r="AB278" s="164">
        <f>T296*T268</f>
        <v>0</v>
      </c>
      <c r="AC278" s="164">
        <f>U296*U268</f>
        <v>0</v>
      </c>
      <c r="AD278" s="164">
        <f>V296*V268</f>
        <v>0</v>
      </c>
      <c r="AE278" s="164">
        <f>W268*(P274+P273*AF272+AF273*P274)-AF272*SUM(AA278:AD278)-AF273*SUM(AA279:AD279)</f>
        <v>0</v>
      </c>
      <c r="AF278" s="164"/>
      <c r="AG278" s="139"/>
      <c r="AH278" s="163"/>
      <c r="AI278" s="147"/>
      <c r="AJ278" s="163"/>
      <c r="AK278" s="163"/>
      <c r="AL278" s="163"/>
    </row>
    <row r="279" spans="1:38">
      <c r="A279" s="206"/>
      <c r="B279" s="140"/>
      <c r="H279" s="205"/>
      <c r="J279" s="139" t="s">
        <v>304</v>
      </c>
      <c r="K279" s="140">
        <f>1/((1+K278)/K268-K278*2.7/K273)</f>
        <v>19.680382632972858</v>
      </c>
      <c r="L279" s="140">
        <f>K279*P266^F143</f>
        <v>19.680382632972858</v>
      </c>
      <c r="M279" s="145">
        <f t="shared" si="64"/>
        <v>1</v>
      </c>
      <c r="N279" s="139" t="s">
        <v>305</v>
      </c>
      <c r="O279" s="144">
        <f>C141</f>
        <v>40</v>
      </c>
      <c r="P279" s="144">
        <f>O279*Q284</f>
        <v>40</v>
      </c>
      <c r="Q279" s="140">
        <f t="shared" si="65"/>
        <v>1</v>
      </c>
      <c r="R279" s="139"/>
      <c r="T279" s="164"/>
      <c r="U279" s="140"/>
      <c r="V279" s="140"/>
      <c r="W279" s="140"/>
      <c r="X279" s="140"/>
      <c r="Y279" s="140"/>
      <c r="Z279" s="138" t="s">
        <v>679</v>
      </c>
      <c r="AA279" s="164">
        <f>S297*S268</f>
        <v>0</v>
      </c>
      <c r="AB279" s="164">
        <f>T297*T268</f>
        <v>0</v>
      </c>
      <c r="AC279" s="164">
        <f>U297*U268</f>
        <v>0</v>
      </c>
      <c r="AD279" s="164">
        <f>V297*V268</f>
        <v>0</v>
      </c>
      <c r="AE279" s="164"/>
      <c r="AF279" s="164"/>
      <c r="AG279" s="139"/>
      <c r="AH279" s="163"/>
      <c r="AI279" s="163"/>
      <c r="AJ279" s="163"/>
      <c r="AK279" s="163"/>
      <c r="AL279" s="159" t="s">
        <v>1348</v>
      </c>
    </row>
    <row r="280" spans="1:38">
      <c r="A280" s="206"/>
      <c r="B280" s="140"/>
      <c r="C280" s="140"/>
      <c r="D280" s="140"/>
      <c r="E280" s="140"/>
      <c r="F280" s="140"/>
      <c r="H280" s="205"/>
      <c r="J280" s="139" t="s">
        <v>1581</v>
      </c>
      <c r="K280" s="140">
        <f>F144</f>
        <v>0.5</v>
      </c>
      <c r="L280" s="140">
        <f>K280</f>
        <v>0.5</v>
      </c>
      <c r="M280" s="140">
        <f t="shared" si="64"/>
        <v>1</v>
      </c>
      <c r="N280" s="139" t="s">
        <v>1542</v>
      </c>
      <c r="O280" s="144">
        <f>D141</f>
        <v>246</v>
      </c>
      <c r="P280" s="144">
        <f>O280*Q284</f>
        <v>246</v>
      </c>
      <c r="Q280" s="140">
        <f t="shared" si="65"/>
        <v>1</v>
      </c>
      <c r="R280" s="139"/>
      <c r="T280" s="164"/>
      <c r="U280" s="140"/>
      <c r="V280" s="140"/>
      <c r="W280" s="138"/>
      <c r="X280" s="140"/>
      <c r="Y280" s="140"/>
      <c r="Z280" s="139" t="s">
        <v>682</v>
      </c>
      <c r="AA280" s="164">
        <f>S268*(AA273+S298/1000)</f>
        <v>0</v>
      </c>
      <c r="AB280" s="164">
        <f>T268*(AB273+T298/1000)</f>
        <v>0</v>
      </c>
      <c r="AC280" s="164">
        <f>U268*(AC273+U298/1000)</f>
        <v>0</v>
      </c>
      <c r="AD280" s="164">
        <f>V268*(AD273+V298/1000)</f>
        <v>0</v>
      </c>
      <c r="AE280" s="164">
        <f>W268*((1+AF273)*(P271*P267/1000000+P274*P263)+AF272*(P270*P267/1000000+P273*P263))*1000-AF272*SUM(AA280:AD280)-AF273*SUM(AA281:AD281)</f>
        <v>0</v>
      </c>
      <c r="AF280" s="164"/>
      <c r="AG280" s="139" t="s">
        <v>1351</v>
      </c>
      <c r="AH280" s="147" t="e">
        <f>(AH276^2+1/AH274)^0.5-AH276</f>
        <v>#DIV/0!</v>
      </c>
      <c r="AI280" s="147" t="e">
        <f>(AI276^2+1/AI274)^0.5-AI276</f>
        <v>#DIV/0!</v>
      </c>
      <c r="AJ280" s="147" t="e">
        <f>(AJ276^2+1/AJ274)^0.5-AJ276</f>
        <v>#DIV/0!</v>
      </c>
      <c r="AK280" s="147" t="e">
        <f>(AK276^2+1/AK274)^0.5-AK276</f>
        <v>#DIV/0!</v>
      </c>
      <c r="AL280" s="147">
        <f>MIN(AH281:AK281)</f>
        <v>1000000000</v>
      </c>
    </row>
    <row r="281" spans="1:38">
      <c r="A281" s="215"/>
      <c r="B281" s="140"/>
      <c r="C281" s="140"/>
      <c r="D281" s="140"/>
      <c r="E281" s="140"/>
      <c r="F281" s="140"/>
      <c r="H281" s="205"/>
      <c r="J281" s="138" t="s">
        <v>1507</v>
      </c>
      <c r="N281" s="139" t="s">
        <v>1543</v>
      </c>
      <c r="O281" s="165">
        <f>E141</f>
        <v>68</v>
      </c>
      <c r="P281" s="165">
        <f>O281*Q284</f>
        <v>68</v>
      </c>
      <c r="Q281" s="140">
        <f t="shared" si="65"/>
        <v>1</v>
      </c>
      <c r="R281" s="139"/>
      <c r="T281" s="164"/>
      <c r="U281" s="140"/>
      <c r="V281" s="140"/>
      <c r="W281" s="138"/>
      <c r="X281" s="138"/>
      <c r="Z281" s="139" t="s">
        <v>685</v>
      </c>
      <c r="AA281" s="164">
        <f>S268*(AA274+S299/1000)</f>
        <v>0</v>
      </c>
      <c r="AB281" s="164">
        <f>T268*(AB274+T299/1000)</f>
        <v>0</v>
      </c>
      <c r="AC281" s="164">
        <f>U268*(AC274+U299/1000)</f>
        <v>0</v>
      </c>
      <c r="AD281" s="164">
        <f>V268*(AD274+V299/1000)</f>
        <v>0</v>
      </c>
      <c r="AE281" s="164"/>
      <c r="AF281" s="164"/>
      <c r="AG281" s="139"/>
      <c r="AH281" s="147">
        <f>IF(AH263=0,1000000000,AH280)</f>
        <v>1000000000</v>
      </c>
      <c r="AI281" s="147">
        <f>IF(AI263=0,1000000000,AI280)</f>
        <v>1000000000</v>
      </c>
      <c r="AJ281" s="147">
        <f>IF(AJ263=0,1000000000,AJ280)</f>
        <v>1000000000</v>
      </c>
      <c r="AK281" s="147">
        <f>IF(AK263=0,1000000000,AK280)</f>
        <v>1000000000</v>
      </c>
    </row>
    <row r="282" spans="1:38">
      <c r="A282" s="206"/>
      <c r="B282" s="144"/>
      <c r="H282" s="205"/>
      <c r="J282" s="139" t="s">
        <v>1354</v>
      </c>
      <c r="K282" s="140">
        <f>K265/(1-K267^2*K266/K265)</f>
        <v>181.81113884441791</v>
      </c>
      <c r="L282" s="140">
        <f>L265/(1-L267^2*L266/L265)</f>
        <v>181.81113884441794</v>
      </c>
      <c r="M282" s="145">
        <f>L282/K282</f>
        <v>1.0000000000000002</v>
      </c>
      <c r="N282" s="139" t="s">
        <v>1168</v>
      </c>
      <c r="O282" s="145">
        <f>A142</f>
        <v>-0.5</v>
      </c>
      <c r="P282" s="145">
        <f>O282*I70</f>
        <v>-0.5</v>
      </c>
      <c r="Q282" s="140">
        <f t="shared" si="65"/>
        <v>1</v>
      </c>
      <c r="R282" s="139"/>
      <c r="T282" s="164"/>
      <c r="U282" s="140"/>
      <c r="V282" s="140"/>
      <c r="W282" s="138"/>
      <c r="X282" s="138"/>
      <c r="Z282" s="138" t="s">
        <v>686</v>
      </c>
      <c r="AA282" s="140">
        <f>($AF272*COS(AA265)^2+$AF273*SIN(AA265)^2)*S268</f>
        <v>0</v>
      </c>
      <c r="AB282" s="140">
        <f>($AF272*COS(AB265)^2+$AF273*SIN(AB265)^2)*T268</f>
        <v>0</v>
      </c>
      <c r="AC282" s="140">
        <f>($AF272*COS(AC265)^2+$AF273*SIN(AC265)^2)*U268</f>
        <v>0</v>
      </c>
      <c r="AD282" s="140">
        <f>($AF272*COS(AD265)^2+$AF273*SIN(AD265)^2)*V268</f>
        <v>0</v>
      </c>
      <c r="AE282" s="163">
        <f>SUM(AA282:AD282)</f>
        <v>0</v>
      </c>
      <c r="AF282" s="163"/>
      <c r="AG282" s="138" t="s">
        <v>1360</v>
      </c>
      <c r="AH282" s="147">
        <f>IF(AH263=0,0,AH280)</f>
        <v>0</v>
      </c>
      <c r="AI282" s="147">
        <f>IF(AI263=0,0,AI280)</f>
        <v>0</v>
      </c>
      <c r="AJ282" s="147">
        <f>IF(AJ263=0,0,AJ280)</f>
        <v>0</v>
      </c>
      <c r="AK282" s="147">
        <f>IF(AK263=0,0,AK280)</f>
        <v>0</v>
      </c>
    </row>
    <row r="283" spans="1:38">
      <c r="A283" s="215"/>
      <c r="B283" s="140"/>
      <c r="H283" s="205"/>
      <c r="J283" s="139" t="s">
        <v>1361</v>
      </c>
      <c r="K283" s="140">
        <f>K282*K266/K265</f>
        <v>10.346158729820468</v>
      </c>
      <c r="L283" s="140">
        <f>L282*L266/L265</f>
        <v>10.346158729820468</v>
      </c>
      <c r="M283" s="145">
        <f>L283/K283</f>
        <v>1</v>
      </c>
      <c r="N283" s="139" t="s">
        <v>1175</v>
      </c>
      <c r="O283" s="144">
        <f>O277/K271</f>
        <v>2142.8571428571431</v>
      </c>
      <c r="P283" s="144">
        <f>H70*P266^G143</f>
        <v>2142.8571428571431</v>
      </c>
      <c r="Q283" s="140">
        <f t="shared" si="65"/>
        <v>1</v>
      </c>
      <c r="T283" s="147"/>
      <c r="U283" s="141"/>
      <c r="V283" s="141"/>
      <c r="W283" s="138"/>
      <c r="X283" s="138"/>
      <c r="Z283" s="138" t="s">
        <v>689</v>
      </c>
      <c r="AA283" s="140">
        <f>($AF272*SIN(AA265)^2+$AF273*COS(AA265)^2)*S268</f>
        <v>0</v>
      </c>
      <c r="AB283" s="140">
        <f>($AF272*SIN(AB265)^2+$AF273*COS(AB265)^2)*T268</f>
        <v>0</v>
      </c>
      <c r="AC283" s="140">
        <f>($AF272*SIN(AC265)^2+$AF273*COS(AC265)^2)*U268</f>
        <v>0</v>
      </c>
      <c r="AD283" s="140">
        <f>($AF272*SIN(AD265)^2+$AF273*COS(AD265)^2)*V268</f>
        <v>0</v>
      </c>
      <c r="AE283" s="163">
        <f>SUM(AA283:AD283)</f>
        <v>0</v>
      </c>
      <c r="AF283" s="163"/>
      <c r="AG283" s="139" t="s">
        <v>1364</v>
      </c>
      <c r="AH283" s="138">
        <f>(S298-P270*P267)/1000000-P273*P263</f>
        <v>3.7599999999999944E-4</v>
      </c>
      <c r="AI283" s="138">
        <f>(T298-P270*P267)/1000000-P273*P263</f>
        <v>3.7599999999999965E-4</v>
      </c>
      <c r="AJ283" s="157">
        <f>(U298-P270*P267)/1000000-P273*P263</f>
        <v>3.7599999999999944E-4</v>
      </c>
      <c r="AK283" s="157">
        <f>(V298-P270*P267)/1000000-P273*P263</f>
        <v>3.7599999999999965E-4</v>
      </c>
      <c r="AL283" s="163"/>
    </row>
    <row r="284" spans="1:38">
      <c r="A284" s="206"/>
      <c r="H284" s="205"/>
      <c r="J284" s="139" t="s">
        <v>1365</v>
      </c>
      <c r="K284" s="140">
        <f>K283*K267</f>
        <v>2.8969244443497315</v>
      </c>
      <c r="L284" s="140">
        <f>L283*L267</f>
        <v>2.8969244443497315</v>
      </c>
      <c r="M284" s="145">
        <f>L284/K284</f>
        <v>1</v>
      </c>
      <c r="N284" s="139" t="s">
        <v>1176</v>
      </c>
      <c r="O284" s="144">
        <f>O279</f>
        <v>40</v>
      </c>
      <c r="P284" s="144">
        <f>G70*P266^H142</f>
        <v>40</v>
      </c>
      <c r="Q284" s="140">
        <f t="shared" si="65"/>
        <v>1</v>
      </c>
      <c r="R284" s="137" t="s">
        <v>1185</v>
      </c>
      <c r="U284" s="141"/>
      <c r="W284" s="138"/>
      <c r="X284" s="138"/>
      <c r="AA284" s="140"/>
      <c r="AE284" s="163"/>
      <c r="AF284" s="163"/>
      <c r="AG284" s="139" t="s">
        <v>1367</v>
      </c>
      <c r="AH284" s="138">
        <f>(S299-P271*P267)/1000000-P274*P263</f>
        <v>-3.7600000000000047E-4</v>
      </c>
      <c r="AI284" s="138">
        <f>(T299-P271*P267)/1000000-P274*P263</f>
        <v>-3.7600000000000047E-4</v>
      </c>
      <c r="AJ284" s="157">
        <f>(U299-P271*P267)/1000000-P274*P263</f>
        <v>-3.7600000000000047E-4</v>
      </c>
      <c r="AK284" s="157">
        <f>(V299-P271*P267)/1000000-P274*P263</f>
        <v>-3.7600000000000047E-4</v>
      </c>
      <c r="AL284" s="163"/>
    </row>
    <row r="285" spans="1:38">
      <c r="A285" s="206"/>
      <c r="B285" s="140"/>
      <c r="C285" s="140"/>
      <c r="D285" s="140"/>
      <c r="E285" s="140"/>
      <c r="H285" s="205"/>
      <c r="J285" s="139" t="s">
        <v>1370</v>
      </c>
      <c r="K285" s="140">
        <f>K268</f>
        <v>7.17</v>
      </c>
      <c r="L285" s="140">
        <f>L268</f>
        <v>7.17</v>
      </c>
      <c r="M285" s="145">
        <f>L285/K285</f>
        <v>1</v>
      </c>
      <c r="R285" s="143" t="s">
        <v>695</v>
      </c>
      <c r="S285" s="147">
        <f>S268*COS(S266)</f>
        <v>0</v>
      </c>
      <c r="T285" s="147">
        <f>T268*COS(T266)</f>
        <v>0</v>
      </c>
      <c r="U285" s="147">
        <f>U268*COS(U266)</f>
        <v>0</v>
      </c>
      <c r="V285" s="147">
        <f>V268*COS(V266)</f>
        <v>0</v>
      </c>
      <c r="W285" s="147">
        <f>SUM(S285:V285)</f>
        <v>0</v>
      </c>
      <c r="X285" s="138"/>
      <c r="AF285" s="163"/>
      <c r="AG285" s="139" t="s">
        <v>1372</v>
      </c>
      <c r="AH285" s="138">
        <f>S313/1000000</f>
        <v>0</v>
      </c>
      <c r="AI285" s="138">
        <f>T313/1000000</f>
        <v>0</v>
      </c>
      <c r="AJ285" s="157">
        <f>U313/1000000</f>
        <v>0</v>
      </c>
      <c r="AK285" s="157">
        <f>V313/1000000</f>
        <v>0</v>
      </c>
      <c r="AL285" s="163"/>
    </row>
    <row r="286" spans="1:38">
      <c r="A286" s="215"/>
      <c r="B286" s="140"/>
      <c r="C286" s="140"/>
      <c r="D286" s="140"/>
      <c r="E286" s="140"/>
      <c r="H286" s="205"/>
      <c r="J286" s="138" t="s">
        <v>1510</v>
      </c>
      <c r="K286" s="140"/>
      <c r="L286" s="140"/>
      <c r="N286" s="138" t="s">
        <v>1375</v>
      </c>
      <c r="R286" s="139" t="s">
        <v>696</v>
      </c>
      <c r="S286" s="147">
        <f>S268*SIN(S266)</f>
        <v>0</v>
      </c>
      <c r="T286" s="147">
        <f>T268*SIN(T266)</f>
        <v>0</v>
      </c>
      <c r="U286" s="147">
        <f>U268*SIN(U266)</f>
        <v>0</v>
      </c>
      <c r="V286" s="147">
        <f>V268*SIN(V266)</f>
        <v>0</v>
      </c>
      <c r="W286" s="147">
        <f>SUM(S286:V286)</f>
        <v>0</v>
      </c>
      <c r="X286" s="138"/>
      <c r="AF286" s="163"/>
      <c r="AG286" s="163"/>
      <c r="AH286" s="163"/>
      <c r="AI286" s="163"/>
      <c r="AJ286" s="163"/>
      <c r="AK286" s="163"/>
      <c r="AL286" s="163"/>
    </row>
    <row r="287" spans="1:38">
      <c r="A287" s="206"/>
      <c r="B287" s="144"/>
      <c r="H287" s="205"/>
      <c r="J287" s="139" t="s">
        <v>1380</v>
      </c>
      <c r="K287" s="140">
        <f>(3*K282+3*K283+2*K284+4*K285)/8</f>
        <v>76.368217701426829</v>
      </c>
      <c r="L287" s="140">
        <f>(3*L282+3*L283+2*L284+4*L285)/8</f>
        <v>76.368217701426843</v>
      </c>
      <c r="M287" s="145">
        <f>L287/K287</f>
        <v>1.0000000000000002</v>
      </c>
      <c r="N287" s="139" t="s">
        <v>1381</v>
      </c>
      <c r="O287" s="140">
        <f>1/O277/O278*1000000</f>
        <v>0.44444444444444442</v>
      </c>
      <c r="P287" s="140">
        <f>1/P277/P278*1000000</f>
        <v>0.44444444444444442</v>
      </c>
      <c r="Q287" s="140">
        <f>P287/O287</f>
        <v>1</v>
      </c>
      <c r="R287" s="139"/>
      <c r="S287" s="138" t="s">
        <v>698</v>
      </c>
      <c r="T287" s="137"/>
      <c r="U287" s="143" t="s">
        <v>700</v>
      </c>
      <c r="V287" s="137"/>
      <c r="W287" s="137" t="s">
        <v>702</v>
      </c>
      <c r="X287" s="138"/>
      <c r="Y287" s="137" t="s">
        <v>704</v>
      </c>
      <c r="Z287" s="137" t="s">
        <v>705</v>
      </c>
      <c r="AA287" s="138" t="s">
        <v>706</v>
      </c>
      <c r="AB287" s="139"/>
      <c r="AC287" s="139"/>
      <c r="AF287" s="138"/>
      <c r="AG287" s="159" t="s">
        <v>1383</v>
      </c>
      <c r="AH287" s="166">
        <f>P293*AH283^2+2*P295*AH283*AH284+P294*AH284^2+P296*AH285^2</f>
        <v>4.0749146542514705E-3</v>
      </c>
      <c r="AI287" s="163">
        <f>P293*AI283^2+2*P295*AI283*AI284+P294*AI284^2+P296*AI285^2</f>
        <v>4.0749146542514731E-3</v>
      </c>
      <c r="AJ287" s="163">
        <f>P293*AJ283^2+2*P295*AJ283*AJ284+P294*AJ284^2+P296*AJ285^2</f>
        <v>4.0749146542514705E-3</v>
      </c>
      <c r="AK287" s="163">
        <f>P293*AK283^2+2*P295*AK283*AK284+P294*AK284^2+P296*AK285^2</f>
        <v>4.0749146542514731E-3</v>
      </c>
      <c r="AL287" s="163"/>
    </row>
    <row r="288" spans="1:38">
      <c r="A288" s="215"/>
      <c r="B288" s="140"/>
      <c r="H288" s="205"/>
      <c r="J288" s="139" t="s">
        <v>1384</v>
      </c>
      <c r="K288" s="140">
        <f>(K282-K283)/2</f>
        <v>85.732490057298719</v>
      </c>
      <c r="L288" s="140">
        <f>(L282-L283)/2</f>
        <v>85.732490057298733</v>
      </c>
      <c r="M288" s="145">
        <f>L288/K288</f>
        <v>1.0000000000000002</v>
      </c>
      <c r="N288" s="139" t="s">
        <v>1385</v>
      </c>
      <c r="O288" s="140">
        <f>1/O279/O280*1000000</f>
        <v>101.6260162601626</v>
      </c>
      <c r="P288" s="140">
        <f>1/P279/P280*1000000</f>
        <v>101.6260162601626</v>
      </c>
      <c r="Q288" s="140">
        <f>P288/O288</f>
        <v>1</v>
      </c>
      <c r="R288" s="139">
        <v>1</v>
      </c>
      <c r="S288" s="138">
        <f>(S292*W268+S293*W285)</f>
        <v>0</v>
      </c>
      <c r="T288" s="138"/>
      <c r="U288" s="138">
        <f>(T292*W268+T293*W285)</f>
        <v>0</v>
      </c>
      <c r="V288" s="147"/>
      <c r="W288" s="138">
        <f>S288*P267+U288*P263</f>
        <v>0</v>
      </c>
      <c r="X288" s="147"/>
      <c r="Y288" s="138">
        <f t="shared" ref="Y288:AA290" si="66">Y236</f>
        <v>11.259999999999984</v>
      </c>
      <c r="Z288" s="138">
        <f t="shared" si="66"/>
        <v>0.29999999999999954</v>
      </c>
      <c r="AA288" s="138">
        <f t="shared" si="66"/>
        <v>373.99999999999937</v>
      </c>
      <c r="AB288" s="147"/>
      <c r="AC288" s="147"/>
      <c r="AF288" s="138"/>
      <c r="AG288" s="159" t="s">
        <v>1387</v>
      </c>
      <c r="AH288" s="166">
        <f>P297*AH283+P298*AH284</f>
        <v>-5.8636980773925068E-2</v>
      </c>
      <c r="AI288" s="163">
        <f>P297*AI283+P298*AI284</f>
        <v>-5.8636980773925054E-2</v>
      </c>
      <c r="AJ288" s="163">
        <f>P297*AJ283+P298*AJ284</f>
        <v>-5.8636980773925068E-2</v>
      </c>
      <c r="AK288" s="163">
        <f>P297*AK283+P298*AK284</f>
        <v>-5.8636980773925054E-2</v>
      </c>
      <c r="AL288" s="163"/>
    </row>
    <row r="289" spans="1:38">
      <c r="A289" s="208"/>
      <c r="B289" s="209"/>
      <c r="C289" s="209"/>
      <c r="D289" s="209"/>
      <c r="E289" s="209"/>
      <c r="F289" s="209"/>
      <c r="G289" s="209"/>
      <c r="H289" s="210"/>
      <c r="J289" s="139" t="s">
        <v>1388</v>
      </c>
      <c r="K289" s="140">
        <f>(K282+K283-2*K284-4*K285)/8</f>
        <v>19.710431085692363</v>
      </c>
      <c r="L289" s="140">
        <f>(L282+L283-2*L284-4*L285)/8</f>
        <v>19.710431085692367</v>
      </c>
      <c r="M289" s="145">
        <f>L289/K289</f>
        <v>1.0000000000000002</v>
      </c>
      <c r="N289" s="139" t="s">
        <v>1389</v>
      </c>
      <c r="O289" s="140">
        <f>O282*(O287*O288)^0.5</f>
        <v>-3.3603243272729659</v>
      </c>
      <c r="P289" s="140">
        <f>P282*(P287*P288)^0.5</f>
        <v>-3.3603243272729659</v>
      </c>
      <c r="Q289" s="140">
        <f>P289/O289</f>
        <v>1</v>
      </c>
      <c r="R289" s="139">
        <v>2</v>
      </c>
      <c r="S289" s="138">
        <f>(S292*W268-S293*W285)</f>
        <v>0</v>
      </c>
      <c r="T289" s="138"/>
      <c r="U289" s="138">
        <f>(T292*W268-T293*W285)</f>
        <v>0</v>
      </c>
      <c r="V289" s="147"/>
      <c r="W289" s="138">
        <f>S289*P267+U289*P263</f>
        <v>0</v>
      </c>
      <c r="X289" s="147"/>
      <c r="Y289" s="138">
        <f t="shared" si="66"/>
        <v>11.259999999999993</v>
      </c>
      <c r="Z289" s="138">
        <f t="shared" si="66"/>
        <v>0.29999999999999977</v>
      </c>
      <c r="AA289" s="138">
        <f t="shared" si="66"/>
        <v>373.99999999999966</v>
      </c>
      <c r="AB289" s="147"/>
      <c r="AC289" s="147"/>
      <c r="AF289" s="138"/>
      <c r="AG289" s="159" t="s">
        <v>1390</v>
      </c>
      <c r="AH289" s="166">
        <f>AH287+AH288</f>
        <v>-5.4562066119673597E-2</v>
      </c>
      <c r="AI289" s="163">
        <f>AI287+AI288</f>
        <v>-5.4562066119673583E-2</v>
      </c>
      <c r="AJ289" s="163">
        <f>AJ287+AJ288</f>
        <v>-5.4562066119673597E-2</v>
      </c>
      <c r="AK289" s="163">
        <f>AK287+AK288</f>
        <v>-5.4562066119673583E-2</v>
      </c>
      <c r="AL289" s="163"/>
    </row>
    <row r="290" spans="1:38">
      <c r="J290" s="139" t="s">
        <v>1391</v>
      </c>
      <c r="K290" s="140">
        <f>(K282+K283+6*K284-4*K285)/8</f>
        <v>22.607355530042096</v>
      </c>
      <c r="L290" s="140">
        <f>(L282+L283+6*L284-4*L285)/8</f>
        <v>22.607355530042099</v>
      </c>
      <c r="M290" s="145">
        <f>L290/K290</f>
        <v>1.0000000000000002</v>
      </c>
      <c r="N290" s="139" t="s">
        <v>1392</v>
      </c>
      <c r="O290" s="140">
        <f>1/O281^2*1000000</f>
        <v>216.26297577854672</v>
      </c>
      <c r="P290" s="140">
        <f>1/P281^2*1000000</f>
        <v>216.26297577854672</v>
      </c>
      <c r="Q290" s="140">
        <f>P290/O290</f>
        <v>1</v>
      </c>
      <c r="R290" s="139">
        <v>6</v>
      </c>
      <c r="S290" s="139">
        <f>S293*W286</f>
        <v>0</v>
      </c>
      <c r="T290" s="138"/>
      <c r="U290" s="139">
        <f>T293*W286</f>
        <v>0</v>
      </c>
      <c r="V290" s="147"/>
      <c r="W290" s="138">
        <f>S290*P267+U290*P263</f>
        <v>0</v>
      </c>
      <c r="X290" s="147"/>
      <c r="Y290" s="138">
        <f t="shared" si="66"/>
        <v>-22.479999999999976</v>
      </c>
      <c r="Z290" s="138">
        <f t="shared" si="66"/>
        <v>-0.5999999999999992</v>
      </c>
      <c r="AA290" s="138">
        <f t="shared" si="66"/>
        <v>-397.02012514617672</v>
      </c>
      <c r="AB290" s="147"/>
      <c r="AC290" s="147"/>
      <c r="AF290" s="138"/>
      <c r="AG290" s="159" t="s">
        <v>1395</v>
      </c>
      <c r="AH290" s="166">
        <f>-1+AH289</f>
        <v>-1.0545620661196735</v>
      </c>
      <c r="AI290" s="163">
        <f>-1+AI289</f>
        <v>-1.0545620661196735</v>
      </c>
      <c r="AJ290" s="163">
        <f>-1+AJ289</f>
        <v>-1.0545620661196735</v>
      </c>
      <c r="AK290" s="163">
        <f>-1+AK289</f>
        <v>-1.0545620661196735</v>
      </c>
      <c r="AL290" s="163"/>
    </row>
    <row r="291" spans="1:38">
      <c r="J291" s="139" t="s">
        <v>1396</v>
      </c>
      <c r="K291" s="140">
        <f>(K287-K290)/2</f>
        <v>26.880431085692365</v>
      </c>
      <c r="L291" s="140">
        <f>(L287-L290)/2</f>
        <v>26.880431085692372</v>
      </c>
      <c r="M291" s="145">
        <f>L291/K291</f>
        <v>1.0000000000000002</v>
      </c>
      <c r="N291" s="139" t="s">
        <v>1397</v>
      </c>
      <c r="O291" s="140">
        <f>(1/O277-1/O278)*1000</f>
        <v>0</v>
      </c>
      <c r="P291" s="140">
        <f>(1/P277-1/P278)*1000</f>
        <v>0</v>
      </c>
      <c r="Q291" s="140">
        <f>IF(O291=0,1,P291/O291)</f>
        <v>1</v>
      </c>
      <c r="R291" s="143"/>
      <c r="S291" s="143" t="s">
        <v>709</v>
      </c>
      <c r="T291" s="143" t="s">
        <v>710</v>
      </c>
      <c r="U291" s="143"/>
      <c r="V291" s="141"/>
      <c r="W291" s="138"/>
      <c r="X291" s="139" t="s">
        <v>711</v>
      </c>
      <c r="Y291" s="138">
        <f>(Y288+Y289)/2</f>
        <v>11.259999999999987</v>
      </c>
      <c r="Z291" s="138">
        <f>(Z288+Z289)/2</f>
        <v>0.29999999999999966</v>
      </c>
      <c r="AA291" s="138">
        <f>(AA288+AA289)/2</f>
        <v>373.99999999999955</v>
      </c>
      <c r="AF291" s="138"/>
      <c r="AG291" s="159" t="s">
        <v>1399</v>
      </c>
      <c r="AH291" s="166">
        <f>2*(P293*AH267*AH283+P294*AH268*AH284+P295*(AH267*AH284+AH283*AH268)+P296*AH269*AH285)</f>
        <v>0</v>
      </c>
      <c r="AI291" s="163">
        <f>2*(P293*AI267*AI283+P294*AI268*AI284+P295*(AI267*AI284+AI283*AI268)+P296*AI269*AI285)</f>
        <v>0</v>
      </c>
      <c r="AJ291" s="163">
        <f>2*(P293*AJ267*AJ283+P294*AJ268*AJ284+P295*(AJ267*AJ284+AJ283*AJ268)+P296*AJ269*AJ285)</f>
        <v>0</v>
      </c>
      <c r="AK291" s="163">
        <f>2*(P293*AK267*AK283+P294*AK268*AK284+P295*(AK267*AK284+AK283*AK268)+P296*AK269*AK285)</f>
        <v>0</v>
      </c>
      <c r="AL291" s="163"/>
    </row>
    <row r="292" spans="1:38">
      <c r="J292" s="138" t="s">
        <v>1400</v>
      </c>
      <c r="N292" s="139" t="s">
        <v>1401</v>
      </c>
      <c r="O292" s="140">
        <f>(1/O279-1/O280)*1000</f>
        <v>20.934959349593495</v>
      </c>
      <c r="P292" s="140">
        <f>(1/P279-1/P280)*1000</f>
        <v>20.934959349593495</v>
      </c>
      <c r="Q292" s="140">
        <f t="shared" ref="Q292:Q298" si="67">P292/O292</f>
        <v>1</v>
      </c>
      <c r="R292" s="167" t="s">
        <v>711</v>
      </c>
      <c r="S292" s="138">
        <f>((K282+K284)*P270+(L284+L283)*P271)/2/1000000</f>
        <v>1.5083176634230242E-4</v>
      </c>
      <c r="T292" s="138">
        <f>((L282+L284)*P273+(L284+L283)*P274)/2</f>
        <v>3.9729249522510592</v>
      </c>
      <c r="U292" s="143"/>
      <c r="V292" s="141"/>
      <c r="W292" s="138"/>
      <c r="X292" s="143" t="s">
        <v>712</v>
      </c>
      <c r="Y292" s="164">
        <f>(Y288-Y289)/2</f>
        <v>-4.4408920985006262E-15</v>
      </c>
      <c r="Z292" s="164">
        <f>(Z288-Z289)/2</f>
        <v>-1.1102230246251565E-16</v>
      </c>
      <c r="AA292" s="164">
        <f>(AA288-AA289)/2</f>
        <v>-1.4210854715202004E-13</v>
      </c>
      <c r="AF292" s="138"/>
      <c r="AG292" s="159" t="s">
        <v>1403</v>
      </c>
      <c r="AH292" s="166">
        <f>AH291+AH275</f>
        <v>0</v>
      </c>
      <c r="AI292" s="163">
        <f>AI291+AI275</f>
        <v>0</v>
      </c>
      <c r="AJ292" s="163">
        <f>AJ291+AJ275</f>
        <v>0</v>
      </c>
      <c r="AK292" s="163">
        <f>AK291+AK275</f>
        <v>0</v>
      </c>
      <c r="AL292" s="163"/>
    </row>
    <row r="293" spans="1:38">
      <c r="J293" s="139" t="s">
        <v>1404</v>
      </c>
      <c r="K293" s="140">
        <f>(1-(K290/K287)^2)*K287</f>
        <v>69.675740916648124</v>
      </c>
      <c r="L293" s="140">
        <f>(1-(L290/L287)^2)*L287</f>
        <v>69.675740916648138</v>
      </c>
      <c r="M293" s="140">
        <f>L293/K293</f>
        <v>1.0000000000000002</v>
      </c>
      <c r="N293" s="139" t="s">
        <v>1405</v>
      </c>
      <c r="O293" s="144">
        <f>(O287*K282^2+2*O289*K282*K284+O288*K284^2)</f>
        <v>12004.38353147296</v>
      </c>
      <c r="P293" s="144">
        <f>(P287*L282^2+2*P289*L282*L284+P288*L284^2)</f>
        <v>12004.38353147296</v>
      </c>
      <c r="Q293" s="140">
        <f t="shared" si="67"/>
        <v>1</v>
      </c>
      <c r="R293" s="167" t="s">
        <v>712</v>
      </c>
      <c r="S293" s="138">
        <f>((L282-L284)*P270+(L284-L283)*P271)/2/1000000</f>
        <v>-8.2014743567545106E-5</v>
      </c>
      <c r="T293" s="138">
        <f>((L282-L284)*P273+(L284-L283)*P274)/2</f>
        <v>-2.234770285641221</v>
      </c>
      <c r="U293" s="143"/>
      <c r="V293" s="141"/>
      <c r="W293" s="138"/>
      <c r="X293" s="143" t="s">
        <v>714</v>
      </c>
      <c r="Y293" s="164">
        <f>Y290/2</f>
        <v>-11.239999999999988</v>
      </c>
      <c r="Z293" s="164">
        <f>Z290/2</f>
        <v>-0.2999999999999996</v>
      </c>
      <c r="AA293" s="164">
        <f>AA290/2</f>
        <v>-198.51006257308836</v>
      </c>
      <c r="AG293" s="159" t="s">
        <v>1412</v>
      </c>
      <c r="AH293" s="166" t="e">
        <f>AH292/2/AH274</f>
        <v>#DIV/0!</v>
      </c>
      <c r="AI293" s="163" t="e">
        <f>AI292/2/AI274</f>
        <v>#DIV/0!</v>
      </c>
      <c r="AJ293" s="163" t="e">
        <f>AJ292/2/AJ274</f>
        <v>#DIV/0!</v>
      </c>
      <c r="AK293" s="163" t="e">
        <f>AK292/2/AK274</f>
        <v>#DIV/0!</v>
      </c>
      <c r="AL293" s="163"/>
    </row>
    <row r="294" spans="1:38">
      <c r="J294" s="139" t="s">
        <v>1414</v>
      </c>
      <c r="K294" s="140">
        <f>K290/K287</f>
        <v>0.29603094337527941</v>
      </c>
      <c r="L294" s="140">
        <f>L290/L287</f>
        <v>0.29603094337527941</v>
      </c>
      <c r="M294" s="140">
        <f>L294/K294</f>
        <v>1</v>
      </c>
      <c r="N294" s="139" t="s">
        <v>1415</v>
      </c>
      <c r="O294" s="144">
        <f>(O287*K284^2+2*O289*K284*K283+O288*K283^2)</f>
        <v>10680.652008265077</v>
      </c>
      <c r="P294" s="144">
        <f>(P287*L284^2+2*P289*L284*L283+P288*L283^2)</f>
        <v>10680.652008265077</v>
      </c>
      <c r="Q294" s="140">
        <f t="shared" si="67"/>
        <v>1</v>
      </c>
      <c r="R294" s="139" t="s">
        <v>715</v>
      </c>
      <c r="S294" s="138">
        <f>Y291+Y292*COS(S266)+Y293*SIN(S266)</f>
        <v>11.259999999999984</v>
      </c>
      <c r="T294" s="138">
        <f>Y291+Y292*COS(T266)+Y293*SIN(T266)</f>
        <v>11.259999999999989</v>
      </c>
      <c r="U294" s="138">
        <f>Y291+Y292*COS(U266)+Y293*SIN(U266)</f>
        <v>11.259999999999984</v>
      </c>
      <c r="V294" s="138">
        <f>Y291+Y292*COS(V266)+Y293*SIN(V266)</f>
        <v>11.259999999999989</v>
      </c>
      <c r="W294" s="138"/>
      <c r="Y294" s="164"/>
      <c r="AC294" s="140"/>
      <c r="AG294" s="159"/>
      <c r="AH294" s="147"/>
      <c r="AI294" s="163"/>
      <c r="AJ294" s="163"/>
      <c r="AK294" s="163"/>
      <c r="AL294" s="163"/>
    </row>
    <row r="295" spans="1:38">
      <c r="J295" s="139" t="s">
        <v>716</v>
      </c>
      <c r="K295" s="138">
        <f>(1-L267^2*L266/L265)*L266/(1-L267^2*L266/L265-L280^2-L267^2*L266/L265-2*L267^2*L266/L265*L280)</f>
        <v>13.920484365408951</v>
      </c>
      <c r="N295" s="139" t="s">
        <v>1416</v>
      </c>
      <c r="O295" s="144">
        <f>(O287*K282*K284+O289*(K282*K283+K284^2)+O288*K284*K283)</f>
        <v>-3069.103206291968</v>
      </c>
      <c r="P295" s="144">
        <f>(P287*L282*L284+P289*(L282*L283+L284^2)+P288*L284*L283)</f>
        <v>-3069.1032062919689</v>
      </c>
      <c r="Q295" s="140">
        <f t="shared" si="67"/>
        <v>1.0000000000000002</v>
      </c>
      <c r="R295" s="139" t="s">
        <v>717</v>
      </c>
      <c r="S295" s="138">
        <f>2*Y291-S294</f>
        <v>11.259999999999991</v>
      </c>
      <c r="T295" s="138">
        <f>2*Y291-T294</f>
        <v>11.259999999999986</v>
      </c>
      <c r="U295" s="138">
        <f>2*Y291-U294</f>
        <v>11.259999999999991</v>
      </c>
      <c r="V295" s="138">
        <f>2*Y291-V294</f>
        <v>11.259999999999986</v>
      </c>
      <c r="W295" s="138"/>
      <c r="Y295" s="164"/>
      <c r="AC295" s="140"/>
      <c r="AG295" s="159"/>
      <c r="AH295" s="147"/>
      <c r="AI295" s="163"/>
      <c r="AJ295" s="163"/>
      <c r="AK295" s="163"/>
      <c r="AL295" s="163"/>
    </row>
    <row r="296" spans="1:38">
      <c r="J296" s="139" t="s">
        <v>1193</v>
      </c>
      <c r="K296" s="140">
        <f>D142</f>
        <v>1.6</v>
      </c>
      <c r="L296" s="140">
        <f>L297*(1-L271)+L298*L271</f>
        <v>1.6</v>
      </c>
      <c r="M296" s="140">
        <f>L296/K296</f>
        <v>1</v>
      </c>
      <c r="N296" s="139" t="s">
        <v>1418</v>
      </c>
      <c r="O296" s="144">
        <f>O290*K285^2</f>
        <v>11117.841695501729</v>
      </c>
      <c r="P296" s="144">
        <f>P290*L285^2</f>
        <v>11117.841695501729</v>
      </c>
      <c r="Q296" s="140">
        <f t="shared" si="67"/>
        <v>1</v>
      </c>
      <c r="R296" s="139" t="s">
        <v>124</v>
      </c>
      <c r="S296" s="138">
        <f>Z291+Z292*COS(S266)+Z293*SIN(S266)</f>
        <v>0.29999999999999954</v>
      </c>
      <c r="T296" s="138">
        <f>Z291+Z292*COS(T266)+Z293*SIN(T266)</f>
        <v>0.29999999999999971</v>
      </c>
      <c r="U296" s="138">
        <f>Z291+Z292*COS(U266)+Z293*SIN(U266)</f>
        <v>0.29999999999999954</v>
      </c>
      <c r="V296" s="138">
        <f>Z291+Z292*COS(V266)+Z293*SIN(V266)</f>
        <v>0.29999999999999971</v>
      </c>
      <c r="W296" s="138"/>
      <c r="Y296" s="164"/>
      <c r="AC296" s="140"/>
      <c r="AG296" s="159"/>
      <c r="AH296" s="147"/>
      <c r="AI296" s="163"/>
      <c r="AJ296" s="163"/>
      <c r="AK296" s="163"/>
      <c r="AL296" s="159" t="s">
        <v>1421</v>
      </c>
    </row>
    <row r="297" spans="1:38">
      <c r="J297" s="139" t="s">
        <v>274</v>
      </c>
      <c r="K297" s="140">
        <f>F141</f>
        <v>1.2</v>
      </c>
      <c r="L297" s="140">
        <f>K297</f>
        <v>1.2</v>
      </c>
      <c r="M297" s="140">
        <f>L297/K297</f>
        <v>1</v>
      </c>
      <c r="N297" s="139" t="s">
        <v>1422</v>
      </c>
      <c r="O297" s="144">
        <f>(O291*K282+O292*K284)</f>
        <v>60.646995481305353</v>
      </c>
      <c r="P297" s="144">
        <f>(P291*L282+P292*L284)</f>
        <v>60.646995481305353</v>
      </c>
      <c r="Q297" s="140">
        <f t="shared" si="67"/>
        <v>1</v>
      </c>
      <c r="R297" s="167" t="s">
        <v>125</v>
      </c>
      <c r="S297" s="138">
        <f>2*Z291-S296</f>
        <v>0.29999999999999977</v>
      </c>
      <c r="T297" s="138">
        <f>2*Z291-T296</f>
        <v>0.2999999999999996</v>
      </c>
      <c r="U297" s="138">
        <f>2*Z291-U296</f>
        <v>0.29999999999999977</v>
      </c>
      <c r="V297" s="138">
        <f>2*Z291-V296</f>
        <v>0.2999999999999996</v>
      </c>
      <c r="W297" s="138"/>
      <c r="Y297" s="164"/>
      <c r="Z297" s="164"/>
      <c r="AA297" s="147"/>
      <c r="AB297" s="147"/>
      <c r="AC297" s="147"/>
      <c r="AD297" s="147"/>
      <c r="AG297" s="139" t="s">
        <v>1424</v>
      </c>
      <c r="AH297" s="147" t="e">
        <f>(AH293^2-AH290/AH274)^0.5-AH293</f>
        <v>#DIV/0!</v>
      </c>
      <c r="AI297" s="147" t="e">
        <f>(AI293^2-AI290/AI274)^0.5-AI293</f>
        <v>#DIV/0!</v>
      </c>
      <c r="AJ297" s="147" t="e">
        <f>(AJ293^2-AJ290/AJ274)^0.5-AJ293</f>
        <v>#DIV/0!</v>
      </c>
      <c r="AK297" s="147" t="e">
        <f>(AK293^2-AK290/AK274)^0.5-AK293</f>
        <v>#DIV/0!</v>
      </c>
      <c r="AL297" s="147">
        <f>MIN(AH298:AK298)</f>
        <v>1000000000</v>
      </c>
    </row>
    <row r="298" spans="1:38">
      <c r="J298" s="139" t="s">
        <v>1195</v>
      </c>
      <c r="K298" s="140">
        <f>(K296-K297*(1-K271))/K271</f>
        <v>1.7714285714285716</v>
      </c>
      <c r="L298" s="140">
        <f>K298</f>
        <v>1.7714285714285716</v>
      </c>
      <c r="M298" s="140">
        <f>L298/K298</f>
        <v>1</v>
      </c>
      <c r="N298" s="139" t="s">
        <v>1426</v>
      </c>
      <c r="O298" s="144">
        <f>(O291*K284+O292*K283)</f>
        <v>216.59641243323335</v>
      </c>
      <c r="P298" s="144">
        <f>(P291*L284+P292*L283)</f>
        <v>216.59641243323335</v>
      </c>
      <c r="Q298" s="140">
        <f t="shared" si="67"/>
        <v>1</v>
      </c>
      <c r="R298" s="139" t="s">
        <v>126</v>
      </c>
      <c r="S298" s="138">
        <f>AA291+AA292*COS(S266)+AA293*SIN(S266)</f>
        <v>373.99999999999943</v>
      </c>
      <c r="T298" s="138">
        <f>AA291+AA292*COS(T266)+AA293*SIN(T266)</f>
        <v>373.99999999999966</v>
      </c>
      <c r="U298" s="138">
        <f>AA291+AA292*COS(U266)+AA293*SIN(U266)</f>
        <v>373.99999999999943</v>
      </c>
      <c r="V298" s="138">
        <f>AA291+AA292*COS(V266)+AA293*SIN(V266)</f>
        <v>373.99999999999966</v>
      </c>
      <c r="W298" s="138"/>
      <c r="Y298" s="164"/>
      <c r="Z298" s="164"/>
      <c r="AA298" s="147"/>
      <c r="AB298" s="147"/>
      <c r="AC298" s="147"/>
      <c r="AD298" s="147"/>
      <c r="AG298" s="139" t="s">
        <v>194</v>
      </c>
      <c r="AH298" s="147">
        <f>IF(AH263=0,1000000000,AH297)</f>
        <v>1000000000</v>
      </c>
      <c r="AI298" s="147">
        <f>IF(AI263=0,1000000000,AI297)</f>
        <v>1000000000</v>
      </c>
      <c r="AJ298" s="147">
        <f>IF(AJ263=0,1000000000,AJ297)</f>
        <v>1000000000</v>
      </c>
      <c r="AK298" s="147">
        <f>IF(AK263=0,1000000000,AK297)</f>
        <v>1000000000</v>
      </c>
    </row>
    <row r="299" spans="1:38">
      <c r="L299" s="138" t="s">
        <v>234</v>
      </c>
      <c r="R299" s="139" t="s">
        <v>127</v>
      </c>
      <c r="S299" s="138">
        <f>2*AA291-S298</f>
        <v>373.99999999999966</v>
      </c>
      <c r="T299" s="138">
        <f>2*AA291-T298</f>
        <v>373.99999999999943</v>
      </c>
      <c r="U299" s="138">
        <f>2*AA291-U298</f>
        <v>373.99999999999966</v>
      </c>
      <c r="V299" s="138">
        <f>2*AA291-V298</f>
        <v>373.99999999999943</v>
      </c>
      <c r="W299" s="138"/>
      <c r="Y299" s="164"/>
      <c r="Z299" s="164" t="s">
        <v>129</v>
      </c>
      <c r="AA299" s="147"/>
      <c r="AB299" s="147"/>
      <c r="AC299" s="147"/>
      <c r="AD299" s="147"/>
      <c r="AG299" s="139" t="s">
        <v>194</v>
      </c>
      <c r="AH299" s="147">
        <f>IF(AH263=0,0,AH297)</f>
        <v>0</v>
      </c>
      <c r="AI299" s="147">
        <f>IF(AI263=0,0,AI297)</f>
        <v>0</v>
      </c>
      <c r="AJ299" s="147">
        <f>IF(AJ263=0,0,AJ297)</f>
        <v>0</v>
      </c>
      <c r="AK299" s="147">
        <f>IF(AK263=0,0,AK297)</f>
        <v>0</v>
      </c>
    </row>
    <row r="300" spans="1:38">
      <c r="J300" s="139" t="s">
        <v>134</v>
      </c>
      <c r="K300" s="138">
        <f>(1-L280^2)*O301*L265</f>
        <v>184.28877056365894</v>
      </c>
      <c r="L300" s="139" t="s">
        <v>135</v>
      </c>
      <c r="M300" s="138">
        <f>L267*(1+L280)*O301*L266</f>
        <v>5.8728045779623468</v>
      </c>
      <c r="R300" s="139" t="s">
        <v>136</v>
      </c>
      <c r="S300" s="138">
        <f>4*COS(S266/2)^2*SIN(S266/2)^2*$K305+COS(S266/2)^4*$K300+SIN(S266/2)^4*$K301+2*COS(S266/2)^2*SIN(S266/2)^2*$M300</f>
        <v>184.28877056365894</v>
      </c>
      <c r="T300" s="138">
        <f>4*COS(T266/2)^2*SIN(T266/2)^2*$K305+COS(T266/2)^4*$K300+SIN(T266/2)^4*$K301+2*COS(T266/2)^2*SIN(T266/2)^2*$M300</f>
        <v>13.920484365408953</v>
      </c>
      <c r="U300" s="138">
        <f>4*COS(U266/2)^2*SIN(U266/2)^2*$K305+COS(U266/2)^4*$K300+SIN(U266/2)^4*$K301+2*COS(U266/2)^2*SIN(U266/2)^2*$M300</f>
        <v>184.28877056365894</v>
      </c>
      <c r="V300" s="138">
        <f>4*COS(V266/2)^2*SIN(V266/2)^2*$K305+COS(V266/2)^4*$K300+SIN(V266/2)^4*$K301+2*COS(V266/2)^2*SIN(V266/2)^2*$M300</f>
        <v>13.920484365408953</v>
      </c>
      <c r="W300" s="138" t="s">
        <v>137</v>
      </c>
      <c r="X300" s="147">
        <f>S268/S302+T268/T302+U268/U302+V268/V302</f>
        <v>0</v>
      </c>
      <c r="Y300" s="147">
        <f>S268*S300+T268*T300+U268*U300+V268*V300</f>
        <v>0</v>
      </c>
      <c r="Z300" s="164"/>
      <c r="AA300" s="147"/>
      <c r="AB300" s="147"/>
      <c r="AC300" s="147"/>
      <c r="AD300" s="147"/>
      <c r="AG300" s="139"/>
      <c r="AH300" s="147"/>
      <c r="AI300" s="147"/>
      <c r="AJ300" s="147"/>
      <c r="AK300" s="147"/>
    </row>
    <row r="301" spans="1:38">
      <c r="J301" s="139" t="s">
        <v>138</v>
      </c>
      <c r="K301" s="138">
        <f>(1-L267^2*L266/L265)*O301*L266</f>
        <v>13.920484365408953</v>
      </c>
      <c r="L301" s="139" t="s">
        <v>139</v>
      </c>
      <c r="M301" s="138">
        <f>M300</f>
        <v>5.8728045779623468</v>
      </c>
      <c r="N301" s="139" t="s">
        <v>140</v>
      </c>
      <c r="O301" s="138">
        <f>1/((1+L280)*(1-L280-2*L267^2*L266/L265))</f>
        <v>1.3575600041521836</v>
      </c>
      <c r="R301" s="139" t="s">
        <v>141</v>
      </c>
      <c r="S301" s="138">
        <f>4*COS(S266/2)^2*SIN(S266/2)^2*$K305+SIN(S266/2)^4*$K300+COS(S266/2)^4*$K301+2*COS(S266/2)^2*SIN(S266/2)^2*$M300</f>
        <v>13.920484365408953</v>
      </c>
      <c r="T301" s="138">
        <f>4*COS(T266/2)^2*SIN(T266/2)^2*$K305+SIN(T266/2)^4*$K300+COS(T266/2)^4*$K301+2*COS(T266/2)^2*SIN(T266/2)^2*$M300</f>
        <v>184.28877056365894</v>
      </c>
      <c r="U301" s="138">
        <f>4*COS(U266/2)^2*SIN(U266/2)^2*$K305+SIN(U266/2)^4*$K300+COS(U266/2)^4*$K301+2*COS(U266/2)^2*SIN(U266/2)^2*$M300</f>
        <v>13.920484365408953</v>
      </c>
      <c r="V301" s="138">
        <f>4*COS(V266/2)^2*SIN(V266/2)^2*$K305+SIN(V266/2)^4*$K300+COS(V266/2)^4*$K301+2*COS(V266/2)^2*SIN(V266/2)^2*$M300</f>
        <v>184.28877056365894</v>
      </c>
      <c r="W301" s="138" t="s">
        <v>142</v>
      </c>
      <c r="X301" s="141">
        <f>S268*S307/S302+T268*T307/T302+U268*U307/U302+V268*V307/V302</f>
        <v>0</v>
      </c>
      <c r="Y301" s="147">
        <f>S268*S301+T268*T301+U268*U301+V268*V301</f>
        <v>0</v>
      </c>
      <c r="Z301" s="164"/>
      <c r="AA301" s="147"/>
      <c r="AB301" s="147"/>
      <c r="AC301" s="147"/>
      <c r="AD301" s="147"/>
      <c r="AG301" s="139"/>
      <c r="AH301" s="147"/>
      <c r="AI301" s="147"/>
      <c r="AJ301" s="147"/>
      <c r="AK301" s="147"/>
    </row>
    <row r="302" spans="1:38">
      <c r="J302" s="139" t="s">
        <v>146</v>
      </c>
      <c r="K302" s="138">
        <f>K301</f>
        <v>13.920484365408953</v>
      </c>
      <c r="L302" s="139" t="s">
        <v>147</v>
      </c>
      <c r="M302" s="138">
        <f>(L280+L267^2*L266/L265)*O301*L266</f>
        <v>7.053817698742284</v>
      </c>
      <c r="R302" s="139" t="s">
        <v>716</v>
      </c>
      <c r="S302" s="138">
        <f>$K302</f>
        <v>13.920484365408953</v>
      </c>
      <c r="T302" s="138">
        <f>$K302</f>
        <v>13.920484365408953</v>
      </c>
      <c r="U302" s="138">
        <f>$K302</f>
        <v>13.920484365408953</v>
      </c>
      <c r="V302" s="138">
        <f>$K302</f>
        <v>13.920484365408953</v>
      </c>
      <c r="W302" s="138" t="s">
        <v>148</v>
      </c>
      <c r="X302" s="141">
        <f>S268*S308/S302+T268*T308/T302+U268*U308/U302+V268*V308/V302</f>
        <v>0</v>
      </c>
      <c r="Y302" s="164"/>
      <c r="Z302" s="164"/>
      <c r="AA302" s="147"/>
      <c r="AB302" s="147"/>
      <c r="AC302" s="147"/>
      <c r="AD302" s="147"/>
      <c r="AG302" s="139"/>
      <c r="AH302" s="147"/>
      <c r="AI302" s="147"/>
      <c r="AJ302" s="147"/>
      <c r="AK302" s="147"/>
    </row>
    <row r="303" spans="1:38">
      <c r="J303" s="139" t="s">
        <v>152</v>
      </c>
      <c r="K303" s="138">
        <f>(1-L280-2*L267^2*L266/L265)*O301*L266/2</f>
        <v>3.433333333333334</v>
      </c>
      <c r="R303" s="139" t="s">
        <v>153</v>
      </c>
      <c r="S303" s="138">
        <f>COS(S266/2)^2*$K303+SIN(S266/2)^2*$K304</f>
        <v>3.433333333333334</v>
      </c>
      <c r="T303" s="138">
        <f>COS(T266/2)^2*$K303+SIN(T266/2)^2*$K304</f>
        <v>7.17</v>
      </c>
      <c r="U303" s="138">
        <f>COS(U266/2)^2*$K303+SIN(U266/2)^2*$K304</f>
        <v>3.433333333333334</v>
      </c>
      <c r="V303" s="138">
        <f>COS(V266/2)^2*$K303+SIN(V266/2)^2*$K304</f>
        <v>7.17</v>
      </c>
      <c r="W303" s="138" t="s">
        <v>154</v>
      </c>
      <c r="X303" s="141">
        <f>S268*S312/S302+T268*T312/T302+U268*U312/U302+V268*V312/V302</f>
        <v>0</v>
      </c>
      <c r="Y303" s="164"/>
      <c r="Z303" s="164">
        <f>S268*S303/(S303*S304-S309^2)+T268*T303/(T303*T304-T309^2)+U268*U303/(U303*U304-U309^2)+V268*V303/(V303*V304-V309^2)</f>
        <v>0</v>
      </c>
      <c r="AA303" s="147"/>
      <c r="AB303" s="147"/>
      <c r="AC303" s="147"/>
      <c r="AD303" s="147"/>
      <c r="AG303" s="139"/>
      <c r="AH303" s="147"/>
      <c r="AI303" s="147"/>
      <c r="AJ303" s="147"/>
      <c r="AK303" s="147"/>
    </row>
    <row r="304" spans="1:38">
      <c r="J304" s="139" t="s">
        <v>769</v>
      </c>
      <c r="K304" s="140">
        <f>L268</f>
        <v>7.17</v>
      </c>
      <c r="R304" s="139" t="s">
        <v>770</v>
      </c>
      <c r="S304" s="138">
        <f>SIN(S266/2)^2*$K303+COS(S266/2)^2*$K304</f>
        <v>7.17</v>
      </c>
      <c r="T304" s="138">
        <f>SIN(T266/2)^2*$K303+COS(T266/2)^2*$K304</f>
        <v>3.433333333333334</v>
      </c>
      <c r="U304" s="138">
        <f>SIN(U266/2)^2*$K303+COS(U266/2)^2*$K304</f>
        <v>7.17</v>
      </c>
      <c r="V304" s="138">
        <f>SIN(V266/2)^2*$K303+COS(V266/2)^2*$K304</f>
        <v>3.433333333333334</v>
      </c>
      <c r="W304" s="138" t="s">
        <v>771</v>
      </c>
      <c r="X304" s="141">
        <f>S268*S307^2/S302+T268*T307^2/T302+U268*U307^2/U302+V268*V307^2/V302</f>
        <v>0</v>
      </c>
      <c r="Y304" s="164"/>
      <c r="Z304" s="164">
        <f>S268*S304/(S303*S304-S309^2)+T268*T304/(T303*T304-T309^2)+U268*U304/(U303*U304-U309^2)+V268*V304/(V303*V304-V309^2)</f>
        <v>0</v>
      </c>
      <c r="AA304" s="147"/>
      <c r="AB304" s="147"/>
      <c r="AC304" s="147"/>
      <c r="AD304" s="147"/>
      <c r="AG304" s="139"/>
      <c r="AH304" s="147"/>
      <c r="AI304" s="147"/>
      <c r="AJ304" s="147"/>
      <c r="AK304" s="147"/>
    </row>
    <row r="305" spans="10:38">
      <c r="J305" s="139" t="s">
        <v>773</v>
      </c>
      <c r="K305" s="140">
        <f>K304</f>
        <v>7.17</v>
      </c>
      <c r="P305" s="185"/>
      <c r="Q305" s="185"/>
      <c r="R305" s="186" t="s">
        <v>774</v>
      </c>
      <c r="S305" s="185">
        <f>(COS(S266/2)^2-SIN(S266/2)^2)^2*$K305+COS(S266/2)^2*SIN(S266/2)^2*($K300+$K301-2*$M300)</f>
        <v>7.17</v>
      </c>
      <c r="T305" s="185">
        <f>(COS(T266/2)^2-SIN(T266/2)^2)^2*$K305+COS(T266/2)^2*SIN(T266/2)^2*($K300+$K301-2*$M300)</f>
        <v>7.17</v>
      </c>
      <c r="U305" s="185">
        <f>(COS(U266/2)^2-SIN(U266/2)^2)^2*$K305+COS(U266/2)^2*SIN(U266/2)^2*($K300+$K301-2*$M300)</f>
        <v>7.17</v>
      </c>
      <c r="V305" s="185">
        <f>(COS(V266/2)^2-SIN(V266/2)^2)^2*$K305+COS(V266/2)^2*SIN(V266/2)^2*($K300+$K301-2*$M300)</f>
        <v>7.17</v>
      </c>
      <c r="W305" s="185" t="s">
        <v>775</v>
      </c>
      <c r="X305" s="187">
        <f>S268*S308^2/S302+T268*T308^2/T302+U268*U308^2/U302+V268*V308^2/V302</f>
        <v>0</v>
      </c>
      <c r="Y305" s="147">
        <f>S268*S305+T268*T305+U268*U305+V268*V305</f>
        <v>0</v>
      </c>
      <c r="Z305" s="188"/>
      <c r="AA305" s="190"/>
      <c r="AB305" s="190"/>
      <c r="AC305" s="190"/>
      <c r="AD305" s="190"/>
      <c r="AE305" s="185"/>
      <c r="AF305" s="187"/>
      <c r="AG305" s="186"/>
      <c r="AH305" s="190"/>
      <c r="AI305" s="190"/>
      <c r="AJ305" s="190"/>
      <c r="AK305" s="190"/>
      <c r="AL305" s="185"/>
    </row>
    <row r="306" spans="10:38">
      <c r="J306" s="185"/>
      <c r="K306" s="185"/>
      <c r="L306" s="185"/>
      <c r="M306" s="185"/>
      <c r="N306" s="185"/>
      <c r="O306" s="185"/>
      <c r="R306" s="139" t="s">
        <v>145</v>
      </c>
      <c r="S306" s="138">
        <f>-4*COS(S266/2)^2*SIN(S266/2)^2*$K305+COS(S266/2)^2*SIN(S266/2)^2*($K300+$K301)+(COS(S266/2)^4+SIN(S266/2)^4)*$M300</f>
        <v>5.8728045779623468</v>
      </c>
      <c r="T306" s="138">
        <f>-4*COS(T266/2)^2*SIN(T266/2)^2*$K305+COS(T266/2)^2*SIN(T266/2)^2*($K300+$K301)+(COS(T266/2)^4+SIN(T266/2)^4)*$M300</f>
        <v>5.8728045779623468</v>
      </c>
      <c r="U306" s="138">
        <f>-4*COS(U266/2)^2*SIN(U266/2)^2*$K305+COS(U266/2)^2*SIN(U266/2)^2*($K300+$K301)+(COS(U266/2)^4+SIN(U266/2)^4)*$M300</f>
        <v>5.8728045779623468</v>
      </c>
      <c r="V306" s="138">
        <f>-4*COS(V266/2)^2*SIN(V266/2)^2*$K305+COS(V266/2)^2*SIN(V266/2)^2*($K300+$K301)+(COS(V266/2)^4+SIN(V266/2)^4)*$M300</f>
        <v>5.8728045779623468</v>
      </c>
      <c r="W306" s="138" t="s">
        <v>778</v>
      </c>
      <c r="X306" s="141">
        <f>S268*S307*S308/S302+T268*T307*T308/T302+U268*U307*U308/U302+V268*V307*V308/V302</f>
        <v>0</v>
      </c>
      <c r="Y306" s="147">
        <f>S268*S306+T268*T306+U268*U306+V268*V306</f>
        <v>0</v>
      </c>
      <c r="Z306" s="164"/>
      <c r="AA306" s="147"/>
      <c r="AB306" s="147"/>
      <c r="AC306" s="147"/>
      <c r="AD306" s="147"/>
      <c r="AG306" s="139"/>
      <c r="AH306" s="147"/>
      <c r="AI306" s="147"/>
      <c r="AJ306" s="147"/>
      <c r="AK306" s="147"/>
    </row>
    <row r="307" spans="10:38">
      <c r="R307" s="139" t="s">
        <v>151</v>
      </c>
      <c r="S307" s="138">
        <f>COS(S266/2)^2*$M301+SIN(S266/2)^2*$M302</f>
        <v>5.8728045779623468</v>
      </c>
      <c r="T307" s="138">
        <f>COS(T266/2)^2*$M301+SIN(T266/2)^2*$M302</f>
        <v>7.053817698742284</v>
      </c>
      <c r="U307" s="138">
        <f>COS(U266/2)^2*$M301+SIN(U266/2)^2*$M302</f>
        <v>5.8728045779623468</v>
      </c>
      <c r="V307" s="138">
        <f>COS(V266/2)^2*$M301+SIN(V266/2)^2*$M302</f>
        <v>7.053817698742284</v>
      </c>
      <c r="W307" s="138" t="s">
        <v>782</v>
      </c>
      <c r="X307" s="141">
        <f>S268*S312*S307/S302+T268*T312*T307/T302+U268*U312*U307/U302+V268*V312*V307/V302</f>
        <v>0</v>
      </c>
      <c r="Y307" s="147"/>
      <c r="Z307" s="164"/>
      <c r="AA307" s="147"/>
      <c r="AB307" s="147"/>
      <c r="AC307" s="147"/>
      <c r="AD307" s="147"/>
      <c r="AG307" s="139"/>
      <c r="AH307" s="147"/>
      <c r="AI307" s="147"/>
      <c r="AJ307" s="147"/>
      <c r="AK307" s="147"/>
    </row>
    <row r="308" spans="10:38">
      <c r="R308" s="139" t="s">
        <v>768</v>
      </c>
      <c r="S308" s="138">
        <f>SIN(S266/2)^2*$M301+COS(S266/2)^2*$M302</f>
        <v>7.053817698742284</v>
      </c>
      <c r="T308" s="138">
        <f>SIN(T266/2)^2*$M301+COS(T266/2)^2*$M302</f>
        <v>5.8728045779623468</v>
      </c>
      <c r="U308" s="138">
        <f>SIN(U266/2)^2*$M301+COS(U266/2)^2*$M302</f>
        <v>7.053817698742284</v>
      </c>
      <c r="V308" s="138">
        <f>SIN(V266/2)^2*$M301+COS(V266/2)^2*$M302</f>
        <v>5.8728045779623468</v>
      </c>
      <c r="W308" s="138" t="s">
        <v>785</v>
      </c>
      <c r="X308" s="141">
        <f>S268*S312*S308/S302+T268*T312*T308/T302+U268*U312*U308/U302+V268*V312*V308/V302</f>
        <v>0</v>
      </c>
      <c r="Y308" s="164"/>
      <c r="Z308" s="164"/>
      <c r="AA308" s="147"/>
      <c r="AB308" s="147"/>
      <c r="AC308" s="147"/>
      <c r="AD308" s="147"/>
      <c r="AG308" s="139"/>
      <c r="AH308" s="147"/>
      <c r="AI308" s="147"/>
      <c r="AJ308" s="147"/>
      <c r="AK308" s="147"/>
    </row>
    <row r="309" spans="10:38">
      <c r="R309" s="139" t="s">
        <v>660</v>
      </c>
      <c r="S309" s="138">
        <f>COS(S266/2)*SIN(S266/2)*(-$K303+$K304)</f>
        <v>0</v>
      </c>
      <c r="T309" s="138">
        <f>COS(T266/2)*SIN(T266/2)*(-$K303+$K304)</f>
        <v>2.2889856965876046E-16</v>
      </c>
      <c r="U309" s="138">
        <f>COS(U266/2)*SIN(U266/2)*(-$K303+$K304)</f>
        <v>0</v>
      </c>
      <c r="V309" s="138">
        <f>COS(V266/2)*SIN(V266/2)*(-$K303+$K304)</f>
        <v>2.2889856965876046E-16</v>
      </c>
      <c r="W309" s="138" t="s">
        <v>1048</v>
      </c>
      <c r="X309" s="141">
        <f>S268*S312^2/S302+T268*T312^2/T302+U268*U312^2/U302+V268*V312^2/V302</f>
        <v>0</v>
      </c>
      <c r="Y309" s="164"/>
      <c r="Z309" s="164">
        <f>S268*S309/(S303*S304-S309^2)+T268*T309/(T303*T304-T309^2)+U268*U309/(U303*U304-U309^2)+V268*V309/(V303*V304-V309^2)</f>
        <v>0</v>
      </c>
      <c r="AA309" s="147"/>
      <c r="AB309" s="147"/>
      <c r="AC309" s="147"/>
      <c r="AD309" s="147"/>
      <c r="AG309" s="139"/>
      <c r="AH309" s="147"/>
      <c r="AI309" s="147"/>
      <c r="AJ309" s="147"/>
      <c r="AK309" s="147"/>
    </row>
    <row r="310" spans="10:38">
      <c r="R310" s="139" t="s">
        <v>777</v>
      </c>
      <c r="S310" s="138">
        <f>-2*COS(S266/2)*SIN(S266/2)*(COS(S266/2)^2-SIN(S266/2)^2)*$K305+COS(S266/2)*SIN(S266/2)*(COS(S266/2)^2*$K300+SIN(S266/2)^2*$K301)+COS(S266/2)*SIN(S266/2)*(COS(S266/2)^2+SIN(S266/2)^2)*$M300</f>
        <v>0</v>
      </c>
      <c r="T310" s="138">
        <f>-2*COS(T266/2)*SIN(T266/2)*(COS(T266/2)^2-SIN(T266/2)^2)*$K305+COS(T266/2)*SIN(T266/2)*(COS(T266/2)^2*$K300+SIN(T266/2)^2*$K301)+COS(T266/2)*SIN(T266/2)*(COS(T266/2)^2+SIN(T266/2)^2)*$M300</f>
        <v>2.0909173104960418E-15</v>
      </c>
      <c r="U310" s="138">
        <f>-2*COS(U266/2)*SIN(U266/2)*(COS(U266/2)^2-SIN(U266/2)^2)*$K305+COS(U266/2)*SIN(U266/2)*(COS(U266/2)^2*$K300+SIN(U266/2)^2*$K301)+COS(U266/2)*SIN(U266/2)*(COS(U266/2)^2+SIN(U266/2)^2)*$M300</f>
        <v>0</v>
      </c>
      <c r="V310" s="138">
        <f>-2*COS(V266/2)*SIN(V266/2)*(COS(V266/2)^2-SIN(V266/2)^2)*$K305+COS(V266/2)*SIN(V266/2)*(COS(V266/2)^2*$K300+SIN(V266/2)^2*$K301)+COS(V266/2)*SIN(V266/2)*(COS(V266/2)^2+SIN(V266/2)^2)*$M300</f>
        <v>2.0909173104960418E-15</v>
      </c>
      <c r="W310" s="138"/>
      <c r="Y310" s="147">
        <f>S268*S310+T268*T310+U268*U310+V268*V310</f>
        <v>0</v>
      </c>
      <c r="Z310" s="164"/>
      <c r="AA310" s="147"/>
      <c r="AB310" s="147"/>
      <c r="AC310" s="147"/>
      <c r="AD310" s="147"/>
      <c r="AG310" s="139"/>
      <c r="AH310" s="147"/>
      <c r="AI310" s="147"/>
      <c r="AJ310" s="147"/>
      <c r="AK310" s="147"/>
    </row>
    <row r="311" spans="10:38">
      <c r="R311" s="139" t="s">
        <v>781</v>
      </c>
      <c r="S311" s="138">
        <f>2*COS(S266/2)*SIN(S266/2)*(COS(S266/2)^2-SIN(S266/2)^2)*$K305+COS(S266/2)*SIN(S266/2)*(SIN(S266/2)^2*$K300-COS(S266/2)^2*$K301)+COS(S266/2)*SIN(S266/2)*(COS(S266/2)^2-SIN(S266/2)^2)*$M300</f>
        <v>0</v>
      </c>
      <c r="T311" s="138">
        <f>2*COS(T266/2)*SIN(T266/2)*(COS(T266/2)^2-SIN(T266/2)^2)*$K305+COS(T266/2)*SIN(T266/2)*(SIN(T266/2)^2*$K300-COS(T266/2)^2*$K301)+COS(T266/2)*SIN(T266/2)*(COS(T266/2)^2-SIN(T266/2)^2)*$M300</f>
        <v>1.0050870810750773E-14</v>
      </c>
      <c r="U311" s="138">
        <f>2*COS(U266/2)*SIN(U266/2)*(COS(U266/2)^2-SIN(U266/2)^2)*$K305+COS(U266/2)*SIN(U266/2)*(SIN(U266/2)^2*$K300-COS(U266/2)^2*$K301)+COS(U266/2)*SIN(U266/2)*(COS(U266/2)^2-SIN(U266/2)^2)*$M300</f>
        <v>0</v>
      </c>
      <c r="V311" s="138">
        <f>2*COS(V266/2)*SIN(V266/2)*(COS(V266/2)^2-SIN(V266/2)^2)*$K305+COS(V266/2)*SIN(V266/2)*(SIN(V266/2)^2*$K300-COS(V266/2)^2*$K301)+COS(V266/2)*SIN(V266/2)*(COS(V266/2)^2-SIN(V266/2)^2)*$M300</f>
        <v>1.0050870810750773E-14</v>
      </c>
      <c r="W311" s="138"/>
      <c r="Y311" s="147">
        <f>S268*S311+T268*T311+U268*U311+V268*V311</f>
        <v>0</v>
      </c>
      <c r="Z311" s="164"/>
      <c r="AA311" s="147"/>
      <c r="AB311" s="147"/>
      <c r="AC311" s="147"/>
      <c r="AD311" s="147"/>
      <c r="AG311" s="139"/>
      <c r="AH311" s="147"/>
      <c r="AI311" s="147"/>
      <c r="AJ311" s="147"/>
      <c r="AK311" s="147"/>
    </row>
    <row r="312" spans="10:38">
      <c r="R312" s="139" t="s">
        <v>784</v>
      </c>
      <c r="S312" s="138">
        <f>COS(S266/2)*SIN(S266/2)*($M301-$M302)</f>
        <v>0</v>
      </c>
      <c r="T312" s="138">
        <f>COS(T266/2)*SIN(T266/2)*($M301-$M302)</f>
        <v>-7.2345820007517372E-17</v>
      </c>
      <c r="U312" s="138">
        <f>COS(U266/2)*SIN(U266/2)*($M301-$M302)</f>
        <v>0</v>
      </c>
      <c r="V312" s="138">
        <f>COS(V266/2)*SIN(V266/2)*($M301-$M302)</f>
        <v>-7.2345820007517372E-17</v>
      </c>
      <c r="W312" s="138"/>
      <c r="Y312" s="164"/>
      <c r="Z312" s="164"/>
      <c r="AA312" s="147"/>
      <c r="AB312" s="147"/>
      <c r="AC312" s="147"/>
      <c r="AD312" s="147"/>
      <c r="AG312" s="139"/>
      <c r="AH312" s="147"/>
      <c r="AI312" s="147"/>
      <c r="AJ312" s="147"/>
      <c r="AK312" s="147"/>
    </row>
    <row r="313" spans="10:38">
      <c r="J313" s="137" t="s">
        <v>851</v>
      </c>
      <c r="K313" s="139"/>
      <c r="L313" s="139"/>
      <c r="N313" s="138" t="s">
        <v>1551</v>
      </c>
      <c r="P313" s="140"/>
      <c r="R313" s="138" t="s">
        <v>634</v>
      </c>
      <c r="Y313" s="164"/>
      <c r="Z313" s="138" t="s">
        <v>635</v>
      </c>
      <c r="AG313" s="138" t="s">
        <v>636</v>
      </c>
    </row>
    <row r="314" spans="10:38">
      <c r="J314" s="139" t="str">
        <f>A147</f>
        <v>T3/N52[SI]</v>
      </c>
      <c r="K314" s="137"/>
      <c r="L314" s="139"/>
      <c r="N314" s="139" t="s">
        <v>596</v>
      </c>
      <c r="O314" s="144">
        <f>G148</f>
        <v>22</v>
      </c>
      <c r="P314" s="144">
        <f>B72</f>
        <v>22</v>
      </c>
      <c r="Q314" s="145">
        <f t="shared" ref="Q314:Q319" si="68">P314/O314</f>
        <v>1</v>
      </c>
      <c r="R314" s="137"/>
      <c r="Z314" s="139" t="s">
        <v>531</v>
      </c>
      <c r="AA314" s="146">
        <f t="shared" ref="AA314:AD316" si="69">S316</f>
        <v>0</v>
      </c>
      <c r="AB314" s="146">
        <f t="shared" si="69"/>
        <v>90</v>
      </c>
      <c r="AC314" s="146">
        <f t="shared" si="69"/>
        <v>0</v>
      </c>
      <c r="AD314" s="146">
        <f t="shared" si="69"/>
        <v>90</v>
      </c>
      <c r="AE314" s="139" t="s">
        <v>532</v>
      </c>
      <c r="AF314" s="143" t="s">
        <v>533</v>
      </c>
      <c r="AG314" s="139" t="s">
        <v>531</v>
      </c>
      <c r="AH314" s="146">
        <f t="shared" ref="AH314:AK316" si="70">AA314</f>
        <v>0</v>
      </c>
      <c r="AI314" s="146">
        <f t="shared" si="70"/>
        <v>90</v>
      </c>
      <c r="AJ314" s="146">
        <f t="shared" si="70"/>
        <v>0</v>
      </c>
      <c r="AK314" s="146">
        <f t="shared" si="70"/>
        <v>90</v>
      </c>
    </row>
    <row r="315" spans="10:38">
      <c r="J315" s="139"/>
      <c r="K315" s="139"/>
      <c r="L315" s="139"/>
      <c r="N315" s="139" t="s">
        <v>600</v>
      </c>
      <c r="O315" s="147">
        <f>H148</f>
        <v>5.0000000000000001E-3</v>
      </c>
      <c r="P315" s="147">
        <f>C72</f>
        <v>5.0000000000000001E-3</v>
      </c>
      <c r="Q315" s="145">
        <f t="shared" si="68"/>
        <v>1</v>
      </c>
      <c r="R315" s="139" t="s">
        <v>243</v>
      </c>
      <c r="S315" s="143" t="s">
        <v>1562</v>
      </c>
      <c r="T315" s="143" t="s">
        <v>1563</v>
      </c>
      <c r="U315" s="143" t="s">
        <v>1564</v>
      </c>
      <c r="V315" s="143" t="s">
        <v>1565</v>
      </c>
      <c r="W315" s="143"/>
      <c r="X315" s="143"/>
      <c r="Z315" s="139" t="s">
        <v>536</v>
      </c>
      <c r="AA315" s="146">
        <f t="shared" si="69"/>
        <v>0</v>
      </c>
      <c r="AB315" s="146">
        <f t="shared" si="69"/>
        <v>0</v>
      </c>
      <c r="AC315" s="146">
        <f t="shared" si="69"/>
        <v>0</v>
      </c>
      <c r="AD315" s="146">
        <f t="shared" si="69"/>
        <v>0</v>
      </c>
      <c r="AE315" s="139">
        <f>W317</f>
        <v>1</v>
      </c>
      <c r="AF315" s="146">
        <f>X318</f>
        <v>0</v>
      </c>
      <c r="AG315" s="139" t="s">
        <v>536</v>
      </c>
      <c r="AH315" s="146">
        <f t="shared" si="70"/>
        <v>0</v>
      </c>
      <c r="AI315" s="146">
        <f t="shared" si="70"/>
        <v>0</v>
      </c>
      <c r="AJ315" s="146">
        <f t="shared" si="70"/>
        <v>0</v>
      </c>
      <c r="AK315" s="146">
        <f t="shared" si="70"/>
        <v>0</v>
      </c>
    </row>
    <row r="316" spans="10:38">
      <c r="J316" s="139" t="s">
        <v>1553</v>
      </c>
      <c r="K316" s="139" t="s">
        <v>1554</v>
      </c>
      <c r="L316" s="139" t="s">
        <v>1555</v>
      </c>
      <c r="M316" s="153" t="s">
        <v>1556</v>
      </c>
      <c r="N316" s="139" t="s">
        <v>1557</v>
      </c>
      <c r="O316" s="144">
        <f>G147</f>
        <v>122</v>
      </c>
      <c r="P316" s="144">
        <f>O316</f>
        <v>122</v>
      </c>
      <c r="Q316" s="145">
        <f t="shared" si="68"/>
        <v>1</v>
      </c>
      <c r="R316" s="139" t="s">
        <v>537</v>
      </c>
      <c r="S316" s="154">
        <f>C15+I16</f>
        <v>0</v>
      </c>
      <c r="T316" s="154">
        <f>D15+I16</f>
        <v>90</v>
      </c>
      <c r="U316" s="154">
        <f>E15+I16</f>
        <v>0</v>
      </c>
      <c r="V316" s="154">
        <f>F15+I16</f>
        <v>90</v>
      </c>
      <c r="W316" s="143" t="s">
        <v>538</v>
      </c>
      <c r="X316" s="143"/>
      <c r="Z316" s="139" t="s">
        <v>539</v>
      </c>
      <c r="AA316" s="146">
        <f t="shared" si="69"/>
        <v>0</v>
      </c>
      <c r="AB316" s="146">
        <f t="shared" si="69"/>
        <v>3.1415926535897931</v>
      </c>
      <c r="AC316" s="146">
        <f t="shared" si="69"/>
        <v>0</v>
      </c>
      <c r="AD316" s="146">
        <f t="shared" si="69"/>
        <v>3.1415926535897931</v>
      </c>
      <c r="AE316" s="139" t="s">
        <v>540</v>
      </c>
      <c r="AF316" s="141">
        <f>W324</f>
        <v>0</v>
      </c>
      <c r="AG316" s="139" t="s">
        <v>539</v>
      </c>
      <c r="AH316" s="146">
        <f t="shared" si="70"/>
        <v>0</v>
      </c>
      <c r="AI316" s="146">
        <f t="shared" si="70"/>
        <v>3.1415926535897931</v>
      </c>
      <c r="AJ316" s="146">
        <f t="shared" si="70"/>
        <v>0</v>
      </c>
      <c r="AK316" s="146">
        <f t="shared" si="70"/>
        <v>3.1415926535897931</v>
      </c>
    </row>
    <row r="317" spans="10:38">
      <c r="J317" s="139" t="s">
        <v>298</v>
      </c>
      <c r="K317" s="140">
        <f>B147</f>
        <v>181</v>
      </c>
      <c r="L317" s="140">
        <f>L324*L323</f>
        <v>181.00000000000003</v>
      </c>
      <c r="M317" s="145">
        <f>L317/K317</f>
        <v>1.0000000000000002</v>
      </c>
      <c r="N317" s="139" t="s">
        <v>299</v>
      </c>
      <c r="O317" s="144">
        <f>H147</f>
        <v>160</v>
      </c>
      <c r="P317" s="144">
        <f>O317-H150*(P315)</f>
        <v>150</v>
      </c>
      <c r="Q317" s="145">
        <f t="shared" si="68"/>
        <v>0.9375</v>
      </c>
      <c r="R317" s="139" t="s">
        <v>541</v>
      </c>
      <c r="S317" s="154">
        <f>C16</f>
        <v>0</v>
      </c>
      <c r="T317" s="154">
        <f>D16</f>
        <v>0</v>
      </c>
      <c r="U317" s="154">
        <f>E16</f>
        <v>0</v>
      </c>
      <c r="V317" s="154">
        <f>F16</f>
        <v>0</v>
      </c>
      <c r="W317" s="156">
        <f>G16</f>
        <v>1</v>
      </c>
      <c r="X317" s="143"/>
      <c r="Z317" s="139"/>
      <c r="AA317" s="141">
        <f>AA316/2</f>
        <v>0</v>
      </c>
      <c r="AB317" s="141">
        <f>AB316/2</f>
        <v>1.5707963267948966</v>
      </c>
      <c r="AC317" s="141">
        <f>AC316/2</f>
        <v>0</v>
      </c>
      <c r="AD317" s="141">
        <f>AD316/2</f>
        <v>1.5707963267948966</v>
      </c>
      <c r="AE317" s="143"/>
      <c r="AL317" s="139"/>
    </row>
    <row r="318" spans="10:38">
      <c r="J318" s="139" t="s">
        <v>1579</v>
      </c>
      <c r="K318" s="140">
        <f>C147</f>
        <v>10.3</v>
      </c>
      <c r="L318" s="140">
        <f>(1+L327)/(1/L328+L327/L325)</f>
        <v>10.3</v>
      </c>
      <c r="M318" s="145">
        <f>L318/K318</f>
        <v>1</v>
      </c>
      <c r="N318" s="139" t="s">
        <v>1580</v>
      </c>
      <c r="O318" s="140">
        <f>(O317-O314)/(O317-O314)</f>
        <v>1</v>
      </c>
      <c r="P318" s="140">
        <f>(P317-P314)/(P317-O314)</f>
        <v>1</v>
      </c>
      <c r="Q318" s="145">
        <f t="shared" si="68"/>
        <v>1</v>
      </c>
      <c r="R318" s="139" t="s">
        <v>1295</v>
      </c>
      <c r="S318" s="158">
        <f>S316*PI()/90</f>
        <v>0</v>
      </c>
      <c r="T318" s="158">
        <f>T316*PI()/90</f>
        <v>3.1415926535897931</v>
      </c>
      <c r="U318" s="158">
        <f>U316*PI()/90</f>
        <v>0</v>
      </c>
      <c r="V318" s="158">
        <f>V316*PI()/90</f>
        <v>3.1415926535897931</v>
      </c>
      <c r="W318" s="143" t="s">
        <v>1296</v>
      </c>
      <c r="X318" s="146"/>
      <c r="Z318" s="137" t="s">
        <v>1297</v>
      </c>
      <c r="AA318" s="143"/>
      <c r="AB318" s="143"/>
      <c r="AC318" s="141"/>
      <c r="AD318" s="141"/>
      <c r="AE318" s="141"/>
      <c r="AG318" s="137" t="s">
        <v>1298</v>
      </c>
      <c r="AL318" s="139"/>
    </row>
    <row r="319" spans="10:38">
      <c r="J319" s="139" t="s">
        <v>259</v>
      </c>
      <c r="K319" s="140">
        <f>D147</f>
        <v>0.28000000000000003</v>
      </c>
      <c r="L319" s="140">
        <f>K319*I72</f>
        <v>0.28000000000000003</v>
      </c>
      <c r="M319" s="145">
        <f>L319/K319</f>
        <v>1</v>
      </c>
      <c r="N319" s="139" t="s">
        <v>260</v>
      </c>
      <c r="O319" s="144">
        <f>O314-O316</f>
        <v>-100</v>
      </c>
      <c r="P319" s="144">
        <f>P314-P316</f>
        <v>-100</v>
      </c>
      <c r="Q319" s="145">
        <f t="shared" si="68"/>
        <v>1</v>
      </c>
      <c r="R319" s="139" t="s">
        <v>1300</v>
      </c>
      <c r="S319" s="158">
        <f>2*S318</f>
        <v>0</v>
      </c>
      <c r="T319" s="158">
        <f>2*T318</f>
        <v>6.2831853071795862</v>
      </c>
      <c r="U319" s="158">
        <f>2*U318</f>
        <v>0</v>
      </c>
      <c r="V319" s="158">
        <f>2*V318</f>
        <v>6.2831853071795862</v>
      </c>
      <c r="W319" s="138" t="s">
        <v>651</v>
      </c>
      <c r="X319" s="143" t="s">
        <v>652</v>
      </c>
      <c r="Y319" s="143" t="s">
        <v>646</v>
      </c>
      <c r="Z319" s="139"/>
      <c r="AA319" s="143" t="s">
        <v>1301</v>
      </c>
      <c r="AB319" s="143"/>
      <c r="AC319" s="161" t="s">
        <v>977</v>
      </c>
      <c r="AD319" s="161"/>
      <c r="AE319" s="143" t="s">
        <v>1303</v>
      </c>
      <c r="AF319" s="143" t="s">
        <v>1304</v>
      </c>
      <c r="AG319" s="139" t="s">
        <v>1305</v>
      </c>
      <c r="AH319" s="147">
        <f t="shared" ref="AH319:AK321" si="71">AA325/1000</f>
        <v>0</v>
      </c>
      <c r="AI319" s="147">
        <f t="shared" si="71"/>
        <v>0</v>
      </c>
      <c r="AJ319" s="147">
        <f t="shared" si="71"/>
        <v>0</v>
      </c>
      <c r="AK319" s="147">
        <f t="shared" si="71"/>
        <v>0</v>
      </c>
      <c r="AL319" s="157"/>
    </row>
    <row r="320" spans="10:38">
      <c r="J320" s="139" t="s">
        <v>261</v>
      </c>
      <c r="K320" s="140">
        <f>E147</f>
        <v>7.17</v>
      </c>
      <c r="L320" s="140">
        <f>(1+L330)/(1/L331+L330*2.7/L325)</f>
        <v>7.17</v>
      </c>
      <c r="M320" s="145">
        <f>L320/K320</f>
        <v>1</v>
      </c>
      <c r="N320" s="139"/>
      <c r="O320" s="140"/>
      <c r="P320" s="140"/>
      <c r="Q320" s="140"/>
      <c r="R320" s="139" t="s">
        <v>1321</v>
      </c>
      <c r="S320" s="158">
        <f>2*W317*S317*L321/1000000/Y320</f>
        <v>0</v>
      </c>
      <c r="T320" s="158">
        <f>2*W317*T317*L321/1000000/Y320</f>
        <v>0</v>
      </c>
      <c r="U320" s="158">
        <f>2*W317*U317*L321/1000000/Y320</f>
        <v>0</v>
      </c>
      <c r="V320" s="158">
        <f>2*W317*V317*L321/1000000/Y320</f>
        <v>0</v>
      </c>
      <c r="W320" s="147">
        <f>SUM(S320:V320)</f>
        <v>0</v>
      </c>
      <c r="X320" s="163">
        <f>2*W317*SUM(S317:V317)*L321/1000000</f>
        <v>0</v>
      </c>
      <c r="Y320" s="147">
        <f>Y268</f>
        <v>5.0000000000000001E-4</v>
      </c>
      <c r="Z320" s="139">
        <v>1</v>
      </c>
      <c r="AA320" s="140">
        <f>$B$37</f>
        <v>1</v>
      </c>
      <c r="AB320" s="163"/>
      <c r="AC320" s="140">
        <f>AC268</f>
        <v>119.49416590714854</v>
      </c>
      <c r="AD320" s="163"/>
      <c r="AE320" s="159" t="s">
        <v>1306</v>
      </c>
      <c r="AF320" s="163">
        <f>IF(X320=0,0,(AC320+AC321)/2)</f>
        <v>0</v>
      </c>
      <c r="AG320" s="139" t="s">
        <v>1307</v>
      </c>
      <c r="AH320" s="147">
        <f t="shared" si="71"/>
        <v>0</v>
      </c>
      <c r="AI320" s="147">
        <f t="shared" si="71"/>
        <v>0</v>
      </c>
      <c r="AJ320" s="147">
        <f t="shared" si="71"/>
        <v>0</v>
      </c>
      <c r="AK320" s="147">
        <f t="shared" si="71"/>
        <v>0</v>
      </c>
      <c r="AL320" s="157"/>
    </row>
    <row r="321" spans="10:38">
      <c r="J321" s="139" t="s">
        <v>262</v>
      </c>
      <c r="K321" s="144">
        <f>B149</f>
        <v>125</v>
      </c>
      <c r="L321" s="144">
        <f>K321/M323</f>
        <v>125</v>
      </c>
      <c r="M321" s="145">
        <f>L321/K321</f>
        <v>1</v>
      </c>
      <c r="N321" s="137" t="s">
        <v>1531</v>
      </c>
      <c r="O321" s="140"/>
      <c r="P321" s="140"/>
      <c r="Q321" s="140"/>
      <c r="R321" s="139" t="s">
        <v>1325</v>
      </c>
      <c r="S321" s="143" t="s">
        <v>1326</v>
      </c>
      <c r="T321" s="143" t="s">
        <v>1327</v>
      </c>
      <c r="U321" s="143" t="s">
        <v>1328</v>
      </c>
      <c r="V321" s="143" t="s">
        <v>1329</v>
      </c>
      <c r="W321" s="143" t="s">
        <v>1330</v>
      </c>
      <c r="X321" s="139"/>
      <c r="Z321" s="139">
        <v>2</v>
      </c>
      <c r="AA321" s="140">
        <f>$B$38</f>
        <v>0</v>
      </c>
      <c r="AB321" s="163"/>
      <c r="AC321" s="140">
        <f>AC269</f>
        <v>-19.975848039852647</v>
      </c>
      <c r="AD321" s="163"/>
      <c r="AE321" s="159" t="s">
        <v>1309</v>
      </c>
      <c r="AF321" s="163">
        <f>IF(X320=0,0,(AC320-AC321)/2)</f>
        <v>0</v>
      </c>
      <c r="AG321" s="139" t="s">
        <v>1310</v>
      </c>
      <c r="AH321" s="147">
        <f t="shared" si="71"/>
        <v>0</v>
      </c>
      <c r="AI321" s="147">
        <f t="shared" si="71"/>
        <v>0</v>
      </c>
      <c r="AJ321" s="147">
        <f t="shared" si="71"/>
        <v>0</v>
      </c>
      <c r="AK321" s="147">
        <f t="shared" si="71"/>
        <v>0</v>
      </c>
      <c r="AL321" s="157"/>
    </row>
    <row r="322" spans="10:38">
      <c r="J322" s="137" t="s">
        <v>264</v>
      </c>
      <c r="K322" s="140"/>
      <c r="L322" s="140"/>
      <c r="N322" s="139" t="s">
        <v>265</v>
      </c>
      <c r="O322" s="140">
        <f>A150</f>
        <v>0.02</v>
      </c>
      <c r="P322" s="140">
        <f>O322</f>
        <v>0.02</v>
      </c>
      <c r="Q322" s="140">
        <f>P322/O322</f>
        <v>1</v>
      </c>
      <c r="R322" s="139">
        <v>11</v>
      </c>
      <c r="S322" s="140">
        <f>L339+L340*COS(S318)+L341*COS(S319)</f>
        <v>181.81113884441794</v>
      </c>
      <c r="T322" s="140">
        <f>L339+L340*COS(T318)+L341*COS(T319)</f>
        <v>10.346158729820477</v>
      </c>
      <c r="U322" s="140">
        <f>L339+L340*COS(U318)+L341*COS(U319)</f>
        <v>181.81113884441794</v>
      </c>
      <c r="V322" s="140">
        <f>L339+L340*COS(V318)+L341*COS(V319)</f>
        <v>10.346158729820477</v>
      </c>
      <c r="W322" s="163">
        <f>(S320*S322+T320*T322+U320*U322+V320*V322)</f>
        <v>0</v>
      </c>
      <c r="X322" s="147"/>
      <c r="Z322" s="139">
        <v>6</v>
      </c>
      <c r="AA322" s="140">
        <f>$B$39</f>
        <v>0</v>
      </c>
      <c r="AB322" s="163"/>
      <c r="AC322" s="140">
        <f>AC270</f>
        <v>-91.562516762323497</v>
      </c>
      <c r="AD322" s="163"/>
      <c r="AE322" s="159" t="s">
        <v>1312</v>
      </c>
      <c r="AF322" s="163">
        <f>IF(X320=0,0,AC322/2)</f>
        <v>0</v>
      </c>
      <c r="AG322" s="139"/>
      <c r="AH322" s="163"/>
      <c r="AI322" s="163"/>
      <c r="AJ322" s="163"/>
      <c r="AK322" s="163"/>
      <c r="AL322" s="163"/>
    </row>
    <row r="323" spans="10:38">
      <c r="J323" s="139" t="s">
        <v>1532</v>
      </c>
      <c r="K323" s="140">
        <f>C149</f>
        <v>0.7</v>
      </c>
      <c r="L323" s="140">
        <f>D72</f>
        <v>0.7</v>
      </c>
      <c r="M323" s="145">
        <f t="shared" ref="M323:M332" si="72">L323/K323</f>
        <v>1</v>
      </c>
      <c r="N323" s="139" t="s">
        <v>1533</v>
      </c>
      <c r="O323" s="140">
        <f>B150</f>
        <v>22.5</v>
      </c>
      <c r="P323" s="140">
        <f>O323*(1-L323)/(1-K323)</f>
        <v>22.5</v>
      </c>
      <c r="Q323" s="140">
        <f>P323/O323</f>
        <v>1</v>
      </c>
      <c r="R323" s="139">
        <v>22</v>
      </c>
      <c r="S323" s="140">
        <f>S322-2*L340*COS(S318)</f>
        <v>10.346158729820473</v>
      </c>
      <c r="T323" s="140">
        <f>T322-2*L340*COS(T318)</f>
        <v>181.81113884441794</v>
      </c>
      <c r="U323" s="140">
        <f>U322-2*L340*COS(U318)</f>
        <v>10.346158729820473</v>
      </c>
      <c r="V323" s="140">
        <f>V322-2*L340*COS(V318)</f>
        <v>181.81113884441794</v>
      </c>
      <c r="W323" s="163">
        <f>(S320*S323+T320*T323+U320*U323+V320*V323)</f>
        <v>0</v>
      </c>
      <c r="X323" s="147"/>
      <c r="AA323" s="163"/>
      <c r="AB323" s="163"/>
      <c r="AC323" s="163"/>
      <c r="AD323" s="163"/>
      <c r="AE323" s="159"/>
      <c r="AF323" s="163"/>
      <c r="AG323" s="139"/>
      <c r="AH323" s="163"/>
      <c r="AI323" s="163"/>
      <c r="AJ323" s="163"/>
      <c r="AK323" s="163"/>
      <c r="AL323" s="163"/>
    </row>
    <row r="324" spans="10:38">
      <c r="J324" s="139" t="s">
        <v>1534</v>
      </c>
      <c r="K324" s="144">
        <f>K317/K323</f>
        <v>258.57142857142861</v>
      </c>
      <c r="L324" s="144">
        <f>F72*P318^F150</f>
        <v>258.57142857142861</v>
      </c>
      <c r="M324" s="145">
        <f t="shared" si="72"/>
        <v>1</v>
      </c>
      <c r="N324" s="138" t="s">
        <v>1535</v>
      </c>
      <c r="O324" s="140"/>
      <c r="P324" s="140"/>
      <c r="Q324" s="140"/>
      <c r="R324" s="139" t="s">
        <v>1345</v>
      </c>
      <c r="S324" s="140">
        <f>L342-L341*COS(S319)</f>
        <v>2.8969244443497324</v>
      </c>
      <c r="T324" s="140">
        <f>L342-L341*COS(T319)</f>
        <v>2.8969244443497324</v>
      </c>
      <c r="U324" s="140">
        <f>L342-L341*COS(U319)</f>
        <v>2.8969244443497324</v>
      </c>
      <c r="V324" s="140">
        <f>L342-L341*COS(V319)</f>
        <v>2.8969244443497324</v>
      </c>
      <c r="W324" s="163">
        <f>(S320*S324+T320*T324+U320*U324+V320*V324)</f>
        <v>0</v>
      </c>
      <c r="X324" s="147"/>
      <c r="Z324" s="137" t="s">
        <v>1323</v>
      </c>
      <c r="AA324" s="163"/>
      <c r="AB324" s="163"/>
      <c r="AC324" s="163"/>
      <c r="AD324" s="163"/>
      <c r="AE324" s="159" t="s">
        <v>661</v>
      </c>
      <c r="AF324" s="163">
        <f>L319/L317*L334+L332/L318*L336</f>
        <v>0.42188220063345594</v>
      </c>
      <c r="AG324" s="139"/>
      <c r="AH324" s="163"/>
      <c r="AI324" s="163"/>
      <c r="AJ324" s="163"/>
      <c r="AK324" s="163"/>
      <c r="AL324" s="163"/>
    </row>
    <row r="325" spans="10:38">
      <c r="J325" s="139" t="s">
        <v>1536</v>
      </c>
      <c r="K325" s="140">
        <f>F147</f>
        <v>3.4</v>
      </c>
      <c r="L325" s="140">
        <f>E72*P318^F149*I72</f>
        <v>3.4</v>
      </c>
      <c r="M325" s="145">
        <f t="shared" si="72"/>
        <v>1</v>
      </c>
      <c r="N325" s="139" t="s">
        <v>1537</v>
      </c>
      <c r="O325" s="140">
        <f>C150</f>
        <v>0</v>
      </c>
      <c r="P325" s="140">
        <f>O325</f>
        <v>0</v>
      </c>
      <c r="Q325" s="140">
        <v>1</v>
      </c>
      <c r="R325" s="139">
        <v>66</v>
      </c>
      <c r="S325" s="140">
        <f>S324-L342+L343</f>
        <v>7.1700000000000053</v>
      </c>
      <c r="T325" s="140">
        <f>T324-L342+L343</f>
        <v>7.1700000000000053</v>
      </c>
      <c r="U325" s="140">
        <f>U324-L342+L343</f>
        <v>7.1700000000000053</v>
      </c>
      <c r="V325" s="140">
        <f>V324-L342+L343</f>
        <v>7.1700000000000053</v>
      </c>
      <c r="W325" s="163">
        <f>(S320*S325+T320*T325+U320*U325+V320*V325)</f>
        <v>0</v>
      </c>
      <c r="X325" s="147"/>
      <c r="Z325" s="139" t="s">
        <v>1324</v>
      </c>
      <c r="AA325" s="147">
        <f>(AF320+AF321*COS(AA316)+AF322*SIN(AA316))</f>
        <v>0</v>
      </c>
      <c r="AB325" s="147">
        <f>(AF320+AF321*COS(AB316)+AF322*SIN(AB316))</f>
        <v>0</v>
      </c>
      <c r="AC325" s="147">
        <f>(AF320+AF321*COS(AC316)+AF322*SIN(AC316))</f>
        <v>0</v>
      </c>
      <c r="AD325" s="147">
        <f>(AF320+AF321*COS(AD316)+AF322*SIN(AD316))</f>
        <v>0</v>
      </c>
      <c r="AE325" s="159" t="s">
        <v>664</v>
      </c>
      <c r="AF325" s="163">
        <f>L319/L317*L336+L332/L318*L335</f>
        <v>0.50672214511948566</v>
      </c>
      <c r="AG325" s="137"/>
      <c r="AH325" s="159"/>
      <c r="AI325" s="159"/>
      <c r="AJ325" s="159"/>
      <c r="AK325" s="159"/>
      <c r="AL325" s="163"/>
    </row>
    <row r="326" spans="10:38">
      <c r="J326" s="139" t="s">
        <v>1538</v>
      </c>
      <c r="K326" s="140">
        <f>E149</f>
        <v>0.51600000000000001</v>
      </c>
      <c r="L326" s="140">
        <f>K326*P318^G149</f>
        <v>0.51600000000000001</v>
      </c>
      <c r="M326" s="145">
        <f t="shared" si="72"/>
        <v>1</v>
      </c>
      <c r="N326" s="139" t="s">
        <v>1539</v>
      </c>
      <c r="O326" s="140">
        <f>D150</f>
        <v>0.6</v>
      </c>
      <c r="P326" s="140">
        <f>O326*(1-L323)/(1-K323)</f>
        <v>0.6</v>
      </c>
      <c r="Q326" s="140">
        <f>P326/O326</f>
        <v>1</v>
      </c>
      <c r="R326" s="139" t="s">
        <v>1347</v>
      </c>
      <c r="S326" s="140">
        <f>L340*SIN(S318)/2+L341*SIN(S319)</f>
        <v>0</v>
      </c>
      <c r="T326" s="140">
        <f>L340*SIN(T318)/2+L341*SIN(T319)</f>
        <v>4.221105484146412E-16</v>
      </c>
      <c r="U326" s="140">
        <f>L340*SIN(U318)/2+L341*SIN(U319)</f>
        <v>0</v>
      </c>
      <c r="V326" s="140">
        <f>L340*SIN(V318)/2+L341*SIN(V319)</f>
        <v>4.221105484146412E-16</v>
      </c>
      <c r="W326" s="163">
        <f>(S320*S326+T320*T326+U320*U326+V320*V326)</f>
        <v>0</v>
      </c>
      <c r="X326" s="147"/>
      <c r="Z326" s="139" t="s">
        <v>1332</v>
      </c>
      <c r="AA326" s="147">
        <f>2*AF320-AA325</f>
        <v>0</v>
      </c>
      <c r="AB326" s="147">
        <f>2*AF320-AB325</f>
        <v>0</v>
      </c>
      <c r="AC326" s="147">
        <f>2*AF320-AC325</f>
        <v>0</v>
      </c>
      <c r="AD326" s="147">
        <f>2*AF320-AD325</f>
        <v>0</v>
      </c>
      <c r="AE326" s="159"/>
      <c r="AF326" s="163"/>
      <c r="AG326" s="139" t="s">
        <v>1333</v>
      </c>
      <c r="AH326" s="163">
        <f>P345*AH319^2+2*P347*AH319*AH320+P346*AH320^2+P348*AH321^2</f>
        <v>0</v>
      </c>
      <c r="AI326" s="163">
        <f>P345*AI319^2+2*P347*AI319*AI320+P346*AI320^2+P348*AI321^2</f>
        <v>0</v>
      </c>
      <c r="AJ326" s="163">
        <f>P345*AJ319^2+2*P347*AJ319*AJ320+P346*AJ320^2+P348*AJ321^2</f>
        <v>0</v>
      </c>
      <c r="AK326" s="163">
        <f>P345*AK319^2+2*P347*AK319*AK320+P346*AK320^2+P348*AK321^2</f>
        <v>0</v>
      </c>
      <c r="AL326" s="163"/>
    </row>
    <row r="327" spans="10:38">
      <c r="J327" s="139" t="s">
        <v>1547</v>
      </c>
      <c r="K327" s="140">
        <f>K326*(1-K323)/K323</f>
        <v>0.2211428571428572</v>
      </c>
      <c r="L327" s="140">
        <f>L326*(1-L323)/L323</f>
        <v>0.2211428571428572</v>
      </c>
      <c r="M327" s="145">
        <f t="shared" si="72"/>
        <v>1</v>
      </c>
      <c r="O327" s="140"/>
      <c r="P327" s="140"/>
      <c r="Q327" s="140"/>
      <c r="R327" s="139" t="s">
        <v>1349</v>
      </c>
      <c r="S327" s="140">
        <f>L340*SIN(S318)-S326</f>
        <v>0</v>
      </c>
      <c r="T327" s="140">
        <f>L340*SIN(T318)-T326</f>
        <v>1.0081392224502176E-14</v>
      </c>
      <c r="U327" s="140">
        <f>L340*SIN(U318)-U326</f>
        <v>0</v>
      </c>
      <c r="V327" s="140">
        <f>L340*SIN(V318)-V326</f>
        <v>1.0081392224502176E-14</v>
      </c>
      <c r="W327" s="163">
        <f>(S320*S327+T320*T327+U320*U327+V320*V327)</f>
        <v>0</v>
      </c>
      <c r="X327" s="147"/>
      <c r="Z327" s="139" t="s">
        <v>1334</v>
      </c>
      <c r="AA327" s="147">
        <f>(2*(AF322*COS(AA316)-AF321*SIN(AA316)))</f>
        <v>0</v>
      </c>
      <c r="AB327" s="147">
        <f>(2*(AF322*COS(AB316)-AF321*SIN(AB316)))</f>
        <v>0</v>
      </c>
      <c r="AC327" s="147">
        <f>(2*(AF322*COS(AC316)-AF321*SIN(AC316)))</f>
        <v>0</v>
      </c>
      <c r="AD327" s="147">
        <f>(2*(AF322*COS(AD316)-AF321*SIN(AD316)))</f>
        <v>0</v>
      </c>
      <c r="AE327" s="159"/>
      <c r="AF327" s="163"/>
      <c r="AG327" s="139" t="s">
        <v>1335</v>
      </c>
      <c r="AH327" s="163">
        <f>P349*AH319+P350*AH320</f>
        <v>0</v>
      </c>
      <c r="AI327" s="163">
        <f>P349*AI319+P350*AI320</f>
        <v>0</v>
      </c>
      <c r="AJ327" s="163">
        <f>P349*AJ319+P350*AJ320</f>
        <v>0</v>
      </c>
      <c r="AK327" s="163">
        <f>P349*AK319+P350*AK320</f>
        <v>0</v>
      </c>
      <c r="AL327" s="163"/>
    </row>
    <row r="328" spans="10:38">
      <c r="J328" s="139" t="s">
        <v>1643</v>
      </c>
      <c r="K328" s="140">
        <f>1/((1+K327)/K318-K327/K325)</f>
        <v>18.686160319541436</v>
      </c>
      <c r="L328" s="140">
        <f>K328*P318^F150</f>
        <v>18.686160319541436</v>
      </c>
      <c r="M328" s="145">
        <f t="shared" si="72"/>
        <v>1</v>
      </c>
      <c r="N328" s="138" t="s">
        <v>176</v>
      </c>
      <c r="O328" s="140"/>
      <c r="P328" s="140"/>
      <c r="Q328" s="140"/>
      <c r="R328" s="139"/>
      <c r="S328" s="143"/>
      <c r="T328" s="143"/>
      <c r="U328" s="143"/>
      <c r="V328" s="139"/>
      <c r="W328" s="143"/>
      <c r="Z328" s="139" t="s">
        <v>671</v>
      </c>
      <c r="AA328" s="164">
        <f>S346*S320</f>
        <v>0</v>
      </c>
      <c r="AB328" s="164">
        <f>T346*T320</f>
        <v>0</v>
      </c>
      <c r="AC328" s="164">
        <f>U346*U320</f>
        <v>0</v>
      </c>
      <c r="AD328" s="164">
        <f>V346*V320</f>
        <v>0</v>
      </c>
      <c r="AE328" s="164">
        <f>W320*(P323+P322*AF324+AF325*P323)-AF324*SUM(AA328:AD328)-AF325*SUM(AA329:AD329)</f>
        <v>0</v>
      </c>
      <c r="AF328" s="164"/>
      <c r="AG328" s="139" t="s">
        <v>1344</v>
      </c>
      <c r="AH328" s="163" t="e">
        <f>AH327/2/AH326</f>
        <v>#DIV/0!</v>
      </c>
      <c r="AI328" s="163" t="e">
        <f>AI327/2/AI326</f>
        <v>#DIV/0!</v>
      </c>
      <c r="AJ328" s="163" t="e">
        <f>AJ327/2/AJ326</f>
        <v>#DIV/0!</v>
      </c>
      <c r="AK328" s="163" t="e">
        <f>AK327/2/AK326</f>
        <v>#DIV/0!</v>
      </c>
      <c r="AL328" s="163"/>
    </row>
    <row r="329" spans="10:38">
      <c r="J329" s="139" t="s">
        <v>295</v>
      </c>
      <c r="K329" s="140">
        <f>E150</f>
        <v>0.316</v>
      </c>
      <c r="L329" s="140">
        <f>K329*P318^G149</f>
        <v>0.316</v>
      </c>
      <c r="M329" s="145">
        <f t="shared" si="72"/>
        <v>1</v>
      </c>
      <c r="N329" s="139" t="s">
        <v>296</v>
      </c>
      <c r="O329" s="144">
        <f>A148</f>
        <v>1500</v>
      </c>
      <c r="P329" s="144">
        <f>P335*L323</f>
        <v>1500</v>
      </c>
      <c r="Q329" s="140">
        <f t="shared" ref="Q329:Q336" si="73">P329/O329</f>
        <v>1</v>
      </c>
      <c r="R329" s="139"/>
      <c r="T329" s="164"/>
      <c r="U329" s="140"/>
      <c r="V329" s="140"/>
      <c r="W329" s="140"/>
      <c r="X329" s="143"/>
      <c r="Y329" s="139"/>
      <c r="Z329" s="139" t="s">
        <v>675</v>
      </c>
      <c r="AA329" s="164">
        <f>S347*S320</f>
        <v>0</v>
      </c>
      <c r="AB329" s="164">
        <f>T347*T320</f>
        <v>0</v>
      </c>
      <c r="AC329" s="164">
        <f>U347*U320</f>
        <v>0</v>
      </c>
      <c r="AD329" s="164">
        <f>V347*V320</f>
        <v>0</v>
      </c>
      <c r="AE329" s="164"/>
      <c r="AF329" s="164"/>
      <c r="AG329" s="139"/>
      <c r="AH329" s="163"/>
      <c r="AI329" s="163"/>
      <c r="AJ329" s="163"/>
      <c r="AK329" s="163"/>
      <c r="AL329" s="163"/>
    </row>
    <row r="330" spans="10:38">
      <c r="J330" s="139" t="s">
        <v>301</v>
      </c>
      <c r="K330" s="140">
        <f>K329*(1-K323)/K323</f>
        <v>0.13542857142857145</v>
      </c>
      <c r="L330" s="140">
        <f>L329*(1-L323)/L323</f>
        <v>0.13542857142857145</v>
      </c>
      <c r="M330" s="145">
        <f t="shared" si="72"/>
        <v>1</v>
      </c>
      <c r="N330" s="139" t="s">
        <v>302</v>
      </c>
      <c r="O330" s="144">
        <f>B148</f>
        <v>1500</v>
      </c>
      <c r="P330" s="144">
        <f>O330*Q329*M320^F151</f>
        <v>1500</v>
      </c>
      <c r="Q330" s="140">
        <f t="shared" si="73"/>
        <v>1</v>
      </c>
      <c r="R330" s="139"/>
      <c r="T330" s="164"/>
      <c r="U330" s="140"/>
      <c r="V330" s="140"/>
      <c r="W330" s="140"/>
      <c r="X330" s="140"/>
      <c r="Y330" s="140"/>
      <c r="Z330" s="139" t="s">
        <v>677</v>
      </c>
      <c r="AA330" s="164">
        <f>S348*S320</f>
        <v>0</v>
      </c>
      <c r="AB330" s="164">
        <f>T348*T320</f>
        <v>0</v>
      </c>
      <c r="AC330" s="164">
        <f>U348*U320</f>
        <v>0</v>
      </c>
      <c r="AD330" s="164">
        <f>V348*V320</f>
        <v>0</v>
      </c>
      <c r="AE330" s="164">
        <f>W320*(P326+P325*AF324+AF325*P326)-AF324*SUM(AA330:AD330)-AF325*SUM(AA331:AD331)</f>
        <v>0</v>
      </c>
      <c r="AF330" s="164"/>
      <c r="AG330" s="139"/>
      <c r="AH330" s="163"/>
      <c r="AI330" s="147"/>
      <c r="AJ330" s="163"/>
      <c r="AK330" s="163"/>
      <c r="AL330" s="163"/>
    </row>
    <row r="331" spans="10:38">
      <c r="J331" s="139" t="s">
        <v>304</v>
      </c>
      <c r="K331" s="140">
        <f>1/((1+K330)/K320-K330*2.7/K325)</f>
        <v>19.680382632972858</v>
      </c>
      <c r="L331" s="140">
        <f>K331*P318^F150</f>
        <v>19.680382632972858</v>
      </c>
      <c r="M331" s="145">
        <f t="shared" si="72"/>
        <v>1</v>
      </c>
      <c r="N331" s="139" t="s">
        <v>305</v>
      </c>
      <c r="O331" s="144">
        <f>C148</f>
        <v>40</v>
      </c>
      <c r="P331" s="144">
        <f>O331*Q336</f>
        <v>40</v>
      </c>
      <c r="Q331" s="140">
        <f t="shared" si="73"/>
        <v>1</v>
      </c>
      <c r="R331" s="139"/>
      <c r="T331" s="164"/>
      <c r="U331" s="140"/>
      <c r="V331" s="140"/>
      <c r="W331" s="140"/>
      <c r="X331" s="140"/>
      <c r="Y331" s="140"/>
      <c r="Z331" s="138" t="s">
        <v>679</v>
      </c>
      <c r="AA331" s="164">
        <f>S349*S320</f>
        <v>0</v>
      </c>
      <c r="AB331" s="164">
        <f>T349*T320</f>
        <v>0</v>
      </c>
      <c r="AC331" s="164">
        <f>U349*U320</f>
        <v>0</v>
      </c>
      <c r="AD331" s="164">
        <f>V349*V320</f>
        <v>0</v>
      </c>
      <c r="AE331" s="164"/>
      <c r="AF331" s="164"/>
      <c r="AG331" s="139"/>
      <c r="AH331" s="163"/>
      <c r="AI331" s="163"/>
      <c r="AJ331" s="163"/>
      <c r="AK331" s="163"/>
      <c r="AL331" s="159" t="s">
        <v>1348</v>
      </c>
    </row>
    <row r="332" spans="10:38">
      <c r="J332" s="139" t="s">
        <v>1581</v>
      </c>
      <c r="K332" s="140">
        <f>F151</f>
        <v>0.5</v>
      </c>
      <c r="L332" s="140">
        <f>K332</f>
        <v>0.5</v>
      </c>
      <c r="M332" s="140">
        <f t="shared" si="72"/>
        <v>1</v>
      </c>
      <c r="N332" s="139" t="s">
        <v>1542</v>
      </c>
      <c r="O332" s="144">
        <f>D148</f>
        <v>246</v>
      </c>
      <c r="P332" s="144">
        <f>O332*Q336</f>
        <v>246</v>
      </c>
      <c r="Q332" s="140">
        <f t="shared" si="73"/>
        <v>1</v>
      </c>
      <c r="R332" s="139"/>
      <c r="T332" s="164"/>
      <c r="U332" s="140"/>
      <c r="V332" s="140"/>
      <c r="W332" s="138"/>
      <c r="X332" s="140"/>
      <c r="Y332" s="140"/>
      <c r="Z332" s="139" t="s">
        <v>682</v>
      </c>
      <c r="AA332" s="164">
        <f>S320*(AA325+S350/1000)</f>
        <v>0</v>
      </c>
      <c r="AB332" s="164">
        <f>T320*(AB325+T350/1000)</f>
        <v>0</v>
      </c>
      <c r="AC332" s="164">
        <f>U320*(AC325+U350/1000)</f>
        <v>0</v>
      </c>
      <c r="AD332" s="164">
        <f>V320*(AD325+V350/1000)</f>
        <v>0</v>
      </c>
      <c r="AE332" s="164">
        <f>W320*((1+AF325)*(P323*P319/1000000+P326*P315)+AF324*(P322*P319/1000000+P325*P315))*1000-AF324*SUM(AA332:AD332)-AF325*SUM(AA333:AD333)</f>
        <v>0</v>
      </c>
      <c r="AF332" s="164"/>
      <c r="AG332" s="139" t="s">
        <v>1351</v>
      </c>
      <c r="AH332" s="147" t="e">
        <f>(AH328^2+1/AH326)^0.5-AH328</f>
        <v>#DIV/0!</v>
      </c>
      <c r="AI332" s="147" t="e">
        <f>(AI328^2+1/AI326)^0.5-AI328</f>
        <v>#DIV/0!</v>
      </c>
      <c r="AJ332" s="147" t="e">
        <f>(AJ328^2+1/AJ326)^0.5-AJ328</f>
        <v>#DIV/0!</v>
      </c>
      <c r="AK332" s="147" t="e">
        <f>(AK328^2+1/AK326)^0.5-AK328</f>
        <v>#DIV/0!</v>
      </c>
      <c r="AL332" s="147">
        <f>MIN(AH333:AK333)</f>
        <v>1000000000</v>
      </c>
    </row>
    <row r="333" spans="10:38">
      <c r="J333" s="138" t="s">
        <v>1507</v>
      </c>
      <c r="N333" s="139" t="s">
        <v>1543</v>
      </c>
      <c r="O333" s="165">
        <f>E148</f>
        <v>68</v>
      </c>
      <c r="P333" s="165">
        <f>O333*Q336</f>
        <v>68</v>
      </c>
      <c r="Q333" s="140">
        <f t="shared" si="73"/>
        <v>1</v>
      </c>
      <c r="R333" s="139"/>
      <c r="T333" s="164"/>
      <c r="U333" s="140"/>
      <c r="V333" s="140"/>
      <c r="W333" s="138"/>
      <c r="X333" s="138"/>
      <c r="Z333" s="139" t="s">
        <v>685</v>
      </c>
      <c r="AA333" s="164">
        <f>S320*(AA326+S351/1000)</f>
        <v>0</v>
      </c>
      <c r="AB333" s="164">
        <f>T320*(AB326+T351/1000)</f>
        <v>0</v>
      </c>
      <c r="AC333" s="164">
        <f>U320*(AC326+U351/1000)</f>
        <v>0</v>
      </c>
      <c r="AD333" s="164">
        <f>V320*(AD326+V351/1000)</f>
        <v>0</v>
      </c>
      <c r="AE333" s="164"/>
      <c r="AF333" s="164"/>
      <c r="AG333" s="139"/>
      <c r="AH333" s="147">
        <f>IF(AH315=0,1000000000,AH332)</f>
        <v>1000000000</v>
      </c>
      <c r="AI333" s="147">
        <f>IF(AI315=0,1000000000,AI332)</f>
        <v>1000000000</v>
      </c>
      <c r="AJ333" s="147">
        <f>IF(AJ315=0,1000000000,AJ332)</f>
        <v>1000000000</v>
      </c>
      <c r="AK333" s="147">
        <f>IF(AK315=0,1000000000,AK332)</f>
        <v>1000000000</v>
      </c>
    </row>
    <row r="334" spans="10:38">
      <c r="J334" s="139" t="s">
        <v>1354</v>
      </c>
      <c r="K334" s="140">
        <f>K317/(1-K319^2*K318/K317)</f>
        <v>181.81113884441791</v>
      </c>
      <c r="L334" s="140">
        <f>L317/(1-L319^2*L318/L317)</f>
        <v>181.81113884441794</v>
      </c>
      <c r="M334" s="145">
        <f>L334/K334</f>
        <v>1.0000000000000002</v>
      </c>
      <c r="N334" s="139" t="s">
        <v>1168</v>
      </c>
      <c r="O334" s="145">
        <f>A149</f>
        <v>-0.5</v>
      </c>
      <c r="P334" s="145">
        <f>O334*I72</f>
        <v>-0.5</v>
      </c>
      <c r="Q334" s="140">
        <f t="shared" si="73"/>
        <v>1</v>
      </c>
      <c r="R334" s="139"/>
      <c r="T334" s="164"/>
      <c r="U334" s="140"/>
      <c r="V334" s="140"/>
      <c r="W334" s="138"/>
      <c r="X334" s="138"/>
      <c r="Z334" s="138" t="s">
        <v>686</v>
      </c>
      <c r="AA334" s="140">
        <f>($AF324*COS(AA317)^2+$AF325*SIN(AA317)^2)*S320</f>
        <v>0</v>
      </c>
      <c r="AB334" s="140">
        <f>($AF324*COS(AB317)^2+$AF325*SIN(AB317)^2)*T320</f>
        <v>0</v>
      </c>
      <c r="AC334" s="140">
        <f>($AF324*COS(AC317)^2+$AF325*SIN(AC317)^2)*U320</f>
        <v>0</v>
      </c>
      <c r="AD334" s="140">
        <f>($AF324*COS(AD317)^2+$AF325*SIN(AD317)^2)*V320</f>
        <v>0</v>
      </c>
      <c r="AE334" s="163">
        <f>SUM(AA334:AD334)</f>
        <v>0</v>
      </c>
      <c r="AF334" s="163"/>
      <c r="AG334" s="138" t="s">
        <v>1360</v>
      </c>
      <c r="AH334" s="147">
        <f>IF(AH315=0,0,AH332)</f>
        <v>0</v>
      </c>
      <c r="AI334" s="147">
        <f>IF(AI315=0,0,AI332)</f>
        <v>0</v>
      </c>
      <c r="AJ334" s="147">
        <f>IF(AJ315=0,0,AJ332)</f>
        <v>0</v>
      </c>
      <c r="AK334" s="147">
        <f>IF(AK315=0,0,AK332)</f>
        <v>0</v>
      </c>
    </row>
    <row r="335" spans="10:38">
      <c r="J335" s="139" t="s">
        <v>1361</v>
      </c>
      <c r="K335" s="140">
        <f>K334*K318/K317</f>
        <v>10.346158729820468</v>
      </c>
      <c r="L335" s="140">
        <f>L334*L318/L317</f>
        <v>10.346158729820468</v>
      </c>
      <c r="M335" s="145">
        <f>L335/K335</f>
        <v>1</v>
      </c>
      <c r="N335" s="139" t="s">
        <v>1175</v>
      </c>
      <c r="O335" s="144">
        <f>O329/K323</f>
        <v>2142.8571428571431</v>
      </c>
      <c r="P335" s="144">
        <f>H72*P318^G150</f>
        <v>2142.8571428571431</v>
      </c>
      <c r="Q335" s="140">
        <f t="shared" si="73"/>
        <v>1</v>
      </c>
      <c r="T335" s="147"/>
      <c r="U335" s="141"/>
      <c r="V335" s="141"/>
      <c r="W335" s="138"/>
      <c r="X335" s="138"/>
      <c r="Z335" s="138" t="s">
        <v>689</v>
      </c>
      <c r="AA335" s="140">
        <f>($AF324*SIN(AA317)^2+$AF325*COS(AA317)^2)*S320</f>
        <v>0</v>
      </c>
      <c r="AB335" s="140">
        <f>($AF324*SIN(AB317)^2+$AF325*COS(AB317)^2)*T320</f>
        <v>0</v>
      </c>
      <c r="AC335" s="140">
        <f>($AF324*SIN(AC317)^2+$AF325*COS(AC317)^2)*U320</f>
        <v>0</v>
      </c>
      <c r="AD335" s="140">
        <f>($AF324*SIN(AD317)^2+$AF325*COS(AD317)^2)*V320</f>
        <v>0</v>
      </c>
      <c r="AE335" s="163">
        <f>SUM(AA335:AD335)</f>
        <v>0</v>
      </c>
      <c r="AF335" s="163"/>
      <c r="AG335" s="139" t="s">
        <v>1364</v>
      </c>
      <c r="AH335" s="138">
        <f>(S350-P322*P319)/1000000-P325*P315</f>
        <v>3.7599999999999944E-4</v>
      </c>
      <c r="AI335" s="138">
        <f>(T350-P322*P319)/1000000-P325*P315</f>
        <v>3.7599999999999965E-4</v>
      </c>
      <c r="AJ335" s="157">
        <f>(U350-P322*P319)/1000000-P325*P315</f>
        <v>3.7599999999999944E-4</v>
      </c>
      <c r="AK335" s="157">
        <f>(V350-P322*P319)/1000000-P325*P315</f>
        <v>3.7599999999999965E-4</v>
      </c>
      <c r="AL335" s="163"/>
    </row>
    <row r="336" spans="10:38">
      <c r="J336" s="139" t="s">
        <v>1365</v>
      </c>
      <c r="K336" s="140">
        <f>K335*K319</f>
        <v>2.8969244443497315</v>
      </c>
      <c r="L336" s="140">
        <f>L335*L319</f>
        <v>2.8969244443497315</v>
      </c>
      <c r="M336" s="145">
        <f>L336/K336</f>
        <v>1</v>
      </c>
      <c r="N336" s="139" t="s">
        <v>1176</v>
      </c>
      <c r="O336" s="144">
        <f>O331</f>
        <v>40</v>
      </c>
      <c r="P336" s="144">
        <f>G72*P318^H149</f>
        <v>40</v>
      </c>
      <c r="Q336" s="140">
        <f t="shared" si="73"/>
        <v>1</v>
      </c>
      <c r="R336" s="137" t="s">
        <v>1185</v>
      </c>
      <c r="U336" s="141"/>
      <c r="W336" s="138"/>
      <c r="X336" s="138"/>
      <c r="AA336" s="140"/>
      <c r="AE336" s="163"/>
      <c r="AF336" s="163"/>
      <c r="AG336" s="139" t="s">
        <v>1367</v>
      </c>
      <c r="AH336" s="138">
        <f>(S351-P323*P319)/1000000-P326*P315</f>
        <v>-3.7600000000000047E-4</v>
      </c>
      <c r="AI336" s="138">
        <f>(T351-P323*P319)/1000000-P326*P315</f>
        <v>-3.7600000000000047E-4</v>
      </c>
      <c r="AJ336" s="157">
        <f>(U351-P323*P319)/1000000-P326*P315</f>
        <v>-3.7600000000000047E-4</v>
      </c>
      <c r="AK336" s="157">
        <f>(V351-P323*P319)/1000000-P326*P315</f>
        <v>-3.7600000000000047E-4</v>
      </c>
      <c r="AL336" s="163"/>
    </row>
    <row r="337" spans="10:38">
      <c r="J337" s="139" t="s">
        <v>1370</v>
      </c>
      <c r="K337" s="140">
        <f>K320</f>
        <v>7.17</v>
      </c>
      <c r="L337" s="140">
        <f>L320</f>
        <v>7.17</v>
      </c>
      <c r="M337" s="145">
        <f>L337/K337</f>
        <v>1</v>
      </c>
      <c r="R337" s="143" t="s">
        <v>695</v>
      </c>
      <c r="S337" s="147">
        <f>S320*COS(S318)</f>
        <v>0</v>
      </c>
      <c r="T337" s="147">
        <f>T320*COS(T318)</f>
        <v>0</v>
      </c>
      <c r="U337" s="147">
        <f>U320*COS(U318)</f>
        <v>0</v>
      </c>
      <c r="V337" s="147">
        <f>V320*COS(V318)</f>
        <v>0</v>
      </c>
      <c r="W337" s="147">
        <f>SUM(S337:V337)</f>
        <v>0</v>
      </c>
      <c r="X337" s="138"/>
      <c r="AF337" s="163"/>
      <c r="AG337" s="139" t="s">
        <v>1372</v>
      </c>
      <c r="AH337" s="138">
        <f>S365/1000000</f>
        <v>0</v>
      </c>
      <c r="AI337" s="138">
        <f>T365/1000000</f>
        <v>0</v>
      </c>
      <c r="AJ337" s="157">
        <f>U365/1000000</f>
        <v>0</v>
      </c>
      <c r="AK337" s="157">
        <f>V365/1000000</f>
        <v>0</v>
      </c>
      <c r="AL337" s="163"/>
    </row>
    <row r="338" spans="10:38">
      <c r="J338" s="138" t="s">
        <v>1510</v>
      </c>
      <c r="K338" s="140"/>
      <c r="L338" s="140"/>
      <c r="N338" s="138" t="s">
        <v>1375</v>
      </c>
      <c r="R338" s="139" t="s">
        <v>696</v>
      </c>
      <c r="S338" s="147">
        <f>S320*SIN(S318)</f>
        <v>0</v>
      </c>
      <c r="T338" s="147">
        <f>T320*SIN(T318)</f>
        <v>0</v>
      </c>
      <c r="U338" s="147">
        <f>U320*SIN(U318)</f>
        <v>0</v>
      </c>
      <c r="V338" s="147">
        <f>V320*SIN(V318)</f>
        <v>0</v>
      </c>
      <c r="W338" s="147">
        <f>SUM(S338:V338)</f>
        <v>0</v>
      </c>
      <c r="X338" s="138"/>
      <c r="AF338" s="163"/>
      <c r="AG338" s="163"/>
      <c r="AH338" s="163"/>
      <c r="AI338" s="163"/>
      <c r="AJ338" s="163"/>
      <c r="AK338" s="163"/>
      <c r="AL338" s="163"/>
    </row>
    <row r="339" spans="10:38">
      <c r="J339" s="139" t="s">
        <v>1380</v>
      </c>
      <c r="K339" s="140">
        <f>(3*K334+3*K335+2*K336+4*K337)/8</f>
        <v>76.368217701426829</v>
      </c>
      <c r="L339" s="140">
        <f>(3*L334+3*L335+2*L336+4*L337)/8</f>
        <v>76.368217701426843</v>
      </c>
      <c r="M339" s="145">
        <f>L339/K339</f>
        <v>1.0000000000000002</v>
      </c>
      <c r="N339" s="139" t="s">
        <v>1381</v>
      </c>
      <c r="O339" s="140">
        <f>1/O329/O330*1000000</f>
        <v>0.44444444444444442</v>
      </c>
      <c r="P339" s="140">
        <f>1/P329/P330*1000000</f>
        <v>0.44444444444444442</v>
      </c>
      <c r="Q339" s="140">
        <f>P339/O339</f>
        <v>1</v>
      </c>
      <c r="R339" s="139"/>
      <c r="S339" s="138" t="s">
        <v>698</v>
      </c>
      <c r="T339" s="137"/>
      <c r="U339" s="143" t="s">
        <v>700</v>
      </c>
      <c r="V339" s="137"/>
      <c r="W339" s="137" t="s">
        <v>702</v>
      </c>
      <c r="X339" s="138"/>
      <c r="Y339" s="137" t="s">
        <v>704</v>
      </c>
      <c r="Z339" s="137" t="s">
        <v>705</v>
      </c>
      <c r="AA339" s="138" t="s">
        <v>706</v>
      </c>
      <c r="AB339" s="139"/>
      <c r="AC339" s="139"/>
      <c r="AF339" s="138"/>
      <c r="AG339" s="159" t="s">
        <v>1383</v>
      </c>
      <c r="AH339" s="166">
        <f>P345*AH335^2+2*P347*AH335*AH336+P346*AH336^2+P348*AH337^2</f>
        <v>4.0749146542514705E-3</v>
      </c>
      <c r="AI339" s="163">
        <f>P345*AI335^2+2*P347*AI335*AI336+P346*AI336^2+P348*AI337^2</f>
        <v>4.0749146542514731E-3</v>
      </c>
      <c r="AJ339" s="163">
        <f>P345*AJ335^2+2*P347*AJ335*AJ336+P346*AJ336^2+P348*AJ337^2</f>
        <v>4.0749146542514705E-3</v>
      </c>
      <c r="AK339" s="163">
        <f>P345*AK335^2+2*P347*AK335*AK336+P346*AK336^2+P348*AK337^2</f>
        <v>4.0749146542514731E-3</v>
      </c>
      <c r="AL339" s="163"/>
    </row>
    <row r="340" spans="10:38">
      <c r="J340" s="139" t="s">
        <v>1384</v>
      </c>
      <c r="K340" s="140">
        <f>(K334-K335)/2</f>
        <v>85.732490057298719</v>
      </c>
      <c r="L340" s="140">
        <f>(L334-L335)/2</f>
        <v>85.732490057298733</v>
      </c>
      <c r="M340" s="145">
        <f>L340/K340</f>
        <v>1.0000000000000002</v>
      </c>
      <c r="N340" s="139" t="s">
        <v>1385</v>
      </c>
      <c r="O340" s="140">
        <f>1/O331/O332*1000000</f>
        <v>101.6260162601626</v>
      </c>
      <c r="P340" s="140">
        <f>1/P331/P332*1000000</f>
        <v>101.6260162601626</v>
      </c>
      <c r="Q340" s="140">
        <f>P340/O340</f>
        <v>1</v>
      </c>
      <c r="R340" s="139">
        <v>1</v>
      </c>
      <c r="S340" s="138">
        <f>(S344*W320+S345*W337)</f>
        <v>0</v>
      </c>
      <c r="T340" s="138"/>
      <c r="U340" s="138">
        <f>(T344*W320+T345*W337)</f>
        <v>0</v>
      </c>
      <c r="V340" s="147"/>
      <c r="W340" s="138">
        <f>S340*P319+U340*P315</f>
        <v>0</v>
      </c>
      <c r="X340" s="147"/>
      <c r="Y340" s="138">
        <f t="shared" ref="Y340:AA342" si="74">Y288</f>
        <v>11.259999999999984</v>
      </c>
      <c r="Z340" s="138">
        <f t="shared" si="74"/>
        <v>0.29999999999999954</v>
      </c>
      <c r="AA340" s="138">
        <f t="shared" si="74"/>
        <v>373.99999999999937</v>
      </c>
      <c r="AB340" s="147"/>
      <c r="AC340" s="147"/>
      <c r="AF340" s="138"/>
      <c r="AG340" s="159" t="s">
        <v>1387</v>
      </c>
      <c r="AH340" s="166">
        <f>P349*AH335+P350*AH336</f>
        <v>-5.8636980773925068E-2</v>
      </c>
      <c r="AI340" s="163">
        <f>P349*AI335+P350*AI336</f>
        <v>-5.8636980773925054E-2</v>
      </c>
      <c r="AJ340" s="163">
        <f>P349*AJ335+P350*AJ336</f>
        <v>-5.8636980773925068E-2</v>
      </c>
      <c r="AK340" s="163">
        <f>P349*AK335+P350*AK336</f>
        <v>-5.8636980773925054E-2</v>
      </c>
      <c r="AL340" s="163"/>
    </row>
    <row r="341" spans="10:38">
      <c r="J341" s="139" t="s">
        <v>1388</v>
      </c>
      <c r="K341" s="140">
        <f>(K334+K335-2*K336-4*K337)/8</f>
        <v>19.710431085692363</v>
      </c>
      <c r="L341" s="140">
        <f>(L334+L335-2*L336-4*L337)/8</f>
        <v>19.710431085692367</v>
      </c>
      <c r="M341" s="145">
        <f>L341/K341</f>
        <v>1.0000000000000002</v>
      </c>
      <c r="N341" s="139" t="s">
        <v>1389</v>
      </c>
      <c r="O341" s="140">
        <f>O334*(O339*O340)^0.5</f>
        <v>-3.3603243272729659</v>
      </c>
      <c r="P341" s="140">
        <f>P334*(P339*P340)^0.5</f>
        <v>-3.3603243272729659</v>
      </c>
      <c r="Q341" s="140">
        <f>P341/O341</f>
        <v>1</v>
      </c>
      <c r="R341" s="139">
        <v>2</v>
      </c>
      <c r="S341" s="138">
        <f>(S344*W320-S345*W337)</f>
        <v>0</v>
      </c>
      <c r="T341" s="138"/>
      <c r="U341" s="138">
        <f>(T344*W320-T345*W337)</f>
        <v>0</v>
      </c>
      <c r="V341" s="147"/>
      <c r="W341" s="138">
        <f>S341*P319+U341*P315</f>
        <v>0</v>
      </c>
      <c r="X341" s="147"/>
      <c r="Y341" s="138">
        <f t="shared" si="74"/>
        <v>11.259999999999993</v>
      </c>
      <c r="Z341" s="138">
        <f t="shared" si="74"/>
        <v>0.29999999999999977</v>
      </c>
      <c r="AA341" s="138">
        <f t="shared" si="74"/>
        <v>373.99999999999966</v>
      </c>
      <c r="AB341" s="147"/>
      <c r="AC341" s="147"/>
      <c r="AF341" s="138"/>
      <c r="AG341" s="159" t="s">
        <v>1390</v>
      </c>
      <c r="AH341" s="166">
        <f>AH339+AH340</f>
        <v>-5.4562066119673597E-2</v>
      </c>
      <c r="AI341" s="163">
        <f>AI339+AI340</f>
        <v>-5.4562066119673583E-2</v>
      </c>
      <c r="AJ341" s="163">
        <f>AJ339+AJ340</f>
        <v>-5.4562066119673597E-2</v>
      </c>
      <c r="AK341" s="163">
        <f>AK339+AK340</f>
        <v>-5.4562066119673583E-2</v>
      </c>
      <c r="AL341" s="163"/>
    </row>
    <row r="342" spans="10:38">
      <c r="J342" s="139" t="s">
        <v>1391</v>
      </c>
      <c r="K342" s="140">
        <f>(K334+K335+6*K336-4*K337)/8</f>
        <v>22.607355530042096</v>
      </c>
      <c r="L342" s="140">
        <f>(L334+L335+6*L336-4*L337)/8</f>
        <v>22.607355530042099</v>
      </c>
      <c r="M342" s="145">
        <f>L342/K342</f>
        <v>1.0000000000000002</v>
      </c>
      <c r="N342" s="139" t="s">
        <v>1392</v>
      </c>
      <c r="O342" s="140">
        <f>1/O333^2*1000000</f>
        <v>216.26297577854672</v>
      </c>
      <c r="P342" s="140">
        <f>1/P333^2*1000000</f>
        <v>216.26297577854672</v>
      </c>
      <c r="Q342" s="140">
        <f>P342/O342</f>
        <v>1</v>
      </c>
      <c r="R342" s="139">
        <v>6</v>
      </c>
      <c r="S342" s="139">
        <f>S345*W338</f>
        <v>0</v>
      </c>
      <c r="T342" s="138"/>
      <c r="U342" s="139">
        <f>T345*W338</f>
        <v>0</v>
      </c>
      <c r="V342" s="147"/>
      <c r="W342" s="138">
        <f>S342*P319+U342*P315</f>
        <v>0</v>
      </c>
      <c r="X342" s="147"/>
      <c r="Y342" s="138">
        <f t="shared" si="74"/>
        <v>-22.479999999999976</v>
      </c>
      <c r="Z342" s="138">
        <f t="shared" si="74"/>
        <v>-0.5999999999999992</v>
      </c>
      <c r="AA342" s="138">
        <f t="shared" si="74"/>
        <v>-397.02012514617672</v>
      </c>
      <c r="AB342" s="147"/>
      <c r="AC342" s="147"/>
      <c r="AF342" s="138"/>
      <c r="AG342" s="159" t="s">
        <v>1395</v>
      </c>
      <c r="AH342" s="166">
        <f>-1+AH341</f>
        <v>-1.0545620661196735</v>
      </c>
      <c r="AI342" s="163">
        <f>-1+AI341</f>
        <v>-1.0545620661196735</v>
      </c>
      <c r="AJ342" s="163">
        <f>-1+AJ341</f>
        <v>-1.0545620661196735</v>
      </c>
      <c r="AK342" s="163">
        <f>-1+AK341</f>
        <v>-1.0545620661196735</v>
      </c>
      <c r="AL342" s="163"/>
    </row>
    <row r="343" spans="10:38">
      <c r="J343" s="139" t="s">
        <v>1396</v>
      </c>
      <c r="K343" s="140">
        <f>(K339-K342)/2</f>
        <v>26.880431085692365</v>
      </c>
      <c r="L343" s="140">
        <f>(L339-L342)/2</f>
        <v>26.880431085692372</v>
      </c>
      <c r="M343" s="145">
        <f>L343/K343</f>
        <v>1.0000000000000002</v>
      </c>
      <c r="N343" s="139" t="s">
        <v>1397</v>
      </c>
      <c r="O343" s="140">
        <f>(1/O329-1/O330)*1000</f>
        <v>0</v>
      </c>
      <c r="P343" s="140">
        <f>(1/P329-1/P330)*1000</f>
        <v>0</v>
      </c>
      <c r="Q343" s="140">
        <f>IF(O343=0,1,P343/O343)</f>
        <v>1</v>
      </c>
      <c r="R343" s="143"/>
      <c r="S343" s="143" t="s">
        <v>709</v>
      </c>
      <c r="T343" s="143" t="s">
        <v>710</v>
      </c>
      <c r="U343" s="143"/>
      <c r="V343" s="141"/>
      <c r="W343" s="138"/>
      <c r="X343" s="139" t="s">
        <v>711</v>
      </c>
      <c r="Y343" s="138">
        <f>(Y340+Y341)/2</f>
        <v>11.259999999999987</v>
      </c>
      <c r="Z343" s="138">
        <f>(Z340+Z341)/2</f>
        <v>0.29999999999999966</v>
      </c>
      <c r="AA343" s="138">
        <f>(AA340+AA341)/2</f>
        <v>373.99999999999955</v>
      </c>
      <c r="AF343" s="138"/>
      <c r="AG343" s="159" t="s">
        <v>1399</v>
      </c>
      <c r="AH343" s="166">
        <f>2*(P345*AH319*AH335+P346*AH320*AH336+P347*(AH319*AH336+AH335*AH320)+P348*AH321*AH337)</f>
        <v>0</v>
      </c>
      <c r="AI343" s="163">
        <f>2*(P345*AI319*AI335+P346*AI320*AI336+P347*(AI319*AI336+AI335*AI320)+P348*AI321*AI337)</f>
        <v>0</v>
      </c>
      <c r="AJ343" s="163">
        <f>2*(P345*AJ319*AJ335+P346*AJ320*AJ336+P347*(AJ319*AJ336+AJ335*AJ320)+P348*AJ321*AJ337)</f>
        <v>0</v>
      </c>
      <c r="AK343" s="163">
        <f>2*(P345*AK319*AK335+P346*AK320*AK336+P347*(AK319*AK336+AK335*AK320)+P348*AK321*AK337)</f>
        <v>0</v>
      </c>
      <c r="AL343" s="163"/>
    </row>
    <row r="344" spans="10:38">
      <c r="J344" s="138" t="s">
        <v>1400</v>
      </c>
      <c r="N344" s="139" t="s">
        <v>1401</v>
      </c>
      <c r="O344" s="140">
        <f>(1/O331-1/O332)*1000</f>
        <v>20.934959349593495</v>
      </c>
      <c r="P344" s="140">
        <f>(1/P331-1/P332)*1000</f>
        <v>20.934959349593495</v>
      </c>
      <c r="Q344" s="140">
        <f t="shared" ref="Q344:Q350" si="75">P344/O344</f>
        <v>1</v>
      </c>
      <c r="R344" s="167" t="s">
        <v>711</v>
      </c>
      <c r="S344" s="138">
        <f>((K334+K336)*P322+(L336+L335)*P323)/2/1000000</f>
        <v>1.5083176634230242E-4</v>
      </c>
      <c r="T344" s="138">
        <f>((L334+L336)*P325+(L336+L335)*P326)/2</f>
        <v>3.9729249522510592</v>
      </c>
      <c r="U344" s="143"/>
      <c r="V344" s="141"/>
      <c r="W344" s="138"/>
      <c r="X344" s="143" t="s">
        <v>712</v>
      </c>
      <c r="Y344" s="164">
        <f>(Y340-Y341)/2</f>
        <v>-4.4408920985006262E-15</v>
      </c>
      <c r="Z344" s="164">
        <f>(Z340-Z341)/2</f>
        <v>-1.1102230246251565E-16</v>
      </c>
      <c r="AA344" s="164">
        <f>(AA340-AA341)/2</f>
        <v>-1.4210854715202004E-13</v>
      </c>
      <c r="AF344" s="138"/>
      <c r="AG344" s="159" t="s">
        <v>1403</v>
      </c>
      <c r="AH344" s="166">
        <f>AH343+AH327</f>
        <v>0</v>
      </c>
      <c r="AI344" s="163">
        <f>AI343+AI327</f>
        <v>0</v>
      </c>
      <c r="AJ344" s="163">
        <f>AJ343+AJ327</f>
        <v>0</v>
      </c>
      <c r="AK344" s="163">
        <f>AK343+AK327</f>
        <v>0</v>
      </c>
      <c r="AL344" s="163"/>
    </row>
    <row r="345" spans="10:38">
      <c r="J345" s="139" t="s">
        <v>1404</v>
      </c>
      <c r="K345" s="140">
        <f>(1-(K342/K339)^2)*K339</f>
        <v>69.675740916648124</v>
      </c>
      <c r="L345" s="140">
        <f>(1-(L342/L339)^2)*L339</f>
        <v>69.675740916648138</v>
      </c>
      <c r="M345" s="140">
        <f>L345/K345</f>
        <v>1.0000000000000002</v>
      </c>
      <c r="N345" s="139" t="s">
        <v>1405</v>
      </c>
      <c r="O345" s="144">
        <f>(O339*K334^2+2*O341*K334*K336+O340*K336^2)</f>
        <v>12004.38353147296</v>
      </c>
      <c r="P345" s="144">
        <f>(P339*L334^2+2*P341*L334*L336+P340*L336^2)</f>
        <v>12004.38353147296</v>
      </c>
      <c r="Q345" s="140">
        <f t="shared" si="75"/>
        <v>1</v>
      </c>
      <c r="R345" s="167" t="s">
        <v>712</v>
      </c>
      <c r="S345" s="138">
        <f>((L334-L336)*P322+(L336-L335)*P323)/2/1000000</f>
        <v>-8.2014743567545106E-5</v>
      </c>
      <c r="T345" s="138">
        <f>((L334-L336)*P325+(L336-L335)*P326)/2</f>
        <v>-2.234770285641221</v>
      </c>
      <c r="U345" s="143"/>
      <c r="V345" s="141"/>
      <c r="W345" s="138"/>
      <c r="X345" s="143" t="s">
        <v>714</v>
      </c>
      <c r="Y345" s="164">
        <f>Y342/2</f>
        <v>-11.239999999999988</v>
      </c>
      <c r="Z345" s="164">
        <f>Z342/2</f>
        <v>-0.2999999999999996</v>
      </c>
      <c r="AA345" s="164">
        <f>AA342/2</f>
        <v>-198.51006257308836</v>
      </c>
      <c r="AG345" s="159" t="s">
        <v>1412</v>
      </c>
      <c r="AH345" s="166" t="e">
        <f>AH344/2/AH326</f>
        <v>#DIV/0!</v>
      </c>
      <c r="AI345" s="163" t="e">
        <f>AI344/2/AI326</f>
        <v>#DIV/0!</v>
      </c>
      <c r="AJ345" s="163" t="e">
        <f>AJ344/2/AJ326</f>
        <v>#DIV/0!</v>
      </c>
      <c r="AK345" s="163" t="e">
        <f>AK344/2/AK326</f>
        <v>#DIV/0!</v>
      </c>
      <c r="AL345" s="163"/>
    </row>
    <row r="346" spans="10:38">
      <c r="J346" s="139" t="s">
        <v>1414</v>
      </c>
      <c r="K346" s="140">
        <f>K342/K339</f>
        <v>0.29603094337527941</v>
      </c>
      <c r="L346" s="140">
        <f>L342/L339</f>
        <v>0.29603094337527941</v>
      </c>
      <c r="M346" s="140">
        <f>L346/K346</f>
        <v>1</v>
      </c>
      <c r="N346" s="139" t="s">
        <v>1415</v>
      </c>
      <c r="O346" s="144">
        <f>(O339*K336^2+2*O341*K336*K335+O340*K335^2)</f>
        <v>10680.652008265077</v>
      </c>
      <c r="P346" s="144">
        <f>(P339*L336^2+2*P341*L336*L335+P340*L335^2)</f>
        <v>10680.652008265077</v>
      </c>
      <c r="Q346" s="140">
        <f t="shared" si="75"/>
        <v>1</v>
      </c>
      <c r="R346" s="139" t="s">
        <v>715</v>
      </c>
      <c r="S346" s="138">
        <f>Y343+Y344*COS(S318)+Y345*SIN(S318)</f>
        <v>11.259999999999984</v>
      </c>
      <c r="T346" s="138">
        <f>Y343+Y344*COS(T318)+Y345*SIN(T318)</f>
        <v>11.259999999999989</v>
      </c>
      <c r="U346" s="138">
        <f>Y343+Y344*COS(U318)+Y345*SIN(U318)</f>
        <v>11.259999999999984</v>
      </c>
      <c r="V346" s="138">
        <f>Y343+Y344*COS(V318)+Y345*SIN(V318)</f>
        <v>11.259999999999989</v>
      </c>
      <c r="W346" s="138"/>
      <c r="Y346" s="164"/>
      <c r="AC346" s="140"/>
      <c r="AG346" s="159"/>
      <c r="AH346" s="147"/>
      <c r="AI346" s="163"/>
      <c r="AJ346" s="163"/>
      <c r="AK346" s="163"/>
      <c r="AL346" s="163"/>
    </row>
    <row r="347" spans="10:38">
      <c r="J347" s="139" t="s">
        <v>716</v>
      </c>
      <c r="K347" s="138">
        <f>(1-L319^2*L318/L317)*L318/(1-L319^2*L318/L317-L332^2-L319^2*L318/L317-2*L319^2*L318/L317*L332)</f>
        <v>13.920484365408951</v>
      </c>
      <c r="N347" s="139" t="s">
        <v>1416</v>
      </c>
      <c r="O347" s="144">
        <f>(O339*K334*K336+O341*(K334*K335+K336^2)+O340*K336*K335)</f>
        <v>-3069.103206291968</v>
      </c>
      <c r="P347" s="144">
        <f>(P339*L334*L336+P341*(L334*L335+L336^2)+P340*L336*L335)</f>
        <v>-3069.1032062919689</v>
      </c>
      <c r="Q347" s="140">
        <f t="shared" si="75"/>
        <v>1.0000000000000002</v>
      </c>
      <c r="R347" s="139" t="s">
        <v>717</v>
      </c>
      <c r="S347" s="138">
        <f>2*Y343-S346</f>
        <v>11.259999999999991</v>
      </c>
      <c r="T347" s="138">
        <f>2*Y343-T346</f>
        <v>11.259999999999986</v>
      </c>
      <c r="U347" s="138">
        <f>2*Y343-U346</f>
        <v>11.259999999999991</v>
      </c>
      <c r="V347" s="138">
        <f>2*Y343-V346</f>
        <v>11.259999999999986</v>
      </c>
      <c r="W347" s="138"/>
      <c r="Y347" s="164"/>
      <c r="AC347" s="140"/>
      <c r="AG347" s="159"/>
      <c r="AH347" s="147"/>
      <c r="AI347" s="163"/>
      <c r="AJ347" s="163"/>
      <c r="AK347" s="163"/>
      <c r="AL347" s="163"/>
    </row>
    <row r="348" spans="10:38">
      <c r="J348" s="139" t="s">
        <v>1193</v>
      </c>
      <c r="K348" s="140">
        <f>D149</f>
        <v>1.6</v>
      </c>
      <c r="L348" s="140">
        <f>L349*(1-L323)+L350*L323</f>
        <v>1.6</v>
      </c>
      <c r="M348" s="140">
        <f>L348/K348</f>
        <v>1</v>
      </c>
      <c r="N348" s="139" t="s">
        <v>1418</v>
      </c>
      <c r="O348" s="144">
        <f>O342*K337^2</f>
        <v>11117.841695501729</v>
      </c>
      <c r="P348" s="144">
        <f>P342*L337^2</f>
        <v>11117.841695501729</v>
      </c>
      <c r="Q348" s="140">
        <f t="shared" si="75"/>
        <v>1</v>
      </c>
      <c r="R348" s="139" t="s">
        <v>124</v>
      </c>
      <c r="S348" s="138">
        <f>Z343+Z344*COS(S318)+Z345*SIN(S318)</f>
        <v>0.29999999999999954</v>
      </c>
      <c r="T348" s="138">
        <f>Z343+Z344*COS(T318)+Z345*SIN(T318)</f>
        <v>0.29999999999999971</v>
      </c>
      <c r="U348" s="138">
        <f>Z343+Z344*COS(U318)+Z345*SIN(U318)</f>
        <v>0.29999999999999954</v>
      </c>
      <c r="V348" s="138">
        <f>Z343+Z344*COS(V318)+Z345*SIN(V318)</f>
        <v>0.29999999999999971</v>
      </c>
      <c r="W348" s="138"/>
      <c r="Y348" s="164"/>
      <c r="AC348" s="140"/>
      <c r="AG348" s="159"/>
      <c r="AH348" s="147"/>
      <c r="AI348" s="163"/>
      <c r="AJ348" s="163"/>
      <c r="AK348" s="163"/>
      <c r="AL348" s="159" t="s">
        <v>1421</v>
      </c>
    </row>
    <row r="349" spans="10:38">
      <c r="J349" s="139" t="s">
        <v>274</v>
      </c>
      <c r="K349" s="140">
        <f>F148</f>
        <v>1.2</v>
      </c>
      <c r="L349" s="140">
        <f>K349</f>
        <v>1.2</v>
      </c>
      <c r="M349" s="140">
        <f>L349/K349</f>
        <v>1</v>
      </c>
      <c r="N349" s="139" t="s">
        <v>1422</v>
      </c>
      <c r="O349" s="144">
        <f>(O343*K334+O344*K336)</f>
        <v>60.646995481305353</v>
      </c>
      <c r="P349" s="144">
        <f>(P343*L334+P344*L336)</f>
        <v>60.646995481305353</v>
      </c>
      <c r="Q349" s="140">
        <f t="shared" si="75"/>
        <v>1</v>
      </c>
      <c r="R349" s="167" t="s">
        <v>125</v>
      </c>
      <c r="S349" s="138">
        <f>2*Z343-S348</f>
        <v>0.29999999999999977</v>
      </c>
      <c r="T349" s="138">
        <f>2*Z343-T348</f>
        <v>0.2999999999999996</v>
      </c>
      <c r="U349" s="138">
        <f>2*Z343-U348</f>
        <v>0.29999999999999977</v>
      </c>
      <c r="V349" s="138">
        <f>2*Z343-V348</f>
        <v>0.2999999999999996</v>
      </c>
      <c r="W349" s="138"/>
      <c r="Y349" s="164"/>
      <c r="Z349" s="164"/>
      <c r="AA349" s="147"/>
      <c r="AB349" s="147"/>
      <c r="AC349" s="147"/>
      <c r="AD349" s="147"/>
      <c r="AG349" s="139" t="s">
        <v>1424</v>
      </c>
      <c r="AH349" s="147" t="e">
        <f>(AH345^2-AH342/AH326)^0.5-AH345</f>
        <v>#DIV/0!</v>
      </c>
      <c r="AI349" s="147" t="e">
        <f>(AI345^2-AI342/AI326)^0.5-AI345</f>
        <v>#DIV/0!</v>
      </c>
      <c r="AJ349" s="147" t="e">
        <f>(AJ345^2-AJ342/AJ326)^0.5-AJ345</f>
        <v>#DIV/0!</v>
      </c>
      <c r="AK349" s="147" t="e">
        <f>(AK345^2-AK342/AK326)^0.5-AK345</f>
        <v>#DIV/0!</v>
      </c>
      <c r="AL349" s="147">
        <f>MIN(AH350:AK350)</f>
        <v>1000000000</v>
      </c>
    </row>
    <row r="350" spans="10:38">
      <c r="J350" s="139" t="s">
        <v>1195</v>
      </c>
      <c r="K350" s="140">
        <f>(K348-K349*(1-K323))/K323</f>
        <v>1.7714285714285716</v>
      </c>
      <c r="L350" s="140">
        <f>K350</f>
        <v>1.7714285714285716</v>
      </c>
      <c r="M350" s="140">
        <f>L350/K350</f>
        <v>1</v>
      </c>
      <c r="N350" s="139" t="s">
        <v>1426</v>
      </c>
      <c r="O350" s="144">
        <f>(O343*K336+O344*K335)</f>
        <v>216.59641243323335</v>
      </c>
      <c r="P350" s="144">
        <f>(P343*L336+P344*L335)</f>
        <v>216.59641243323335</v>
      </c>
      <c r="Q350" s="140">
        <f t="shared" si="75"/>
        <v>1</v>
      </c>
      <c r="R350" s="139" t="s">
        <v>126</v>
      </c>
      <c r="S350" s="138">
        <f>AA343+AA344*COS(S318)+AA345*SIN(S318)</f>
        <v>373.99999999999943</v>
      </c>
      <c r="T350" s="138">
        <f>AA343+AA344*COS(T318)+AA345*SIN(T318)</f>
        <v>373.99999999999966</v>
      </c>
      <c r="U350" s="138">
        <f>AA343+AA344*COS(U318)+AA345*SIN(U318)</f>
        <v>373.99999999999943</v>
      </c>
      <c r="V350" s="138">
        <f>AA343+AA344*COS(V318)+AA345*SIN(V318)</f>
        <v>373.99999999999966</v>
      </c>
      <c r="W350" s="138"/>
      <c r="Y350" s="164"/>
      <c r="Z350" s="164"/>
      <c r="AA350" s="147"/>
      <c r="AB350" s="147"/>
      <c r="AC350" s="147"/>
      <c r="AD350" s="147"/>
      <c r="AG350" s="139" t="s">
        <v>194</v>
      </c>
      <c r="AH350" s="147">
        <f>IF(AH315=0,1000000000,AH349)</f>
        <v>1000000000</v>
      </c>
      <c r="AI350" s="147">
        <f>IF(AI315=0,1000000000,AI349)</f>
        <v>1000000000</v>
      </c>
      <c r="AJ350" s="147">
        <f>IF(AJ315=0,1000000000,AJ349)</f>
        <v>1000000000</v>
      </c>
      <c r="AK350" s="147">
        <f>IF(AK315=0,1000000000,AK349)</f>
        <v>1000000000</v>
      </c>
    </row>
    <row r="351" spans="10:38">
      <c r="L351" s="138" t="s">
        <v>234</v>
      </c>
      <c r="R351" s="139" t="s">
        <v>127</v>
      </c>
      <c r="S351" s="138">
        <f>2*AA343-S350</f>
        <v>373.99999999999966</v>
      </c>
      <c r="T351" s="138">
        <f>2*AA343-T350</f>
        <v>373.99999999999943</v>
      </c>
      <c r="U351" s="138">
        <f>2*AA343-U350</f>
        <v>373.99999999999966</v>
      </c>
      <c r="V351" s="138">
        <f>2*AA343-V350</f>
        <v>373.99999999999943</v>
      </c>
      <c r="W351" s="138"/>
      <c r="Y351" s="164"/>
      <c r="Z351" s="164" t="s">
        <v>129</v>
      </c>
      <c r="AA351" s="147"/>
      <c r="AB351" s="147"/>
      <c r="AC351" s="147"/>
      <c r="AD351" s="147"/>
      <c r="AG351" s="139" t="s">
        <v>194</v>
      </c>
      <c r="AH351" s="147">
        <f>IF(AH315=0,0,AH349)</f>
        <v>0</v>
      </c>
      <c r="AI351" s="147">
        <f>IF(AI315=0,0,AI349)</f>
        <v>0</v>
      </c>
      <c r="AJ351" s="147">
        <f>IF(AJ315=0,0,AJ349)</f>
        <v>0</v>
      </c>
      <c r="AK351" s="147">
        <f>IF(AK315=0,0,AK349)</f>
        <v>0</v>
      </c>
    </row>
    <row r="352" spans="10:38">
      <c r="J352" s="139" t="s">
        <v>134</v>
      </c>
      <c r="K352" s="138">
        <f>(1-L332^2)*O353*L317</f>
        <v>184.28877056365894</v>
      </c>
      <c r="L352" s="139" t="s">
        <v>135</v>
      </c>
      <c r="M352" s="138">
        <f>L319*(1+L332)*O353*L318</f>
        <v>5.8728045779623468</v>
      </c>
      <c r="R352" s="139" t="s">
        <v>136</v>
      </c>
      <c r="S352" s="138">
        <f>4*COS(S318/2)^2*SIN(S318/2)^2*$K357+COS(S318/2)^4*$K352+SIN(S318/2)^4*$K353+2*COS(S318/2)^2*SIN(S318/2)^2*$M352</f>
        <v>184.28877056365894</v>
      </c>
      <c r="T352" s="138">
        <f>4*COS(T318/2)^2*SIN(T318/2)^2*$K357+COS(T318/2)^4*$K352+SIN(T318/2)^4*$K353+2*COS(T318/2)^2*SIN(T318/2)^2*$M352</f>
        <v>13.920484365408953</v>
      </c>
      <c r="U352" s="138">
        <f>4*COS(U318/2)^2*SIN(U318/2)^2*$K357+COS(U318/2)^4*$K352+SIN(U318/2)^4*$K353+2*COS(U318/2)^2*SIN(U318/2)^2*$M352</f>
        <v>184.28877056365894</v>
      </c>
      <c r="V352" s="138">
        <f>4*COS(V318/2)^2*SIN(V318/2)^2*$K357+COS(V318/2)^4*$K352+SIN(V318/2)^4*$K353+2*COS(V318/2)^2*SIN(V318/2)^2*$M352</f>
        <v>13.920484365408953</v>
      </c>
      <c r="W352" s="138" t="s">
        <v>137</v>
      </c>
      <c r="X352" s="147">
        <f>S320/S354+T320/T354+U320/U354+V320/V354</f>
        <v>0</v>
      </c>
      <c r="Y352" s="147">
        <f>S320*S352+T320*T352+U320*U352+V320*V352</f>
        <v>0</v>
      </c>
      <c r="Z352" s="164"/>
      <c r="AA352" s="147"/>
      <c r="AB352" s="147"/>
      <c r="AC352" s="147"/>
      <c r="AD352" s="147"/>
      <c r="AG352" s="139"/>
      <c r="AH352" s="147"/>
      <c r="AI352" s="147"/>
      <c r="AJ352" s="147"/>
      <c r="AK352" s="147"/>
    </row>
    <row r="353" spans="10:38">
      <c r="J353" s="139" t="s">
        <v>138</v>
      </c>
      <c r="K353" s="138">
        <f>(1-L319^2*L318/L317)*O353*L318</f>
        <v>13.920484365408953</v>
      </c>
      <c r="L353" s="139" t="s">
        <v>139</v>
      </c>
      <c r="M353" s="138">
        <f>M352</f>
        <v>5.8728045779623468</v>
      </c>
      <c r="N353" s="139" t="s">
        <v>140</v>
      </c>
      <c r="O353" s="138">
        <f>1/((1+L332)*(1-L332-2*L319^2*L318/L317))</f>
        <v>1.3575600041521836</v>
      </c>
      <c r="R353" s="139" t="s">
        <v>141</v>
      </c>
      <c r="S353" s="138">
        <f>4*COS(S318/2)^2*SIN(S318/2)^2*$K357+SIN(S318/2)^4*$K352+COS(S318/2)^4*$K353+2*COS(S318/2)^2*SIN(S318/2)^2*$M352</f>
        <v>13.920484365408953</v>
      </c>
      <c r="T353" s="138">
        <f>4*COS(T318/2)^2*SIN(T318/2)^2*$K357+SIN(T318/2)^4*$K352+COS(T318/2)^4*$K353+2*COS(T318/2)^2*SIN(T318/2)^2*$M352</f>
        <v>184.28877056365894</v>
      </c>
      <c r="U353" s="138">
        <f>4*COS(U318/2)^2*SIN(U318/2)^2*$K357+SIN(U318/2)^4*$K352+COS(U318/2)^4*$K353+2*COS(U318/2)^2*SIN(U318/2)^2*$M352</f>
        <v>13.920484365408953</v>
      </c>
      <c r="V353" s="138">
        <f>4*COS(V318/2)^2*SIN(V318/2)^2*$K357+SIN(V318/2)^4*$K352+COS(V318/2)^4*$K353+2*COS(V318/2)^2*SIN(V318/2)^2*$M352</f>
        <v>184.28877056365894</v>
      </c>
      <c r="W353" s="138" t="s">
        <v>142</v>
      </c>
      <c r="X353" s="141">
        <f>S320*S359/S354+T320*T359/T354+U320*U359/U354+V320*V359/V354</f>
        <v>0</v>
      </c>
      <c r="Y353" s="147">
        <f>S320*S353+T320*T353+U320*U353+V320*V353</f>
        <v>0</v>
      </c>
      <c r="Z353" s="164"/>
      <c r="AA353" s="147"/>
      <c r="AB353" s="147"/>
      <c r="AC353" s="147"/>
      <c r="AD353" s="147"/>
      <c r="AG353" s="139"/>
      <c r="AH353" s="147"/>
      <c r="AI353" s="147"/>
      <c r="AJ353" s="147"/>
      <c r="AK353" s="147"/>
    </row>
    <row r="354" spans="10:38">
      <c r="J354" s="139" t="s">
        <v>146</v>
      </c>
      <c r="K354" s="138">
        <f>K353</f>
        <v>13.920484365408953</v>
      </c>
      <c r="L354" s="139" t="s">
        <v>147</v>
      </c>
      <c r="M354" s="138">
        <f>(L332+L319^2*L318/L317)*O353*L318</f>
        <v>7.053817698742284</v>
      </c>
      <c r="R354" s="139" t="s">
        <v>716</v>
      </c>
      <c r="S354" s="138">
        <f>$K354</f>
        <v>13.920484365408953</v>
      </c>
      <c r="T354" s="138">
        <f>$K354</f>
        <v>13.920484365408953</v>
      </c>
      <c r="U354" s="138">
        <f>$K354</f>
        <v>13.920484365408953</v>
      </c>
      <c r="V354" s="138">
        <f>$K354</f>
        <v>13.920484365408953</v>
      </c>
      <c r="W354" s="138" t="s">
        <v>148</v>
      </c>
      <c r="X354" s="141">
        <f>S320*S360/S354+T320*T360/T354+U320*U360/U354+V320*V360/V354</f>
        <v>0</v>
      </c>
      <c r="Y354" s="164"/>
      <c r="Z354" s="164"/>
      <c r="AA354" s="147"/>
      <c r="AB354" s="147"/>
      <c r="AC354" s="147"/>
      <c r="AD354" s="147"/>
      <c r="AG354" s="139"/>
      <c r="AH354" s="147"/>
      <c r="AI354" s="147"/>
      <c r="AJ354" s="147"/>
      <c r="AK354" s="147"/>
    </row>
    <row r="355" spans="10:38">
      <c r="J355" s="139" t="s">
        <v>152</v>
      </c>
      <c r="K355" s="138">
        <f>(1-L332-2*L319^2*L318/L317)*O353*L318/2</f>
        <v>3.433333333333334</v>
      </c>
      <c r="R355" s="139" t="s">
        <v>153</v>
      </c>
      <c r="S355" s="138">
        <f>COS(S318/2)^2*$K355+SIN(S318/2)^2*$K356</f>
        <v>3.433333333333334</v>
      </c>
      <c r="T355" s="138">
        <f>COS(T318/2)^2*$K355+SIN(T318/2)^2*$K356</f>
        <v>7.17</v>
      </c>
      <c r="U355" s="138">
        <f>COS(U318/2)^2*$K355+SIN(U318/2)^2*$K356</f>
        <v>3.433333333333334</v>
      </c>
      <c r="V355" s="138">
        <f>COS(V318/2)^2*$K355+SIN(V318/2)^2*$K356</f>
        <v>7.17</v>
      </c>
      <c r="W355" s="138" t="s">
        <v>154</v>
      </c>
      <c r="X355" s="141">
        <f>S320*S364/S354+T320*T364/T354+U320*U364/U354+V320*V364/V354</f>
        <v>0</v>
      </c>
      <c r="Y355" s="164"/>
      <c r="Z355" s="164">
        <f>S320*S355/(S355*S356-S361^2)+T320*T355/(T355*T356-T361^2)+U320*U355/(U355*U356-U361^2)+V320*V355/(V355*V356-V361^2)</f>
        <v>0</v>
      </c>
      <c r="AA355" s="147"/>
      <c r="AB355" s="147"/>
      <c r="AC355" s="147"/>
      <c r="AD355" s="147"/>
      <c r="AG355" s="139"/>
      <c r="AH355" s="147"/>
      <c r="AI355" s="147"/>
      <c r="AJ355" s="147"/>
      <c r="AK355" s="147"/>
    </row>
    <row r="356" spans="10:38">
      <c r="J356" s="139" t="s">
        <v>769</v>
      </c>
      <c r="K356" s="140">
        <f>L320</f>
        <v>7.17</v>
      </c>
      <c r="R356" s="139" t="s">
        <v>770</v>
      </c>
      <c r="S356" s="138">
        <f>SIN(S318/2)^2*$K355+COS(S318/2)^2*$K356</f>
        <v>7.17</v>
      </c>
      <c r="T356" s="138">
        <f>SIN(T318/2)^2*$K355+COS(T318/2)^2*$K356</f>
        <v>3.433333333333334</v>
      </c>
      <c r="U356" s="138">
        <f>SIN(U318/2)^2*$K355+COS(U318/2)^2*$K356</f>
        <v>7.17</v>
      </c>
      <c r="V356" s="138">
        <f>SIN(V318/2)^2*$K355+COS(V318/2)^2*$K356</f>
        <v>3.433333333333334</v>
      </c>
      <c r="W356" s="138" t="s">
        <v>771</v>
      </c>
      <c r="X356" s="141">
        <f>S320*S359^2/S354+T320*T359^2/T354+U320*U359^2/U354+V320*V359^2/V354</f>
        <v>0</v>
      </c>
      <c r="Y356" s="164"/>
      <c r="Z356" s="164">
        <f>S320*S356/(S355*S356-S361^2)+T320*T356/(T355*T356-T361^2)+U320*U356/(U355*U356-U361^2)+V320*V356/(V355*V356-V361^2)</f>
        <v>0</v>
      </c>
      <c r="AA356" s="147"/>
      <c r="AB356" s="147"/>
      <c r="AC356" s="147"/>
      <c r="AD356" s="147"/>
      <c r="AG356" s="139"/>
      <c r="AH356" s="147"/>
      <c r="AI356" s="147"/>
      <c r="AJ356" s="147"/>
      <c r="AK356" s="147"/>
    </row>
    <row r="357" spans="10:38">
      <c r="J357" s="139" t="s">
        <v>773</v>
      </c>
      <c r="K357" s="140">
        <f>K356</f>
        <v>7.17</v>
      </c>
      <c r="P357" s="185"/>
      <c r="Q357" s="185"/>
      <c r="R357" s="186" t="s">
        <v>774</v>
      </c>
      <c r="S357" s="185">
        <f>(COS(S318/2)^2-SIN(S318/2)^2)^2*$K357+COS(S318/2)^2*SIN(S318/2)^2*($K352+$K353-2*$M352)</f>
        <v>7.17</v>
      </c>
      <c r="T357" s="185">
        <f>(COS(T318/2)^2-SIN(T318/2)^2)^2*$K357+COS(T318/2)^2*SIN(T318/2)^2*($K352+$K353-2*$M352)</f>
        <v>7.17</v>
      </c>
      <c r="U357" s="185">
        <f>(COS(U318/2)^2-SIN(U318/2)^2)^2*$K357+COS(U318/2)^2*SIN(U318/2)^2*($K352+$K353-2*$M352)</f>
        <v>7.17</v>
      </c>
      <c r="V357" s="185">
        <f>(COS(V318/2)^2-SIN(V318/2)^2)^2*$K357+COS(V318/2)^2*SIN(V318/2)^2*($K352+$K353-2*$M352)</f>
        <v>7.17</v>
      </c>
      <c r="W357" s="185" t="s">
        <v>775</v>
      </c>
      <c r="X357" s="187">
        <f>S320*S360^2/S354+T320*T360^2/T354+U320*U360^2/U354+V320*V360^2/V354</f>
        <v>0</v>
      </c>
      <c r="Y357" s="147">
        <f>S320*S357+T320*T357+U320*U357+V320*V357</f>
        <v>0</v>
      </c>
      <c r="Z357" s="188"/>
      <c r="AA357" s="190"/>
      <c r="AB357" s="190"/>
      <c r="AC357" s="190"/>
      <c r="AD357" s="190"/>
      <c r="AE357" s="185"/>
      <c r="AF357" s="187"/>
      <c r="AG357" s="186"/>
      <c r="AH357" s="190"/>
      <c r="AI357" s="190"/>
      <c r="AJ357" s="190"/>
      <c r="AK357" s="190"/>
      <c r="AL357" s="185"/>
    </row>
    <row r="358" spans="10:38">
      <c r="J358" s="185"/>
      <c r="K358" s="185"/>
      <c r="L358" s="185"/>
      <c r="M358" s="185"/>
      <c r="N358" s="185"/>
      <c r="O358" s="185"/>
      <c r="R358" s="139" t="s">
        <v>145</v>
      </c>
      <c r="S358" s="138">
        <f>-4*COS(S318/2)^2*SIN(S318/2)^2*$K357+COS(S318/2)^2*SIN(S318/2)^2*($K352+$K353)+(COS(S318/2)^4+SIN(S318/2)^4)*$M352</f>
        <v>5.8728045779623468</v>
      </c>
      <c r="T358" s="138">
        <f>-4*COS(T318/2)^2*SIN(T318/2)^2*$K357+COS(T318/2)^2*SIN(T318/2)^2*($K352+$K353)+(COS(T318/2)^4+SIN(T318/2)^4)*$M352</f>
        <v>5.8728045779623468</v>
      </c>
      <c r="U358" s="138">
        <f>-4*COS(U318/2)^2*SIN(U318/2)^2*$K357+COS(U318/2)^2*SIN(U318/2)^2*($K352+$K353)+(COS(U318/2)^4+SIN(U318/2)^4)*$M352</f>
        <v>5.8728045779623468</v>
      </c>
      <c r="V358" s="138">
        <f>-4*COS(V318/2)^2*SIN(V318/2)^2*$K357+COS(V318/2)^2*SIN(V318/2)^2*($K352+$K353)+(COS(V318/2)^4+SIN(V318/2)^4)*$M352</f>
        <v>5.8728045779623468</v>
      </c>
      <c r="W358" s="138" t="s">
        <v>778</v>
      </c>
      <c r="X358" s="141">
        <f>S320*S359*S360/S354+T320*T359*T360/T354+U320*U359*U360/U354+V320*V359*V360/V354</f>
        <v>0</v>
      </c>
      <c r="Y358" s="147">
        <f>S320*S358+T320*T358+U320*U358+V320*V358</f>
        <v>0</v>
      </c>
      <c r="Z358" s="164"/>
      <c r="AA358" s="147"/>
      <c r="AB358" s="147"/>
      <c r="AC358" s="147"/>
      <c r="AD358" s="147"/>
      <c r="AG358" s="139"/>
      <c r="AH358" s="147"/>
      <c r="AI358" s="147"/>
      <c r="AJ358" s="147"/>
      <c r="AK358" s="147"/>
    </row>
    <row r="359" spans="10:38">
      <c r="R359" s="139" t="s">
        <v>151</v>
      </c>
      <c r="S359" s="138">
        <f>COS(S318/2)^2*$M353+SIN(S318/2)^2*$M354</f>
        <v>5.8728045779623468</v>
      </c>
      <c r="T359" s="138">
        <f>COS(T318/2)^2*$M353+SIN(T318/2)^2*$M354</f>
        <v>7.053817698742284</v>
      </c>
      <c r="U359" s="138">
        <f>COS(U318/2)^2*$M353+SIN(U318/2)^2*$M354</f>
        <v>5.8728045779623468</v>
      </c>
      <c r="V359" s="138">
        <f>COS(V318/2)^2*$M353+SIN(V318/2)^2*$M354</f>
        <v>7.053817698742284</v>
      </c>
      <c r="W359" s="138" t="s">
        <v>782</v>
      </c>
      <c r="X359" s="141">
        <f>S320*S364*S359/S354+T320*T364*T359/T354+U320*U364*U359/U354+V320*V364*V359/V354</f>
        <v>0</v>
      </c>
      <c r="Y359" s="147"/>
      <c r="Z359" s="164"/>
      <c r="AA359" s="147"/>
      <c r="AB359" s="147"/>
      <c r="AC359" s="147"/>
      <c r="AD359" s="147"/>
      <c r="AG359" s="139"/>
      <c r="AH359" s="147"/>
      <c r="AI359" s="147"/>
      <c r="AJ359" s="147"/>
      <c r="AK359" s="147"/>
    </row>
    <row r="360" spans="10:38">
      <c r="R360" s="139" t="s">
        <v>768</v>
      </c>
      <c r="S360" s="138">
        <f>SIN(S318/2)^2*$M353+COS(S318/2)^2*$M354</f>
        <v>7.053817698742284</v>
      </c>
      <c r="T360" s="138">
        <f>SIN(T318/2)^2*$M353+COS(T318/2)^2*$M354</f>
        <v>5.8728045779623468</v>
      </c>
      <c r="U360" s="138">
        <f>SIN(U318/2)^2*$M353+COS(U318/2)^2*$M354</f>
        <v>7.053817698742284</v>
      </c>
      <c r="V360" s="138">
        <f>SIN(V318/2)^2*$M353+COS(V318/2)^2*$M354</f>
        <v>5.8728045779623468</v>
      </c>
      <c r="W360" s="138" t="s">
        <v>785</v>
      </c>
      <c r="X360" s="141">
        <f>S320*S364*S360/S354+T320*T364*T360/T354+U320*U364*U360/U354+V320*V364*V360/V354</f>
        <v>0</v>
      </c>
      <c r="Y360" s="164"/>
      <c r="Z360" s="164"/>
      <c r="AA360" s="147"/>
      <c r="AB360" s="147"/>
      <c r="AC360" s="147"/>
      <c r="AD360" s="147"/>
      <c r="AG360" s="139"/>
      <c r="AH360" s="147"/>
      <c r="AI360" s="147"/>
      <c r="AJ360" s="147"/>
      <c r="AK360" s="147"/>
    </row>
    <row r="361" spans="10:38">
      <c r="R361" s="139" t="s">
        <v>660</v>
      </c>
      <c r="S361" s="138">
        <f>COS(S318/2)*SIN(S318/2)*(-$K355+$K356)</f>
        <v>0</v>
      </c>
      <c r="T361" s="138">
        <f>COS(T318/2)*SIN(T318/2)*(-$K355+$K356)</f>
        <v>2.2889856965876046E-16</v>
      </c>
      <c r="U361" s="138">
        <f>COS(U318/2)*SIN(U318/2)*(-$K355+$K356)</f>
        <v>0</v>
      </c>
      <c r="V361" s="138">
        <f>COS(V318/2)*SIN(V318/2)*(-$K355+$K356)</f>
        <v>2.2889856965876046E-16</v>
      </c>
      <c r="W361" s="138" t="s">
        <v>1048</v>
      </c>
      <c r="X361" s="141">
        <f>S320*S364^2/S354+T320*T364^2/T354+U320*U364^2/U354+V320*V364^2/V354</f>
        <v>0</v>
      </c>
      <c r="Y361" s="164"/>
      <c r="Z361" s="164">
        <f>S320*S361/(S355*S356-S361^2)+T320*T361/(T355*T356-T361^2)+U320*U361/(U355*U356-U361^2)+V320*V361/(V355*V356-V361^2)</f>
        <v>0</v>
      </c>
      <c r="AA361" s="147"/>
      <c r="AB361" s="147"/>
      <c r="AC361" s="147"/>
      <c r="AD361" s="147"/>
      <c r="AG361" s="139"/>
      <c r="AH361" s="147"/>
      <c r="AI361" s="147"/>
      <c r="AJ361" s="147"/>
      <c r="AK361" s="147"/>
    </row>
    <row r="362" spans="10:38">
      <c r="R362" s="139" t="s">
        <v>777</v>
      </c>
      <c r="S362" s="138">
        <f>-2*COS(S318/2)*SIN(S318/2)*(COS(S318/2)^2-SIN(S318/2)^2)*$K357+COS(S318/2)*SIN(S318/2)*(COS(S318/2)^2*$K352+SIN(S318/2)^2*$K353)+COS(S318/2)*SIN(S318/2)*(COS(S318/2)^2+SIN(S318/2)^2)*$M352</f>
        <v>0</v>
      </c>
      <c r="T362" s="138">
        <f>-2*COS(T318/2)*SIN(T318/2)*(COS(T318/2)^2-SIN(T318/2)^2)*$K357+COS(T318/2)*SIN(T318/2)*(COS(T318/2)^2*$K352+SIN(T318/2)^2*$K353)+COS(T318/2)*SIN(T318/2)*(COS(T318/2)^2+SIN(T318/2)^2)*$M352</f>
        <v>2.0909173104960418E-15</v>
      </c>
      <c r="U362" s="138">
        <f>-2*COS(U318/2)*SIN(U318/2)*(COS(U318/2)^2-SIN(U318/2)^2)*$K357+COS(U318/2)*SIN(U318/2)*(COS(U318/2)^2*$K352+SIN(U318/2)^2*$K353)+COS(U318/2)*SIN(U318/2)*(COS(U318/2)^2+SIN(U318/2)^2)*$M352</f>
        <v>0</v>
      </c>
      <c r="V362" s="138">
        <f>-2*COS(V318/2)*SIN(V318/2)*(COS(V318/2)^2-SIN(V318/2)^2)*$K357+COS(V318/2)*SIN(V318/2)*(COS(V318/2)^2*$K352+SIN(V318/2)^2*$K353)+COS(V318/2)*SIN(V318/2)*(COS(V318/2)^2+SIN(V318/2)^2)*$M352</f>
        <v>2.0909173104960418E-15</v>
      </c>
      <c r="W362" s="138"/>
      <c r="Y362" s="147">
        <f>S320*S362+T320*T362+U320*U362+V320*V362</f>
        <v>0</v>
      </c>
      <c r="Z362" s="164"/>
      <c r="AA362" s="147"/>
      <c r="AB362" s="147"/>
      <c r="AC362" s="147"/>
      <c r="AD362" s="147"/>
      <c r="AG362" s="139"/>
      <c r="AH362" s="147"/>
      <c r="AI362" s="147"/>
      <c r="AJ362" s="147"/>
      <c r="AK362" s="147"/>
    </row>
    <row r="363" spans="10:38">
      <c r="R363" s="139" t="s">
        <v>781</v>
      </c>
      <c r="S363" s="138">
        <f>2*COS(S318/2)*SIN(S318/2)*(COS(S318/2)^2-SIN(S318/2)^2)*$K357+COS(S318/2)*SIN(S318/2)*(SIN(S318/2)^2*$K352-COS(S318/2)^2*$K353)+COS(S318/2)*SIN(S318/2)*(COS(S318/2)^2-SIN(S318/2)^2)*$M352</f>
        <v>0</v>
      </c>
      <c r="T363" s="138">
        <f>2*COS(T318/2)*SIN(T318/2)*(COS(T318/2)^2-SIN(T318/2)^2)*$K357+COS(T318/2)*SIN(T318/2)*(SIN(T318/2)^2*$K352-COS(T318/2)^2*$K353)+COS(T318/2)*SIN(T318/2)*(COS(T318/2)^2-SIN(T318/2)^2)*$M352</f>
        <v>1.0050870810750773E-14</v>
      </c>
      <c r="U363" s="138">
        <f>2*COS(U318/2)*SIN(U318/2)*(COS(U318/2)^2-SIN(U318/2)^2)*$K357+COS(U318/2)*SIN(U318/2)*(SIN(U318/2)^2*$K352-COS(U318/2)^2*$K353)+COS(U318/2)*SIN(U318/2)*(COS(U318/2)^2-SIN(U318/2)^2)*$M352</f>
        <v>0</v>
      </c>
      <c r="V363" s="138">
        <f>2*COS(V318/2)*SIN(V318/2)*(COS(V318/2)^2-SIN(V318/2)^2)*$K357+COS(V318/2)*SIN(V318/2)*(SIN(V318/2)^2*$K352-COS(V318/2)^2*$K353)+COS(V318/2)*SIN(V318/2)*(COS(V318/2)^2-SIN(V318/2)^2)*$M352</f>
        <v>1.0050870810750773E-14</v>
      </c>
      <c r="W363" s="138"/>
      <c r="Y363" s="147">
        <f>S320*S363+T320*T363+U320*U363+V320*V363</f>
        <v>0</v>
      </c>
      <c r="Z363" s="164"/>
      <c r="AA363" s="147"/>
      <c r="AB363" s="147"/>
      <c r="AC363" s="147"/>
      <c r="AD363" s="147"/>
      <c r="AG363" s="139"/>
      <c r="AH363" s="147"/>
      <c r="AI363" s="147"/>
      <c r="AJ363" s="147"/>
      <c r="AK363" s="147"/>
    </row>
    <row r="364" spans="10:38">
      <c r="R364" s="139" t="s">
        <v>784</v>
      </c>
      <c r="S364" s="138">
        <f>COS(S318/2)*SIN(S318/2)*($M353-$M354)</f>
        <v>0</v>
      </c>
      <c r="T364" s="138">
        <f>COS(T318/2)*SIN(T318/2)*($M353-$M354)</f>
        <v>-7.2345820007517372E-17</v>
      </c>
      <c r="U364" s="138">
        <f>COS(U318/2)*SIN(U318/2)*($M353-$M354)</f>
        <v>0</v>
      </c>
      <c r="V364" s="138">
        <f>COS(V318/2)*SIN(V318/2)*($M353-$M354)</f>
        <v>-7.2345820007517372E-17</v>
      </c>
      <c r="W364" s="138"/>
      <c r="Y364" s="164"/>
      <c r="Z364" s="164"/>
      <c r="AA364" s="147"/>
      <c r="AB364" s="147"/>
      <c r="AC364" s="147"/>
      <c r="AD364" s="147"/>
      <c r="AG364" s="139"/>
      <c r="AH364" s="147"/>
      <c r="AI364" s="147"/>
      <c r="AJ364" s="147"/>
      <c r="AK364" s="147"/>
    </row>
    <row r="365" spans="10:38">
      <c r="J365" s="137" t="s">
        <v>852</v>
      </c>
      <c r="K365" s="139"/>
      <c r="L365" s="139"/>
      <c r="N365" s="138" t="s">
        <v>1551</v>
      </c>
      <c r="P365" s="140"/>
      <c r="R365" s="138" t="s">
        <v>634</v>
      </c>
      <c r="Y365" s="164"/>
      <c r="Z365" s="138" t="s">
        <v>635</v>
      </c>
      <c r="AG365" s="138" t="s">
        <v>636</v>
      </c>
    </row>
    <row r="366" spans="10:38">
      <c r="J366" s="139" t="str">
        <f>A152</f>
        <v>T3/N52[SI]</v>
      </c>
      <c r="K366" s="137"/>
      <c r="L366" s="139"/>
      <c r="N366" s="139" t="s">
        <v>596</v>
      </c>
      <c r="O366" s="144">
        <f>G153</f>
        <v>22</v>
      </c>
      <c r="P366" s="144">
        <f>B74</f>
        <v>22</v>
      </c>
      <c r="Q366" s="145">
        <f t="shared" ref="Q366:Q371" si="76">P366/O366</f>
        <v>1</v>
      </c>
      <c r="R366" s="137"/>
      <c r="Z366" s="139" t="s">
        <v>531</v>
      </c>
      <c r="AA366" s="146">
        <f t="shared" ref="AA366:AD368" si="77">S368</f>
        <v>0</v>
      </c>
      <c r="AB366" s="146">
        <f t="shared" si="77"/>
        <v>90</v>
      </c>
      <c r="AC366" s="146">
        <f t="shared" si="77"/>
        <v>0</v>
      </c>
      <c r="AD366" s="146">
        <f t="shared" si="77"/>
        <v>90</v>
      </c>
      <c r="AE366" s="139" t="s">
        <v>532</v>
      </c>
      <c r="AF366" s="143" t="s">
        <v>533</v>
      </c>
      <c r="AG366" s="139" t="s">
        <v>531</v>
      </c>
      <c r="AH366" s="146">
        <f t="shared" ref="AH366:AK368" si="78">AA366</f>
        <v>0</v>
      </c>
      <c r="AI366" s="146">
        <f t="shared" si="78"/>
        <v>90</v>
      </c>
      <c r="AJ366" s="146">
        <f t="shared" si="78"/>
        <v>0</v>
      </c>
      <c r="AK366" s="146">
        <f t="shared" si="78"/>
        <v>90</v>
      </c>
    </row>
    <row r="367" spans="10:38">
      <c r="J367" s="139"/>
      <c r="K367" s="139"/>
      <c r="L367" s="139"/>
      <c r="N367" s="139" t="s">
        <v>600</v>
      </c>
      <c r="O367" s="147">
        <f>H153</f>
        <v>5.0000000000000001E-3</v>
      </c>
      <c r="P367" s="147">
        <f>C74</f>
        <v>5.0000000000000001E-3</v>
      </c>
      <c r="Q367" s="145">
        <f t="shared" si="76"/>
        <v>1</v>
      </c>
      <c r="R367" s="139" t="s">
        <v>243</v>
      </c>
      <c r="S367" s="143" t="s">
        <v>1562</v>
      </c>
      <c r="T367" s="143" t="s">
        <v>1563</v>
      </c>
      <c r="U367" s="143" t="s">
        <v>1564</v>
      </c>
      <c r="V367" s="143" t="s">
        <v>1565</v>
      </c>
      <c r="W367" s="143"/>
      <c r="X367" s="143"/>
      <c r="Z367" s="139" t="s">
        <v>536</v>
      </c>
      <c r="AA367" s="146">
        <f t="shared" si="77"/>
        <v>0</v>
      </c>
      <c r="AB367" s="146">
        <f t="shared" si="77"/>
        <v>0</v>
      </c>
      <c r="AC367" s="146">
        <f t="shared" si="77"/>
        <v>0</v>
      </c>
      <c r="AD367" s="146">
        <f t="shared" si="77"/>
        <v>0</v>
      </c>
      <c r="AE367" s="139">
        <f>W369</f>
        <v>1</v>
      </c>
      <c r="AF367" s="146">
        <f>X370</f>
        <v>0</v>
      </c>
      <c r="AG367" s="139" t="s">
        <v>536</v>
      </c>
      <c r="AH367" s="146">
        <f t="shared" si="78"/>
        <v>0</v>
      </c>
      <c r="AI367" s="146">
        <f t="shared" si="78"/>
        <v>0</v>
      </c>
      <c r="AJ367" s="146">
        <f t="shared" si="78"/>
        <v>0</v>
      </c>
      <c r="AK367" s="146">
        <f t="shared" si="78"/>
        <v>0</v>
      </c>
    </row>
    <row r="368" spans="10:38">
      <c r="J368" s="139" t="s">
        <v>1553</v>
      </c>
      <c r="K368" s="139" t="s">
        <v>1554</v>
      </c>
      <c r="L368" s="139" t="s">
        <v>1555</v>
      </c>
      <c r="M368" s="153" t="s">
        <v>1556</v>
      </c>
      <c r="N368" s="139" t="s">
        <v>1557</v>
      </c>
      <c r="O368" s="144">
        <f>G152</f>
        <v>122</v>
      </c>
      <c r="P368" s="144">
        <f>O368</f>
        <v>122</v>
      </c>
      <c r="Q368" s="145">
        <f t="shared" si="76"/>
        <v>1</v>
      </c>
      <c r="R368" s="139" t="s">
        <v>537</v>
      </c>
      <c r="S368" s="154">
        <f>C17+I18</f>
        <v>0</v>
      </c>
      <c r="T368" s="154">
        <f>D17+I18</f>
        <v>90</v>
      </c>
      <c r="U368" s="154">
        <f>E17+I18</f>
        <v>0</v>
      </c>
      <c r="V368" s="154">
        <f>F17+I18</f>
        <v>90</v>
      </c>
      <c r="W368" s="143" t="s">
        <v>538</v>
      </c>
      <c r="X368" s="143"/>
      <c r="Z368" s="139" t="s">
        <v>539</v>
      </c>
      <c r="AA368" s="146">
        <f t="shared" si="77"/>
        <v>0</v>
      </c>
      <c r="AB368" s="146">
        <f t="shared" si="77"/>
        <v>3.1415926535897931</v>
      </c>
      <c r="AC368" s="146">
        <f t="shared" si="77"/>
        <v>0</v>
      </c>
      <c r="AD368" s="146">
        <f t="shared" si="77"/>
        <v>3.1415926535897931</v>
      </c>
      <c r="AE368" s="139" t="s">
        <v>540</v>
      </c>
      <c r="AF368" s="141">
        <f>W376</f>
        <v>0</v>
      </c>
      <c r="AG368" s="139" t="s">
        <v>539</v>
      </c>
      <c r="AH368" s="146">
        <f t="shared" si="78"/>
        <v>0</v>
      </c>
      <c r="AI368" s="146">
        <f t="shared" si="78"/>
        <v>3.1415926535897931</v>
      </c>
      <c r="AJ368" s="146">
        <f t="shared" si="78"/>
        <v>0</v>
      </c>
      <c r="AK368" s="146">
        <f t="shared" si="78"/>
        <v>3.1415926535897931</v>
      </c>
    </row>
    <row r="369" spans="10:38">
      <c r="J369" s="139" t="s">
        <v>298</v>
      </c>
      <c r="K369" s="140">
        <f>B152</f>
        <v>181</v>
      </c>
      <c r="L369" s="140">
        <f>L376*L375</f>
        <v>181.00000000000003</v>
      </c>
      <c r="M369" s="145">
        <f>L369/K369</f>
        <v>1.0000000000000002</v>
      </c>
      <c r="N369" s="139" t="s">
        <v>299</v>
      </c>
      <c r="O369" s="144">
        <f>H152</f>
        <v>160</v>
      </c>
      <c r="P369" s="144">
        <f>O369-H155*(P367)</f>
        <v>150</v>
      </c>
      <c r="Q369" s="145">
        <f t="shared" si="76"/>
        <v>0.9375</v>
      </c>
      <c r="R369" s="139" t="s">
        <v>541</v>
      </c>
      <c r="S369" s="154">
        <f>C18</f>
        <v>0</v>
      </c>
      <c r="T369" s="154">
        <f>D18</f>
        <v>0</v>
      </c>
      <c r="U369" s="154">
        <f>E18</f>
        <v>0</v>
      </c>
      <c r="V369" s="154">
        <f>F18</f>
        <v>0</v>
      </c>
      <c r="W369" s="156">
        <f>G18</f>
        <v>1</v>
      </c>
      <c r="X369" s="143"/>
      <c r="Z369" s="139"/>
      <c r="AA369" s="141">
        <f>AA368/2</f>
        <v>0</v>
      </c>
      <c r="AB369" s="141">
        <f>AB368/2</f>
        <v>1.5707963267948966</v>
      </c>
      <c r="AC369" s="141">
        <f>AC368/2</f>
        <v>0</v>
      </c>
      <c r="AD369" s="141">
        <f>AD368/2</f>
        <v>1.5707963267948966</v>
      </c>
      <c r="AE369" s="143"/>
      <c r="AL369" s="139"/>
    </row>
    <row r="370" spans="10:38">
      <c r="J370" s="139" t="s">
        <v>1579</v>
      </c>
      <c r="K370" s="140">
        <f>C152</f>
        <v>10.3</v>
      </c>
      <c r="L370" s="140">
        <f>(1+L379)/(1/L380+L379/L377)</f>
        <v>10.3</v>
      </c>
      <c r="M370" s="145">
        <f>L370/K370</f>
        <v>1</v>
      </c>
      <c r="N370" s="139" t="s">
        <v>1580</v>
      </c>
      <c r="O370" s="140">
        <f>(O369-O366)/(O369-O366)</f>
        <v>1</v>
      </c>
      <c r="P370" s="140">
        <f>(P369-P366)/(P369-O366)</f>
        <v>1</v>
      </c>
      <c r="Q370" s="145">
        <f t="shared" si="76"/>
        <v>1</v>
      </c>
      <c r="R370" s="139" t="s">
        <v>1295</v>
      </c>
      <c r="S370" s="158">
        <f>S368*PI()/90</f>
        <v>0</v>
      </c>
      <c r="T370" s="158">
        <f>T368*PI()/90</f>
        <v>3.1415926535897931</v>
      </c>
      <c r="U370" s="158">
        <f>U368*PI()/90</f>
        <v>0</v>
      </c>
      <c r="V370" s="158">
        <f>V368*PI()/90</f>
        <v>3.1415926535897931</v>
      </c>
      <c r="W370" s="143" t="s">
        <v>1296</v>
      </c>
      <c r="X370" s="146"/>
      <c r="Z370" s="137" t="s">
        <v>1297</v>
      </c>
      <c r="AA370" s="143"/>
      <c r="AB370" s="143"/>
      <c r="AC370" s="141"/>
      <c r="AD370" s="141"/>
      <c r="AE370" s="141"/>
      <c r="AG370" s="137" t="s">
        <v>1298</v>
      </c>
      <c r="AL370" s="139"/>
    </row>
    <row r="371" spans="10:38">
      <c r="J371" s="139" t="s">
        <v>259</v>
      </c>
      <c r="K371" s="140">
        <f>D152</f>
        <v>0.28000000000000003</v>
      </c>
      <c r="L371" s="140">
        <f>K371*I74</f>
        <v>0.28000000000000003</v>
      </c>
      <c r="M371" s="145">
        <f>L371/K371</f>
        <v>1</v>
      </c>
      <c r="N371" s="139" t="s">
        <v>260</v>
      </c>
      <c r="O371" s="144">
        <f>O366-O368</f>
        <v>-100</v>
      </c>
      <c r="P371" s="144">
        <f>P366-P368</f>
        <v>-100</v>
      </c>
      <c r="Q371" s="145">
        <f t="shared" si="76"/>
        <v>1</v>
      </c>
      <c r="R371" s="139" t="s">
        <v>1300</v>
      </c>
      <c r="S371" s="158">
        <f>2*S370</f>
        <v>0</v>
      </c>
      <c r="T371" s="158">
        <f>2*T370</f>
        <v>6.2831853071795862</v>
      </c>
      <c r="U371" s="158">
        <f>2*U370</f>
        <v>0</v>
      </c>
      <c r="V371" s="158">
        <f>2*V370</f>
        <v>6.2831853071795862</v>
      </c>
      <c r="W371" s="138" t="s">
        <v>651</v>
      </c>
      <c r="X371" s="143" t="s">
        <v>652</v>
      </c>
      <c r="Y371" s="143" t="s">
        <v>646</v>
      </c>
      <c r="Z371" s="139"/>
      <c r="AA371" s="143" t="s">
        <v>1301</v>
      </c>
      <c r="AB371" s="143"/>
      <c r="AC371" s="161" t="s">
        <v>977</v>
      </c>
      <c r="AD371" s="161"/>
      <c r="AE371" s="143" t="s">
        <v>1303</v>
      </c>
      <c r="AF371" s="143" t="s">
        <v>1304</v>
      </c>
      <c r="AG371" s="139" t="s">
        <v>1305</v>
      </c>
      <c r="AH371" s="147">
        <f t="shared" ref="AH371:AK373" si="79">AA377/1000</f>
        <v>0</v>
      </c>
      <c r="AI371" s="147">
        <f t="shared" si="79"/>
        <v>0</v>
      </c>
      <c r="AJ371" s="147">
        <f t="shared" si="79"/>
        <v>0</v>
      </c>
      <c r="AK371" s="147">
        <f t="shared" si="79"/>
        <v>0</v>
      </c>
      <c r="AL371" s="157"/>
    </row>
    <row r="372" spans="10:38">
      <c r="J372" s="139" t="s">
        <v>261</v>
      </c>
      <c r="K372" s="140">
        <f>E152</f>
        <v>7.17</v>
      </c>
      <c r="L372" s="140">
        <f>(1+L382)/(1/L383+L382*2.7/L377)</f>
        <v>7.17</v>
      </c>
      <c r="M372" s="145">
        <f>L372/K372</f>
        <v>1</v>
      </c>
      <c r="N372" s="139"/>
      <c r="O372" s="140"/>
      <c r="P372" s="140"/>
      <c r="Q372" s="140"/>
      <c r="R372" s="139" t="s">
        <v>1321</v>
      </c>
      <c r="S372" s="158">
        <f>2*W369*S369*L373/1000000/Y372</f>
        <v>0</v>
      </c>
      <c r="T372" s="158">
        <f>2*W369*T369*L373/1000000/Y372</f>
        <v>0</v>
      </c>
      <c r="U372" s="158">
        <f>2*W369*U369*L373/1000000/Y372</f>
        <v>0</v>
      </c>
      <c r="V372" s="158">
        <f>2*W369*V369*L373/1000000/Y372</f>
        <v>0</v>
      </c>
      <c r="W372" s="147">
        <f>SUM(S372:V372)</f>
        <v>0</v>
      </c>
      <c r="X372" s="163">
        <f>2*W369*SUM(S369:V369)*L373/1000000</f>
        <v>0</v>
      </c>
      <c r="Y372" s="147">
        <f>Y320</f>
        <v>5.0000000000000001E-4</v>
      </c>
      <c r="Z372" s="139">
        <v>1</v>
      </c>
      <c r="AA372" s="140">
        <f>$B$37</f>
        <v>1</v>
      </c>
      <c r="AB372" s="163"/>
      <c r="AC372" s="140">
        <f>AC320</f>
        <v>119.49416590714854</v>
      </c>
      <c r="AD372" s="163"/>
      <c r="AE372" s="159" t="s">
        <v>1306</v>
      </c>
      <c r="AF372" s="163">
        <f>IF(X372=0,0,(AC372+AC373)/2)</f>
        <v>0</v>
      </c>
      <c r="AG372" s="139" t="s">
        <v>1307</v>
      </c>
      <c r="AH372" s="147">
        <f t="shared" si="79"/>
        <v>0</v>
      </c>
      <c r="AI372" s="147">
        <f t="shared" si="79"/>
        <v>0</v>
      </c>
      <c r="AJ372" s="147">
        <f t="shared" si="79"/>
        <v>0</v>
      </c>
      <c r="AK372" s="147">
        <f t="shared" si="79"/>
        <v>0</v>
      </c>
      <c r="AL372" s="157"/>
    </row>
    <row r="373" spans="10:38">
      <c r="J373" s="139" t="s">
        <v>262</v>
      </c>
      <c r="K373" s="144">
        <f>B154</f>
        <v>125</v>
      </c>
      <c r="L373" s="144">
        <f>K373/M375</f>
        <v>125</v>
      </c>
      <c r="M373" s="145">
        <f>L373/K373</f>
        <v>1</v>
      </c>
      <c r="N373" s="137" t="s">
        <v>1531</v>
      </c>
      <c r="O373" s="140"/>
      <c r="P373" s="140"/>
      <c r="Q373" s="140"/>
      <c r="R373" s="139" t="s">
        <v>1325</v>
      </c>
      <c r="S373" s="143" t="s">
        <v>1326</v>
      </c>
      <c r="T373" s="143" t="s">
        <v>1327</v>
      </c>
      <c r="U373" s="143" t="s">
        <v>1328</v>
      </c>
      <c r="V373" s="143" t="s">
        <v>1329</v>
      </c>
      <c r="W373" s="143" t="s">
        <v>1330</v>
      </c>
      <c r="X373" s="139"/>
      <c r="Z373" s="139">
        <v>2</v>
      </c>
      <c r="AA373" s="140">
        <f>$B$38</f>
        <v>0</v>
      </c>
      <c r="AB373" s="163"/>
      <c r="AC373" s="140">
        <f>AC321</f>
        <v>-19.975848039852647</v>
      </c>
      <c r="AD373" s="163"/>
      <c r="AE373" s="159" t="s">
        <v>1309</v>
      </c>
      <c r="AF373" s="163">
        <f>IF(X372=0,0,(AC372-AC373)/2)</f>
        <v>0</v>
      </c>
      <c r="AG373" s="139" t="s">
        <v>1310</v>
      </c>
      <c r="AH373" s="147">
        <f t="shared" si="79"/>
        <v>0</v>
      </c>
      <c r="AI373" s="147">
        <f t="shared" si="79"/>
        <v>0</v>
      </c>
      <c r="AJ373" s="147">
        <f t="shared" si="79"/>
        <v>0</v>
      </c>
      <c r="AK373" s="147">
        <f t="shared" si="79"/>
        <v>0</v>
      </c>
      <c r="AL373" s="157"/>
    </row>
    <row r="374" spans="10:38">
      <c r="J374" s="137" t="s">
        <v>264</v>
      </c>
      <c r="K374" s="140"/>
      <c r="L374" s="140"/>
      <c r="N374" s="139" t="s">
        <v>265</v>
      </c>
      <c r="O374" s="140">
        <f>A155</f>
        <v>0.02</v>
      </c>
      <c r="P374" s="140">
        <f>O374</f>
        <v>0.02</v>
      </c>
      <c r="Q374" s="140">
        <f>P374/O374</f>
        <v>1</v>
      </c>
      <c r="R374" s="139">
        <v>11</v>
      </c>
      <c r="S374" s="140">
        <f>L391+L392*COS(S370)+L393*COS(S371)</f>
        <v>181.81113884441794</v>
      </c>
      <c r="T374" s="140">
        <f>L391+L392*COS(T370)+L393*COS(T371)</f>
        <v>10.346158729820477</v>
      </c>
      <c r="U374" s="140">
        <f>L391+L392*COS(U370)+L393*COS(U371)</f>
        <v>181.81113884441794</v>
      </c>
      <c r="V374" s="140">
        <f>L391+L392*COS(V370)+L393*COS(V371)</f>
        <v>10.346158729820477</v>
      </c>
      <c r="W374" s="163">
        <f>(S372*S374+T372*T374+U372*U374+V372*V374)</f>
        <v>0</v>
      </c>
      <c r="X374" s="147"/>
      <c r="Z374" s="139">
        <v>6</v>
      </c>
      <c r="AA374" s="140">
        <f>$B$39</f>
        <v>0</v>
      </c>
      <c r="AB374" s="163"/>
      <c r="AC374" s="140">
        <f>AC322</f>
        <v>-91.562516762323497</v>
      </c>
      <c r="AD374" s="163"/>
      <c r="AE374" s="159" t="s">
        <v>1312</v>
      </c>
      <c r="AF374" s="163">
        <f>IF(X372=0,0,AC374/2)</f>
        <v>0</v>
      </c>
      <c r="AG374" s="139"/>
      <c r="AH374" s="163"/>
      <c r="AI374" s="163"/>
      <c r="AJ374" s="163"/>
      <c r="AK374" s="163"/>
      <c r="AL374" s="163"/>
    </row>
    <row r="375" spans="10:38">
      <c r="J375" s="139" t="s">
        <v>1532</v>
      </c>
      <c r="K375" s="140">
        <f>C154</f>
        <v>0.7</v>
      </c>
      <c r="L375" s="140">
        <f>D74</f>
        <v>0.7</v>
      </c>
      <c r="M375" s="145">
        <f t="shared" ref="M375:M384" si="80">L375/K375</f>
        <v>1</v>
      </c>
      <c r="N375" s="139" t="s">
        <v>1533</v>
      </c>
      <c r="O375" s="140">
        <f>B155</f>
        <v>22.5</v>
      </c>
      <c r="P375" s="140">
        <f>O375*(1-L375)/(1-K375)</f>
        <v>22.5</v>
      </c>
      <c r="Q375" s="140">
        <f>P375/O375</f>
        <v>1</v>
      </c>
      <c r="R375" s="139">
        <v>22</v>
      </c>
      <c r="S375" s="140">
        <f>S374-2*L392*COS(S370)</f>
        <v>10.346158729820473</v>
      </c>
      <c r="T375" s="140">
        <f>T374-2*L392*COS(T370)</f>
        <v>181.81113884441794</v>
      </c>
      <c r="U375" s="140">
        <f>U374-2*L392*COS(U370)</f>
        <v>10.346158729820473</v>
      </c>
      <c r="V375" s="140">
        <f>V374-2*L392*COS(V370)</f>
        <v>181.81113884441794</v>
      </c>
      <c r="W375" s="163">
        <f>(S372*S375+T372*T375+U372*U375+V372*V375)</f>
        <v>0</v>
      </c>
      <c r="X375" s="147"/>
      <c r="AA375" s="163"/>
      <c r="AB375" s="163"/>
      <c r="AC375" s="163"/>
      <c r="AD375" s="163"/>
      <c r="AE375" s="159"/>
      <c r="AF375" s="163"/>
      <c r="AG375" s="139"/>
      <c r="AH375" s="163"/>
      <c r="AI375" s="163"/>
      <c r="AJ375" s="163"/>
      <c r="AK375" s="163"/>
      <c r="AL375" s="163"/>
    </row>
    <row r="376" spans="10:38">
      <c r="J376" s="139" t="s">
        <v>1534</v>
      </c>
      <c r="K376" s="144">
        <f>K369/K375</f>
        <v>258.57142857142861</v>
      </c>
      <c r="L376" s="144">
        <f>F74*P370^F155</f>
        <v>258.57142857142861</v>
      </c>
      <c r="M376" s="145">
        <f t="shared" si="80"/>
        <v>1</v>
      </c>
      <c r="N376" s="138" t="s">
        <v>1535</v>
      </c>
      <c r="O376" s="140"/>
      <c r="P376" s="140"/>
      <c r="Q376" s="140"/>
      <c r="R376" s="139" t="s">
        <v>1345</v>
      </c>
      <c r="S376" s="140">
        <f>L394-L393*COS(S371)</f>
        <v>2.8969244443497324</v>
      </c>
      <c r="T376" s="140">
        <f>L394-L393*COS(T371)</f>
        <v>2.8969244443497324</v>
      </c>
      <c r="U376" s="140">
        <f>L394-L393*COS(U371)</f>
        <v>2.8969244443497324</v>
      </c>
      <c r="V376" s="140">
        <f>L394-L393*COS(V371)</f>
        <v>2.8969244443497324</v>
      </c>
      <c r="W376" s="163">
        <f>(S372*S376+T372*T376+U372*U376+V372*V376)</f>
        <v>0</v>
      </c>
      <c r="X376" s="147"/>
      <c r="Z376" s="137" t="s">
        <v>1323</v>
      </c>
      <c r="AA376" s="163"/>
      <c r="AB376" s="163"/>
      <c r="AC376" s="163"/>
      <c r="AD376" s="163"/>
      <c r="AE376" s="159" t="s">
        <v>661</v>
      </c>
      <c r="AF376" s="163">
        <f>L371/L369*L386+L384/L370*L388</f>
        <v>0.42188220063345594</v>
      </c>
      <c r="AG376" s="139"/>
      <c r="AH376" s="163"/>
      <c r="AI376" s="163"/>
      <c r="AJ376" s="163"/>
      <c r="AK376" s="163"/>
      <c r="AL376" s="163"/>
    </row>
    <row r="377" spans="10:38">
      <c r="J377" s="139" t="s">
        <v>1536</v>
      </c>
      <c r="K377" s="140">
        <f>F152</f>
        <v>3.4</v>
      </c>
      <c r="L377" s="140">
        <f>E74*P370^F154*I74</f>
        <v>3.4</v>
      </c>
      <c r="M377" s="145">
        <f t="shared" si="80"/>
        <v>1</v>
      </c>
      <c r="N377" s="139" t="s">
        <v>1537</v>
      </c>
      <c r="O377" s="140">
        <f>C155</f>
        <v>0</v>
      </c>
      <c r="P377" s="140">
        <f>O377</f>
        <v>0</v>
      </c>
      <c r="Q377" s="140">
        <v>1</v>
      </c>
      <c r="R377" s="139">
        <v>66</v>
      </c>
      <c r="S377" s="140">
        <f>S376-L394+L395</f>
        <v>7.1700000000000053</v>
      </c>
      <c r="T377" s="140">
        <f>T376-L394+L395</f>
        <v>7.1700000000000053</v>
      </c>
      <c r="U377" s="140">
        <f>U376-L394+L395</f>
        <v>7.1700000000000053</v>
      </c>
      <c r="V377" s="140">
        <f>V376-L394+L395</f>
        <v>7.1700000000000053</v>
      </c>
      <c r="W377" s="163">
        <f>(S372*S377+T372*T377+U372*U377+V372*V377)</f>
        <v>0</v>
      </c>
      <c r="X377" s="147"/>
      <c r="Z377" s="139" t="s">
        <v>1324</v>
      </c>
      <c r="AA377" s="147">
        <f>(AF372+AF373*COS(AA368)+AF374*SIN(AA368))</f>
        <v>0</v>
      </c>
      <c r="AB377" s="147">
        <f>(AF372+AF373*COS(AB368)+AF374*SIN(AB368))</f>
        <v>0</v>
      </c>
      <c r="AC377" s="147">
        <f>(AF372+AF373*COS(AC368)+AF374*SIN(AC368))</f>
        <v>0</v>
      </c>
      <c r="AD377" s="147">
        <f>(AF372+AF373*COS(AD368)+AF374*SIN(AD368))</f>
        <v>0</v>
      </c>
      <c r="AE377" s="159" t="s">
        <v>664</v>
      </c>
      <c r="AF377" s="163">
        <f>L371/L369*L388+L384/L370*L387</f>
        <v>0.50672214511948566</v>
      </c>
      <c r="AG377" s="137"/>
      <c r="AH377" s="159"/>
      <c r="AI377" s="159"/>
      <c r="AJ377" s="159"/>
      <c r="AK377" s="159"/>
      <c r="AL377" s="163"/>
    </row>
    <row r="378" spans="10:38">
      <c r="J378" s="139" t="s">
        <v>1538</v>
      </c>
      <c r="K378" s="140">
        <f>E154</f>
        <v>0.51600000000000001</v>
      </c>
      <c r="L378" s="140">
        <f>K378*P370^G154</f>
        <v>0.51600000000000001</v>
      </c>
      <c r="M378" s="145">
        <f t="shared" si="80"/>
        <v>1</v>
      </c>
      <c r="N378" s="139" t="s">
        <v>1539</v>
      </c>
      <c r="O378" s="140">
        <f>D155</f>
        <v>0.6</v>
      </c>
      <c r="P378" s="140">
        <f>O378*(1-L375)/(1-K375)</f>
        <v>0.6</v>
      </c>
      <c r="Q378" s="140">
        <f>P378/O378</f>
        <v>1</v>
      </c>
      <c r="R378" s="139" t="s">
        <v>1347</v>
      </c>
      <c r="S378" s="140">
        <f>L392*SIN(S370)/2+L393*SIN(S371)</f>
        <v>0</v>
      </c>
      <c r="T378" s="140">
        <f>L392*SIN(T370)/2+L393*SIN(T371)</f>
        <v>4.221105484146412E-16</v>
      </c>
      <c r="U378" s="140">
        <f>L392*SIN(U370)/2+L393*SIN(U371)</f>
        <v>0</v>
      </c>
      <c r="V378" s="140">
        <f>L392*SIN(V370)/2+L393*SIN(V371)</f>
        <v>4.221105484146412E-16</v>
      </c>
      <c r="W378" s="163">
        <f>(S372*S378+T372*T378+U372*U378+V372*V378)</f>
        <v>0</v>
      </c>
      <c r="X378" s="147"/>
      <c r="Z378" s="139" t="s">
        <v>1332</v>
      </c>
      <c r="AA378" s="147">
        <f>2*AF372-AA377</f>
        <v>0</v>
      </c>
      <c r="AB378" s="147">
        <f>2*AF372-AB377</f>
        <v>0</v>
      </c>
      <c r="AC378" s="147">
        <f>2*AF372-AC377</f>
        <v>0</v>
      </c>
      <c r="AD378" s="147">
        <f>2*AF372-AD377</f>
        <v>0</v>
      </c>
      <c r="AE378" s="159"/>
      <c r="AF378" s="163"/>
      <c r="AG378" s="139" t="s">
        <v>1333</v>
      </c>
      <c r="AH378" s="163">
        <f>P397*AH371^2+2*P399*AH371*AH372+P398*AH372^2+P400*AH373^2</f>
        <v>0</v>
      </c>
      <c r="AI378" s="163">
        <f>P397*AI371^2+2*P399*AI371*AI372+P398*AI372^2+P400*AI373^2</f>
        <v>0</v>
      </c>
      <c r="AJ378" s="163">
        <f>P397*AJ371^2+2*P399*AJ371*AJ372+P398*AJ372^2+P400*AJ373^2</f>
        <v>0</v>
      </c>
      <c r="AK378" s="163">
        <f>P397*AK371^2+2*P399*AK371*AK372+P398*AK372^2+P400*AK373^2</f>
        <v>0</v>
      </c>
      <c r="AL378" s="163"/>
    </row>
    <row r="379" spans="10:38">
      <c r="J379" s="139" t="s">
        <v>1547</v>
      </c>
      <c r="K379" s="140">
        <f>K378*(1-K375)/K375</f>
        <v>0.2211428571428572</v>
      </c>
      <c r="L379" s="140">
        <f>L378*(1-L375)/L375</f>
        <v>0.2211428571428572</v>
      </c>
      <c r="M379" s="145">
        <f t="shared" si="80"/>
        <v>1</v>
      </c>
      <c r="O379" s="140"/>
      <c r="P379" s="140"/>
      <c r="Q379" s="140"/>
      <c r="R379" s="139" t="s">
        <v>1349</v>
      </c>
      <c r="S379" s="140">
        <f>L392*SIN(S370)-S378</f>
        <v>0</v>
      </c>
      <c r="T379" s="140">
        <f>L392*SIN(T370)-T378</f>
        <v>1.0081392224502176E-14</v>
      </c>
      <c r="U379" s="140">
        <f>L392*SIN(U370)-U378</f>
        <v>0</v>
      </c>
      <c r="V379" s="140">
        <f>L392*SIN(V370)-V378</f>
        <v>1.0081392224502176E-14</v>
      </c>
      <c r="W379" s="163">
        <f>(S372*S379+T372*T379+U372*U379+V372*V379)</f>
        <v>0</v>
      </c>
      <c r="X379" s="147"/>
      <c r="Z379" s="139" t="s">
        <v>1334</v>
      </c>
      <c r="AA379" s="147">
        <f>(2*(AF374*COS(AA368)-AF373*SIN(AA368)))</f>
        <v>0</v>
      </c>
      <c r="AB379" s="147">
        <f>(2*(AF374*COS(AB368)-AF373*SIN(AB368)))</f>
        <v>0</v>
      </c>
      <c r="AC379" s="147">
        <f>(2*(AF374*COS(AC368)-AF373*SIN(AC368)))</f>
        <v>0</v>
      </c>
      <c r="AD379" s="147">
        <f>(2*(AF374*COS(AD368)-AF373*SIN(AD368)))</f>
        <v>0</v>
      </c>
      <c r="AE379" s="159"/>
      <c r="AF379" s="163"/>
      <c r="AG379" s="139" t="s">
        <v>1335</v>
      </c>
      <c r="AH379" s="163">
        <f>P401*AH371+P402*AH372</f>
        <v>0</v>
      </c>
      <c r="AI379" s="163">
        <f>P401*AI371+P402*AI372</f>
        <v>0</v>
      </c>
      <c r="AJ379" s="163">
        <f>P401*AJ371+P402*AJ372</f>
        <v>0</v>
      </c>
      <c r="AK379" s="163">
        <f>P401*AK371+P402*AK372</f>
        <v>0</v>
      </c>
      <c r="AL379" s="163"/>
    </row>
    <row r="380" spans="10:38">
      <c r="J380" s="139" t="s">
        <v>1643</v>
      </c>
      <c r="K380" s="140">
        <f>1/((1+K379)/K370-K379/K377)</f>
        <v>18.686160319541436</v>
      </c>
      <c r="L380" s="140">
        <f>K380*P370^F155</f>
        <v>18.686160319541436</v>
      </c>
      <c r="M380" s="145">
        <f t="shared" si="80"/>
        <v>1</v>
      </c>
      <c r="N380" s="138" t="s">
        <v>176</v>
      </c>
      <c r="O380" s="140"/>
      <c r="P380" s="140"/>
      <c r="Q380" s="140"/>
      <c r="R380" s="139"/>
      <c r="S380" s="143"/>
      <c r="T380" s="143"/>
      <c r="U380" s="143"/>
      <c r="V380" s="139"/>
      <c r="W380" s="143"/>
      <c r="Z380" s="139" t="s">
        <v>671</v>
      </c>
      <c r="AA380" s="164">
        <f>S398*S372</f>
        <v>0</v>
      </c>
      <c r="AB380" s="164">
        <f>T398*T372</f>
        <v>0</v>
      </c>
      <c r="AC380" s="164">
        <f>U398*U372</f>
        <v>0</v>
      </c>
      <c r="AD380" s="164">
        <f>V398*V372</f>
        <v>0</v>
      </c>
      <c r="AE380" s="164">
        <f>W372*(P375+P374*AF376+AF377*P375)-AF376*SUM(AA380:AD380)-AF377*SUM(AA381:AD381)</f>
        <v>0</v>
      </c>
      <c r="AF380" s="164"/>
      <c r="AG380" s="139" t="s">
        <v>1344</v>
      </c>
      <c r="AH380" s="163" t="e">
        <f>AH379/2/AH378</f>
        <v>#DIV/0!</v>
      </c>
      <c r="AI380" s="163" t="e">
        <f>AI379/2/AI378</f>
        <v>#DIV/0!</v>
      </c>
      <c r="AJ380" s="163" t="e">
        <f>AJ379/2/AJ378</f>
        <v>#DIV/0!</v>
      </c>
      <c r="AK380" s="163" t="e">
        <f>AK379/2/AK378</f>
        <v>#DIV/0!</v>
      </c>
      <c r="AL380" s="163"/>
    </row>
    <row r="381" spans="10:38">
      <c r="J381" s="139" t="s">
        <v>295</v>
      </c>
      <c r="K381" s="140">
        <f>E155</f>
        <v>0.316</v>
      </c>
      <c r="L381" s="140">
        <f>K381*P370^G154</f>
        <v>0.316</v>
      </c>
      <c r="M381" s="145">
        <f t="shared" si="80"/>
        <v>1</v>
      </c>
      <c r="N381" s="139" t="s">
        <v>296</v>
      </c>
      <c r="O381" s="144">
        <f>A153</f>
        <v>1500</v>
      </c>
      <c r="P381" s="144">
        <f>P387*L375</f>
        <v>1500</v>
      </c>
      <c r="Q381" s="140">
        <f t="shared" ref="Q381:Q388" si="81">P381/O381</f>
        <v>1</v>
      </c>
      <c r="R381" s="139"/>
      <c r="T381" s="164"/>
      <c r="U381" s="140"/>
      <c r="V381" s="140"/>
      <c r="W381" s="140"/>
      <c r="X381" s="143"/>
      <c r="Y381" s="139"/>
      <c r="Z381" s="139" t="s">
        <v>675</v>
      </c>
      <c r="AA381" s="164">
        <f>S399*S372</f>
        <v>0</v>
      </c>
      <c r="AB381" s="164">
        <f>T399*T372</f>
        <v>0</v>
      </c>
      <c r="AC381" s="164">
        <f>U399*U372</f>
        <v>0</v>
      </c>
      <c r="AD381" s="164">
        <f>V399*V372</f>
        <v>0</v>
      </c>
      <c r="AE381" s="164"/>
      <c r="AF381" s="164"/>
      <c r="AG381" s="139"/>
      <c r="AH381" s="163"/>
      <c r="AI381" s="163"/>
      <c r="AJ381" s="163"/>
      <c r="AK381" s="163"/>
      <c r="AL381" s="163"/>
    </row>
    <row r="382" spans="10:38">
      <c r="J382" s="139" t="s">
        <v>301</v>
      </c>
      <c r="K382" s="140">
        <f>K381*(1-K375)/K375</f>
        <v>0.13542857142857145</v>
      </c>
      <c r="L382" s="140">
        <f>L381*(1-L375)/L375</f>
        <v>0.13542857142857145</v>
      </c>
      <c r="M382" s="145">
        <f t="shared" si="80"/>
        <v>1</v>
      </c>
      <c r="N382" s="139" t="s">
        <v>302</v>
      </c>
      <c r="O382" s="144">
        <f>B153</f>
        <v>1500</v>
      </c>
      <c r="P382" s="144">
        <f>O382*Q381*M372^F156</f>
        <v>1500</v>
      </c>
      <c r="Q382" s="140">
        <f t="shared" si="81"/>
        <v>1</v>
      </c>
      <c r="R382" s="139"/>
      <c r="T382" s="164"/>
      <c r="U382" s="140"/>
      <c r="V382" s="140"/>
      <c r="W382" s="140"/>
      <c r="X382" s="140"/>
      <c r="Y382" s="140"/>
      <c r="Z382" s="139" t="s">
        <v>677</v>
      </c>
      <c r="AA382" s="164">
        <f>S400*S372</f>
        <v>0</v>
      </c>
      <c r="AB382" s="164">
        <f>T400*T372</f>
        <v>0</v>
      </c>
      <c r="AC382" s="164">
        <f>U400*U372</f>
        <v>0</v>
      </c>
      <c r="AD382" s="164">
        <f>V400*V372</f>
        <v>0</v>
      </c>
      <c r="AE382" s="164">
        <f>W372*(P378+P377*AF376+AF377*P378)-AF376*SUM(AA382:AD382)-AF377*SUM(AA383:AD383)</f>
        <v>0</v>
      </c>
      <c r="AF382" s="164"/>
      <c r="AG382" s="139"/>
      <c r="AH382" s="163"/>
      <c r="AI382" s="147"/>
      <c r="AJ382" s="163"/>
      <c r="AK382" s="163"/>
      <c r="AL382" s="163"/>
    </row>
    <row r="383" spans="10:38">
      <c r="J383" s="139" t="s">
        <v>304</v>
      </c>
      <c r="K383" s="140">
        <f>1/((1+K382)/K372-K382*2.7/K377)</f>
        <v>19.680382632972858</v>
      </c>
      <c r="L383" s="140">
        <f>K383*P370^F155</f>
        <v>19.680382632972858</v>
      </c>
      <c r="M383" s="145">
        <f t="shared" si="80"/>
        <v>1</v>
      </c>
      <c r="N383" s="139" t="s">
        <v>305</v>
      </c>
      <c r="O383" s="144">
        <f>C153</f>
        <v>40</v>
      </c>
      <c r="P383" s="144">
        <f>O383*Q388</f>
        <v>40</v>
      </c>
      <c r="Q383" s="140">
        <f t="shared" si="81"/>
        <v>1</v>
      </c>
      <c r="R383" s="139"/>
      <c r="T383" s="164"/>
      <c r="U383" s="140"/>
      <c r="V383" s="140"/>
      <c r="W383" s="140"/>
      <c r="X383" s="140"/>
      <c r="Y383" s="140"/>
      <c r="Z383" s="138" t="s">
        <v>679</v>
      </c>
      <c r="AA383" s="164">
        <f>S401*S372</f>
        <v>0</v>
      </c>
      <c r="AB383" s="164">
        <f>T401*T372</f>
        <v>0</v>
      </c>
      <c r="AC383" s="164">
        <f>U401*U372</f>
        <v>0</v>
      </c>
      <c r="AD383" s="164">
        <f>V401*V372</f>
        <v>0</v>
      </c>
      <c r="AE383" s="164"/>
      <c r="AF383" s="164"/>
      <c r="AG383" s="139"/>
      <c r="AH383" s="163"/>
      <c r="AI383" s="163"/>
      <c r="AJ383" s="163"/>
      <c r="AK383" s="163"/>
      <c r="AL383" s="159" t="s">
        <v>1348</v>
      </c>
    </row>
    <row r="384" spans="10:38">
      <c r="J384" s="139" t="s">
        <v>1581</v>
      </c>
      <c r="K384" s="140">
        <f>F156</f>
        <v>0.5</v>
      </c>
      <c r="L384" s="140">
        <f>K384</f>
        <v>0.5</v>
      </c>
      <c r="M384" s="140">
        <f t="shared" si="80"/>
        <v>1</v>
      </c>
      <c r="N384" s="139" t="s">
        <v>1542</v>
      </c>
      <c r="O384" s="144">
        <f>D153</f>
        <v>246</v>
      </c>
      <c r="P384" s="144">
        <f>O384*Q388</f>
        <v>246</v>
      </c>
      <c r="Q384" s="140">
        <f t="shared" si="81"/>
        <v>1</v>
      </c>
      <c r="R384" s="139"/>
      <c r="T384" s="164"/>
      <c r="U384" s="140"/>
      <c r="V384" s="140"/>
      <c r="W384" s="138"/>
      <c r="X384" s="140"/>
      <c r="Y384" s="140"/>
      <c r="Z384" s="139" t="s">
        <v>682</v>
      </c>
      <c r="AA384" s="164">
        <f>S372*(AA377+S402/1000)</f>
        <v>0</v>
      </c>
      <c r="AB384" s="164">
        <f>T372*(AB377+T402/1000)</f>
        <v>0</v>
      </c>
      <c r="AC384" s="164">
        <f>U372*(AC377+U402/1000)</f>
        <v>0</v>
      </c>
      <c r="AD384" s="164">
        <f>V372*(AD377+V402/1000)</f>
        <v>0</v>
      </c>
      <c r="AE384" s="164">
        <f>W372*((1+AF377)*(P375*P371/1000000+P378*P367)+AF376*(P374*P371/1000000+P377*P367))*1000-AF376*SUM(AA384:AD384)-AF377*SUM(AA385:AD385)</f>
        <v>0</v>
      </c>
      <c r="AF384" s="164"/>
      <c r="AG384" s="139" t="s">
        <v>1351</v>
      </c>
      <c r="AH384" s="147" t="e">
        <f>(AH380^2+1/AH378)^0.5-AH380</f>
        <v>#DIV/0!</v>
      </c>
      <c r="AI384" s="147" t="e">
        <f>(AI380^2+1/AI378)^0.5-AI380</f>
        <v>#DIV/0!</v>
      </c>
      <c r="AJ384" s="147" t="e">
        <f>(AJ380^2+1/AJ378)^0.5-AJ380</f>
        <v>#DIV/0!</v>
      </c>
      <c r="AK384" s="147" t="e">
        <f>(AK380^2+1/AK378)^0.5-AK380</f>
        <v>#DIV/0!</v>
      </c>
      <c r="AL384" s="147">
        <f>MIN(AH385:AK385)</f>
        <v>1000000000</v>
      </c>
    </row>
    <row r="385" spans="10:38">
      <c r="J385" s="138" t="s">
        <v>1507</v>
      </c>
      <c r="N385" s="139" t="s">
        <v>1543</v>
      </c>
      <c r="O385" s="165">
        <f>E153</f>
        <v>68</v>
      </c>
      <c r="P385" s="165">
        <f>O385*Q388</f>
        <v>68</v>
      </c>
      <c r="Q385" s="140">
        <f t="shared" si="81"/>
        <v>1</v>
      </c>
      <c r="R385" s="139"/>
      <c r="T385" s="164"/>
      <c r="U385" s="140"/>
      <c r="V385" s="140"/>
      <c r="W385" s="138"/>
      <c r="X385" s="138"/>
      <c r="Z385" s="139" t="s">
        <v>685</v>
      </c>
      <c r="AA385" s="164">
        <f>S372*(AA378+S403/1000)</f>
        <v>0</v>
      </c>
      <c r="AB385" s="164">
        <f>T372*(AB378+T403/1000)</f>
        <v>0</v>
      </c>
      <c r="AC385" s="164">
        <f>U372*(AC378+U403/1000)</f>
        <v>0</v>
      </c>
      <c r="AD385" s="164">
        <f>V372*(AD378+V403/1000)</f>
        <v>0</v>
      </c>
      <c r="AE385" s="164"/>
      <c r="AF385" s="164"/>
      <c r="AG385" s="139"/>
      <c r="AH385" s="147">
        <f>IF(AH367=0,1000000000,AH384)</f>
        <v>1000000000</v>
      </c>
      <c r="AI385" s="147">
        <f>IF(AI367=0,1000000000,AI384)</f>
        <v>1000000000</v>
      </c>
      <c r="AJ385" s="147">
        <f>IF(AJ367=0,1000000000,AJ384)</f>
        <v>1000000000</v>
      </c>
      <c r="AK385" s="147">
        <f>IF(AK367=0,1000000000,AK384)</f>
        <v>1000000000</v>
      </c>
    </row>
    <row r="386" spans="10:38">
      <c r="J386" s="139" t="s">
        <v>1354</v>
      </c>
      <c r="K386" s="140">
        <f>K369/(1-K371^2*K370/K369)</f>
        <v>181.81113884441791</v>
      </c>
      <c r="L386" s="140">
        <f>L369/(1-L371^2*L370/L369)</f>
        <v>181.81113884441794</v>
      </c>
      <c r="M386" s="145">
        <f>L386/K386</f>
        <v>1.0000000000000002</v>
      </c>
      <c r="N386" s="139" t="s">
        <v>1168</v>
      </c>
      <c r="O386" s="145">
        <f>A154</f>
        <v>-0.5</v>
      </c>
      <c r="P386" s="145">
        <f>O386*I74</f>
        <v>-0.5</v>
      </c>
      <c r="Q386" s="140">
        <f t="shared" si="81"/>
        <v>1</v>
      </c>
      <c r="R386" s="139"/>
      <c r="T386" s="164"/>
      <c r="U386" s="140"/>
      <c r="V386" s="140"/>
      <c r="W386" s="138"/>
      <c r="X386" s="138"/>
      <c r="Z386" s="138" t="s">
        <v>686</v>
      </c>
      <c r="AA386" s="140">
        <f>($AF376*COS(AA369)^2+$AF377*SIN(AA369)^2)*S372</f>
        <v>0</v>
      </c>
      <c r="AB386" s="140">
        <f>($AF376*COS(AB369)^2+$AF377*SIN(AB369)^2)*T372</f>
        <v>0</v>
      </c>
      <c r="AC386" s="140">
        <f>($AF376*COS(AC369)^2+$AF377*SIN(AC369)^2)*U372</f>
        <v>0</v>
      </c>
      <c r="AD386" s="140">
        <f>($AF376*COS(AD369)^2+$AF377*SIN(AD369)^2)*V372</f>
        <v>0</v>
      </c>
      <c r="AE386" s="163">
        <f>SUM(AA386:AD386)</f>
        <v>0</v>
      </c>
      <c r="AF386" s="163"/>
      <c r="AG386" s="138" t="s">
        <v>1360</v>
      </c>
      <c r="AH386" s="147">
        <f>IF(AH367=0,0,AH384)</f>
        <v>0</v>
      </c>
      <c r="AI386" s="147">
        <f>IF(AI367=0,0,AI384)</f>
        <v>0</v>
      </c>
      <c r="AJ386" s="147">
        <f>IF(AJ367=0,0,AJ384)</f>
        <v>0</v>
      </c>
      <c r="AK386" s="147">
        <f>IF(AK367=0,0,AK384)</f>
        <v>0</v>
      </c>
    </row>
    <row r="387" spans="10:38">
      <c r="J387" s="139" t="s">
        <v>1361</v>
      </c>
      <c r="K387" s="140">
        <f>K386*K370/K369</f>
        <v>10.346158729820468</v>
      </c>
      <c r="L387" s="140">
        <f>L386*L370/L369</f>
        <v>10.346158729820468</v>
      </c>
      <c r="M387" s="145">
        <f>L387/K387</f>
        <v>1</v>
      </c>
      <c r="N387" s="139" t="s">
        <v>1175</v>
      </c>
      <c r="O387" s="144">
        <f>O381/K375</f>
        <v>2142.8571428571431</v>
      </c>
      <c r="P387" s="144">
        <f>H74*P370^G155</f>
        <v>2142.8571428571431</v>
      </c>
      <c r="Q387" s="140">
        <f t="shared" si="81"/>
        <v>1</v>
      </c>
      <c r="T387" s="147"/>
      <c r="U387" s="141"/>
      <c r="V387" s="141"/>
      <c r="W387" s="138"/>
      <c r="X387" s="138"/>
      <c r="Z387" s="138" t="s">
        <v>689</v>
      </c>
      <c r="AA387" s="140">
        <f>($AF376*SIN(AA369)^2+$AF377*COS(AA369)^2)*S372</f>
        <v>0</v>
      </c>
      <c r="AB387" s="140">
        <f>($AF376*SIN(AB369)^2+$AF377*COS(AB369)^2)*T372</f>
        <v>0</v>
      </c>
      <c r="AC387" s="140">
        <f>($AF376*SIN(AC369)^2+$AF377*COS(AC369)^2)*U372</f>
        <v>0</v>
      </c>
      <c r="AD387" s="140">
        <f>($AF376*SIN(AD369)^2+$AF377*COS(AD369)^2)*V372</f>
        <v>0</v>
      </c>
      <c r="AE387" s="163">
        <f>SUM(AA387:AD387)</f>
        <v>0</v>
      </c>
      <c r="AF387" s="163"/>
      <c r="AG387" s="139" t="s">
        <v>1364</v>
      </c>
      <c r="AH387" s="138">
        <f>(S402-P374*P371)/1000000-P377*P367</f>
        <v>3.7599999999999944E-4</v>
      </c>
      <c r="AI387" s="138">
        <f>(T402-P374*P371)/1000000-P377*P367</f>
        <v>3.7599999999999965E-4</v>
      </c>
      <c r="AJ387" s="157">
        <f>(U402-P374*P371)/1000000-P377*P367</f>
        <v>3.7599999999999944E-4</v>
      </c>
      <c r="AK387" s="157">
        <f>(V402-P374*P371)/1000000-P377*P367</f>
        <v>3.7599999999999965E-4</v>
      </c>
      <c r="AL387" s="163"/>
    </row>
    <row r="388" spans="10:38">
      <c r="J388" s="139" t="s">
        <v>1365</v>
      </c>
      <c r="K388" s="140">
        <f>K387*K371</f>
        <v>2.8969244443497315</v>
      </c>
      <c r="L388" s="140">
        <f>L387*L371</f>
        <v>2.8969244443497315</v>
      </c>
      <c r="M388" s="145">
        <f>L388/K388</f>
        <v>1</v>
      </c>
      <c r="N388" s="139" t="s">
        <v>1176</v>
      </c>
      <c r="O388" s="144">
        <f>O383</f>
        <v>40</v>
      </c>
      <c r="P388" s="144">
        <f>G74*P370^H154</f>
        <v>40</v>
      </c>
      <c r="Q388" s="140">
        <f t="shared" si="81"/>
        <v>1</v>
      </c>
      <c r="R388" s="137" t="s">
        <v>1185</v>
      </c>
      <c r="U388" s="141"/>
      <c r="W388" s="138"/>
      <c r="X388" s="138"/>
      <c r="AA388" s="140"/>
      <c r="AE388" s="163"/>
      <c r="AF388" s="163"/>
      <c r="AG388" s="139" t="s">
        <v>1367</v>
      </c>
      <c r="AH388" s="138">
        <f>(S403-P375*P371)/1000000-P378*P367</f>
        <v>-3.7600000000000047E-4</v>
      </c>
      <c r="AI388" s="138">
        <f>(T403-P375*P371)/1000000-P378*P367</f>
        <v>-3.7600000000000047E-4</v>
      </c>
      <c r="AJ388" s="157">
        <f>(U403-P375*P371)/1000000-P378*P367</f>
        <v>-3.7600000000000047E-4</v>
      </c>
      <c r="AK388" s="157">
        <f>(V403-P375*P371)/1000000-P378*P367</f>
        <v>-3.7600000000000047E-4</v>
      </c>
      <c r="AL388" s="163"/>
    </row>
    <row r="389" spans="10:38">
      <c r="J389" s="139" t="s">
        <v>1370</v>
      </c>
      <c r="K389" s="140">
        <f>K372</f>
        <v>7.17</v>
      </c>
      <c r="L389" s="140">
        <f>L372</f>
        <v>7.17</v>
      </c>
      <c r="M389" s="145">
        <f>L389/K389</f>
        <v>1</v>
      </c>
      <c r="R389" s="143" t="s">
        <v>695</v>
      </c>
      <c r="S389" s="147">
        <f>S372*COS(S370)</f>
        <v>0</v>
      </c>
      <c r="T389" s="147">
        <f>T372*COS(T370)</f>
        <v>0</v>
      </c>
      <c r="U389" s="147">
        <f>U372*COS(U370)</f>
        <v>0</v>
      </c>
      <c r="V389" s="147">
        <f>V372*COS(V370)</f>
        <v>0</v>
      </c>
      <c r="W389" s="147">
        <f>SUM(S389:V389)</f>
        <v>0</v>
      </c>
      <c r="X389" s="138"/>
      <c r="AF389" s="163"/>
      <c r="AG389" s="139" t="s">
        <v>1372</v>
      </c>
      <c r="AH389" s="138">
        <f>S417/1000000</f>
        <v>0</v>
      </c>
      <c r="AI389" s="138">
        <f>T417/1000000</f>
        <v>0</v>
      </c>
      <c r="AJ389" s="157">
        <f>U417/1000000</f>
        <v>0</v>
      </c>
      <c r="AK389" s="157">
        <f>V417/1000000</f>
        <v>0</v>
      </c>
      <c r="AL389" s="163"/>
    </row>
    <row r="390" spans="10:38">
      <c r="J390" s="138" t="s">
        <v>1510</v>
      </c>
      <c r="K390" s="140"/>
      <c r="L390" s="140"/>
      <c r="N390" s="138" t="s">
        <v>1375</v>
      </c>
      <c r="R390" s="139" t="s">
        <v>696</v>
      </c>
      <c r="S390" s="147">
        <f>S372*SIN(S370)</f>
        <v>0</v>
      </c>
      <c r="T390" s="147">
        <f>T372*SIN(T370)</f>
        <v>0</v>
      </c>
      <c r="U390" s="147">
        <f>U372*SIN(U370)</f>
        <v>0</v>
      </c>
      <c r="V390" s="147">
        <f>V372*SIN(V370)</f>
        <v>0</v>
      </c>
      <c r="W390" s="147">
        <f>SUM(S390:V390)</f>
        <v>0</v>
      </c>
      <c r="X390" s="138"/>
      <c r="AF390" s="163"/>
      <c r="AG390" s="163"/>
      <c r="AH390" s="163"/>
      <c r="AI390" s="163"/>
      <c r="AJ390" s="163"/>
      <c r="AK390" s="163"/>
      <c r="AL390" s="163"/>
    </row>
    <row r="391" spans="10:38">
      <c r="J391" s="139" t="s">
        <v>1380</v>
      </c>
      <c r="K391" s="140">
        <f>(3*K386+3*K387+2*K388+4*K389)/8</f>
        <v>76.368217701426829</v>
      </c>
      <c r="L391" s="140">
        <f>(3*L386+3*L387+2*L388+4*L389)/8</f>
        <v>76.368217701426843</v>
      </c>
      <c r="M391" s="145">
        <f>L391/K391</f>
        <v>1.0000000000000002</v>
      </c>
      <c r="N391" s="139" t="s">
        <v>1381</v>
      </c>
      <c r="O391" s="140">
        <f>1/O381/O382*1000000</f>
        <v>0.44444444444444442</v>
      </c>
      <c r="P391" s="140">
        <f>1/P381/P382*1000000</f>
        <v>0.44444444444444442</v>
      </c>
      <c r="Q391" s="140">
        <f>P391/O391</f>
        <v>1</v>
      </c>
      <c r="R391" s="139"/>
      <c r="S391" s="138" t="s">
        <v>698</v>
      </c>
      <c r="T391" s="137"/>
      <c r="U391" s="143" t="s">
        <v>700</v>
      </c>
      <c r="V391" s="137"/>
      <c r="W391" s="137" t="s">
        <v>702</v>
      </c>
      <c r="X391" s="138"/>
      <c r="Y391" s="137" t="s">
        <v>704</v>
      </c>
      <c r="Z391" s="137" t="s">
        <v>705</v>
      </c>
      <c r="AA391" s="138" t="s">
        <v>706</v>
      </c>
      <c r="AB391" s="139"/>
      <c r="AC391" s="139"/>
      <c r="AF391" s="138"/>
      <c r="AG391" s="159" t="s">
        <v>1383</v>
      </c>
      <c r="AH391" s="166">
        <f>P397*AH387^2+2*P399*AH387*AH388+P398*AH388^2+P400*AH389^2</f>
        <v>4.0749146542514705E-3</v>
      </c>
      <c r="AI391" s="163">
        <f>P397*AI387^2+2*P399*AI387*AI388+P398*AI388^2+P400*AI389^2</f>
        <v>4.0749146542514731E-3</v>
      </c>
      <c r="AJ391" s="163">
        <f>P397*AJ387^2+2*P399*AJ387*AJ388+P398*AJ388^2+P400*AJ389^2</f>
        <v>4.0749146542514705E-3</v>
      </c>
      <c r="AK391" s="163">
        <f>P397*AK387^2+2*P399*AK387*AK388+P398*AK388^2+P400*AK389^2</f>
        <v>4.0749146542514731E-3</v>
      </c>
      <c r="AL391" s="163"/>
    </row>
    <row r="392" spans="10:38">
      <c r="J392" s="139" t="s">
        <v>1384</v>
      </c>
      <c r="K392" s="140">
        <f>(K386-K387)/2</f>
        <v>85.732490057298719</v>
      </c>
      <c r="L392" s="140">
        <f>(L386-L387)/2</f>
        <v>85.732490057298733</v>
      </c>
      <c r="M392" s="145">
        <f>L392/K392</f>
        <v>1.0000000000000002</v>
      </c>
      <c r="N392" s="139" t="s">
        <v>1385</v>
      </c>
      <c r="O392" s="140">
        <f>1/O383/O384*1000000</f>
        <v>101.6260162601626</v>
      </c>
      <c r="P392" s="140">
        <f>1/P383/P384*1000000</f>
        <v>101.6260162601626</v>
      </c>
      <c r="Q392" s="140">
        <f>P392/O392</f>
        <v>1</v>
      </c>
      <c r="R392" s="139">
        <v>1</v>
      </c>
      <c r="S392" s="138">
        <f>(S396*W372+S397*W389)</f>
        <v>0</v>
      </c>
      <c r="T392" s="138"/>
      <c r="U392" s="138">
        <f>(T396*W372+T397*W389)</f>
        <v>0</v>
      </c>
      <c r="V392" s="147"/>
      <c r="W392" s="138">
        <f>S392*P371+U392*P367</f>
        <v>0</v>
      </c>
      <c r="X392" s="147"/>
      <c r="Y392" s="138">
        <f t="shared" ref="Y392:AA394" si="82">Y340</f>
        <v>11.259999999999984</v>
      </c>
      <c r="Z392" s="138">
        <f t="shared" si="82"/>
        <v>0.29999999999999954</v>
      </c>
      <c r="AA392" s="138">
        <f t="shared" si="82"/>
        <v>373.99999999999937</v>
      </c>
      <c r="AB392" s="147"/>
      <c r="AC392" s="147"/>
      <c r="AF392" s="138"/>
      <c r="AG392" s="159" t="s">
        <v>1387</v>
      </c>
      <c r="AH392" s="166">
        <f>P401*AH387+P402*AH388</f>
        <v>-5.8636980773925068E-2</v>
      </c>
      <c r="AI392" s="163">
        <f>P401*AI387+P402*AI388</f>
        <v>-5.8636980773925054E-2</v>
      </c>
      <c r="AJ392" s="163">
        <f>P401*AJ387+P402*AJ388</f>
        <v>-5.8636980773925068E-2</v>
      </c>
      <c r="AK392" s="163">
        <f>P401*AK387+P402*AK388</f>
        <v>-5.8636980773925054E-2</v>
      </c>
      <c r="AL392" s="163"/>
    </row>
    <row r="393" spans="10:38">
      <c r="J393" s="139" t="s">
        <v>1388</v>
      </c>
      <c r="K393" s="140">
        <f>(K386+K387-2*K388-4*K389)/8</f>
        <v>19.710431085692363</v>
      </c>
      <c r="L393" s="140">
        <f>(L386+L387-2*L388-4*L389)/8</f>
        <v>19.710431085692367</v>
      </c>
      <c r="M393" s="145">
        <f>L393/K393</f>
        <v>1.0000000000000002</v>
      </c>
      <c r="N393" s="139" t="s">
        <v>1389</v>
      </c>
      <c r="O393" s="140">
        <f>O386*(O391*O392)^0.5</f>
        <v>-3.3603243272729659</v>
      </c>
      <c r="P393" s="140">
        <f>P386*(P391*P392)^0.5</f>
        <v>-3.3603243272729659</v>
      </c>
      <c r="Q393" s="140">
        <f>P393/O393</f>
        <v>1</v>
      </c>
      <c r="R393" s="139">
        <v>2</v>
      </c>
      <c r="S393" s="138">
        <f>(S396*W372-S397*W389)</f>
        <v>0</v>
      </c>
      <c r="T393" s="138"/>
      <c r="U393" s="138">
        <f>(T396*W372-T397*W389)</f>
        <v>0</v>
      </c>
      <c r="V393" s="147"/>
      <c r="W393" s="138">
        <f>S393*P371+U393*P367</f>
        <v>0</v>
      </c>
      <c r="X393" s="147"/>
      <c r="Y393" s="138">
        <f t="shared" si="82"/>
        <v>11.259999999999993</v>
      </c>
      <c r="Z393" s="138">
        <f t="shared" si="82"/>
        <v>0.29999999999999977</v>
      </c>
      <c r="AA393" s="138">
        <f t="shared" si="82"/>
        <v>373.99999999999966</v>
      </c>
      <c r="AB393" s="147"/>
      <c r="AC393" s="147"/>
      <c r="AF393" s="138"/>
      <c r="AG393" s="159" t="s">
        <v>1390</v>
      </c>
      <c r="AH393" s="166">
        <f>AH391+AH392</f>
        <v>-5.4562066119673597E-2</v>
      </c>
      <c r="AI393" s="163">
        <f>AI391+AI392</f>
        <v>-5.4562066119673583E-2</v>
      </c>
      <c r="AJ393" s="163">
        <f>AJ391+AJ392</f>
        <v>-5.4562066119673597E-2</v>
      </c>
      <c r="AK393" s="163">
        <f>AK391+AK392</f>
        <v>-5.4562066119673583E-2</v>
      </c>
      <c r="AL393" s="163"/>
    </row>
    <row r="394" spans="10:38">
      <c r="J394" s="139" t="s">
        <v>1391</v>
      </c>
      <c r="K394" s="140">
        <f>(K386+K387+6*K388-4*K389)/8</f>
        <v>22.607355530042096</v>
      </c>
      <c r="L394" s="140">
        <f>(L386+L387+6*L388-4*L389)/8</f>
        <v>22.607355530042099</v>
      </c>
      <c r="M394" s="145">
        <f>L394/K394</f>
        <v>1.0000000000000002</v>
      </c>
      <c r="N394" s="139" t="s">
        <v>1392</v>
      </c>
      <c r="O394" s="140">
        <f>1/O385^2*1000000</f>
        <v>216.26297577854672</v>
      </c>
      <c r="P394" s="140">
        <f>1/P385^2*1000000</f>
        <v>216.26297577854672</v>
      </c>
      <c r="Q394" s="140">
        <f>P394/O394</f>
        <v>1</v>
      </c>
      <c r="R394" s="139">
        <v>6</v>
      </c>
      <c r="S394" s="139">
        <f>S397*W390</f>
        <v>0</v>
      </c>
      <c r="T394" s="138"/>
      <c r="U394" s="139">
        <f>T397*W390</f>
        <v>0</v>
      </c>
      <c r="V394" s="147"/>
      <c r="W394" s="138">
        <f>S394*P371+U394*P367</f>
        <v>0</v>
      </c>
      <c r="X394" s="147"/>
      <c r="Y394" s="138">
        <f t="shared" si="82"/>
        <v>-22.479999999999976</v>
      </c>
      <c r="Z394" s="138">
        <f t="shared" si="82"/>
        <v>-0.5999999999999992</v>
      </c>
      <c r="AA394" s="138">
        <f t="shared" si="82"/>
        <v>-397.02012514617672</v>
      </c>
      <c r="AB394" s="147"/>
      <c r="AC394" s="147"/>
      <c r="AF394" s="138"/>
      <c r="AG394" s="159" t="s">
        <v>1395</v>
      </c>
      <c r="AH394" s="166">
        <f>-1+AH393</f>
        <v>-1.0545620661196735</v>
      </c>
      <c r="AI394" s="163">
        <f>-1+AI393</f>
        <v>-1.0545620661196735</v>
      </c>
      <c r="AJ394" s="163">
        <f>-1+AJ393</f>
        <v>-1.0545620661196735</v>
      </c>
      <c r="AK394" s="163">
        <f>-1+AK393</f>
        <v>-1.0545620661196735</v>
      </c>
      <c r="AL394" s="163"/>
    </row>
    <row r="395" spans="10:38">
      <c r="J395" s="139" t="s">
        <v>1396</v>
      </c>
      <c r="K395" s="140">
        <f>(K391-K394)/2</f>
        <v>26.880431085692365</v>
      </c>
      <c r="L395" s="140">
        <f>(L391-L394)/2</f>
        <v>26.880431085692372</v>
      </c>
      <c r="M395" s="145">
        <f>L395/K395</f>
        <v>1.0000000000000002</v>
      </c>
      <c r="N395" s="139" t="s">
        <v>1397</v>
      </c>
      <c r="O395" s="140">
        <f>(1/O381-1/O382)*1000</f>
        <v>0</v>
      </c>
      <c r="P395" s="140">
        <f>(1/P381-1/P382)*1000</f>
        <v>0</v>
      </c>
      <c r="Q395" s="140">
        <f>IF(O395=0,1,P395/O395)</f>
        <v>1</v>
      </c>
      <c r="R395" s="143"/>
      <c r="S395" s="143" t="s">
        <v>709</v>
      </c>
      <c r="T395" s="143" t="s">
        <v>710</v>
      </c>
      <c r="U395" s="143"/>
      <c r="V395" s="141"/>
      <c r="W395" s="138"/>
      <c r="X395" s="139" t="s">
        <v>711</v>
      </c>
      <c r="Y395" s="138">
        <f>(Y392+Y393)/2</f>
        <v>11.259999999999987</v>
      </c>
      <c r="Z395" s="138">
        <f>(Z392+Z393)/2</f>
        <v>0.29999999999999966</v>
      </c>
      <c r="AA395" s="138">
        <f>(AA392+AA393)/2</f>
        <v>373.99999999999955</v>
      </c>
      <c r="AF395" s="138"/>
      <c r="AG395" s="159" t="s">
        <v>1399</v>
      </c>
      <c r="AH395" s="166">
        <f>2*(P397*AH371*AH387+P398*AH372*AH388+P399*(AH371*AH388+AH387*AH372)+P400*AH373*AH389)</f>
        <v>0</v>
      </c>
      <c r="AI395" s="163">
        <f>2*(P397*AI371*AI387+P398*AI372*AI388+P399*(AI371*AI388+AI387*AI372)+P400*AI373*AI389)</f>
        <v>0</v>
      </c>
      <c r="AJ395" s="163">
        <f>2*(P397*AJ371*AJ387+P398*AJ372*AJ388+P399*(AJ371*AJ388+AJ387*AJ372)+P400*AJ373*AJ389)</f>
        <v>0</v>
      </c>
      <c r="AK395" s="163">
        <f>2*(P397*AK371*AK387+P398*AK372*AK388+P399*(AK371*AK388+AK387*AK372)+P400*AK373*AK389)</f>
        <v>0</v>
      </c>
      <c r="AL395" s="163"/>
    </row>
    <row r="396" spans="10:38">
      <c r="J396" s="138" t="s">
        <v>1400</v>
      </c>
      <c r="N396" s="139" t="s">
        <v>1401</v>
      </c>
      <c r="O396" s="140">
        <f>(1/O383-1/O384)*1000</f>
        <v>20.934959349593495</v>
      </c>
      <c r="P396" s="140">
        <f>(1/P383-1/P384)*1000</f>
        <v>20.934959349593495</v>
      </c>
      <c r="Q396" s="140">
        <f t="shared" ref="Q396:Q402" si="83">P396/O396</f>
        <v>1</v>
      </c>
      <c r="R396" s="167" t="s">
        <v>711</v>
      </c>
      <c r="S396" s="138">
        <f>((K386+K388)*P374+(L388+L387)*P375)/2/1000000</f>
        <v>1.5083176634230242E-4</v>
      </c>
      <c r="T396" s="138">
        <f>((L386+L388)*P377+(L388+L387)*P378)/2</f>
        <v>3.9729249522510592</v>
      </c>
      <c r="U396" s="143"/>
      <c r="V396" s="141"/>
      <c r="W396" s="138"/>
      <c r="X396" s="143" t="s">
        <v>712</v>
      </c>
      <c r="Y396" s="164">
        <f>(Y392-Y393)/2</f>
        <v>-4.4408920985006262E-15</v>
      </c>
      <c r="Z396" s="164">
        <f>(Z392-Z393)/2</f>
        <v>-1.1102230246251565E-16</v>
      </c>
      <c r="AA396" s="164">
        <f>(AA392-AA393)/2</f>
        <v>-1.4210854715202004E-13</v>
      </c>
      <c r="AF396" s="138"/>
      <c r="AG396" s="159" t="s">
        <v>1403</v>
      </c>
      <c r="AH396" s="166">
        <f>AH395+AH379</f>
        <v>0</v>
      </c>
      <c r="AI396" s="163">
        <f>AI395+AI379</f>
        <v>0</v>
      </c>
      <c r="AJ396" s="163">
        <f>AJ395+AJ379</f>
        <v>0</v>
      </c>
      <c r="AK396" s="163">
        <f>AK395+AK379</f>
        <v>0</v>
      </c>
      <c r="AL396" s="163"/>
    </row>
    <row r="397" spans="10:38">
      <c r="J397" s="139" t="s">
        <v>1404</v>
      </c>
      <c r="K397" s="140">
        <f>(1-(K394/K391)^2)*K391</f>
        <v>69.675740916648124</v>
      </c>
      <c r="L397" s="140">
        <f>(1-(L394/L391)^2)*L391</f>
        <v>69.675740916648138</v>
      </c>
      <c r="M397" s="140">
        <f>L397/K397</f>
        <v>1.0000000000000002</v>
      </c>
      <c r="N397" s="139" t="s">
        <v>1405</v>
      </c>
      <c r="O397" s="144">
        <f>(O391*K386^2+2*O393*K386*K388+O392*K388^2)</f>
        <v>12004.38353147296</v>
      </c>
      <c r="P397" s="144">
        <f>(P391*L386^2+2*P393*L386*L388+P392*L388^2)</f>
        <v>12004.38353147296</v>
      </c>
      <c r="Q397" s="140">
        <f t="shared" si="83"/>
        <v>1</v>
      </c>
      <c r="R397" s="167" t="s">
        <v>712</v>
      </c>
      <c r="S397" s="138">
        <f>((L386-L388)*P374+(L388-L387)*P375)/2/1000000</f>
        <v>-8.2014743567545106E-5</v>
      </c>
      <c r="T397" s="138">
        <f>((L386-L388)*P377+(L388-L387)*P378)/2</f>
        <v>-2.234770285641221</v>
      </c>
      <c r="U397" s="143"/>
      <c r="V397" s="141"/>
      <c r="W397" s="138"/>
      <c r="X397" s="143" t="s">
        <v>714</v>
      </c>
      <c r="Y397" s="164">
        <f>Y394/2</f>
        <v>-11.239999999999988</v>
      </c>
      <c r="Z397" s="164">
        <f>Z394/2</f>
        <v>-0.2999999999999996</v>
      </c>
      <c r="AA397" s="164">
        <f>AA394/2</f>
        <v>-198.51006257308836</v>
      </c>
      <c r="AG397" s="159" t="s">
        <v>1412</v>
      </c>
      <c r="AH397" s="166" t="e">
        <f>AH396/2/AH378</f>
        <v>#DIV/0!</v>
      </c>
      <c r="AI397" s="163" t="e">
        <f>AI396/2/AI378</f>
        <v>#DIV/0!</v>
      </c>
      <c r="AJ397" s="163" t="e">
        <f>AJ396/2/AJ378</f>
        <v>#DIV/0!</v>
      </c>
      <c r="AK397" s="163" t="e">
        <f>AK396/2/AK378</f>
        <v>#DIV/0!</v>
      </c>
      <c r="AL397" s="163"/>
    </row>
    <row r="398" spans="10:38">
      <c r="J398" s="139" t="s">
        <v>1414</v>
      </c>
      <c r="K398" s="140">
        <f>K394/K391</f>
        <v>0.29603094337527941</v>
      </c>
      <c r="L398" s="140">
        <f>L394/L391</f>
        <v>0.29603094337527941</v>
      </c>
      <c r="M398" s="140">
        <f>L398/K398</f>
        <v>1</v>
      </c>
      <c r="N398" s="139" t="s">
        <v>1415</v>
      </c>
      <c r="O398" s="144">
        <f>(O391*K388^2+2*O393*K388*K387+O392*K387^2)</f>
        <v>10680.652008265077</v>
      </c>
      <c r="P398" s="144">
        <f>(P391*L388^2+2*P393*L388*L387+P392*L387^2)</f>
        <v>10680.652008265077</v>
      </c>
      <c r="Q398" s="140">
        <f t="shared" si="83"/>
        <v>1</v>
      </c>
      <c r="R398" s="139" t="s">
        <v>715</v>
      </c>
      <c r="S398" s="138">
        <f>Y395+Y396*COS(S370)+Y397*SIN(S370)</f>
        <v>11.259999999999984</v>
      </c>
      <c r="T398" s="138">
        <f>Y395+Y396*COS(T370)+Y397*SIN(T370)</f>
        <v>11.259999999999989</v>
      </c>
      <c r="U398" s="138">
        <f>Y395+Y396*COS(U370)+Y397*SIN(U370)</f>
        <v>11.259999999999984</v>
      </c>
      <c r="V398" s="138">
        <f>Y395+Y396*COS(V370)+Y397*SIN(V370)</f>
        <v>11.259999999999989</v>
      </c>
      <c r="W398" s="138"/>
      <c r="Y398" s="164"/>
      <c r="AC398" s="140"/>
      <c r="AG398" s="159"/>
      <c r="AH398" s="147"/>
      <c r="AI398" s="163"/>
      <c r="AJ398" s="163"/>
      <c r="AK398" s="163"/>
      <c r="AL398" s="163"/>
    </row>
    <row r="399" spans="10:38">
      <c r="J399" s="139" t="s">
        <v>716</v>
      </c>
      <c r="K399" s="138">
        <f>(1-L371^2*L370/L369)*L370/(1-L371^2*L370/L369-L384^2-L371^2*L370/L369-2*L371^2*L370/L369*L384)</f>
        <v>13.920484365408951</v>
      </c>
      <c r="N399" s="139" t="s">
        <v>1416</v>
      </c>
      <c r="O399" s="144">
        <f>(O391*K386*K388+O393*(K386*K387+K388^2)+O392*K388*K387)</f>
        <v>-3069.103206291968</v>
      </c>
      <c r="P399" s="144">
        <f>(P391*L386*L388+P393*(L386*L387+L388^2)+P392*L388*L387)</f>
        <v>-3069.1032062919689</v>
      </c>
      <c r="Q399" s="140">
        <f t="shared" si="83"/>
        <v>1.0000000000000002</v>
      </c>
      <c r="R399" s="139" t="s">
        <v>717</v>
      </c>
      <c r="S399" s="138">
        <f>2*Y395-S398</f>
        <v>11.259999999999991</v>
      </c>
      <c r="T399" s="138">
        <f>2*Y395-T398</f>
        <v>11.259999999999986</v>
      </c>
      <c r="U399" s="138">
        <f>2*Y395-U398</f>
        <v>11.259999999999991</v>
      </c>
      <c r="V399" s="138">
        <f>2*Y395-V398</f>
        <v>11.259999999999986</v>
      </c>
      <c r="W399" s="138"/>
      <c r="Y399" s="164"/>
      <c r="AC399" s="140"/>
      <c r="AG399" s="159"/>
      <c r="AH399" s="147"/>
      <c r="AI399" s="163"/>
      <c r="AJ399" s="163"/>
      <c r="AK399" s="163"/>
      <c r="AL399" s="163"/>
    </row>
    <row r="400" spans="10:38">
      <c r="J400" s="139" t="s">
        <v>1193</v>
      </c>
      <c r="K400" s="140">
        <f>D154</f>
        <v>1.6</v>
      </c>
      <c r="L400" s="140">
        <f>L401*(1-L375)+L402*L375</f>
        <v>1.6</v>
      </c>
      <c r="M400" s="140">
        <f>L400/K400</f>
        <v>1</v>
      </c>
      <c r="N400" s="139" t="s">
        <v>1418</v>
      </c>
      <c r="O400" s="144">
        <f>O394*K389^2</f>
        <v>11117.841695501729</v>
      </c>
      <c r="P400" s="144">
        <f>P394*L389^2</f>
        <v>11117.841695501729</v>
      </c>
      <c r="Q400" s="140">
        <f t="shared" si="83"/>
        <v>1</v>
      </c>
      <c r="R400" s="139" t="s">
        <v>124</v>
      </c>
      <c r="S400" s="138">
        <f>Z395+Z396*COS(S370)+Z397*SIN(S370)</f>
        <v>0.29999999999999954</v>
      </c>
      <c r="T400" s="138">
        <f>Z395+Z396*COS(T370)+Z397*SIN(T370)</f>
        <v>0.29999999999999971</v>
      </c>
      <c r="U400" s="138">
        <f>Z395+Z396*COS(U370)+Z397*SIN(U370)</f>
        <v>0.29999999999999954</v>
      </c>
      <c r="V400" s="138">
        <f>Z395+Z396*COS(V370)+Z397*SIN(V370)</f>
        <v>0.29999999999999971</v>
      </c>
      <c r="W400" s="138"/>
      <c r="Y400" s="164"/>
      <c r="AC400" s="140"/>
      <c r="AG400" s="159"/>
      <c r="AH400" s="147"/>
      <c r="AI400" s="163"/>
      <c r="AJ400" s="163"/>
      <c r="AK400" s="163"/>
      <c r="AL400" s="159" t="s">
        <v>1421</v>
      </c>
    </row>
    <row r="401" spans="10:38">
      <c r="J401" s="139" t="s">
        <v>274</v>
      </c>
      <c r="K401" s="140">
        <f>F153</f>
        <v>1.2</v>
      </c>
      <c r="L401" s="140">
        <f>K401</f>
        <v>1.2</v>
      </c>
      <c r="M401" s="140">
        <f>L401/K401</f>
        <v>1</v>
      </c>
      <c r="N401" s="139" t="s">
        <v>1422</v>
      </c>
      <c r="O401" s="144">
        <f>(O395*K386+O396*K388)</f>
        <v>60.646995481305353</v>
      </c>
      <c r="P401" s="144">
        <f>(P395*L386+P396*L388)</f>
        <v>60.646995481305353</v>
      </c>
      <c r="Q401" s="140">
        <f t="shared" si="83"/>
        <v>1</v>
      </c>
      <c r="R401" s="167" t="s">
        <v>125</v>
      </c>
      <c r="S401" s="138">
        <f>2*Z395-S400</f>
        <v>0.29999999999999977</v>
      </c>
      <c r="T401" s="138">
        <f>2*Z395-T400</f>
        <v>0.2999999999999996</v>
      </c>
      <c r="U401" s="138">
        <f>2*Z395-U400</f>
        <v>0.29999999999999977</v>
      </c>
      <c r="V401" s="138">
        <f>2*Z395-V400</f>
        <v>0.2999999999999996</v>
      </c>
      <c r="W401" s="138"/>
      <c r="Y401" s="164"/>
      <c r="Z401" s="164"/>
      <c r="AA401" s="147"/>
      <c r="AB401" s="147"/>
      <c r="AC401" s="147"/>
      <c r="AD401" s="147"/>
      <c r="AG401" s="139" t="s">
        <v>1424</v>
      </c>
      <c r="AH401" s="147" t="e">
        <f>(AH397^2-AH394/AH378)^0.5-AH397</f>
        <v>#DIV/0!</v>
      </c>
      <c r="AI401" s="147" t="e">
        <f>(AI397^2-AI394/AI378)^0.5-AI397</f>
        <v>#DIV/0!</v>
      </c>
      <c r="AJ401" s="147" t="e">
        <f>(AJ397^2-AJ394/AJ378)^0.5-AJ397</f>
        <v>#DIV/0!</v>
      </c>
      <c r="AK401" s="147" t="e">
        <f>(AK397^2-AK394/AK378)^0.5-AK397</f>
        <v>#DIV/0!</v>
      </c>
      <c r="AL401" s="147">
        <f>MIN(AH402:AK402)</f>
        <v>1000000000</v>
      </c>
    </row>
    <row r="402" spans="10:38">
      <c r="J402" s="139" t="s">
        <v>1195</v>
      </c>
      <c r="K402" s="140">
        <f>(K400-K401*(1-K375))/K375</f>
        <v>1.7714285714285716</v>
      </c>
      <c r="L402" s="140">
        <f>K402</f>
        <v>1.7714285714285716</v>
      </c>
      <c r="M402" s="140">
        <f>L402/K402</f>
        <v>1</v>
      </c>
      <c r="N402" s="139" t="s">
        <v>1426</v>
      </c>
      <c r="O402" s="144">
        <f>(O395*K388+O396*K387)</f>
        <v>216.59641243323335</v>
      </c>
      <c r="P402" s="144">
        <f>(P395*L388+P396*L387)</f>
        <v>216.59641243323335</v>
      </c>
      <c r="Q402" s="140">
        <f t="shared" si="83"/>
        <v>1</v>
      </c>
      <c r="R402" s="139" t="s">
        <v>126</v>
      </c>
      <c r="S402" s="138">
        <f>AA395+AA396*COS(S370)+AA397*SIN(S370)</f>
        <v>373.99999999999943</v>
      </c>
      <c r="T402" s="138">
        <f>AA395+AA396*COS(T370)+AA397*SIN(T370)</f>
        <v>373.99999999999966</v>
      </c>
      <c r="U402" s="138">
        <f>AA395+AA396*COS(U370)+AA397*SIN(U370)</f>
        <v>373.99999999999943</v>
      </c>
      <c r="V402" s="138">
        <f>AA395+AA396*COS(V370)+AA397*SIN(V370)</f>
        <v>373.99999999999966</v>
      </c>
      <c r="W402" s="138"/>
      <c r="Y402" s="164"/>
      <c r="Z402" s="164"/>
      <c r="AA402" s="147"/>
      <c r="AB402" s="147"/>
      <c r="AC402" s="147"/>
      <c r="AD402" s="147"/>
      <c r="AG402" s="139" t="s">
        <v>194</v>
      </c>
      <c r="AH402" s="147">
        <f>IF(AH367=0,1000000000,AH401)</f>
        <v>1000000000</v>
      </c>
      <c r="AI402" s="147">
        <f>IF(AI367=0,1000000000,AI401)</f>
        <v>1000000000</v>
      </c>
      <c r="AJ402" s="147">
        <f>IF(AJ367=0,1000000000,AJ401)</f>
        <v>1000000000</v>
      </c>
      <c r="AK402" s="147">
        <f>IF(AK367=0,1000000000,AK401)</f>
        <v>1000000000</v>
      </c>
    </row>
    <row r="403" spans="10:38">
      <c r="L403" s="138" t="s">
        <v>234</v>
      </c>
      <c r="R403" s="139" t="s">
        <v>127</v>
      </c>
      <c r="S403" s="138">
        <f>2*AA395-S402</f>
        <v>373.99999999999966</v>
      </c>
      <c r="T403" s="138">
        <f>2*AA395-T402</f>
        <v>373.99999999999943</v>
      </c>
      <c r="U403" s="138">
        <f>2*AA395-U402</f>
        <v>373.99999999999966</v>
      </c>
      <c r="V403" s="138">
        <f>2*AA395-V402</f>
        <v>373.99999999999943</v>
      </c>
      <c r="W403" s="138"/>
      <c r="Y403" s="164"/>
      <c r="Z403" s="164" t="s">
        <v>129</v>
      </c>
      <c r="AA403" s="147"/>
      <c r="AB403" s="147"/>
      <c r="AC403" s="147"/>
      <c r="AD403" s="147"/>
      <c r="AG403" s="139" t="s">
        <v>194</v>
      </c>
      <c r="AH403" s="147">
        <f>IF(AH367=0,0,AH401)</f>
        <v>0</v>
      </c>
      <c r="AI403" s="147">
        <f>IF(AI367=0,0,AI401)</f>
        <v>0</v>
      </c>
      <c r="AJ403" s="147">
        <f>IF(AJ367=0,0,AJ401)</f>
        <v>0</v>
      </c>
      <c r="AK403" s="147">
        <f>IF(AK367=0,0,AK401)</f>
        <v>0</v>
      </c>
    </row>
    <row r="404" spans="10:38">
      <c r="J404" s="139" t="s">
        <v>134</v>
      </c>
      <c r="K404" s="138">
        <f>(1-L384^2)*O405*L369</f>
        <v>184.28877056365894</v>
      </c>
      <c r="L404" s="139" t="s">
        <v>135</v>
      </c>
      <c r="M404" s="138">
        <f>L371*(1+L384)*O405*L370</f>
        <v>5.8728045779623468</v>
      </c>
      <c r="R404" s="139" t="s">
        <v>136</v>
      </c>
      <c r="S404" s="138">
        <f>4*COS(S370/2)^2*SIN(S370/2)^2*$K409+COS(S370/2)^4*$K404+SIN(S370/2)^4*$K405+2*COS(S370/2)^2*SIN(S370/2)^2*$M404</f>
        <v>184.28877056365894</v>
      </c>
      <c r="T404" s="138">
        <f>4*COS(T370/2)^2*SIN(T370/2)^2*$K409+COS(T370/2)^4*$K404+SIN(T370/2)^4*$K405+2*COS(T370/2)^2*SIN(T370/2)^2*$M404</f>
        <v>13.920484365408953</v>
      </c>
      <c r="U404" s="138">
        <f>4*COS(U370/2)^2*SIN(U370/2)^2*$K409+COS(U370/2)^4*$K404+SIN(U370/2)^4*$K405+2*COS(U370/2)^2*SIN(U370/2)^2*$M404</f>
        <v>184.28877056365894</v>
      </c>
      <c r="V404" s="138">
        <f>4*COS(V370/2)^2*SIN(V370/2)^2*$K409+COS(V370/2)^4*$K404+SIN(V370/2)^4*$K405+2*COS(V370/2)^2*SIN(V370/2)^2*$M404</f>
        <v>13.920484365408953</v>
      </c>
      <c r="W404" s="138" t="s">
        <v>137</v>
      </c>
      <c r="X404" s="147">
        <f>S372/S406+T372/T406+U372/U406+V372/V406</f>
        <v>0</v>
      </c>
      <c r="Y404" s="147">
        <f>S372*S404+T372*T404+U372*U404+V372*V404</f>
        <v>0</v>
      </c>
      <c r="Z404" s="164"/>
      <c r="AA404" s="147"/>
      <c r="AB404" s="147"/>
      <c r="AC404" s="147"/>
      <c r="AD404" s="147"/>
      <c r="AG404" s="139"/>
      <c r="AH404" s="147"/>
      <c r="AI404" s="147"/>
      <c r="AJ404" s="147"/>
      <c r="AK404" s="147"/>
    </row>
    <row r="405" spans="10:38">
      <c r="J405" s="139" t="s">
        <v>138</v>
      </c>
      <c r="K405" s="138">
        <f>(1-L371^2*L370/L369)*O405*L370</f>
        <v>13.920484365408953</v>
      </c>
      <c r="L405" s="139" t="s">
        <v>139</v>
      </c>
      <c r="M405" s="138">
        <f>M404</f>
        <v>5.8728045779623468</v>
      </c>
      <c r="N405" s="139" t="s">
        <v>140</v>
      </c>
      <c r="O405" s="138">
        <f>1/((1+L384)*(1-L384-2*L371^2*L370/L369))</f>
        <v>1.3575600041521836</v>
      </c>
      <c r="R405" s="139" t="s">
        <v>141</v>
      </c>
      <c r="S405" s="138">
        <f>4*COS(S370/2)^2*SIN(S370/2)^2*$K409+SIN(S370/2)^4*$K404+COS(S370/2)^4*$K405+2*COS(S370/2)^2*SIN(S370/2)^2*$M404</f>
        <v>13.920484365408953</v>
      </c>
      <c r="T405" s="138">
        <f>4*COS(T370/2)^2*SIN(T370/2)^2*$K409+SIN(T370/2)^4*$K404+COS(T370/2)^4*$K405+2*COS(T370/2)^2*SIN(T370/2)^2*$M404</f>
        <v>184.28877056365894</v>
      </c>
      <c r="U405" s="138">
        <f>4*COS(U370/2)^2*SIN(U370/2)^2*$K409+SIN(U370/2)^4*$K404+COS(U370/2)^4*$K405+2*COS(U370/2)^2*SIN(U370/2)^2*$M404</f>
        <v>13.920484365408953</v>
      </c>
      <c r="V405" s="138">
        <f>4*COS(V370/2)^2*SIN(V370/2)^2*$K409+SIN(V370/2)^4*$K404+COS(V370/2)^4*$K405+2*COS(V370/2)^2*SIN(V370/2)^2*$M404</f>
        <v>184.28877056365894</v>
      </c>
      <c r="W405" s="138" t="s">
        <v>142</v>
      </c>
      <c r="X405" s="141">
        <f>S372*S411/S406+T372*T411/T406+U372*U411/U406+V372*V411/V406</f>
        <v>0</v>
      </c>
      <c r="Y405" s="147">
        <f>S372*S405+T372*T405+U372*U405+V372*V405</f>
        <v>0</v>
      </c>
      <c r="Z405" s="164"/>
      <c r="AA405" s="147"/>
      <c r="AB405" s="147"/>
      <c r="AC405" s="147"/>
      <c r="AD405" s="147"/>
      <c r="AG405" s="139"/>
      <c r="AH405" s="147"/>
      <c r="AI405" s="147"/>
      <c r="AJ405" s="147"/>
      <c r="AK405" s="147"/>
    </row>
    <row r="406" spans="10:38">
      <c r="J406" s="139" t="s">
        <v>146</v>
      </c>
      <c r="K406" s="138">
        <f>K405</f>
        <v>13.920484365408953</v>
      </c>
      <c r="L406" s="139" t="s">
        <v>147</v>
      </c>
      <c r="M406" s="138">
        <f>(L384+L371^2*L370/L369)*O405*L370</f>
        <v>7.053817698742284</v>
      </c>
      <c r="R406" s="139" t="s">
        <v>716</v>
      </c>
      <c r="S406" s="138">
        <f>$K406</f>
        <v>13.920484365408953</v>
      </c>
      <c r="T406" s="138">
        <f>$K406</f>
        <v>13.920484365408953</v>
      </c>
      <c r="U406" s="138">
        <f>$K406</f>
        <v>13.920484365408953</v>
      </c>
      <c r="V406" s="138">
        <f>$K406</f>
        <v>13.920484365408953</v>
      </c>
      <c r="W406" s="138" t="s">
        <v>148</v>
      </c>
      <c r="X406" s="141">
        <f>S372*S412/S406+T372*T412/T406+U372*U412/U406+V372*V412/V406</f>
        <v>0</v>
      </c>
      <c r="Y406" s="164"/>
      <c r="Z406" s="164"/>
      <c r="AA406" s="147"/>
      <c r="AB406" s="147"/>
      <c r="AC406" s="147"/>
      <c r="AD406" s="147"/>
      <c r="AG406" s="139"/>
      <c r="AH406" s="147"/>
      <c r="AI406" s="147"/>
      <c r="AJ406" s="147"/>
      <c r="AK406" s="147"/>
    </row>
    <row r="407" spans="10:38">
      <c r="J407" s="139" t="s">
        <v>152</v>
      </c>
      <c r="K407" s="138">
        <f>(1-L384-2*L371^2*L370/L369)*O405*L370/2</f>
        <v>3.433333333333334</v>
      </c>
      <c r="R407" s="139" t="s">
        <v>153</v>
      </c>
      <c r="S407" s="138">
        <f>COS(S370/2)^2*$K407+SIN(S370/2)^2*$K408</f>
        <v>3.433333333333334</v>
      </c>
      <c r="T407" s="138">
        <f>COS(T370/2)^2*$K407+SIN(T370/2)^2*$K408</f>
        <v>7.17</v>
      </c>
      <c r="U407" s="138">
        <f>COS(U370/2)^2*$K407+SIN(U370/2)^2*$K408</f>
        <v>3.433333333333334</v>
      </c>
      <c r="V407" s="138">
        <f>COS(V370/2)^2*$K407+SIN(V370/2)^2*$K408</f>
        <v>7.17</v>
      </c>
      <c r="W407" s="138" t="s">
        <v>154</v>
      </c>
      <c r="X407" s="141">
        <f>S372*S416/S406+T372*T416/T406+U372*U416/U406+V372*V416/V406</f>
        <v>0</v>
      </c>
      <c r="Y407" s="164"/>
      <c r="Z407" s="164">
        <f>S372*S407/(S407*S408-S413^2)+T372*T407/(T407*T408-T413^2)+U372*U407/(U407*U408-U413^2)+V372*V407/(V407*V408-V413^2)</f>
        <v>0</v>
      </c>
      <c r="AA407" s="147"/>
      <c r="AB407" s="147"/>
      <c r="AC407" s="147"/>
      <c r="AD407" s="147"/>
      <c r="AG407" s="139"/>
      <c r="AH407" s="147"/>
      <c r="AI407" s="147"/>
      <c r="AJ407" s="147"/>
      <c r="AK407" s="147"/>
    </row>
    <row r="408" spans="10:38">
      <c r="J408" s="139" t="s">
        <v>769</v>
      </c>
      <c r="K408" s="140">
        <f>L372</f>
        <v>7.17</v>
      </c>
      <c r="R408" s="139" t="s">
        <v>770</v>
      </c>
      <c r="S408" s="138">
        <f>SIN(S370/2)^2*$K407+COS(S370/2)^2*$K408</f>
        <v>7.17</v>
      </c>
      <c r="T408" s="138">
        <f>SIN(T370/2)^2*$K407+COS(T370/2)^2*$K408</f>
        <v>3.433333333333334</v>
      </c>
      <c r="U408" s="138">
        <f>SIN(U370/2)^2*$K407+COS(U370/2)^2*$K408</f>
        <v>7.17</v>
      </c>
      <c r="V408" s="138">
        <f>SIN(V370/2)^2*$K407+COS(V370/2)^2*$K408</f>
        <v>3.433333333333334</v>
      </c>
      <c r="W408" s="138" t="s">
        <v>771</v>
      </c>
      <c r="X408" s="141">
        <f>S372*S411^2/S406+T372*T411^2/T406+U372*U411^2/U406+V372*V411^2/V406</f>
        <v>0</v>
      </c>
      <c r="Y408" s="164"/>
      <c r="Z408" s="164">
        <f>S372*S408/(S407*S408-S413^2)+T372*T408/(T407*T408-T413^2)+U372*U408/(U407*U408-U413^2)+V372*V408/(V407*V408-V413^2)</f>
        <v>0</v>
      </c>
      <c r="AA408" s="147"/>
      <c r="AB408" s="147"/>
      <c r="AC408" s="147"/>
      <c r="AD408" s="147"/>
      <c r="AG408" s="139"/>
      <c r="AH408" s="147"/>
      <c r="AI408" s="147"/>
      <c r="AJ408" s="147"/>
      <c r="AK408" s="147"/>
    </row>
    <row r="409" spans="10:38">
      <c r="J409" s="139" t="s">
        <v>773</v>
      </c>
      <c r="K409" s="140">
        <f>K408</f>
        <v>7.17</v>
      </c>
      <c r="P409" s="185"/>
      <c r="Q409" s="185"/>
      <c r="R409" s="186" t="s">
        <v>774</v>
      </c>
      <c r="S409" s="185">
        <f>(COS(S370/2)^2-SIN(S370/2)^2)^2*$K409+COS(S370/2)^2*SIN(S370/2)^2*($K404+$K405-2*$M404)</f>
        <v>7.17</v>
      </c>
      <c r="T409" s="185">
        <f>(COS(T370/2)^2-SIN(T370/2)^2)^2*$K409+COS(T370/2)^2*SIN(T370/2)^2*($K404+$K405-2*$M404)</f>
        <v>7.17</v>
      </c>
      <c r="U409" s="185">
        <f>(COS(U370/2)^2-SIN(U370/2)^2)^2*$K409+COS(U370/2)^2*SIN(U370/2)^2*($K404+$K405-2*$M404)</f>
        <v>7.17</v>
      </c>
      <c r="V409" s="185">
        <f>(COS(V370/2)^2-SIN(V370/2)^2)^2*$K409+COS(V370/2)^2*SIN(V370/2)^2*($K404+$K405-2*$M404)</f>
        <v>7.17</v>
      </c>
      <c r="W409" s="185" t="s">
        <v>775</v>
      </c>
      <c r="X409" s="187">
        <f>S372*S412^2/S406+T372*T412^2/T406+U372*U412^2/U406+V372*V412^2/V406</f>
        <v>0</v>
      </c>
      <c r="Y409" s="147">
        <f>S372*S409+T372*T409+U372*U409+V372*V409</f>
        <v>0</v>
      </c>
      <c r="Z409" s="188"/>
      <c r="AA409" s="190"/>
      <c r="AB409" s="190"/>
      <c r="AC409" s="190"/>
      <c r="AD409" s="190"/>
      <c r="AE409" s="185"/>
      <c r="AF409" s="187"/>
      <c r="AG409" s="186"/>
      <c r="AH409" s="190"/>
      <c r="AI409" s="190"/>
      <c r="AJ409" s="190"/>
      <c r="AK409" s="190"/>
      <c r="AL409" s="185"/>
    </row>
    <row r="410" spans="10:38">
      <c r="J410" s="185"/>
      <c r="K410" s="185"/>
      <c r="L410" s="185"/>
      <c r="M410" s="185"/>
      <c r="N410" s="185"/>
      <c r="O410" s="185"/>
      <c r="R410" s="139" t="s">
        <v>145</v>
      </c>
      <c r="S410" s="138">
        <f>-4*COS(S370/2)^2*SIN(S370/2)^2*$K409+COS(S370/2)^2*SIN(S370/2)^2*($K404+$K405)+(COS(S370/2)^4+SIN(S370/2)^4)*$M404</f>
        <v>5.8728045779623468</v>
      </c>
      <c r="T410" s="138">
        <f>-4*COS(T370/2)^2*SIN(T370/2)^2*$K409+COS(T370/2)^2*SIN(T370/2)^2*($K404+$K405)+(COS(T370/2)^4+SIN(T370/2)^4)*$M404</f>
        <v>5.8728045779623468</v>
      </c>
      <c r="U410" s="138">
        <f>-4*COS(U370/2)^2*SIN(U370/2)^2*$K409+COS(U370/2)^2*SIN(U370/2)^2*($K404+$K405)+(COS(U370/2)^4+SIN(U370/2)^4)*$M404</f>
        <v>5.8728045779623468</v>
      </c>
      <c r="V410" s="138">
        <f>-4*COS(V370/2)^2*SIN(V370/2)^2*$K409+COS(V370/2)^2*SIN(V370/2)^2*($K404+$K405)+(COS(V370/2)^4+SIN(V370/2)^4)*$M404</f>
        <v>5.8728045779623468</v>
      </c>
      <c r="W410" s="138" t="s">
        <v>778</v>
      </c>
      <c r="X410" s="141">
        <f>S372*S411*S412/S406+T372*T411*T412/T406+U372*U411*U412/U406+V372*V411*V412/V406</f>
        <v>0</v>
      </c>
      <c r="Y410" s="147">
        <f>S372*S410+T372*T410+U372*U410+V372*V410</f>
        <v>0</v>
      </c>
      <c r="Z410" s="164"/>
      <c r="AA410" s="147"/>
      <c r="AB410" s="147"/>
      <c r="AC410" s="147"/>
      <c r="AD410" s="147"/>
      <c r="AG410" s="139"/>
      <c r="AH410" s="147"/>
      <c r="AI410" s="147"/>
      <c r="AJ410" s="147"/>
      <c r="AK410" s="147"/>
    </row>
    <row r="411" spans="10:38">
      <c r="R411" s="139" t="s">
        <v>151</v>
      </c>
      <c r="S411" s="138">
        <f>COS(S370/2)^2*$M405+SIN(S370/2)^2*$M406</f>
        <v>5.8728045779623468</v>
      </c>
      <c r="T411" s="138">
        <f>COS(T370/2)^2*$M405+SIN(T370/2)^2*$M406</f>
        <v>7.053817698742284</v>
      </c>
      <c r="U411" s="138">
        <f>COS(U370/2)^2*$M405+SIN(U370/2)^2*$M406</f>
        <v>5.8728045779623468</v>
      </c>
      <c r="V411" s="138">
        <f>COS(V370/2)^2*$M405+SIN(V370/2)^2*$M406</f>
        <v>7.053817698742284</v>
      </c>
      <c r="W411" s="138" t="s">
        <v>782</v>
      </c>
      <c r="X411" s="141">
        <f>S372*S416*S411/S406+T372*T416*T411/T406+U372*U416*U411/U406+V372*V416*V411/V406</f>
        <v>0</v>
      </c>
      <c r="Y411" s="147"/>
      <c r="Z411" s="164"/>
      <c r="AA411" s="147"/>
      <c r="AB411" s="147"/>
      <c r="AC411" s="147"/>
      <c r="AD411" s="147"/>
      <c r="AG411" s="139"/>
      <c r="AH411" s="147"/>
      <c r="AI411" s="147"/>
      <c r="AJ411" s="147"/>
      <c r="AK411" s="147"/>
    </row>
    <row r="412" spans="10:38">
      <c r="R412" s="139" t="s">
        <v>768</v>
      </c>
      <c r="S412" s="138">
        <f>SIN(S370/2)^2*$M405+COS(S370/2)^2*$M406</f>
        <v>7.053817698742284</v>
      </c>
      <c r="T412" s="138">
        <f>SIN(T370/2)^2*$M405+COS(T370/2)^2*$M406</f>
        <v>5.8728045779623468</v>
      </c>
      <c r="U412" s="138">
        <f>SIN(U370/2)^2*$M405+COS(U370/2)^2*$M406</f>
        <v>7.053817698742284</v>
      </c>
      <c r="V412" s="138">
        <f>SIN(V370/2)^2*$M405+COS(V370/2)^2*$M406</f>
        <v>5.8728045779623468</v>
      </c>
      <c r="W412" s="138" t="s">
        <v>785</v>
      </c>
      <c r="X412" s="141">
        <f>S372*S416*S412/S406+T372*T416*T412/T406+U372*U416*U412/U406+V372*V416*V412/V406</f>
        <v>0</v>
      </c>
      <c r="Y412" s="164"/>
      <c r="Z412" s="164"/>
      <c r="AA412" s="147"/>
      <c r="AB412" s="147"/>
      <c r="AC412" s="147"/>
      <c r="AD412" s="147"/>
      <c r="AG412" s="139"/>
      <c r="AH412" s="147"/>
      <c r="AI412" s="147"/>
      <c r="AJ412" s="147"/>
      <c r="AK412" s="147"/>
    </row>
    <row r="413" spans="10:38">
      <c r="R413" s="139" t="s">
        <v>660</v>
      </c>
      <c r="S413" s="138">
        <f>COS(S370/2)*SIN(S370/2)*(-$K407+$K408)</f>
        <v>0</v>
      </c>
      <c r="T413" s="138">
        <f>COS(T370/2)*SIN(T370/2)*(-$K407+$K408)</f>
        <v>2.2889856965876046E-16</v>
      </c>
      <c r="U413" s="138">
        <f>COS(U370/2)*SIN(U370/2)*(-$K407+$K408)</f>
        <v>0</v>
      </c>
      <c r="V413" s="138">
        <f>COS(V370/2)*SIN(V370/2)*(-$K407+$K408)</f>
        <v>2.2889856965876046E-16</v>
      </c>
      <c r="W413" s="138" t="s">
        <v>1048</v>
      </c>
      <c r="X413" s="141">
        <f>S372*S416^2/S406+T372*T416^2/T406+U372*U416^2/U406+V372*V416^2/V406</f>
        <v>0</v>
      </c>
      <c r="Y413" s="164"/>
      <c r="Z413" s="164">
        <f>S372*S413/(S407*S408-S413^2)+T372*T413/(T407*T408-T413^2)+U372*U413/(U407*U408-U413^2)+V372*V413/(V407*V408-V413^2)</f>
        <v>0</v>
      </c>
      <c r="AA413" s="147"/>
      <c r="AB413" s="147"/>
      <c r="AC413" s="147"/>
      <c r="AD413" s="147"/>
      <c r="AG413" s="139"/>
      <c r="AH413" s="147"/>
      <c r="AI413" s="147"/>
      <c r="AJ413" s="147"/>
      <c r="AK413" s="147"/>
    </row>
    <row r="414" spans="10:38">
      <c r="R414" s="139" t="s">
        <v>777</v>
      </c>
      <c r="S414" s="138">
        <f>-2*COS(S370/2)*SIN(S370/2)*(COS(S370/2)^2-SIN(S370/2)^2)*$K409+COS(S370/2)*SIN(S370/2)*(COS(S370/2)^2*$K404+SIN(S370/2)^2*$K405)+COS(S370/2)*SIN(S370/2)*(COS(S370/2)^2+SIN(S370/2)^2)*$M404</f>
        <v>0</v>
      </c>
      <c r="T414" s="138">
        <f>-2*COS(T370/2)*SIN(T370/2)*(COS(T370/2)^2-SIN(T370/2)^2)*$K409+COS(T370/2)*SIN(T370/2)*(COS(T370/2)^2*$K404+SIN(T370/2)^2*$K405)+COS(T370/2)*SIN(T370/2)*(COS(T370/2)^2+SIN(T370/2)^2)*$M404</f>
        <v>2.0909173104960418E-15</v>
      </c>
      <c r="U414" s="138">
        <f>-2*COS(U370/2)*SIN(U370/2)*(COS(U370/2)^2-SIN(U370/2)^2)*$K409+COS(U370/2)*SIN(U370/2)*(COS(U370/2)^2*$K404+SIN(U370/2)^2*$K405)+COS(U370/2)*SIN(U370/2)*(COS(U370/2)^2+SIN(U370/2)^2)*$M404</f>
        <v>0</v>
      </c>
      <c r="V414" s="138">
        <f>-2*COS(V370/2)*SIN(V370/2)*(COS(V370/2)^2-SIN(V370/2)^2)*$K409+COS(V370/2)*SIN(V370/2)*(COS(V370/2)^2*$K404+SIN(V370/2)^2*$K405)+COS(V370/2)*SIN(V370/2)*(COS(V370/2)^2+SIN(V370/2)^2)*$M404</f>
        <v>2.0909173104960418E-15</v>
      </c>
      <c r="W414" s="138"/>
      <c r="Y414" s="147">
        <f>S372*S414+T372*T414+U372*U414+V372*V414</f>
        <v>0</v>
      </c>
      <c r="Z414" s="164"/>
      <c r="AA414" s="147"/>
      <c r="AB414" s="147"/>
      <c r="AC414" s="147"/>
      <c r="AD414" s="147"/>
      <c r="AG414" s="139"/>
      <c r="AH414" s="147"/>
      <c r="AI414" s="147"/>
      <c r="AJ414" s="147"/>
      <c r="AK414" s="147"/>
    </row>
    <row r="415" spans="10:38">
      <c r="R415" s="139" t="s">
        <v>781</v>
      </c>
      <c r="S415" s="138">
        <f>2*COS(S370/2)*SIN(S370/2)*(COS(S370/2)^2-SIN(S370/2)^2)*$K409+COS(S370/2)*SIN(S370/2)*(SIN(S370/2)^2*$K404-COS(S370/2)^2*$K405)+COS(S370/2)*SIN(S370/2)*(COS(S370/2)^2-SIN(S370/2)^2)*$M404</f>
        <v>0</v>
      </c>
      <c r="T415" s="138">
        <f>2*COS(T370/2)*SIN(T370/2)*(COS(T370/2)^2-SIN(T370/2)^2)*$K409+COS(T370/2)*SIN(T370/2)*(SIN(T370/2)^2*$K404-COS(T370/2)^2*$K405)+COS(T370/2)*SIN(T370/2)*(COS(T370/2)^2-SIN(T370/2)^2)*$M404</f>
        <v>1.0050870810750773E-14</v>
      </c>
      <c r="U415" s="138">
        <f>2*COS(U370/2)*SIN(U370/2)*(COS(U370/2)^2-SIN(U370/2)^2)*$K409+COS(U370/2)*SIN(U370/2)*(SIN(U370/2)^2*$K404-COS(U370/2)^2*$K405)+COS(U370/2)*SIN(U370/2)*(COS(U370/2)^2-SIN(U370/2)^2)*$M404</f>
        <v>0</v>
      </c>
      <c r="V415" s="138">
        <f>2*COS(V370/2)*SIN(V370/2)*(COS(V370/2)^2-SIN(V370/2)^2)*$K409+COS(V370/2)*SIN(V370/2)*(SIN(V370/2)^2*$K404-COS(V370/2)^2*$K405)+COS(V370/2)*SIN(V370/2)*(COS(V370/2)^2-SIN(V370/2)^2)*$M404</f>
        <v>1.0050870810750773E-14</v>
      </c>
      <c r="W415" s="138"/>
      <c r="Y415" s="147">
        <f>S372*S415+T372*T415+U372*U415+V372*V415</f>
        <v>0</v>
      </c>
      <c r="Z415" s="164"/>
      <c r="AA415" s="147"/>
      <c r="AB415" s="147"/>
      <c r="AC415" s="147"/>
      <c r="AD415" s="147"/>
      <c r="AG415" s="139"/>
      <c r="AH415" s="147"/>
      <c r="AI415" s="147"/>
      <c r="AJ415" s="147"/>
      <c r="AK415" s="147"/>
    </row>
    <row r="416" spans="10:38">
      <c r="R416" s="139" t="s">
        <v>784</v>
      </c>
      <c r="S416" s="138">
        <f>COS(S370/2)*SIN(S370/2)*($M405-$M406)</f>
        <v>0</v>
      </c>
      <c r="T416" s="138">
        <f>COS(T370/2)*SIN(T370/2)*($M405-$M406)</f>
        <v>-7.2345820007517372E-17</v>
      </c>
      <c r="U416" s="138">
        <f>COS(U370/2)*SIN(U370/2)*($M405-$M406)</f>
        <v>0</v>
      </c>
      <c r="V416" s="138">
        <f>COS(V370/2)*SIN(V370/2)*($M405-$M406)</f>
        <v>-7.2345820007517372E-17</v>
      </c>
      <c r="W416" s="138"/>
      <c r="Y416" s="164"/>
      <c r="Z416" s="164"/>
      <c r="AA416" s="147"/>
      <c r="AB416" s="147"/>
      <c r="AC416" s="147"/>
      <c r="AD416" s="147"/>
      <c r="AG416" s="139"/>
      <c r="AH416" s="147"/>
      <c r="AI416" s="147"/>
      <c r="AJ416" s="147"/>
      <c r="AK416" s="147"/>
    </row>
    <row r="417" spans="10:38">
      <c r="J417" s="137" t="s">
        <v>853</v>
      </c>
      <c r="K417" s="139"/>
      <c r="L417" s="139"/>
      <c r="N417" s="138" t="s">
        <v>1551</v>
      </c>
      <c r="P417" s="140"/>
      <c r="R417" s="138" t="s">
        <v>634</v>
      </c>
      <c r="Y417" s="164"/>
      <c r="Z417" s="138" t="s">
        <v>635</v>
      </c>
      <c r="AG417" s="138" t="s">
        <v>636</v>
      </c>
    </row>
    <row r="418" spans="10:38">
      <c r="J418" s="139" t="str">
        <f>A159</f>
        <v>T3/N52[SI]</v>
      </c>
      <c r="K418" s="137"/>
      <c r="L418" s="139"/>
      <c r="N418" s="139" t="s">
        <v>596</v>
      </c>
      <c r="O418" s="144">
        <f>G160</f>
        <v>22</v>
      </c>
      <c r="P418" s="144">
        <f>B76</f>
        <v>22</v>
      </c>
      <c r="Q418" s="145">
        <f t="shared" ref="Q418:Q423" si="84">P418/O418</f>
        <v>1</v>
      </c>
      <c r="R418" s="137"/>
      <c r="Z418" s="139" t="s">
        <v>531</v>
      </c>
      <c r="AA418" s="146">
        <f t="shared" ref="AA418:AD420" si="85">S420</f>
        <v>0</v>
      </c>
      <c r="AB418" s="146">
        <f t="shared" si="85"/>
        <v>90</v>
      </c>
      <c r="AC418" s="146">
        <f t="shared" si="85"/>
        <v>0</v>
      </c>
      <c r="AD418" s="146">
        <f t="shared" si="85"/>
        <v>90</v>
      </c>
      <c r="AE418" s="139" t="s">
        <v>532</v>
      </c>
      <c r="AF418" s="143" t="s">
        <v>533</v>
      </c>
      <c r="AG418" s="139" t="s">
        <v>531</v>
      </c>
      <c r="AH418" s="146">
        <f t="shared" ref="AH418:AK420" si="86">AA418</f>
        <v>0</v>
      </c>
      <c r="AI418" s="146">
        <f t="shared" si="86"/>
        <v>90</v>
      </c>
      <c r="AJ418" s="146">
        <f t="shared" si="86"/>
        <v>0</v>
      </c>
      <c r="AK418" s="146">
        <f t="shared" si="86"/>
        <v>90</v>
      </c>
    </row>
    <row r="419" spans="10:38">
      <c r="J419" s="139"/>
      <c r="K419" s="139"/>
      <c r="L419" s="139"/>
      <c r="N419" s="139" t="s">
        <v>600</v>
      </c>
      <c r="O419" s="147">
        <f>H160</f>
        <v>5.0000000000000001E-3</v>
      </c>
      <c r="P419" s="147">
        <f>C76</f>
        <v>5.0000000000000001E-3</v>
      </c>
      <c r="Q419" s="145">
        <f t="shared" si="84"/>
        <v>1</v>
      </c>
      <c r="R419" s="139" t="s">
        <v>243</v>
      </c>
      <c r="S419" s="143" t="s">
        <v>1562</v>
      </c>
      <c r="T419" s="143" t="s">
        <v>1563</v>
      </c>
      <c r="U419" s="143" t="s">
        <v>1564</v>
      </c>
      <c r="V419" s="143" t="s">
        <v>1565</v>
      </c>
      <c r="W419" s="143"/>
      <c r="X419" s="143"/>
      <c r="Z419" s="139" t="s">
        <v>536</v>
      </c>
      <c r="AA419" s="146">
        <f t="shared" si="85"/>
        <v>0</v>
      </c>
      <c r="AB419" s="146">
        <f t="shared" si="85"/>
        <v>0</v>
      </c>
      <c r="AC419" s="146">
        <f t="shared" si="85"/>
        <v>0</v>
      </c>
      <c r="AD419" s="146">
        <f t="shared" si="85"/>
        <v>0</v>
      </c>
      <c r="AE419" s="139">
        <f>W421</f>
        <v>1</v>
      </c>
      <c r="AF419" s="146">
        <f>X422</f>
        <v>0</v>
      </c>
      <c r="AG419" s="139" t="s">
        <v>536</v>
      </c>
      <c r="AH419" s="146">
        <f t="shared" si="86"/>
        <v>0</v>
      </c>
      <c r="AI419" s="146">
        <f t="shared" si="86"/>
        <v>0</v>
      </c>
      <c r="AJ419" s="146">
        <f t="shared" si="86"/>
        <v>0</v>
      </c>
      <c r="AK419" s="146">
        <f t="shared" si="86"/>
        <v>0</v>
      </c>
    </row>
    <row r="420" spans="10:38">
      <c r="J420" s="139" t="s">
        <v>1553</v>
      </c>
      <c r="K420" s="139" t="s">
        <v>1554</v>
      </c>
      <c r="L420" s="139" t="s">
        <v>1555</v>
      </c>
      <c r="M420" s="153" t="s">
        <v>1556</v>
      </c>
      <c r="N420" s="139" t="s">
        <v>1557</v>
      </c>
      <c r="O420" s="144">
        <f>G159</f>
        <v>122</v>
      </c>
      <c r="P420" s="144">
        <f>O420</f>
        <v>122</v>
      </c>
      <c r="Q420" s="145">
        <f t="shared" si="84"/>
        <v>1</v>
      </c>
      <c r="R420" s="139" t="s">
        <v>537</v>
      </c>
      <c r="S420" s="154">
        <f>C19+I20</f>
        <v>0</v>
      </c>
      <c r="T420" s="154">
        <f>D19+I20</f>
        <v>90</v>
      </c>
      <c r="U420" s="154">
        <f>E19+I20</f>
        <v>0</v>
      </c>
      <c r="V420" s="154">
        <f>F19+I20</f>
        <v>90</v>
      </c>
      <c r="W420" s="143" t="s">
        <v>538</v>
      </c>
      <c r="X420" s="143"/>
      <c r="Z420" s="139" t="s">
        <v>539</v>
      </c>
      <c r="AA420" s="146">
        <f t="shared" si="85"/>
        <v>0</v>
      </c>
      <c r="AB420" s="146">
        <f t="shared" si="85"/>
        <v>3.1415926535897931</v>
      </c>
      <c r="AC420" s="146">
        <f t="shared" si="85"/>
        <v>0</v>
      </c>
      <c r="AD420" s="146">
        <f t="shared" si="85"/>
        <v>3.1415926535897931</v>
      </c>
      <c r="AE420" s="139" t="s">
        <v>540</v>
      </c>
      <c r="AF420" s="141">
        <f>W428</f>
        <v>0</v>
      </c>
      <c r="AG420" s="139" t="s">
        <v>539</v>
      </c>
      <c r="AH420" s="146">
        <f t="shared" si="86"/>
        <v>0</v>
      </c>
      <c r="AI420" s="146">
        <f t="shared" si="86"/>
        <v>3.1415926535897931</v>
      </c>
      <c r="AJ420" s="146">
        <f t="shared" si="86"/>
        <v>0</v>
      </c>
      <c r="AK420" s="146">
        <f t="shared" si="86"/>
        <v>3.1415926535897931</v>
      </c>
    </row>
    <row r="421" spans="10:38">
      <c r="J421" s="139" t="s">
        <v>298</v>
      </c>
      <c r="K421" s="140">
        <f>B159</f>
        <v>181</v>
      </c>
      <c r="L421" s="140">
        <f>L428*L427</f>
        <v>181.00000000000003</v>
      </c>
      <c r="M421" s="145">
        <f>L421/K421</f>
        <v>1.0000000000000002</v>
      </c>
      <c r="N421" s="139" t="s">
        <v>299</v>
      </c>
      <c r="O421" s="144">
        <f>H159</f>
        <v>160</v>
      </c>
      <c r="P421" s="144">
        <f>O421-H162*(P419)</f>
        <v>150</v>
      </c>
      <c r="Q421" s="145">
        <f t="shared" si="84"/>
        <v>0.9375</v>
      </c>
      <c r="R421" s="139" t="s">
        <v>541</v>
      </c>
      <c r="S421" s="154">
        <f>C20</f>
        <v>0</v>
      </c>
      <c r="T421" s="154">
        <f>D20</f>
        <v>0</v>
      </c>
      <c r="U421" s="154">
        <f>E20</f>
        <v>0</v>
      </c>
      <c r="V421" s="154">
        <f>F20</f>
        <v>0</v>
      </c>
      <c r="W421" s="156">
        <f>G20</f>
        <v>1</v>
      </c>
      <c r="X421" s="143"/>
      <c r="Z421" s="139"/>
      <c r="AA421" s="141">
        <f>AA420/2</f>
        <v>0</v>
      </c>
      <c r="AB421" s="141">
        <f>AB420/2</f>
        <v>1.5707963267948966</v>
      </c>
      <c r="AC421" s="141">
        <f>AC420/2</f>
        <v>0</v>
      </c>
      <c r="AD421" s="141">
        <f>AD420/2</f>
        <v>1.5707963267948966</v>
      </c>
      <c r="AE421" s="143"/>
      <c r="AL421" s="139"/>
    </row>
    <row r="422" spans="10:38">
      <c r="J422" s="139" t="s">
        <v>1579</v>
      </c>
      <c r="K422" s="140">
        <f>C159</f>
        <v>10.3</v>
      </c>
      <c r="L422" s="140">
        <f>(1+L431)/(1/L432+L431/L429)</f>
        <v>10.3</v>
      </c>
      <c r="M422" s="145">
        <f>L422/K422</f>
        <v>1</v>
      </c>
      <c r="N422" s="139" t="s">
        <v>1580</v>
      </c>
      <c r="O422" s="140">
        <f>(O421-O418)/(O421-O418)</f>
        <v>1</v>
      </c>
      <c r="P422" s="140">
        <f>(P421-P418)/(P421-O418)</f>
        <v>1</v>
      </c>
      <c r="Q422" s="145">
        <f t="shared" si="84"/>
        <v>1</v>
      </c>
      <c r="R422" s="139" t="s">
        <v>1295</v>
      </c>
      <c r="S422" s="158">
        <f>S420*PI()/90</f>
        <v>0</v>
      </c>
      <c r="T422" s="158">
        <f>T420*PI()/90</f>
        <v>3.1415926535897931</v>
      </c>
      <c r="U422" s="158">
        <f>U420*PI()/90</f>
        <v>0</v>
      </c>
      <c r="V422" s="158">
        <f>V420*PI()/90</f>
        <v>3.1415926535897931</v>
      </c>
      <c r="W422" s="143" t="s">
        <v>1296</v>
      </c>
      <c r="X422" s="146"/>
      <c r="Z422" s="137" t="s">
        <v>1297</v>
      </c>
      <c r="AA422" s="143"/>
      <c r="AB422" s="143"/>
      <c r="AC422" s="141"/>
      <c r="AD422" s="141"/>
      <c r="AE422" s="141"/>
      <c r="AG422" s="137" t="s">
        <v>1298</v>
      </c>
      <c r="AL422" s="139"/>
    </row>
    <row r="423" spans="10:38">
      <c r="J423" s="139" t="s">
        <v>259</v>
      </c>
      <c r="K423" s="140">
        <f>D159</f>
        <v>0.28000000000000003</v>
      </c>
      <c r="L423" s="140">
        <f>K423*I76</f>
        <v>0.28000000000000003</v>
      </c>
      <c r="M423" s="145">
        <f>L423/K423</f>
        <v>1</v>
      </c>
      <c r="N423" s="139" t="s">
        <v>260</v>
      </c>
      <c r="O423" s="144">
        <f>O418-O420</f>
        <v>-100</v>
      </c>
      <c r="P423" s="144">
        <f>P418-P420</f>
        <v>-100</v>
      </c>
      <c r="Q423" s="145">
        <f t="shared" si="84"/>
        <v>1</v>
      </c>
      <c r="R423" s="139" t="s">
        <v>1300</v>
      </c>
      <c r="S423" s="158">
        <f>2*S422</f>
        <v>0</v>
      </c>
      <c r="T423" s="158">
        <f>2*T422</f>
        <v>6.2831853071795862</v>
      </c>
      <c r="U423" s="158">
        <f>2*U422</f>
        <v>0</v>
      </c>
      <c r="V423" s="158">
        <f>2*V422</f>
        <v>6.2831853071795862</v>
      </c>
      <c r="W423" s="138" t="s">
        <v>651</v>
      </c>
      <c r="X423" s="143" t="s">
        <v>652</v>
      </c>
      <c r="Y423" s="143" t="s">
        <v>646</v>
      </c>
      <c r="Z423" s="139"/>
      <c r="AA423" s="143" t="s">
        <v>1301</v>
      </c>
      <c r="AB423" s="143"/>
      <c r="AC423" s="161" t="s">
        <v>977</v>
      </c>
      <c r="AD423" s="161"/>
      <c r="AE423" s="143" t="s">
        <v>1303</v>
      </c>
      <c r="AF423" s="143" t="s">
        <v>1304</v>
      </c>
      <c r="AG423" s="139" t="s">
        <v>1305</v>
      </c>
      <c r="AH423" s="147">
        <f t="shared" ref="AH423:AK425" si="87">AA429/1000</f>
        <v>0</v>
      </c>
      <c r="AI423" s="147">
        <f t="shared" si="87"/>
        <v>0</v>
      </c>
      <c r="AJ423" s="147">
        <f t="shared" si="87"/>
        <v>0</v>
      </c>
      <c r="AK423" s="147">
        <f t="shared" si="87"/>
        <v>0</v>
      </c>
      <c r="AL423" s="157"/>
    </row>
    <row r="424" spans="10:38">
      <c r="J424" s="139" t="s">
        <v>261</v>
      </c>
      <c r="K424" s="140">
        <f>E159</f>
        <v>7.17</v>
      </c>
      <c r="L424" s="140">
        <f>(1+L434)/(1/L435+L434*2.7/L429)</f>
        <v>7.17</v>
      </c>
      <c r="M424" s="145">
        <f>L424/K424</f>
        <v>1</v>
      </c>
      <c r="N424" s="139"/>
      <c r="O424" s="140"/>
      <c r="P424" s="140"/>
      <c r="Q424" s="140"/>
      <c r="R424" s="139" t="s">
        <v>1321</v>
      </c>
      <c r="S424" s="158">
        <f>2*W421*S421*L425/1000000/Y424</f>
        <v>0</v>
      </c>
      <c r="T424" s="158">
        <f>2*W421*T421*L425/1000000/Y424</f>
        <v>0</v>
      </c>
      <c r="U424" s="158">
        <f>2*W421*U421*L425/1000000/Y424</f>
        <v>0</v>
      </c>
      <c r="V424" s="158">
        <f>2*W421*V421*L425/1000000/Y424</f>
        <v>0</v>
      </c>
      <c r="W424" s="147">
        <f>SUM(S424:V424)</f>
        <v>0</v>
      </c>
      <c r="X424" s="163">
        <f>2*W421*SUM(S421:V421)*L425/1000000</f>
        <v>0</v>
      </c>
      <c r="Y424" s="147">
        <f>Y372</f>
        <v>5.0000000000000001E-4</v>
      </c>
      <c r="Z424" s="139">
        <v>1</v>
      </c>
      <c r="AA424" s="140">
        <f>$B$37</f>
        <v>1</v>
      </c>
      <c r="AB424" s="163"/>
      <c r="AC424" s="140">
        <f>AC372</f>
        <v>119.49416590714854</v>
      </c>
      <c r="AD424" s="163"/>
      <c r="AE424" s="159" t="s">
        <v>1306</v>
      </c>
      <c r="AF424" s="163">
        <f>IF(X424=0,0,(AC424+AC425)/2)</f>
        <v>0</v>
      </c>
      <c r="AG424" s="139" t="s">
        <v>1307</v>
      </c>
      <c r="AH424" s="147">
        <f t="shared" si="87"/>
        <v>0</v>
      </c>
      <c r="AI424" s="147">
        <f t="shared" si="87"/>
        <v>0</v>
      </c>
      <c r="AJ424" s="147">
        <f t="shared" si="87"/>
        <v>0</v>
      </c>
      <c r="AK424" s="147">
        <f t="shared" si="87"/>
        <v>0</v>
      </c>
      <c r="AL424" s="157"/>
    </row>
    <row r="425" spans="10:38">
      <c r="J425" s="139" t="s">
        <v>262</v>
      </c>
      <c r="K425" s="144">
        <f>B161</f>
        <v>125</v>
      </c>
      <c r="L425" s="144">
        <f>K425/M427</f>
        <v>125</v>
      </c>
      <c r="M425" s="145">
        <f>L425/K425</f>
        <v>1</v>
      </c>
      <c r="N425" s="137" t="s">
        <v>1531</v>
      </c>
      <c r="O425" s="140"/>
      <c r="P425" s="140"/>
      <c r="Q425" s="140"/>
      <c r="R425" s="139" t="s">
        <v>1325</v>
      </c>
      <c r="S425" s="143" t="s">
        <v>1326</v>
      </c>
      <c r="T425" s="143" t="s">
        <v>1327</v>
      </c>
      <c r="U425" s="143" t="s">
        <v>1328</v>
      </c>
      <c r="V425" s="143" t="s">
        <v>1329</v>
      </c>
      <c r="W425" s="143" t="s">
        <v>1330</v>
      </c>
      <c r="X425" s="139"/>
      <c r="Z425" s="139">
        <v>2</v>
      </c>
      <c r="AA425" s="140">
        <f>$B$38</f>
        <v>0</v>
      </c>
      <c r="AB425" s="163"/>
      <c r="AC425" s="140">
        <f>AC373</f>
        <v>-19.975848039852647</v>
      </c>
      <c r="AD425" s="163"/>
      <c r="AE425" s="159" t="s">
        <v>1309</v>
      </c>
      <c r="AF425" s="163">
        <f>IF(X424=0,0,(AC424-AC425)/2)</f>
        <v>0</v>
      </c>
      <c r="AG425" s="139" t="s">
        <v>1310</v>
      </c>
      <c r="AH425" s="147">
        <f t="shared" si="87"/>
        <v>0</v>
      </c>
      <c r="AI425" s="147">
        <f t="shared" si="87"/>
        <v>0</v>
      </c>
      <c r="AJ425" s="147">
        <f t="shared" si="87"/>
        <v>0</v>
      </c>
      <c r="AK425" s="147">
        <f t="shared" si="87"/>
        <v>0</v>
      </c>
      <c r="AL425" s="157"/>
    </row>
    <row r="426" spans="10:38">
      <c r="J426" s="137" t="s">
        <v>264</v>
      </c>
      <c r="K426" s="140"/>
      <c r="L426" s="140"/>
      <c r="N426" s="139" t="s">
        <v>265</v>
      </c>
      <c r="O426" s="140">
        <f>A162</f>
        <v>0.02</v>
      </c>
      <c r="P426" s="140">
        <f>O426</f>
        <v>0.02</v>
      </c>
      <c r="Q426" s="140">
        <f>P426/O426</f>
        <v>1</v>
      </c>
      <c r="R426" s="139">
        <v>11</v>
      </c>
      <c r="S426" s="140">
        <f>L443+L444*COS(S422)+L445*COS(S423)</f>
        <v>181.81113884441794</v>
      </c>
      <c r="T426" s="140">
        <f>L443+L444*COS(T422)+L445*COS(T423)</f>
        <v>10.346158729820477</v>
      </c>
      <c r="U426" s="140">
        <f>L443+L444*COS(U422)+L445*COS(U423)</f>
        <v>181.81113884441794</v>
      </c>
      <c r="V426" s="140">
        <f>L443+L444*COS(V422)+L445*COS(V423)</f>
        <v>10.346158729820477</v>
      </c>
      <c r="W426" s="163">
        <f>(S424*S426+T424*T426+U424*U426+V424*V426)</f>
        <v>0</v>
      </c>
      <c r="X426" s="147"/>
      <c r="Z426" s="139">
        <v>6</v>
      </c>
      <c r="AA426" s="140">
        <f>$B$39</f>
        <v>0</v>
      </c>
      <c r="AB426" s="163"/>
      <c r="AC426" s="140">
        <f>AC374</f>
        <v>-91.562516762323497</v>
      </c>
      <c r="AD426" s="163"/>
      <c r="AE426" s="159" t="s">
        <v>1312</v>
      </c>
      <c r="AF426" s="163">
        <f>IF(X424=0,0,AC426/2)</f>
        <v>0</v>
      </c>
      <c r="AG426" s="139"/>
      <c r="AH426" s="163"/>
      <c r="AI426" s="163"/>
      <c r="AJ426" s="163"/>
      <c r="AK426" s="163"/>
      <c r="AL426" s="163"/>
    </row>
    <row r="427" spans="10:38">
      <c r="J427" s="139" t="s">
        <v>1532</v>
      </c>
      <c r="K427" s="140">
        <f>C161</f>
        <v>0.7</v>
      </c>
      <c r="L427" s="140">
        <f>D76</f>
        <v>0.7</v>
      </c>
      <c r="M427" s="145">
        <f t="shared" ref="M427:M436" si="88">L427/K427</f>
        <v>1</v>
      </c>
      <c r="N427" s="139" t="s">
        <v>1533</v>
      </c>
      <c r="O427" s="140">
        <f>B162</f>
        <v>22.5</v>
      </c>
      <c r="P427" s="140">
        <f>O427*(1-L427)/(1-K427)</f>
        <v>22.5</v>
      </c>
      <c r="Q427" s="140">
        <f>P427/O427</f>
        <v>1</v>
      </c>
      <c r="R427" s="139">
        <v>22</v>
      </c>
      <c r="S427" s="140">
        <f>S426-2*L444*COS(S422)</f>
        <v>10.346158729820473</v>
      </c>
      <c r="T427" s="140">
        <f>T426-2*L444*COS(T422)</f>
        <v>181.81113884441794</v>
      </c>
      <c r="U427" s="140">
        <f>U426-2*L444*COS(U422)</f>
        <v>10.346158729820473</v>
      </c>
      <c r="V427" s="140">
        <f>V426-2*L444*COS(V422)</f>
        <v>181.81113884441794</v>
      </c>
      <c r="W427" s="163">
        <f>(S424*S427+T424*T427+U424*U427+V424*V427)</f>
        <v>0</v>
      </c>
      <c r="X427" s="147"/>
      <c r="AA427" s="163"/>
      <c r="AB427" s="163"/>
      <c r="AC427" s="163"/>
      <c r="AD427" s="163"/>
      <c r="AE427" s="159"/>
      <c r="AF427" s="163"/>
      <c r="AG427" s="139"/>
      <c r="AH427" s="163"/>
      <c r="AI427" s="163"/>
      <c r="AJ427" s="163"/>
      <c r="AK427" s="163"/>
      <c r="AL427" s="163"/>
    </row>
    <row r="428" spans="10:38">
      <c r="J428" s="139" t="s">
        <v>1534</v>
      </c>
      <c r="K428" s="144">
        <f>K421/K427</f>
        <v>258.57142857142861</v>
      </c>
      <c r="L428" s="144">
        <f>F76*P422^F162</f>
        <v>258.57142857142861</v>
      </c>
      <c r="M428" s="145">
        <f t="shared" si="88"/>
        <v>1</v>
      </c>
      <c r="N428" s="138" t="s">
        <v>1535</v>
      </c>
      <c r="O428" s="140"/>
      <c r="P428" s="140"/>
      <c r="Q428" s="140"/>
      <c r="R428" s="139" t="s">
        <v>1345</v>
      </c>
      <c r="S428" s="140">
        <f>L446-L445*COS(S423)</f>
        <v>2.8969244443497324</v>
      </c>
      <c r="T428" s="140">
        <f>L446-L445*COS(T423)</f>
        <v>2.8969244443497324</v>
      </c>
      <c r="U428" s="140">
        <f>L446-L445*COS(U423)</f>
        <v>2.8969244443497324</v>
      </c>
      <c r="V428" s="140">
        <f>L446-L445*COS(V423)</f>
        <v>2.8969244443497324</v>
      </c>
      <c r="W428" s="163">
        <f>(S424*S428+T424*T428+U424*U428+V424*V428)</f>
        <v>0</v>
      </c>
      <c r="X428" s="147"/>
      <c r="Z428" s="137" t="s">
        <v>1323</v>
      </c>
      <c r="AA428" s="163"/>
      <c r="AB428" s="163"/>
      <c r="AC428" s="163"/>
      <c r="AD428" s="163"/>
      <c r="AE428" s="159" t="s">
        <v>661</v>
      </c>
      <c r="AF428" s="163">
        <f>L423/L421*L438+L436/L422*L440</f>
        <v>0.42188220063345594</v>
      </c>
      <c r="AG428" s="139"/>
      <c r="AH428" s="163"/>
      <c r="AI428" s="163"/>
      <c r="AJ428" s="163"/>
      <c r="AK428" s="163"/>
      <c r="AL428" s="163"/>
    </row>
    <row r="429" spans="10:38">
      <c r="J429" s="139" t="s">
        <v>1536</v>
      </c>
      <c r="K429" s="140">
        <f>F159</f>
        <v>3.4</v>
      </c>
      <c r="L429" s="140">
        <f>E76*P422^F161*I76</f>
        <v>3.4</v>
      </c>
      <c r="M429" s="145">
        <f t="shared" si="88"/>
        <v>1</v>
      </c>
      <c r="N429" s="139" t="s">
        <v>1537</v>
      </c>
      <c r="O429" s="140">
        <f>C162</f>
        <v>0</v>
      </c>
      <c r="P429" s="140">
        <f>O429</f>
        <v>0</v>
      </c>
      <c r="Q429" s="140">
        <v>1</v>
      </c>
      <c r="R429" s="139">
        <v>66</v>
      </c>
      <c r="S429" s="140">
        <f>S428-L446+L447</f>
        <v>7.1700000000000053</v>
      </c>
      <c r="T429" s="140">
        <f>T428-L446+L447</f>
        <v>7.1700000000000053</v>
      </c>
      <c r="U429" s="140">
        <f>U428-L446+L447</f>
        <v>7.1700000000000053</v>
      </c>
      <c r="V429" s="140">
        <f>V428-L446+L447</f>
        <v>7.1700000000000053</v>
      </c>
      <c r="W429" s="163">
        <f>(S424*S429+T424*T429+U424*U429+V424*V429)</f>
        <v>0</v>
      </c>
      <c r="X429" s="147"/>
      <c r="Z429" s="139" t="s">
        <v>1324</v>
      </c>
      <c r="AA429" s="147">
        <f>(AF424+AF425*COS(AA420)+AF426*SIN(AA420))</f>
        <v>0</v>
      </c>
      <c r="AB429" s="147">
        <f>(AF424+AF425*COS(AB420)+AF426*SIN(AB420))</f>
        <v>0</v>
      </c>
      <c r="AC429" s="147">
        <f>(AF424+AF425*COS(AC420)+AF426*SIN(AC420))</f>
        <v>0</v>
      </c>
      <c r="AD429" s="147">
        <f>(AF424+AF425*COS(AD420)+AF426*SIN(AD420))</f>
        <v>0</v>
      </c>
      <c r="AE429" s="159" t="s">
        <v>664</v>
      </c>
      <c r="AF429" s="163">
        <f>L423/L421*L440+L436/L422*L439</f>
        <v>0.50672214511948566</v>
      </c>
      <c r="AG429" s="137"/>
      <c r="AH429" s="159"/>
      <c r="AI429" s="159"/>
      <c r="AJ429" s="159"/>
      <c r="AK429" s="159"/>
      <c r="AL429" s="163"/>
    </row>
    <row r="430" spans="10:38">
      <c r="J430" s="139" t="s">
        <v>1538</v>
      </c>
      <c r="K430" s="140">
        <f>E161</f>
        <v>0.51600000000000001</v>
      </c>
      <c r="L430" s="140">
        <f>K430*P422^G161</f>
        <v>0.51600000000000001</v>
      </c>
      <c r="M430" s="145">
        <f t="shared" si="88"/>
        <v>1</v>
      </c>
      <c r="N430" s="139" t="s">
        <v>1539</v>
      </c>
      <c r="O430" s="140">
        <f>D162</f>
        <v>0.6</v>
      </c>
      <c r="P430" s="140">
        <f>O430*(1-L427)/(1-K427)</f>
        <v>0.6</v>
      </c>
      <c r="Q430" s="140">
        <f>P430/O430</f>
        <v>1</v>
      </c>
      <c r="R430" s="139" t="s">
        <v>1347</v>
      </c>
      <c r="S430" s="140">
        <f>L444*SIN(S422)/2+L445*SIN(S423)</f>
        <v>0</v>
      </c>
      <c r="T430" s="140">
        <f>L444*SIN(T422)/2+L445*SIN(T423)</f>
        <v>4.221105484146412E-16</v>
      </c>
      <c r="U430" s="140">
        <f>L444*SIN(U422)/2+L445*SIN(U423)</f>
        <v>0</v>
      </c>
      <c r="V430" s="140">
        <f>L444*SIN(V422)/2+L445*SIN(V423)</f>
        <v>4.221105484146412E-16</v>
      </c>
      <c r="W430" s="163">
        <f>(S424*S430+T424*T430+U424*U430+V424*V430)</f>
        <v>0</v>
      </c>
      <c r="X430" s="147"/>
      <c r="Z430" s="139" t="s">
        <v>1332</v>
      </c>
      <c r="AA430" s="147">
        <f>2*AF424-AA429</f>
        <v>0</v>
      </c>
      <c r="AB430" s="147">
        <f>2*AF424-AB429</f>
        <v>0</v>
      </c>
      <c r="AC430" s="147">
        <f>2*AF424-AC429</f>
        <v>0</v>
      </c>
      <c r="AD430" s="147">
        <f>2*AF424-AD429</f>
        <v>0</v>
      </c>
      <c r="AE430" s="159"/>
      <c r="AF430" s="163"/>
      <c r="AG430" s="139" t="s">
        <v>1333</v>
      </c>
      <c r="AH430" s="163">
        <f>P449*AH423^2+2*P451*AH423*AH424+P450*AH424^2+P452*AH425^2</f>
        <v>0</v>
      </c>
      <c r="AI430" s="163">
        <f>P449*AI423^2+2*P451*AI423*AI424+P450*AI424^2+P452*AI425^2</f>
        <v>0</v>
      </c>
      <c r="AJ430" s="163">
        <f>P449*AJ423^2+2*P451*AJ423*AJ424+P450*AJ424^2+P452*AJ425^2</f>
        <v>0</v>
      </c>
      <c r="AK430" s="163">
        <f>P449*AK423^2+2*P451*AK423*AK424+P450*AK424^2+P452*AK425^2</f>
        <v>0</v>
      </c>
      <c r="AL430" s="163"/>
    </row>
    <row r="431" spans="10:38">
      <c r="J431" s="139" t="s">
        <v>1547</v>
      </c>
      <c r="K431" s="140">
        <f>K430*(1-K427)/K427</f>
        <v>0.2211428571428572</v>
      </c>
      <c r="L431" s="140">
        <f>L430*(1-L427)/L427</f>
        <v>0.2211428571428572</v>
      </c>
      <c r="M431" s="145">
        <f t="shared" si="88"/>
        <v>1</v>
      </c>
      <c r="O431" s="140"/>
      <c r="P431" s="140"/>
      <c r="Q431" s="140"/>
      <c r="R431" s="139" t="s">
        <v>1349</v>
      </c>
      <c r="S431" s="140">
        <f>L444*SIN(S422)-S430</f>
        <v>0</v>
      </c>
      <c r="T431" s="140">
        <f>L444*SIN(T422)-T430</f>
        <v>1.0081392224502176E-14</v>
      </c>
      <c r="U431" s="140">
        <f>L444*SIN(U422)-U430</f>
        <v>0</v>
      </c>
      <c r="V431" s="140">
        <f>L444*SIN(V422)-V430</f>
        <v>1.0081392224502176E-14</v>
      </c>
      <c r="W431" s="163">
        <f>(S424*S431+T424*T431+U424*U431+V424*V431)</f>
        <v>0</v>
      </c>
      <c r="X431" s="147"/>
      <c r="Z431" s="139" t="s">
        <v>1334</v>
      </c>
      <c r="AA431" s="147">
        <f>(2*(AF426*COS(AA420)-AF425*SIN(AA420)))</f>
        <v>0</v>
      </c>
      <c r="AB431" s="147">
        <f>(2*(AF426*COS(AB420)-AF425*SIN(AB420)))</f>
        <v>0</v>
      </c>
      <c r="AC431" s="147">
        <f>(2*(AF426*COS(AC420)-AF425*SIN(AC420)))</f>
        <v>0</v>
      </c>
      <c r="AD431" s="147">
        <f>(2*(AF426*COS(AD420)-AF425*SIN(AD420)))</f>
        <v>0</v>
      </c>
      <c r="AE431" s="159"/>
      <c r="AF431" s="163"/>
      <c r="AG431" s="139" t="s">
        <v>1335</v>
      </c>
      <c r="AH431" s="163">
        <f>P453*AH423+P454*AH424</f>
        <v>0</v>
      </c>
      <c r="AI431" s="163">
        <f>P453*AI423+P454*AI424</f>
        <v>0</v>
      </c>
      <c r="AJ431" s="163">
        <f>P453*AJ423+P454*AJ424</f>
        <v>0</v>
      </c>
      <c r="AK431" s="163">
        <f>P453*AK423+P454*AK424</f>
        <v>0</v>
      </c>
      <c r="AL431" s="163"/>
    </row>
    <row r="432" spans="10:38">
      <c r="J432" s="139" t="s">
        <v>1643</v>
      </c>
      <c r="K432" s="140">
        <f>1/((1+K431)/K422-K431/K429)</f>
        <v>18.686160319541436</v>
      </c>
      <c r="L432" s="140">
        <f>K432*P422^F162</f>
        <v>18.686160319541436</v>
      </c>
      <c r="M432" s="145">
        <f t="shared" si="88"/>
        <v>1</v>
      </c>
      <c r="N432" s="138" t="s">
        <v>176</v>
      </c>
      <c r="O432" s="140"/>
      <c r="P432" s="140"/>
      <c r="Q432" s="140"/>
      <c r="R432" s="139"/>
      <c r="S432" s="143"/>
      <c r="T432" s="143"/>
      <c r="U432" s="143"/>
      <c r="V432" s="139"/>
      <c r="W432" s="143"/>
      <c r="Z432" s="139" t="s">
        <v>671</v>
      </c>
      <c r="AA432" s="164">
        <f>S450*S424</f>
        <v>0</v>
      </c>
      <c r="AB432" s="164">
        <f>T450*T424</f>
        <v>0</v>
      </c>
      <c r="AC432" s="164">
        <f>U450*U424</f>
        <v>0</v>
      </c>
      <c r="AD432" s="164">
        <f>V450*V424</f>
        <v>0</v>
      </c>
      <c r="AE432" s="164">
        <f>W424*(P427+P426*AF428+AF429*P427)-AF428*SUM(AA432:AD432)-AF429*SUM(AA433:AD433)</f>
        <v>0</v>
      </c>
      <c r="AF432" s="164"/>
      <c r="AG432" s="139" t="s">
        <v>1344</v>
      </c>
      <c r="AH432" s="163" t="e">
        <f>AH431/2/AH430</f>
        <v>#DIV/0!</v>
      </c>
      <c r="AI432" s="163" t="e">
        <f>AI431/2/AI430</f>
        <v>#DIV/0!</v>
      </c>
      <c r="AJ432" s="163" t="e">
        <f>AJ431/2/AJ430</f>
        <v>#DIV/0!</v>
      </c>
      <c r="AK432" s="163" t="e">
        <f>AK431/2/AK430</f>
        <v>#DIV/0!</v>
      </c>
      <c r="AL432" s="163"/>
    </row>
    <row r="433" spans="10:38">
      <c r="J433" s="139" t="s">
        <v>295</v>
      </c>
      <c r="K433" s="140">
        <f>E162</f>
        <v>0.316</v>
      </c>
      <c r="L433" s="140">
        <f>K433*P422^G161</f>
        <v>0.316</v>
      </c>
      <c r="M433" s="145">
        <f t="shared" si="88"/>
        <v>1</v>
      </c>
      <c r="N433" s="139" t="s">
        <v>296</v>
      </c>
      <c r="O433" s="144">
        <f>A160</f>
        <v>1500</v>
      </c>
      <c r="P433" s="144">
        <f>P439*L427</f>
        <v>1500</v>
      </c>
      <c r="Q433" s="140">
        <f t="shared" ref="Q433:Q440" si="89">P433/O433</f>
        <v>1</v>
      </c>
      <c r="R433" s="139"/>
      <c r="T433" s="164"/>
      <c r="U433" s="140"/>
      <c r="V433" s="140"/>
      <c r="W433" s="140"/>
      <c r="X433" s="143"/>
      <c r="Y433" s="139"/>
      <c r="Z433" s="139" t="s">
        <v>675</v>
      </c>
      <c r="AA433" s="164">
        <f>S451*S424</f>
        <v>0</v>
      </c>
      <c r="AB433" s="164">
        <f>T451*T424</f>
        <v>0</v>
      </c>
      <c r="AC433" s="164">
        <f>U451*U424</f>
        <v>0</v>
      </c>
      <c r="AD433" s="164">
        <f>V451*V424</f>
        <v>0</v>
      </c>
      <c r="AE433" s="164"/>
      <c r="AF433" s="164"/>
      <c r="AG433" s="139"/>
      <c r="AH433" s="163"/>
      <c r="AI433" s="163"/>
      <c r="AJ433" s="163"/>
      <c r="AK433" s="163"/>
      <c r="AL433" s="163"/>
    </row>
    <row r="434" spans="10:38">
      <c r="J434" s="139" t="s">
        <v>301</v>
      </c>
      <c r="K434" s="140">
        <f>K433*(1-K427)/K427</f>
        <v>0.13542857142857145</v>
      </c>
      <c r="L434" s="140">
        <f>L433*(1-L427)/L427</f>
        <v>0.13542857142857145</v>
      </c>
      <c r="M434" s="145">
        <f t="shared" si="88"/>
        <v>1</v>
      </c>
      <c r="N434" s="139" t="s">
        <v>302</v>
      </c>
      <c r="O434" s="144">
        <f>B160</f>
        <v>1500</v>
      </c>
      <c r="P434" s="144">
        <f>O434*Q433*M424^F163</f>
        <v>1500</v>
      </c>
      <c r="Q434" s="140">
        <f t="shared" si="89"/>
        <v>1</v>
      </c>
      <c r="R434" s="139"/>
      <c r="T434" s="164"/>
      <c r="U434" s="140"/>
      <c r="V434" s="140"/>
      <c r="W434" s="140"/>
      <c r="X434" s="140"/>
      <c r="Y434" s="140"/>
      <c r="Z434" s="139" t="s">
        <v>677</v>
      </c>
      <c r="AA434" s="164">
        <f>S452*S424</f>
        <v>0</v>
      </c>
      <c r="AB434" s="164">
        <f>T452*T424</f>
        <v>0</v>
      </c>
      <c r="AC434" s="164">
        <f>U452*U424</f>
        <v>0</v>
      </c>
      <c r="AD434" s="164">
        <f>V452*V424</f>
        <v>0</v>
      </c>
      <c r="AE434" s="164">
        <f>W424*(P430+P429*AF428+AF429*P430)-AF428*SUM(AA434:AD434)-AF429*SUM(AA435:AD435)</f>
        <v>0</v>
      </c>
      <c r="AF434" s="164"/>
      <c r="AG434" s="139"/>
      <c r="AH434" s="163"/>
      <c r="AI434" s="147"/>
      <c r="AJ434" s="163"/>
      <c r="AK434" s="163"/>
      <c r="AL434" s="163"/>
    </row>
    <row r="435" spans="10:38">
      <c r="J435" s="139" t="s">
        <v>304</v>
      </c>
      <c r="K435" s="140">
        <f>1/((1+K434)/K424-K434*2.7/K429)</f>
        <v>19.680382632972858</v>
      </c>
      <c r="L435" s="140">
        <f>K435*P422^F162</f>
        <v>19.680382632972858</v>
      </c>
      <c r="M435" s="145">
        <f t="shared" si="88"/>
        <v>1</v>
      </c>
      <c r="N435" s="139" t="s">
        <v>305</v>
      </c>
      <c r="O435" s="144">
        <f>C160</f>
        <v>40</v>
      </c>
      <c r="P435" s="144">
        <f>O435*Q440</f>
        <v>40</v>
      </c>
      <c r="Q435" s="140">
        <f t="shared" si="89"/>
        <v>1</v>
      </c>
      <c r="R435" s="139"/>
      <c r="T435" s="164"/>
      <c r="U435" s="140"/>
      <c r="V435" s="140"/>
      <c r="W435" s="140"/>
      <c r="X435" s="140"/>
      <c r="Y435" s="140"/>
      <c r="Z435" s="138" t="s">
        <v>679</v>
      </c>
      <c r="AA435" s="164">
        <f>S453*S424</f>
        <v>0</v>
      </c>
      <c r="AB435" s="164">
        <f>T453*T424</f>
        <v>0</v>
      </c>
      <c r="AC435" s="164">
        <f>U453*U424</f>
        <v>0</v>
      </c>
      <c r="AD435" s="164">
        <f>V453*V424</f>
        <v>0</v>
      </c>
      <c r="AE435" s="164"/>
      <c r="AF435" s="164"/>
      <c r="AG435" s="139"/>
      <c r="AH435" s="163"/>
      <c r="AI435" s="163"/>
      <c r="AJ435" s="163"/>
      <c r="AK435" s="163"/>
      <c r="AL435" s="159" t="s">
        <v>1348</v>
      </c>
    </row>
    <row r="436" spans="10:38">
      <c r="J436" s="139" t="s">
        <v>1581</v>
      </c>
      <c r="K436" s="140">
        <f>F163</f>
        <v>0.5</v>
      </c>
      <c r="L436" s="140">
        <f>K436</f>
        <v>0.5</v>
      </c>
      <c r="M436" s="140">
        <f t="shared" si="88"/>
        <v>1</v>
      </c>
      <c r="N436" s="139" t="s">
        <v>1542</v>
      </c>
      <c r="O436" s="144">
        <f>D160</f>
        <v>246</v>
      </c>
      <c r="P436" s="144">
        <f>O436*Q440</f>
        <v>246</v>
      </c>
      <c r="Q436" s="140">
        <f t="shared" si="89"/>
        <v>1</v>
      </c>
      <c r="R436" s="139"/>
      <c r="T436" s="164"/>
      <c r="U436" s="140"/>
      <c r="V436" s="140"/>
      <c r="W436" s="138"/>
      <c r="X436" s="140"/>
      <c r="Y436" s="140"/>
      <c r="Z436" s="139" t="s">
        <v>682</v>
      </c>
      <c r="AA436" s="164">
        <f>S424*(AA429+S454/1000)</f>
        <v>0</v>
      </c>
      <c r="AB436" s="164">
        <f>T424*(AB429+T454/1000)</f>
        <v>0</v>
      </c>
      <c r="AC436" s="164">
        <f>U424*(AC429+U454/1000)</f>
        <v>0</v>
      </c>
      <c r="AD436" s="164">
        <f>V424*(AD429+V454/1000)</f>
        <v>0</v>
      </c>
      <c r="AE436" s="164">
        <f>W424*((1+AF429)*(P427*P423/1000000+P430*P419)+AF428*(P426*P423/1000000+P429*P419))*1000-AF428*SUM(AA436:AD436)-AF429*SUM(AA437:AD437)</f>
        <v>0</v>
      </c>
      <c r="AF436" s="164"/>
      <c r="AG436" s="139" t="s">
        <v>1351</v>
      </c>
      <c r="AH436" s="147" t="e">
        <f>(AH432^2+1/AH430)^0.5-AH432</f>
        <v>#DIV/0!</v>
      </c>
      <c r="AI436" s="147" t="e">
        <f>(AI432^2+1/AI430)^0.5-AI432</f>
        <v>#DIV/0!</v>
      </c>
      <c r="AJ436" s="147" t="e">
        <f>(AJ432^2+1/AJ430)^0.5-AJ432</f>
        <v>#DIV/0!</v>
      </c>
      <c r="AK436" s="147" t="e">
        <f>(AK432^2+1/AK430)^0.5-AK432</f>
        <v>#DIV/0!</v>
      </c>
      <c r="AL436" s="147">
        <f>MIN(AH437:AK437)</f>
        <v>1000000000</v>
      </c>
    </row>
    <row r="437" spans="10:38">
      <c r="J437" s="138" t="s">
        <v>1507</v>
      </c>
      <c r="N437" s="139" t="s">
        <v>1543</v>
      </c>
      <c r="O437" s="165">
        <f>E160</f>
        <v>68</v>
      </c>
      <c r="P437" s="165">
        <f>O437*Q440</f>
        <v>68</v>
      </c>
      <c r="Q437" s="140">
        <f t="shared" si="89"/>
        <v>1</v>
      </c>
      <c r="R437" s="139"/>
      <c r="T437" s="164"/>
      <c r="U437" s="140"/>
      <c r="V437" s="140"/>
      <c r="W437" s="138"/>
      <c r="X437" s="138"/>
      <c r="Z437" s="139" t="s">
        <v>685</v>
      </c>
      <c r="AA437" s="164">
        <f>S424*(AA430+S455/1000)</f>
        <v>0</v>
      </c>
      <c r="AB437" s="164">
        <f>T424*(AB430+T455/1000)</f>
        <v>0</v>
      </c>
      <c r="AC437" s="164">
        <f>U424*(AC430+U455/1000)</f>
        <v>0</v>
      </c>
      <c r="AD437" s="164">
        <f>V424*(AD430+V455/1000)</f>
        <v>0</v>
      </c>
      <c r="AE437" s="164"/>
      <c r="AF437" s="164"/>
      <c r="AG437" s="139"/>
      <c r="AH437" s="147">
        <f>IF(AH419=0,1000000000,AH436)</f>
        <v>1000000000</v>
      </c>
      <c r="AI437" s="147">
        <f>IF(AI419=0,1000000000,AI436)</f>
        <v>1000000000</v>
      </c>
      <c r="AJ437" s="147">
        <f>IF(AJ419=0,1000000000,AJ436)</f>
        <v>1000000000</v>
      </c>
      <c r="AK437" s="147">
        <f>IF(AK419=0,1000000000,AK436)</f>
        <v>1000000000</v>
      </c>
    </row>
    <row r="438" spans="10:38">
      <c r="J438" s="139" t="s">
        <v>1354</v>
      </c>
      <c r="K438" s="140">
        <f>K421/(1-K423^2*K422/K421)</f>
        <v>181.81113884441791</v>
      </c>
      <c r="L438" s="140">
        <f>L421/(1-L423^2*L422/L421)</f>
        <v>181.81113884441794</v>
      </c>
      <c r="M438" s="145">
        <f>L438/K438</f>
        <v>1.0000000000000002</v>
      </c>
      <c r="N438" s="139" t="s">
        <v>1168</v>
      </c>
      <c r="O438" s="145">
        <f>A161</f>
        <v>-0.5</v>
      </c>
      <c r="P438" s="145">
        <f>O438*I76</f>
        <v>-0.5</v>
      </c>
      <c r="Q438" s="140">
        <f t="shared" si="89"/>
        <v>1</v>
      </c>
      <c r="R438" s="139"/>
      <c r="T438" s="164"/>
      <c r="U438" s="140"/>
      <c r="V438" s="140"/>
      <c r="W438" s="138"/>
      <c r="X438" s="138"/>
      <c r="Z438" s="138" t="s">
        <v>686</v>
      </c>
      <c r="AA438" s="140">
        <f>($AF428*COS(AA421)^2+$AF429*SIN(AA421)^2)*S424</f>
        <v>0</v>
      </c>
      <c r="AB438" s="140">
        <f>($AF428*COS(AB421)^2+$AF429*SIN(AB421)^2)*T424</f>
        <v>0</v>
      </c>
      <c r="AC438" s="140">
        <f>($AF428*COS(AC421)^2+$AF429*SIN(AC421)^2)*U424</f>
        <v>0</v>
      </c>
      <c r="AD438" s="140">
        <f>($AF428*COS(AD421)^2+$AF429*SIN(AD421)^2)*V424</f>
        <v>0</v>
      </c>
      <c r="AE438" s="163">
        <f>SUM(AA438:AD438)</f>
        <v>0</v>
      </c>
      <c r="AF438" s="163"/>
      <c r="AG438" s="138" t="s">
        <v>1360</v>
      </c>
      <c r="AH438" s="147">
        <f>IF(AH419=0,0,AH436)</f>
        <v>0</v>
      </c>
      <c r="AI438" s="147">
        <f>IF(AI419=0,0,AI436)</f>
        <v>0</v>
      </c>
      <c r="AJ438" s="147">
        <f>IF(AJ419=0,0,AJ436)</f>
        <v>0</v>
      </c>
      <c r="AK438" s="147">
        <f>IF(AK419=0,0,AK436)</f>
        <v>0</v>
      </c>
    </row>
    <row r="439" spans="10:38">
      <c r="J439" s="139" t="s">
        <v>1361</v>
      </c>
      <c r="K439" s="140">
        <f>K438*K422/K421</f>
        <v>10.346158729820468</v>
      </c>
      <c r="L439" s="140">
        <f>L438*L422/L421</f>
        <v>10.346158729820468</v>
      </c>
      <c r="M439" s="145">
        <f>L439/K439</f>
        <v>1</v>
      </c>
      <c r="N439" s="139" t="s">
        <v>1175</v>
      </c>
      <c r="O439" s="144">
        <f>O433/K427</f>
        <v>2142.8571428571431</v>
      </c>
      <c r="P439" s="144">
        <f>H76*P422^G162</f>
        <v>2142.8571428571431</v>
      </c>
      <c r="Q439" s="140">
        <f t="shared" si="89"/>
        <v>1</v>
      </c>
      <c r="T439" s="147"/>
      <c r="U439" s="141"/>
      <c r="V439" s="141"/>
      <c r="W439" s="138"/>
      <c r="X439" s="138"/>
      <c r="Z439" s="138" t="s">
        <v>689</v>
      </c>
      <c r="AA439" s="140">
        <f>($AF428*SIN(AA421)^2+$AF429*COS(AA421)^2)*S424</f>
        <v>0</v>
      </c>
      <c r="AB439" s="140">
        <f>($AF428*SIN(AB421)^2+$AF429*COS(AB421)^2)*T424</f>
        <v>0</v>
      </c>
      <c r="AC439" s="140">
        <f>($AF428*SIN(AC421)^2+$AF429*COS(AC421)^2)*U424</f>
        <v>0</v>
      </c>
      <c r="AD439" s="140">
        <f>($AF428*SIN(AD421)^2+$AF429*COS(AD421)^2)*V424</f>
        <v>0</v>
      </c>
      <c r="AE439" s="163">
        <f>SUM(AA439:AD439)</f>
        <v>0</v>
      </c>
      <c r="AF439" s="163"/>
      <c r="AG439" s="139" t="s">
        <v>1364</v>
      </c>
      <c r="AH439" s="138">
        <f>(S454-P426*P423)/1000000-P429*P419</f>
        <v>3.7599999999999944E-4</v>
      </c>
      <c r="AI439" s="138">
        <f>(T454-P426*P423)/1000000-P429*P419</f>
        <v>3.7599999999999965E-4</v>
      </c>
      <c r="AJ439" s="157">
        <f>(U454-P426*P423)/1000000-P429*P419</f>
        <v>3.7599999999999944E-4</v>
      </c>
      <c r="AK439" s="157">
        <f>(V454-P426*P423)/1000000-P429*P419</f>
        <v>3.7599999999999965E-4</v>
      </c>
      <c r="AL439" s="163"/>
    </row>
    <row r="440" spans="10:38">
      <c r="J440" s="139" t="s">
        <v>1365</v>
      </c>
      <c r="K440" s="140">
        <f>K439*K423</f>
        <v>2.8969244443497315</v>
      </c>
      <c r="L440" s="140">
        <f>L439*L423</f>
        <v>2.8969244443497315</v>
      </c>
      <c r="M440" s="145">
        <f>L440/K440</f>
        <v>1</v>
      </c>
      <c r="N440" s="139" t="s">
        <v>1176</v>
      </c>
      <c r="O440" s="144">
        <f>O435</f>
        <v>40</v>
      </c>
      <c r="P440" s="144">
        <f>G76*P422^H161</f>
        <v>40</v>
      </c>
      <c r="Q440" s="140">
        <f t="shared" si="89"/>
        <v>1</v>
      </c>
      <c r="R440" s="137" t="s">
        <v>1185</v>
      </c>
      <c r="U440" s="141"/>
      <c r="W440" s="138"/>
      <c r="X440" s="138"/>
      <c r="AA440" s="140"/>
      <c r="AE440" s="163"/>
      <c r="AF440" s="163"/>
      <c r="AG440" s="139" t="s">
        <v>1367</v>
      </c>
      <c r="AH440" s="138">
        <f>(S455-P427*P423)/1000000-P430*P419</f>
        <v>-3.7600000000000047E-4</v>
      </c>
      <c r="AI440" s="138">
        <f>(T455-P427*P423)/1000000-P430*P419</f>
        <v>-3.7600000000000047E-4</v>
      </c>
      <c r="AJ440" s="157">
        <f>(U455-P427*P423)/1000000-P430*P419</f>
        <v>-3.7600000000000047E-4</v>
      </c>
      <c r="AK440" s="157">
        <f>(V455-P427*P423)/1000000-P430*P419</f>
        <v>-3.7600000000000047E-4</v>
      </c>
      <c r="AL440" s="163"/>
    </row>
    <row r="441" spans="10:38">
      <c r="J441" s="139" t="s">
        <v>1370</v>
      </c>
      <c r="K441" s="140">
        <f>K424</f>
        <v>7.17</v>
      </c>
      <c r="L441" s="140">
        <f>L424</f>
        <v>7.17</v>
      </c>
      <c r="M441" s="145">
        <f>L441/K441</f>
        <v>1</v>
      </c>
      <c r="R441" s="143" t="s">
        <v>695</v>
      </c>
      <c r="S441" s="147">
        <f>S424*COS(S422)</f>
        <v>0</v>
      </c>
      <c r="T441" s="147">
        <f>T424*COS(T422)</f>
        <v>0</v>
      </c>
      <c r="U441" s="147">
        <f>U424*COS(U422)</f>
        <v>0</v>
      </c>
      <c r="V441" s="147">
        <f>V424*COS(V422)</f>
        <v>0</v>
      </c>
      <c r="W441" s="147">
        <f>SUM(S441:V441)</f>
        <v>0</v>
      </c>
      <c r="X441" s="138"/>
      <c r="AF441" s="163"/>
      <c r="AG441" s="139" t="s">
        <v>1372</v>
      </c>
      <c r="AH441" s="138">
        <f>S469/1000000</f>
        <v>0</v>
      </c>
      <c r="AI441" s="138">
        <f>T469/1000000</f>
        <v>0</v>
      </c>
      <c r="AJ441" s="157">
        <f>U469/1000000</f>
        <v>0</v>
      </c>
      <c r="AK441" s="157">
        <f>V469/1000000</f>
        <v>0</v>
      </c>
      <c r="AL441" s="163"/>
    </row>
    <row r="442" spans="10:38">
      <c r="J442" s="138" t="s">
        <v>1510</v>
      </c>
      <c r="K442" s="140"/>
      <c r="L442" s="140"/>
      <c r="N442" s="138" t="s">
        <v>1375</v>
      </c>
      <c r="R442" s="139" t="s">
        <v>696</v>
      </c>
      <c r="S442" s="147">
        <f>S424*SIN(S422)</f>
        <v>0</v>
      </c>
      <c r="T442" s="147">
        <f>T424*SIN(T422)</f>
        <v>0</v>
      </c>
      <c r="U442" s="147">
        <f>U424*SIN(U422)</f>
        <v>0</v>
      </c>
      <c r="V442" s="147">
        <f>V424*SIN(V422)</f>
        <v>0</v>
      </c>
      <c r="W442" s="147">
        <f>SUM(S442:V442)</f>
        <v>0</v>
      </c>
      <c r="X442" s="138"/>
      <c r="AF442" s="163"/>
      <c r="AG442" s="163"/>
      <c r="AH442" s="163"/>
      <c r="AI442" s="163"/>
      <c r="AJ442" s="163"/>
      <c r="AK442" s="163"/>
      <c r="AL442" s="163"/>
    </row>
    <row r="443" spans="10:38">
      <c r="J443" s="139" t="s">
        <v>1380</v>
      </c>
      <c r="K443" s="140">
        <f>(3*K438+3*K439+2*K440+4*K441)/8</f>
        <v>76.368217701426829</v>
      </c>
      <c r="L443" s="140">
        <f>(3*L438+3*L439+2*L440+4*L441)/8</f>
        <v>76.368217701426843</v>
      </c>
      <c r="M443" s="145">
        <f>L443/K443</f>
        <v>1.0000000000000002</v>
      </c>
      <c r="N443" s="139" t="s">
        <v>1381</v>
      </c>
      <c r="O443" s="140">
        <f>1/O433/O434*1000000</f>
        <v>0.44444444444444442</v>
      </c>
      <c r="P443" s="140">
        <f>1/P433/P434*1000000</f>
        <v>0.44444444444444442</v>
      </c>
      <c r="Q443" s="140">
        <f>P443/O443</f>
        <v>1</v>
      </c>
      <c r="R443" s="139"/>
      <c r="S443" s="138" t="s">
        <v>698</v>
      </c>
      <c r="T443" s="137"/>
      <c r="U443" s="143" t="s">
        <v>700</v>
      </c>
      <c r="V443" s="137"/>
      <c r="W443" s="137" t="s">
        <v>702</v>
      </c>
      <c r="X443" s="138"/>
      <c r="Y443" s="137" t="s">
        <v>704</v>
      </c>
      <c r="Z443" s="137" t="s">
        <v>705</v>
      </c>
      <c r="AA443" s="138" t="s">
        <v>706</v>
      </c>
      <c r="AB443" s="139"/>
      <c r="AC443" s="139"/>
      <c r="AF443" s="138"/>
      <c r="AG443" s="159" t="s">
        <v>1383</v>
      </c>
      <c r="AH443" s="166">
        <f>P449*AH439^2+2*P451*AH439*AH440+P450*AH440^2+P452*AH441^2</f>
        <v>4.0749146542514705E-3</v>
      </c>
      <c r="AI443" s="163">
        <f>P449*AI439^2+2*P451*AI439*AI440+P450*AI440^2+P452*AI441^2</f>
        <v>4.0749146542514731E-3</v>
      </c>
      <c r="AJ443" s="163">
        <f>P449*AJ439^2+2*P451*AJ439*AJ440+P450*AJ440^2+P452*AJ441^2</f>
        <v>4.0749146542514705E-3</v>
      </c>
      <c r="AK443" s="163">
        <f>P449*AK439^2+2*P451*AK439*AK440+P450*AK440^2+P452*AK441^2</f>
        <v>4.0749146542514731E-3</v>
      </c>
      <c r="AL443" s="163"/>
    </row>
    <row r="444" spans="10:38">
      <c r="J444" s="139" t="s">
        <v>1384</v>
      </c>
      <c r="K444" s="140">
        <f>(K438-K439)/2</f>
        <v>85.732490057298719</v>
      </c>
      <c r="L444" s="140">
        <f>(L438-L439)/2</f>
        <v>85.732490057298733</v>
      </c>
      <c r="M444" s="145">
        <f>L444/K444</f>
        <v>1.0000000000000002</v>
      </c>
      <c r="N444" s="139" t="s">
        <v>1385</v>
      </c>
      <c r="O444" s="140">
        <f>1/O435/O436*1000000</f>
        <v>101.6260162601626</v>
      </c>
      <c r="P444" s="140">
        <f>1/P435/P436*1000000</f>
        <v>101.6260162601626</v>
      </c>
      <c r="Q444" s="140">
        <f>P444/O444</f>
        <v>1</v>
      </c>
      <c r="R444" s="139">
        <v>1</v>
      </c>
      <c r="S444" s="138">
        <f>(S448*W424+S449*W441)</f>
        <v>0</v>
      </c>
      <c r="T444" s="138"/>
      <c r="U444" s="138">
        <f>(T448*W424+T449*W441)</f>
        <v>0</v>
      </c>
      <c r="V444" s="147"/>
      <c r="W444" s="138">
        <f>S444*P423+U444*P419</f>
        <v>0</v>
      </c>
      <c r="X444" s="147"/>
      <c r="Y444" s="138">
        <f t="shared" ref="Y444:AA446" si="90">Y392</f>
        <v>11.259999999999984</v>
      </c>
      <c r="Z444" s="138">
        <f t="shared" si="90"/>
        <v>0.29999999999999954</v>
      </c>
      <c r="AA444" s="138">
        <f t="shared" si="90"/>
        <v>373.99999999999937</v>
      </c>
      <c r="AB444" s="147"/>
      <c r="AC444" s="147"/>
      <c r="AF444" s="138"/>
      <c r="AG444" s="159" t="s">
        <v>1387</v>
      </c>
      <c r="AH444" s="166">
        <f>P453*AH439+P454*AH440</f>
        <v>-5.8636980773925068E-2</v>
      </c>
      <c r="AI444" s="163">
        <f>P453*AI439+P454*AI440</f>
        <v>-5.8636980773925054E-2</v>
      </c>
      <c r="AJ444" s="163">
        <f>P453*AJ439+P454*AJ440</f>
        <v>-5.8636980773925068E-2</v>
      </c>
      <c r="AK444" s="163">
        <f>P453*AK439+P454*AK440</f>
        <v>-5.8636980773925054E-2</v>
      </c>
      <c r="AL444" s="163"/>
    </row>
    <row r="445" spans="10:38">
      <c r="J445" s="139" t="s">
        <v>1388</v>
      </c>
      <c r="K445" s="140">
        <f>(K438+K439-2*K440-4*K441)/8</f>
        <v>19.710431085692363</v>
      </c>
      <c r="L445" s="140">
        <f>(L438+L439-2*L440-4*L441)/8</f>
        <v>19.710431085692367</v>
      </c>
      <c r="M445" s="145">
        <f>L445/K445</f>
        <v>1.0000000000000002</v>
      </c>
      <c r="N445" s="139" t="s">
        <v>1389</v>
      </c>
      <c r="O445" s="140">
        <f>O438*(O443*O444)^0.5</f>
        <v>-3.3603243272729659</v>
      </c>
      <c r="P445" s="140">
        <f>P438*(P443*P444)^0.5</f>
        <v>-3.3603243272729659</v>
      </c>
      <c r="Q445" s="140">
        <f>P445/O445</f>
        <v>1</v>
      </c>
      <c r="R445" s="139">
        <v>2</v>
      </c>
      <c r="S445" s="138">
        <f>(S448*W424-S449*W441)</f>
        <v>0</v>
      </c>
      <c r="T445" s="138"/>
      <c r="U445" s="138">
        <f>(T448*W424-T449*W441)</f>
        <v>0</v>
      </c>
      <c r="V445" s="147"/>
      <c r="W445" s="138">
        <f>S445*P423+U445*P419</f>
        <v>0</v>
      </c>
      <c r="X445" s="147"/>
      <c r="Y445" s="138">
        <f t="shared" si="90"/>
        <v>11.259999999999993</v>
      </c>
      <c r="Z445" s="138">
        <f t="shared" si="90"/>
        <v>0.29999999999999977</v>
      </c>
      <c r="AA445" s="138">
        <f t="shared" si="90"/>
        <v>373.99999999999966</v>
      </c>
      <c r="AB445" s="147"/>
      <c r="AC445" s="147"/>
      <c r="AF445" s="138"/>
      <c r="AG445" s="159" t="s">
        <v>1390</v>
      </c>
      <c r="AH445" s="166">
        <f>AH443+AH444</f>
        <v>-5.4562066119673597E-2</v>
      </c>
      <c r="AI445" s="163">
        <f>AI443+AI444</f>
        <v>-5.4562066119673583E-2</v>
      </c>
      <c r="AJ445" s="163">
        <f>AJ443+AJ444</f>
        <v>-5.4562066119673597E-2</v>
      </c>
      <c r="AK445" s="163">
        <f>AK443+AK444</f>
        <v>-5.4562066119673583E-2</v>
      </c>
      <c r="AL445" s="163"/>
    </row>
    <row r="446" spans="10:38">
      <c r="J446" s="139" t="s">
        <v>1391</v>
      </c>
      <c r="K446" s="140">
        <f>(K438+K439+6*K440-4*K441)/8</f>
        <v>22.607355530042096</v>
      </c>
      <c r="L446" s="140">
        <f>(L438+L439+6*L440-4*L441)/8</f>
        <v>22.607355530042099</v>
      </c>
      <c r="M446" s="145">
        <f>L446/K446</f>
        <v>1.0000000000000002</v>
      </c>
      <c r="N446" s="139" t="s">
        <v>1392</v>
      </c>
      <c r="O446" s="140">
        <f>1/O437^2*1000000</f>
        <v>216.26297577854672</v>
      </c>
      <c r="P446" s="140">
        <f>1/P437^2*1000000</f>
        <v>216.26297577854672</v>
      </c>
      <c r="Q446" s="140">
        <f>P446/O446</f>
        <v>1</v>
      </c>
      <c r="R446" s="139">
        <v>6</v>
      </c>
      <c r="S446" s="139">
        <f>S449*W442</f>
        <v>0</v>
      </c>
      <c r="T446" s="138"/>
      <c r="U446" s="139">
        <f>T449*W442</f>
        <v>0</v>
      </c>
      <c r="V446" s="147"/>
      <c r="W446" s="138">
        <f>S446*P423+U446*P419</f>
        <v>0</v>
      </c>
      <c r="X446" s="147"/>
      <c r="Y446" s="138">
        <f t="shared" si="90"/>
        <v>-22.479999999999976</v>
      </c>
      <c r="Z446" s="138">
        <f t="shared" si="90"/>
        <v>-0.5999999999999992</v>
      </c>
      <c r="AA446" s="138">
        <f t="shared" si="90"/>
        <v>-397.02012514617672</v>
      </c>
      <c r="AB446" s="147"/>
      <c r="AC446" s="147"/>
      <c r="AF446" s="138"/>
      <c r="AG446" s="159" t="s">
        <v>1395</v>
      </c>
      <c r="AH446" s="166">
        <f>-1+AH445</f>
        <v>-1.0545620661196735</v>
      </c>
      <c r="AI446" s="163">
        <f>-1+AI445</f>
        <v>-1.0545620661196735</v>
      </c>
      <c r="AJ446" s="163">
        <f>-1+AJ445</f>
        <v>-1.0545620661196735</v>
      </c>
      <c r="AK446" s="163">
        <f>-1+AK445</f>
        <v>-1.0545620661196735</v>
      </c>
      <c r="AL446" s="163"/>
    </row>
    <row r="447" spans="10:38">
      <c r="J447" s="139" t="s">
        <v>1396</v>
      </c>
      <c r="K447" s="140">
        <f>(K443-K446)/2</f>
        <v>26.880431085692365</v>
      </c>
      <c r="L447" s="140">
        <f>(L443-L446)/2</f>
        <v>26.880431085692372</v>
      </c>
      <c r="M447" s="145">
        <f>L447/K447</f>
        <v>1.0000000000000002</v>
      </c>
      <c r="N447" s="139" t="s">
        <v>1397</v>
      </c>
      <c r="O447" s="140">
        <f>(1/O433-1/O434)*1000</f>
        <v>0</v>
      </c>
      <c r="P447" s="140">
        <f>(1/P433-1/P434)*1000</f>
        <v>0</v>
      </c>
      <c r="Q447" s="140">
        <f>IF(O447=0,1,P447/O447)</f>
        <v>1</v>
      </c>
      <c r="R447" s="143"/>
      <c r="S447" s="143" t="s">
        <v>709</v>
      </c>
      <c r="T447" s="143" t="s">
        <v>710</v>
      </c>
      <c r="U447" s="143"/>
      <c r="V447" s="141"/>
      <c r="W447" s="138"/>
      <c r="X447" s="139" t="s">
        <v>711</v>
      </c>
      <c r="Y447" s="138">
        <f>(Y444+Y445)/2</f>
        <v>11.259999999999987</v>
      </c>
      <c r="Z447" s="138">
        <f>(Z444+Z445)/2</f>
        <v>0.29999999999999966</v>
      </c>
      <c r="AA447" s="138">
        <f>(AA444+AA445)/2</f>
        <v>373.99999999999955</v>
      </c>
      <c r="AF447" s="138"/>
      <c r="AG447" s="159" t="s">
        <v>1399</v>
      </c>
      <c r="AH447" s="166">
        <f>2*(P449*AH423*AH439+P450*AH424*AH440+P451*(AH423*AH440+AH439*AH424)+P452*AH425*AH441)</f>
        <v>0</v>
      </c>
      <c r="AI447" s="163">
        <f>2*(P449*AI423*AI439+P450*AI424*AI440+P451*(AI423*AI440+AI439*AI424)+P452*AI425*AI441)</f>
        <v>0</v>
      </c>
      <c r="AJ447" s="163">
        <f>2*(P449*AJ423*AJ439+P450*AJ424*AJ440+P451*(AJ423*AJ440+AJ439*AJ424)+P452*AJ425*AJ441)</f>
        <v>0</v>
      </c>
      <c r="AK447" s="163">
        <f>2*(P449*AK423*AK439+P450*AK424*AK440+P451*(AK423*AK440+AK439*AK424)+P452*AK425*AK441)</f>
        <v>0</v>
      </c>
      <c r="AL447" s="163"/>
    </row>
    <row r="448" spans="10:38">
      <c r="J448" s="138" t="s">
        <v>1400</v>
      </c>
      <c r="N448" s="139" t="s">
        <v>1401</v>
      </c>
      <c r="O448" s="140">
        <f>(1/O435-1/O436)*1000</f>
        <v>20.934959349593495</v>
      </c>
      <c r="P448" s="140">
        <f>(1/P435-1/P436)*1000</f>
        <v>20.934959349593495</v>
      </c>
      <c r="Q448" s="140">
        <f t="shared" ref="Q448:Q454" si="91">P448/O448</f>
        <v>1</v>
      </c>
      <c r="R448" s="167" t="s">
        <v>711</v>
      </c>
      <c r="S448" s="138">
        <f>((K438+K440)*P426+(L440+L439)*P427)/2/1000000</f>
        <v>1.5083176634230242E-4</v>
      </c>
      <c r="T448" s="138">
        <f>((L438+L440)*P429+(L440+L439)*P430)/2</f>
        <v>3.9729249522510592</v>
      </c>
      <c r="U448" s="143"/>
      <c r="V448" s="141"/>
      <c r="W448" s="138"/>
      <c r="X448" s="143" t="s">
        <v>712</v>
      </c>
      <c r="Y448" s="164">
        <f>(Y444-Y445)/2</f>
        <v>-4.4408920985006262E-15</v>
      </c>
      <c r="Z448" s="164">
        <f>(Z444-Z445)/2</f>
        <v>-1.1102230246251565E-16</v>
      </c>
      <c r="AA448" s="164">
        <f>(AA444-AA445)/2</f>
        <v>-1.4210854715202004E-13</v>
      </c>
      <c r="AF448" s="138"/>
      <c r="AG448" s="159" t="s">
        <v>1403</v>
      </c>
      <c r="AH448" s="166">
        <f>AH447+AH431</f>
        <v>0</v>
      </c>
      <c r="AI448" s="163">
        <f>AI447+AI431</f>
        <v>0</v>
      </c>
      <c r="AJ448" s="163">
        <f>AJ447+AJ431</f>
        <v>0</v>
      </c>
      <c r="AK448" s="163">
        <f>AK447+AK431</f>
        <v>0</v>
      </c>
      <c r="AL448" s="163"/>
    </row>
    <row r="449" spans="10:38">
      <c r="J449" s="139" t="s">
        <v>1404</v>
      </c>
      <c r="K449" s="140">
        <f>(1-(K446/K443)^2)*K443</f>
        <v>69.675740916648124</v>
      </c>
      <c r="L449" s="140">
        <f>(1-(L446/L443)^2)*L443</f>
        <v>69.675740916648138</v>
      </c>
      <c r="M449" s="140">
        <f>L449/K449</f>
        <v>1.0000000000000002</v>
      </c>
      <c r="N449" s="139" t="s">
        <v>1405</v>
      </c>
      <c r="O449" s="144">
        <f>(O443*K438^2+2*O445*K438*K440+O444*K440^2)</f>
        <v>12004.38353147296</v>
      </c>
      <c r="P449" s="144">
        <f>(P443*L438^2+2*P445*L438*L440+P444*L440^2)</f>
        <v>12004.38353147296</v>
      </c>
      <c r="Q449" s="140">
        <f t="shared" si="91"/>
        <v>1</v>
      </c>
      <c r="R449" s="167" t="s">
        <v>712</v>
      </c>
      <c r="S449" s="138">
        <f>((L438-L440)*P426+(L440-L439)*P427)/2/1000000</f>
        <v>-8.2014743567545106E-5</v>
      </c>
      <c r="T449" s="138">
        <f>((L438-L440)*P429+(L440-L439)*P430)/2</f>
        <v>-2.234770285641221</v>
      </c>
      <c r="U449" s="143"/>
      <c r="V449" s="141"/>
      <c r="W449" s="138"/>
      <c r="X449" s="143" t="s">
        <v>714</v>
      </c>
      <c r="Y449" s="164">
        <f>Y446/2</f>
        <v>-11.239999999999988</v>
      </c>
      <c r="Z449" s="164">
        <f>Z446/2</f>
        <v>-0.2999999999999996</v>
      </c>
      <c r="AA449" s="164">
        <f>AA446/2</f>
        <v>-198.51006257308836</v>
      </c>
      <c r="AG449" s="159" t="s">
        <v>1412</v>
      </c>
      <c r="AH449" s="166" t="e">
        <f>AH448/2/AH430</f>
        <v>#DIV/0!</v>
      </c>
      <c r="AI449" s="163" t="e">
        <f>AI448/2/AI430</f>
        <v>#DIV/0!</v>
      </c>
      <c r="AJ449" s="163" t="e">
        <f>AJ448/2/AJ430</f>
        <v>#DIV/0!</v>
      </c>
      <c r="AK449" s="163" t="e">
        <f>AK448/2/AK430</f>
        <v>#DIV/0!</v>
      </c>
      <c r="AL449" s="163"/>
    </row>
    <row r="450" spans="10:38">
      <c r="J450" s="139" t="s">
        <v>1414</v>
      </c>
      <c r="K450" s="140">
        <f>K446/K443</f>
        <v>0.29603094337527941</v>
      </c>
      <c r="L450" s="140">
        <f>L446/L443</f>
        <v>0.29603094337527941</v>
      </c>
      <c r="M450" s="140">
        <f>L450/K450</f>
        <v>1</v>
      </c>
      <c r="N450" s="139" t="s">
        <v>1415</v>
      </c>
      <c r="O450" s="144">
        <f>(O443*K440^2+2*O445*K440*K439+O444*K439^2)</f>
        <v>10680.652008265077</v>
      </c>
      <c r="P450" s="144">
        <f>(P443*L440^2+2*P445*L440*L439+P444*L439^2)</f>
        <v>10680.652008265077</v>
      </c>
      <c r="Q450" s="140">
        <f t="shared" si="91"/>
        <v>1</v>
      </c>
      <c r="R450" s="139" t="s">
        <v>715</v>
      </c>
      <c r="S450" s="138">
        <f>Y447+Y448*COS(S422)+Y449*SIN(S422)</f>
        <v>11.259999999999984</v>
      </c>
      <c r="T450" s="138">
        <f>Y447+Y448*COS(T422)+Y449*SIN(T422)</f>
        <v>11.259999999999989</v>
      </c>
      <c r="U450" s="138">
        <f>Y447+Y448*COS(U422)+Y449*SIN(U422)</f>
        <v>11.259999999999984</v>
      </c>
      <c r="V450" s="138">
        <f>Y447+Y448*COS(V422)+Y449*SIN(V422)</f>
        <v>11.259999999999989</v>
      </c>
      <c r="W450" s="138"/>
      <c r="Y450" s="164"/>
      <c r="AC450" s="140"/>
      <c r="AG450" s="159"/>
      <c r="AH450" s="147"/>
      <c r="AI450" s="163"/>
      <c r="AJ450" s="163"/>
      <c r="AK450" s="163"/>
      <c r="AL450" s="163"/>
    </row>
    <row r="451" spans="10:38">
      <c r="J451" s="139" t="s">
        <v>716</v>
      </c>
      <c r="K451" s="138">
        <f>(1-L423^2*L422/L421)*L422/(1-L423^2*L422/L421-L436^2-L423^2*L422/L421-2*L423^2*L422/L421*L436)</f>
        <v>13.920484365408951</v>
      </c>
      <c r="N451" s="139" t="s">
        <v>1416</v>
      </c>
      <c r="O451" s="144">
        <f>(O443*K438*K440+O445*(K438*K439+K440^2)+O444*K440*K439)</f>
        <v>-3069.103206291968</v>
      </c>
      <c r="P451" s="144">
        <f>(P443*L438*L440+P445*(L438*L439+L440^2)+P444*L440*L439)</f>
        <v>-3069.1032062919689</v>
      </c>
      <c r="Q451" s="140">
        <f t="shared" si="91"/>
        <v>1.0000000000000002</v>
      </c>
      <c r="R451" s="139" t="s">
        <v>717</v>
      </c>
      <c r="S451" s="138">
        <f>2*Y447-S450</f>
        <v>11.259999999999991</v>
      </c>
      <c r="T451" s="138">
        <f>2*Y447-T450</f>
        <v>11.259999999999986</v>
      </c>
      <c r="U451" s="138">
        <f>2*Y447-U450</f>
        <v>11.259999999999991</v>
      </c>
      <c r="V451" s="138">
        <f>2*Y447-V450</f>
        <v>11.259999999999986</v>
      </c>
      <c r="W451" s="138"/>
      <c r="Y451" s="164"/>
      <c r="AC451" s="140"/>
      <c r="AG451" s="159"/>
      <c r="AH451" s="147"/>
      <c r="AI451" s="163"/>
      <c r="AJ451" s="163"/>
      <c r="AK451" s="163"/>
      <c r="AL451" s="163"/>
    </row>
    <row r="452" spans="10:38">
      <c r="J452" s="139" t="s">
        <v>1193</v>
      </c>
      <c r="K452" s="140">
        <f>D161</f>
        <v>1.6</v>
      </c>
      <c r="L452" s="140">
        <f>L453*(1-L427)+L454*L427</f>
        <v>1.6</v>
      </c>
      <c r="M452" s="140">
        <f>L452/K452</f>
        <v>1</v>
      </c>
      <c r="N452" s="139" t="s">
        <v>1418</v>
      </c>
      <c r="O452" s="144">
        <f>O446*K441^2</f>
        <v>11117.841695501729</v>
      </c>
      <c r="P452" s="144">
        <f>P446*L441^2</f>
        <v>11117.841695501729</v>
      </c>
      <c r="Q452" s="140">
        <f t="shared" si="91"/>
        <v>1</v>
      </c>
      <c r="R452" s="139" t="s">
        <v>124</v>
      </c>
      <c r="S452" s="138">
        <f>Z447+Z448*COS(S422)+Z449*SIN(S422)</f>
        <v>0.29999999999999954</v>
      </c>
      <c r="T452" s="138">
        <f>Z447+Z448*COS(T422)+Z449*SIN(T422)</f>
        <v>0.29999999999999971</v>
      </c>
      <c r="U452" s="138">
        <f>Z447+Z448*COS(U422)+Z449*SIN(U422)</f>
        <v>0.29999999999999954</v>
      </c>
      <c r="V452" s="138">
        <f>Z447+Z448*COS(V422)+Z449*SIN(V422)</f>
        <v>0.29999999999999971</v>
      </c>
      <c r="W452" s="138"/>
      <c r="Y452" s="164"/>
      <c r="AC452" s="140"/>
      <c r="AG452" s="159"/>
      <c r="AH452" s="147"/>
      <c r="AI452" s="163"/>
      <c r="AJ452" s="163"/>
      <c r="AK452" s="163"/>
      <c r="AL452" s="159" t="s">
        <v>1421</v>
      </c>
    </row>
    <row r="453" spans="10:38">
      <c r="J453" s="139" t="s">
        <v>274</v>
      </c>
      <c r="K453" s="140">
        <f>F160</f>
        <v>1.2</v>
      </c>
      <c r="L453" s="140">
        <f>K453</f>
        <v>1.2</v>
      </c>
      <c r="M453" s="140">
        <f>L453/K453</f>
        <v>1</v>
      </c>
      <c r="N453" s="139" t="s">
        <v>1422</v>
      </c>
      <c r="O453" s="144">
        <f>(O447*K438+O448*K440)</f>
        <v>60.646995481305353</v>
      </c>
      <c r="P453" s="144">
        <f>(P447*L438+P448*L440)</f>
        <v>60.646995481305353</v>
      </c>
      <c r="Q453" s="140">
        <f t="shared" si="91"/>
        <v>1</v>
      </c>
      <c r="R453" s="167" t="s">
        <v>125</v>
      </c>
      <c r="S453" s="138">
        <f>2*Z447-S452</f>
        <v>0.29999999999999977</v>
      </c>
      <c r="T453" s="138">
        <f>2*Z447-T452</f>
        <v>0.2999999999999996</v>
      </c>
      <c r="U453" s="138">
        <f>2*Z447-U452</f>
        <v>0.29999999999999977</v>
      </c>
      <c r="V453" s="138">
        <f>2*Z447-V452</f>
        <v>0.2999999999999996</v>
      </c>
      <c r="W453" s="138"/>
      <c r="Y453" s="164"/>
      <c r="Z453" s="164"/>
      <c r="AA453" s="147"/>
      <c r="AB453" s="147"/>
      <c r="AC453" s="147"/>
      <c r="AD453" s="147"/>
      <c r="AG453" s="139" t="s">
        <v>1424</v>
      </c>
      <c r="AH453" s="147" t="e">
        <f>(AH449^2-AH446/AH430)^0.5-AH449</f>
        <v>#DIV/0!</v>
      </c>
      <c r="AI453" s="147" t="e">
        <f>(AI449^2-AI446/AI430)^0.5-AI449</f>
        <v>#DIV/0!</v>
      </c>
      <c r="AJ453" s="147" t="e">
        <f>(AJ449^2-AJ446/AJ430)^0.5-AJ449</f>
        <v>#DIV/0!</v>
      </c>
      <c r="AK453" s="147" t="e">
        <f>(AK449^2-AK446/AK430)^0.5-AK449</f>
        <v>#DIV/0!</v>
      </c>
      <c r="AL453" s="147">
        <f>MIN(AH454:AK454)</f>
        <v>1000000000</v>
      </c>
    </row>
    <row r="454" spans="10:38">
      <c r="J454" s="139" t="s">
        <v>1195</v>
      </c>
      <c r="K454" s="140">
        <f>(K452-K453*(1-K427))/K427</f>
        <v>1.7714285714285716</v>
      </c>
      <c r="L454" s="140">
        <f>K454</f>
        <v>1.7714285714285716</v>
      </c>
      <c r="M454" s="140">
        <f>L454/K454</f>
        <v>1</v>
      </c>
      <c r="N454" s="139" t="s">
        <v>1426</v>
      </c>
      <c r="O454" s="144">
        <f>(O447*K440+O448*K439)</f>
        <v>216.59641243323335</v>
      </c>
      <c r="P454" s="144">
        <f>(P447*L440+P448*L439)</f>
        <v>216.59641243323335</v>
      </c>
      <c r="Q454" s="140">
        <f t="shared" si="91"/>
        <v>1</v>
      </c>
      <c r="R454" s="139" t="s">
        <v>126</v>
      </c>
      <c r="S454" s="138">
        <f>AA447+AA448*COS(S422)+AA449*SIN(S422)</f>
        <v>373.99999999999943</v>
      </c>
      <c r="T454" s="138">
        <f>AA447+AA448*COS(T422)+AA449*SIN(T422)</f>
        <v>373.99999999999966</v>
      </c>
      <c r="U454" s="138">
        <f>AA447+AA448*COS(U422)+AA449*SIN(U422)</f>
        <v>373.99999999999943</v>
      </c>
      <c r="V454" s="138">
        <f>AA447+AA448*COS(V422)+AA449*SIN(V422)</f>
        <v>373.99999999999966</v>
      </c>
      <c r="W454" s="138"/>
      <c r="Y454" s="164"/>
      <c r="Z454" s="164"/>
      <c r="AA454" s="147"/>
      <c r="AB454" s="147"/>
      <c r="AC454" s="147"/>
      <c r="AD454" s="147"/>
      <c r="AG454" s="139" t="s">
        <v>194</v>
      </c>
      <c r="AH454" s="147">
        <f>IF(AH419=0,1000000000,AH453)</f>
        <v>1000000000</v>
      </c>
      <c r="AI454" s="147">
        <f>IF(AI419=0,1000000000,AI453)</f>
        <v>1000000000</v>
      </c>
      <c r="AJ454" s="147">
        <f>IF(AJ419=0,1000000000,AJ453)</f>
        <v>1000000000</v>
      </c>
      <c r="AK454" s="147">
        <f>IF(AK419=0,1000000000,AK453)</f>
        <v>1000000000</v>
      </c>
    </row>
    <row r="455" spans="10:38">
      <c r="L455" s="138" t="s">
        <v>234</v>
      </c>
      <c r="R455" s="139" t="s">
        <v>127</v>
      </c>
      <c r="S455" s="138">
        <f>2*AA447-S454</f>
        <v>373.99999999999966</v>
      </c>
      <c r="T455" s="138">
        <f>2*AA447-T454</f>
        <v>373.99999999999943</v>
      </c>
      <c r="U455" s="138">
        <f>2*AA447-U454</f>
        <v>373.99999999999966</v>
      </c>
      <c r="V455" s="138">
        <f>2*AA447-V454</f>
        <v>373.99999999999943</v>
      </c>
      <c r="W455" s="138"/>
      <c r="Y455" s="164"/>
      <c r="Z455" s="164" t="s">
        <v>129</v>
      </c>
      <c r="AA455" s="147"/>
      <c r="AB455" s="147"/>
      <c r="AC455" s="147"/>
      <c r="AD455" s="147"/>
      <c r="AG455" s="139" t="s">
        <v>194</v>
      </c>
      <c r="AH455" s="147">
        <f>IF(AH419=0,0,AH453)</f>
        <v>0</v>
      </c>
      <c r="AI455" s="147">
        <f>IF(AI419=0,0,AI453)</f>
        <v>0</v>
      </c>
      <c r="AJ455" s="147">
        <f>IF(AJ419=0,0,AJ453)</f>
        <v>0</v>
      </c>
      <c r="AK455" s="147">
        <f>IF(AK419=0,0,AK453)</f>
        <v>0</v>
      </c>
    </row>
    <row r="456" spans="10:38">
      <c r="J456" s="139" t="s">
        <v>134</v>
      </c>
      <c r="K456" s="138">
        <f>(1-L436^2)*O457*L421</f>
        <v>184.28877056365894</v>
      </c>
      <c r="L456" s="139" t="s">
        <v>135</v>
      </c>
      <c r="M456" s="138">
        <f>L423*(1+L436)*O457*L422</f>
        <v>5.8728045779623468</v>
      </c>
      <c r="R456" s="139" t="s">
        <v>136</v>
      </c>
      <c r="S456" s="138">
        <f>4*COS(S422/2)^2*SIN(S422/2)^2*$K461+COS(S422/2)^4*$K456+SIN(S422/2)^4*$K457+2*COS(S422/2)^2*SIN(S422/2)^2*$M456</f>
        <v>184.28877056365894</v>
      </c>
      <c r="T456" s="138">
        <f>4*COS(T422/2)^2*SIN(T422/2)^2*$K461+COS(T422/2)^4*$K456+SIN(T422/2)^4*$K457+2*COS(T422/2)^2*SIN(T422/2)^2*$M456</f>
        <v>13.920484365408953</v>
      </c>
      <c r="U456" s="138">
        <f>4*COS(U422/2)^2*SIN(U422/2)^2*$K461+COS(U422/2)^4*$K456+SIN(U422/2)^4*$K457+2*COS(U422/2)^2*SIN(U422/2)^2*$M456</f>
        <v>184.28877056365894</v>
      </c>
      <c r="V456" s="138">
        <f>4*COS(V422/2)^2*SIN(V422/2)^2*$K461+COS(V422/2)^4*$K456+SIN(V422/2)^4*$K457+2*COS(V422/2)^2*SIN(V422/2)^2*$M456</f>
        <v>13.920484365408953</v>
      </c>
      <c r="W456" s="138" t="s">
        <v>137</v>
      </c>
      <c r="X456" s="147">
        <f>S424/S458+T424/T458+U424/U458+V424/V458</f>
        <v>0</v>
      </c>
      <c r="Y456" s="147">
        <f>S424*S456+T424*T456+U424*U456+V424*V456</f>
        <v>0</v>
      </c>
      <c r="Z456" s="164"/>
      <c r="AA456" s="147"/>
      <c r="AB456" s="147"/>
      <c r="AC456" s="147"/>
      <c r="AD456" s="147"/>
      <c r="AG456" s="139"/>
      <c r="AH456" s="147"/>
      <c r="AI456" s="147"/>
      <c r="AJ456" s="147"/>
      <c r="AK456" s="147"/>
    </row>
    <row r="457" spans="10:38">
      <c r="J457" s="139" t="s">
        <v>138</v>
      </c>
      <c r="K457" s="138">
        <f>(1-L423^2*L422/L421)*O457*L422</f>
        <v>13.920484365408953</v>
      </c>
      <c r="L457" s="139" t="s">
        <v>139</v>
      </c>
      <c r="M457" s="138">
        <f>M456</f>
        <v>5.8728045779623468</v>
      </c>
      <c r="N457" s="139" t="s">
        <v>140</v>
      </c>
      <c r="O457" s="138">
        <f>1/((1+L436)*(1-L436-2*L423^2*L422/L421))</f>
        <v>1.3575600041521836</v>
      </c>
      <c r="R457" s="139" t="s">
        <v>141</v>
      </c>
      <c r="S457" s="138">
        <f>4*COS(S422/2)^2*SIN(S422/2)^2*$K461+SIN(S422/2)^4*$K456+COS(S422/2)^4*$K457+2*COS(S422/2)^2*SIN(S422/2)^2*$M456</f>
        <v>13.920484365408953</v>
      </c>
      <c r="T457" s="138">
        <f>4*COS(T422/2)^2*SIN(T422/2)^2*$K461+SIN(T422/2)^4*$K456+COS(T422/2)^4*$K457+2*COS(T422/2)^2*SIN(T422/2)^2*$M456</f>
        <v>184.28877056365894</v>
      </c>
      <c r="U457" s="138">
        <f>4*COS(U422/2)^2*SIN(U422/2)^2*$K461+SIN(U422/2)^4*$K456+COS(U422/2)^4*$K457+2*COS(U422/2)^2*SIN(U422/2)^2*$M456</f>
        <v>13.920484365408953</v>
      </c>
      <c r="V457" s="138">
        <f>4*COS(V422/2)^2*SIN(V422/2)^2*$K461+SIN(V422/2)^4*$K456+COS(V422/2)^4*$K457+2*COS(V422/2)^2*SIN(V422/2)^2*$M456</f>
        <v>184.28877056365894</v>
      </c>
      <c r="W457" s="138" t="s">
        <v>142</v>
      </c>
      <c r="X457" s="141">
        <f>S424*S463/S458+T424*T463/T458+U424*U463/U458+V424*V463/V458</f>
        <v>0</v>
      </c>
      <c r="Y457" s="147">
        <f>S424*S457+T424*T457+U424*U457+V424*V457</f>
        <v>0</v>
      </c>
      <c r="Z457" s="164"/>
      <c r="AA457" s="147"/>
      <c r="AB457" s="147"/>
      <c r="AC457" s="147"/>
      <c r="AD457" s="147"/>
      <c r="AG457" s="139"/>
      <c r="AH457" s="147"/>
      <c r="AI457" s="147"/>
      <c r="AJ457" s="147"/>
      <c r="AK457" s="147"/>
    </row>
    <row r="458" spans="10:38">
      <c r="J458" s="139" t="s">
        <v>146</v>
      </c>
      <c r="K458" s="138">
        <f>K457</f>
        <v>13.920484365408953</v>
      </c>
      <c r="L458" s="139" t="s">
        <v>147</v>
      </c>
      <c r="M458" s="138">
        <f>(L436+L423^2*L422/L421)*O457*L422</f>
        <v>7.053817698742284</v>
      </c>
      <c r="R458" s="139" t="s">
        <v>716</v>
      </c>
      <c r="S458" s="138">
        <f>$K458</f>
        <v>13.920484365408953</v>
      </c>
      <c r="T458" s="138">
        <f>$K458</f>
        <v>13.920484365408953</v>
      </c>
      <c r="U458" s="138">
        <f>$K458</f>
        <v>13.920484365408953</v>
      </c>
      <c r="V458" s="138">
        <f>$K458</f>
        <v>13.920484365408953</v>
      </c>
      <c r="W458" s="138" t="s">
        <v>148</v>
      </c>
      <c r="X458" s="141">
        <f>S424*S464/S458+T424*T464/T458+U424*U464/U458+V424*V464/V458</f>
        <v>0</v>
      </c>
      <c r="Y458" s="164"/>
      <c r="Z458" s="164"/>
      <c r="AA458" s="147"/>
      <c r="AB458" s="147"/>
      <c r="AC458" s="147"/>
      <c r="AD458" s="147"/>
      <c r="AG458" s="139"/>
      <c r="AH458" s="147"/>
      <c r="AI458" s="147"/>
      <c r="AJ458" s="147"/>
      <c r="AK458" s="147"/>
    </row>
    <row r="459" spans="10:38">
      <c r="J459" s="139" t="s">
        <v>152</v>
      </c>
      <c r="K459" s="138">
        <f>(1-L436-2*L423^2*L422/L421)*O457*L422/2</f>
        <v>3.433333333333334</v>
      </c>
      <c r="R459" s="139" t="s">
        <v>153</v>
      </c>
      <c r="S459" s="138">
        <f>COS(S422/2)^2*$K459+SIN(S422/2)^2*$K460</f>
        <v>3.433333333333334</v>
      </c>
      <c r="T459" s="138">
        <f>COS(T422/2)^2*$K459+SIN(T422/2)^2*$K460</f>
        <v>7.17</v>
      </c>
      <c r="U459" s="138">
        <f>COS(U422/2)^2*$K459+SIN(U422/2)^2*$K460</f>
        <v>3.433333333333334</v>
      </c>
      <c r="V459" s="138">
        <f>COS(V422/2)^2*$K459+SIN(V422/2)^2*$K460</f>
        <v>7.17</v>
      </c>
      <c r="W459" s="138" t="s">
        <v>154</v>
      </c>
      <c r="X459" s="141">
        <f>S424*S468/S458+T424*T468/T458+U424*U468/U458+V424*V468/V458</f>
        <v>0</v>
      </c>
      <c r="Y459" s="164"/>
      <c r="Z459" s="164">
        <f>S424*S459/(S459*S460-S465^2)+T424*T459/(T459*T460-T465^2)+U424*U459/(U459*U460-U465^2)+V424*V459/(V459*V460-V465^2)</f>
        <v>0</v>
      </c>
      <c r="AA459" s="147"/>
      <c r="AB459" s="147"/>
      <c r="AC459" s="147"/>
      <c r="AD459" s="147"/>
      <c r="AG459" s="139"/>
      <c r="AH459" s="147"/>
      <c r="AI459" s="147"/>
      <c r="AJ459" s="147"/>
      <c r="AK459" s="147"/>
    </row>
    <row r="460" spans="10:38">
      <c r="J460" s="139" t="s">
        <v>769</v>
      </c>
      <c r="K460" s="140">
        <f>L424</f>
        <v>7.17</v>
      </c>
      <c r="R460" s="139" t="s">
        <v>770</v>
      </c>
      <c r="S460" s="138">
        <f>SIN(S422/2)^2*$K459+COS(S422/2)^2*$K460</f>
        <v>7.17</v>
      </c>
      <c r="T460" s="138">
        <f>SIN(T422/2)^2*$K459+COS(T422/2)^2*$K460</f>
        <v>3.433333333333334</v>
      </c>
      <c r="U460" s="138">
        <f>SIN(U422/2)^2*$K459+COS(U422/2)^2*$K460</f>
        <v>7.17</v>
      </c>
      <c r="V460" s="138">
        <f>SIN(V422/2)^2*$K459+COS(V422/2)^2*$K460</f>
        <v>3.433333333333334</v>
      </c>
      <c r="W460" s="138" t="s">
        <v>771</v>
      </c>
      <c r="X460" s="141">
        <f>S424*S463^2/S458+T424*T463^2/T458+U424*U463^2/U458+V424*V463^2/V458</f>
        <v>0</v>
      </c>
      <c r="Y460" s="164"/>
      <c r="Z460" s="164">
        <f>S424*S460/(S459*S460-S465^2)+T424*T460/(T459*T460-T465^2)+U424*U460/(U459*U460-U465^2)+V424*V460/(V459*V460-V465^2)</f>
        <v>0</v>
      </c>
      <c r="AA460" s="147"/>
      <c r="AB460" s="147"/>
      <c r="AC460" s="147"/>
      <c r="AD460" s="147"/>
      <c r="AG460" s="139"/>
      <c r="AH460" s="147"/>
      <c r="AI460" s="147"/>
      <c r="AJ460" s="147"/>
      <c r="AK460" s="147"/>
    </row>
    <row r="461" spans="10:38">
      <c r="J461" s="139" t="s">
        <v>773</v>
      </c>
      <c r="K461" s="140">
        <f>K460</f>
        <v>7.17</v>
      </c>
      <c r="P461" s="185"/>
      <c r="Q461" s="185"/>
      <c r="R461" s="186" t="s">
        <v>774</v>
      </c>
      <c r="S461" s="185">
        <f>(COS(S422/2)^2-SIN(S422/2)^2)^2*$K461+COS(S422/2)^2*SIN(S422/2)^2*($K456+$K457-2*$M456)</f>
        <v>7.17</v>
      </c>
      <c r="T461" s="185">
        <f>(COS(T422/2)^2-SIN(T422/2)^2)^2*$K461+COS(T422/2)^2*SIN(T422/2)^2*($K456+$K457-2*$M456)</f>
        <v>7.17</v>
      </c>
      <c r="U461" s="185">
        <f>(COS(U422/2)^2-SIN(U422/2)^2)^2*$K461+COS(U422/2)^2*SIN(U422/2)^2*($K456+$K457-2*$M456)</f>
        <v>7.17</v>
      </c>
      <c r="V461" s="185">
        <f>(COS(V422/2)^2-SIN(V422/2)^2)^2*$K461+COS(V422/2)^2*SIN(V422/2)^2*($K456+$K457-2*$M456)</f>
        <v>7.17</v>
      </c>
      <c r="W461" s="185" t="s">
        <v>775</v>
      </c>
      <c r="X461" s="187">
        <f>S424*S464^2/S458+T424*T464^2/T458+U424*U464^2/U458+V424*V464^2/V458</f>
        <v>0</v>
      </c>
      <c r="Y461" s="147">
        <f>S424*S461+T424*T461+U424*U461+V424*V461</f>
        <v>0</v>
      </c>
      <c r="Z461" s="188"/>
      <c r="AA461" s="190"/>
      <c r="AB461" s="190"/>
      <c r="AC461" s="190"/>
      <c r="AD461" s="190"/>
      <c r="AE461" s="185"/>
      <c r="AF461" s="187"/>
      <c r="AG461" s="186"/>
      <c r="AH461" s="190"/>
      <c r="AI461" s="190"/>
      <c r="AJ461" s="190"/>
      <c r="AK461" s="190"/>
      <c r="AL461" s="185"/>
    </row>
    <row r="462" spans="10:38">
      <c r="J462" s="185"/>
      <c r="K462" s="185"/>
      <c r="L462" s="185"/>
      <c r="M462" s="185"/>
      <c r="N462" s="185"/>
      <c r="O462" s="185"/>
      <c r="R462" s="139" t="s">
        <v>145</v>
      </c>
      <c r="S462" s="138">
        <f>-4*COS(S422/2)^2*SIN(S422/2)^2*$K461+COS(S422/2)^2*SIN(S422/2)^2*($K456+$K457)+(COS(S422/2)^4+SIN(S422/2)^4)*$M456</f>
        <v>5.8728045779623468</v>
      </c>
      <c r="T462" s="138">
        <f>-4*COS(T422/2)^2*SIN(T422/2)^2*$K461+COS(T422/2)^2*SIN(T422/2)^2*($K456+$K457)+(COS(T422/2)^4+SIN(T422/2)^4)*$M456</f>
        <v>5.8728045779623468</v>
      </c>
      <c r="U462" s="138">
        <f>-4*COS(U422/2)^2*SIN(U422/2)^2*$K461+COS(U422/2)^2*SIN(U422/2)^2*($K456+$K457)+(COS(U422/2)^4+SIN(U422/2)^4)*$M456</f>
        <v>5.8728045779623468</v>
      </c>
      <c r="V462" s="138">
        <f>-4*COS(V422/2)^2*SIN(V422/2)^2*$K461+COS(V422/2)^2*SIN(V422/2)^2*($K456+$K457)+(COS(V422/2)^4+SIN(V422/2)^4)*$M456</f>
        <v>5.8728045779623468</v>
      </c>
      <c r="W462" s="138" t="s">
        <v>778</v>
      </c>
      <c r="X462" s="141">
        <f>S424*S463*S464/S458+T424*T463*T464/T458+U424*U463*U464/U458+V424*V463*V464/V458</f>
        <v>0</v>
      </c>
      <c r="Y462" s="147">
        <f>S424*S462+T424*T462+U424*U462+V424*V462</f>
        <v>0</v>
      </c>
      <c r="Z462" s="164"/>
      <c r="AA462" s="147"/>
      <c r="AB462" s="147"/>
      <c r="AC462" s="147"/>
      <c r="AD462" s="147"/>
      <c r="AG462" s="139"/>
      <c r="AH462" s="147"/>
      <c r="AI462" s="147"/>
      <c r="AJ462" s="147"/>
      <c r="AK462" s="147"/>
    </row>
    <row r="463" spans="10:38">
      <c r="R463" s="139" t="s">
        <v>151</v>
      </c>
      <c r="S463" s="138">
        <f>COS(S422/2)^2*$M457+SIN(S422/2)^2*$M458</f>
        <v>5.8728045779623468</v>
      </c>
      <c r="T463" s="138">
        <f>COS(T422/2)^2*$M457+SIN(T422/2)^2*$M458</f>
        <v>7.053817698742284</v>
      </c>
      <c r="U463" s="138">
        <f>COS(U422/2)^2*$M457+SIN(U422/2)^2*$M458</f>
        <v>5.8728045779623468</v>
      </c>
      <c r="V463" s="138">
        <f>COS(V422/2)^2*$M457+SIN(V422/2)^2*$M458</f>
        <v>7.053817698742284</v>
      </c>
      <c r="W463" s="138" t="s">
        <v>782</v>
      </c>
      <c r="X463" s="141">
        <f>S424*S468*S463/S458+T424*T468*T463/T458+U424*U468*U463/U458+V424*V468*V463/V458</f>
        <v>0</v>
      </c>
      <c r="Y463" s="147"/>
      <c r="Z463" s="164"/>
      <c r="AA463" s="147"/>
      <c r="AB463" s="147"/>
      <c r="AC463" s="147"/>
      <c r="AD463" s="147"/>
      <c r="AG463" s="139"/>
      <c r="AH463" s="147"/>
      <c r="AI463" s="147"/>
      <c r="AJ463" s="147"/>
      <c r="AK463" s="147"/>
    </row>
    <row r="464" spans="10:38">
      <c r="R464" s="139" t="s">
        <v>768</v>
      </c>
      <c r="S464" s="138">
        <f>SIN(S422/2)^2*$M457+COS(S422/2)^2*$M458</f>
        <v>7.053817698742284</v>
      </c>
      <c r="T464" s="138">
        <f>SIN(T422/2)^2*$M457+COS(T422/2)^2*$M458</f>
        <v>5.8728045779623468</v>
      </c>
      <c r="U464" s="138">
        <f>SIN(U422/2)^2*$M457+COS(U422/2)^2*$M458</f>
        <v>7.053817698742284</v>
      </c>
      <c r="V464" s="138">
        <f>SIN(V422/2)^2*$M457+COS(V422/2)^2*$M458</f>
        <v>5.8728045779623468</v>
      </c>
      <c r="W464" s="138" t="s">
        <v>785</v>
      </c>
      <c r="X464" s="141">
        <f>S424*S468*S464/S458+T424*T468*T464/T458+U424*U468*U464/U458+V424*V468*V464/V458</f>
        <v>0</v>
      </c>
      <c r="Y464" s="164"/>
      <c r="Z464" s="164"/>
      <c r="AA464" s="147"/>
      <c r="AB464" s="147"/>
      <c r="AC464" s="147"/>
      <c r="AD464" s="147"/>
      <c r="AG464" s="139"/>
      <c r="AH464" s="147"/>
      <c r="AI464" s="147"/>
      <c r="AJ464" s="147"/>
      <c r="AK464" s="147"/>
    </row>
    <row r="465" spans="10:38">
      <c r="R465" s="139" t="s">
        <v>660</v>
      </c>
      <c r="S465" s="138">
        <f>COS(S422/2)*SIN(S422/2)*(-$K459+$K460)</f>
        <v>0</v>
      </c>
      <c r="T465" s="138">
        <f>COS(T422/2)*SIN(T422/2)*(-$K459+$K460)</f>
        <v>2.2889856965876046E-16</v>
      </c>
      <c r="U465" s="138">
        <f>COS(U422/2)*SIN(U422/2)*(-$K459+$K460)</f>
        <v>0</v>
      </c>
      <c r="V465" s="138">
        <f>COS(V422/2)*SIN(V422/2)*(-$K459+$K460)</f>
        <v>2.2889856965876046E-16</v>
      </c>
      <c r="W465" s="138" t="s">
        <v>1048</v>
      </c>
      <c r="X465" s="141">
        <f>S424*S468^2/S458+T424*T468^2/T458+U424*U468^2/U458+V424*V468^2/V458</f>
        <v>0</v>
      </c>
      <c r="Y465" s="164"/>
      <c r="Z465" s="164">
        <f>S424*S465/(S459*S460-S465^2)+T424*T465/(T459*T460-T465^2)+U424*U465/(U459*U460-U465^2)+V424*V465/(V459*V460-V465^2)</f>
        <v>0</v>
      </c>
      <c r="AA465" s="147"/>
      <c r="AB465" s="147"/>
      <c r="AC465" s="147"/>
      <c r="AD465" s="147"/>
      <c r="AG465" s="139"/>
      <c r="AH465" s="147"/>
      <c r="AI465" s="147"/>
      <c r="AJ465" s="147"/>
      <c r="AK465" s="147"/>
    </row>
    <row r="466" spans="10:38">
      <c r="R466" s="139" t="s">
        <v>777</v>
      </c>
      <c r="S466" s="138">
        <f>-2*COS(S422/2)*SIN(S422/2)*(COS(S422/2)^2-SIN(S422/2)^2)*$K461+COS(S422/2)*SIN(S422/2)*(COS(S422/2)^2*$K456+SIN(S422/2)^2*$K457)+COS(S422/2)*SIN(S422/2)*(COS(S422/2)^2+SIN(S422/2)^2)*$M456</f>
        <v>0</v>
      </c>
      <c r="T466" s="138">
        <f>-2*COS(T422/2)*SIN(T422/2)*(COS(T422/2)^2-SIN(T422/2)^2)*$K461+COS(T422/2)*SIN(T422/2)*(COS(T422/2)^2*$K456+SIN(T422/2)^2*$K457)+COS(T422/2)*SIN(T422/2)*(COS(T422/2)^2+SIN(T422/2)^2)*$M456</f>
        <v>2.0909173104960418E-15</v>
      </c>
      <c r="U466" s="138">
        <f>-2*COS(U422/2)*SIN(U422/2)*(COS(U422/2)^2-SIN(U422/2)^2)*$K461+COS(U422/2)*SIN(U422/2)*(COS(U422/2)^2*$K456+SIN(U422/2)^2*$K457)+COS(U422/2)*SIN(U422/2)*(COS(U422/2)^2+SIN(U422/2)^2)*$M456</f>
        <v>0</v>
      </c>
      <c r="V466" s="138">
        <f>-2*COS(V422/2)*SIN(V422/2)*(COS(V422/2)^2-SIN(V422/2)^2)*$K461+COS(V422/2)*SIN(V422/2)*(COS(V422/2)^2*$K456+SIN(V422/2)^2*$K457)+COS(V422/2)*SIN(V422/2)*(COS(V422/2)^2+SIN(V422/2)^2)*$M456</f>
        <v>2.0909173104960418E-15</v>
      </c>
      <c r="W466" s="138"/>
      <c r="Y466" s="147">
        <f>S424*S466+T424*T466+U424*U466+V424*V466</f>
        <v>0</v>
      </c>
      <c r="Z466" s="164"/>
      <c r="AA466" s="147"/>
      <c r="AB466" s="147"/>
      <c r="AC466" s="147"/>
      <c r="AD466" s="147"/>
      <c r="AG466" s="139"/>
      <c r="AH466" s="147"/>
      <c r="AI466" s="147"/>
      <c r="AJ466" s="147"/>
      <c r="AK466" s="147"/>
    </row>
    <row r="467" spans="10:38">
      <c r="R467" s="139" t="s">
        <v>781</v>
      </c>
      <c r="S467" s="138">
        <f>2*COS(S422/2)*SIN(S422/2)*(COS(S422/2)^2-SIN(S422/2)^2)*$K461+COS(S422/2)*SIN(S422/2)*(SIN(S422/2)^2*$K456-COS(S422/2)^2*$K457)+COS(S422/2)*SIN(S422/2)*(COS(S422/2)^2-SIN(S422/2)^2)*$M456</f>
        <v>0</v>
      </c>
      <c r="T467" s="138">
        <f>2*COS(T422/2)*SIN(T422/2)*(COS(T422/2)^2-SIN(T422/2)^2)*$K461+COS(T422/2)*SIN(T422/2)*(SIN(T422/2)^2*$K456-COS(T422/2)^2*$K457)+COS(T422/2)*SIN(T422/2)*(COS(T422/2)^2-SIN(T422/2)^2)*$M456</f>
        <v>1.0050870810750773E-14</v>
      </c>
      <c r="U467" s="138">
        <f>2*COS(U422/2)*SIN(U422/2)*(COS(U422/2)^2-SIN(U422/2)^2)*$K461+COS(U422/2)*SIN(U422/2)*(SIN(U422/2)^2*$K456-COS(U422/2)^2*$K457)+COS(U422/2)*SIN(U422/2)*(COS(U422/2)^2-SIN(U422/2)^2)*$M456</f>
        <v>0</v>
      </c>
      <c r="V467" s="138">
        <f>2*COS(V422/2)*SIN(V422/2)*(COS(V422/2)^2-SIN(V422/2)^2)*$K461+COS(V422/2)*SIN(V422/2)*(SIN(V422/2)^2*$K456-COS(V422/2)^2*$K457)+COS(V422/2)*SIN(V422/2)*(COS(V422/2)^2-SIN(V422/2)^2)*$M456</f>
        <v>1.0050870810750773E-14</v>
      </c>
      <c r="W467" s="138"/>
      <c r="Y467" s="147">
        <f>S424*S467+T424*T467+U424*U467+V424*V467</f>
        <v>0</v>
      </c>
      <c r="Z467" s="164"/>
      <c r="AA467" s="147"/>
      <c r="AB467" s="147"/>
      <c r="AC467" s="147"/>
      <c r="AD467" s="147"/>
      <c r="AG467" s="139"/>
      <c r="AH467" s="147"/>
      <c r="AI467" s="147"/>
      <c r="AJ467" s="147"/>
      <c r="AK467" s="147"/>
    </row>
    <row r="468" spans="10:38">
      <c r="R468" s="139" t="s">
        <v>784</v>
      </c>
      <c r="S468" s="138">
        <f>COS(S422/2)*SIN(S422/2)*($M457-$M458)</f>
        <v>0</v>
      </c>
      <c r="T468" s="138">
        <f>COS(T422/2)*SIN(T422/2)*($M457-$M458)</f>
        <v>-7.2345820007517372E-17</v>
      </c>
      <c r="U468" s="138">
        <f>COS(U422/2)*SIN(U422/2)*($M457-$M458)</f>
        <v>0</v>
      </c>
      <c r="V468" s="138">
        <f>COS(V422/2)*SIN(V422/2)*($M457-$M458)</f>
        <v>-7.2345820007517372E-17</v>
      </c>
      <c r="W468" s="138"/>
      <c r="Y468" s="164"/>
      <c r="Z468" s="164"/>
      <c r="AA468" s="147"/>
      <c r="AB468" s="147"/>
      <c r="AC468" s="147"/>
      <c r="AD468" s="147"/>
      <c r="AG468" s="139"/>
      <c r="AH468" s="147"/>
      <c r="AI468" s="147"/>
      <c r="AJ468" s="147"/>
      <c r="AK468" s="147"/>
    </row>
    <row r="469" spans="10:38">
      <c r="J469" s="137" t="s">
        <v>854</v>
      </c>
      <c r="K469" s="139"/>
      <c r="L469" s="139"/>
      <c r="N469" s="138" t="s">
        <v>1551</v>
      </c>
      <c r="P469" s="140"/>
      <c r="R469" s="138" t="s">
        <v>634</v>
      </c>
      <c r="Y469" s="164"/>
      <c r="Z469" s="138" t="s">
        <v>635</v>
      </c>
      <c r="AG469" s="138" t="s">
        <v>636</v>
      </c>
    </row>
    <row r="470" spans="10:38">
      <c r="J470" s="139" t="str">
        <f>A164</f>
        <v>T3/N52[SI]</v>
      </c>
      <c r="K470" s="137"/>
      <c r="L470" s="139"/>
      <c r="N470" s="139" t="s">
        <v>596</v>
      </c>
      <c r="O470" s="144">
        <f>G165</f>
        <v>22</v>
      </c>
      <c r="P470" s="144">
        <f>B78</f>
        <v>22</v>
      </c>
      <c r="Q470" s="145">
        <f t="shared" ref="Q470:Q475" si="92">P470/O470</f>
        <v>1</v>
      </c>
      <c r="R470" s="137"/>
      <c r="Z470" s="139" t="s">
        <v>531</v>
      </c>
      <c r="AA470" s="146">
        <f t="shared" ref="AA470:AD472" si="93">S472</f>
        <v>0</v>
      </c>
      <c r="AB470" s="146">
        <f t="shared" si="93"/>
        <v>90</v>
      </c>
      <c r="AC470" s="146">
        <f t="shared" si="93"/>
        <v>0</v>
      </c>
      <c r="AD470" s="146">
        <f t="shared" si="93"/>
        <v>90</v>
      </c>
      <c r="AE470" s="139" t="s">
        <v>532</v>
      </c>
      <c r="AF470" s="143" t="s">
        <v>533</v>
      </c>
      <c r="AG470" s="139" t="s">
        <v>531</v>
      </c>
      <c r="AH470" s="146">
        <f t="shared" ref="AH470:AK472" si="94">AA470</f>
        <v>0</v>
      </c>
      <c r="AI470" s="146">
        <f t="shared" si="94"/>
        <v>90</v>
      </c>
      <c r="AJ470" s="146">
        <f t="shared" si="94"/>
        <v>0</v>
      </c>
      <c r="AK470" s="146">
        <f t="shared" si="94"/>
        <v>90</v>
      </c>
    </row>
    <row r="471" spans="10:38">
      <c r="J471" s="139"/>
      <c r="K471" s="139"/>
      <c r="L471" s="139"/>
      <c r="N471" s="139" t="s">
        <v>600</v>
      </c>
      <c r="O471" s="147">
        <f>H165</f>
        <v>5.0000000000000001E-3</v>
      </c>
      <c r="P471" s="147">
        <f>C78</f>
        <v>5.0000000000000001E-3</v>
      </c>
      <c r="Q471" s="145">
        <f t="shared" si="92"/>
        <v>1</v>
      </c>
      <c r="R471" s="139" t="s">
        <v>243</v>
      </c>
      <c r="S471" s="143" t="s">
        <v>1562</v>
      </c>
      <c r="T471" s="143" t="s">
        <v>1563</v>
      </c>
      <c r="U471" s="143" t="s">
        <v>1564</v>
      </c>
      <c r="V471" s="143" t="s">
        <v>1565</v>
      </c>
      <c r="W471" s="143"/>
      <c r="X471" s="143"/>
      <c r="Z471" s="139" t="s">
        <v>536</v>
      </c>
      <c r="AA471" s="146">
        <f t="shared" si="93"/>
        <v>0</v>
      </c>
      <c r="AB471" s="146">
        <f t="shared" si="93"/>
        <v>0</v>
      </c>
      <c r="AC471" s="146">
        <f t="shared" si="93"/>
        <v>0</v>
      </c>
      <c r="AD471" s="146">
        <f t="shared" si="93"/>
        <v>0</v>
      </c>
      <c r="AE471" s="139">
        <f>W473</f>
        <v>1</v>
      </c>
      <c r="AF471" s="146">
        <f>X474</f>
        <v>0</v>
      </c>
      <c r="AG471" s="139" t="s">
        <v>536</v>
      </c>
      <c r="AH471" s="146">
        <f t="shared" si="94"/>
        <v>0</v>
      </c>
      <c r="AI471" s="146">
        <f t="shared" si="94"/>
        <v>0</v>
      </c>
      <c r="AJ471" s="146">
        <f t="shared" si="94"/>
        <v>0</v>
      </c>
      <c r="AK471" s="146">
        <f t="shared" si="94"/>
        <v>0</v>
      </c>
    </row>
    <row r="472" spans="10:38">
      <c r="J472" s="139" t="s">
        <v>1553</v>
      </c>
      <c r="K472" s="139" t="s">
        <v>1554</v>
      </c>
      <c r="L472" s="139" t="s">
        <v>1555</v>
      </c>
      <c r="M472" s="153" t="s">
        <v>1556</v>
      </c>
      <c r="N472" s="139" t="s">
        <v>1557</v>
      </c>
      <c r="O472" s="144">
        <f>G164</f>
        <v>122</v>
      </c>
      <c r="P472" s="144">
        <f>O472</f>
        <v>122</v>
      </c>
      <c r="Q472" s="145">
        <f t="shared" si="92"/>
        <v>1</v>
      </c>
      <c r="R472" s="139" t="s">
        <v>537</v>
      </c>
      <c r="S472" s="154">
        <f>C21+I22</f>
        <v>0</v>
      </c>
      <c r="T472" s="154">
        <f>D21+I22</f>
        <v>90</v>
      </c>
      <c r="U472" s="154">
        <f>E21+I22</f>
        <v>0</v>
      </c>
      <c r="V472" s="154">
        <f>F21+I22</f>
        <v>90</v>
      </c>
      <c r="W472" s="143" t="s">
        <v>538</v>
      </c>
      <c r="X472" s="143"/>
      <c r="Z472" s="139" t="s">
        <v>539</v>
      </c>
      <c r="AA472" s="146">
        <f t="shared" si="93"/>
        <v>0</v>
      </c>
      <c r="AB472" s="146">
        <f t="shared" si="93"/>
        <v>3.1415926535897931</v>
      </c>
      <c r="AC472" s="146">
        <f t="shared" si="93"/>
        <v>0</v>
      </c>
      <c r="AD472" s="146">
        <f t="shared" si="93"/>
        <v>3.1415926535897931</v>
      </c>
      <c r="AE472" s="139" t="s">
        <v>540</v>
      </c>
      <c r="AF472" s="141">
        <f>W480</f>
        <v>0</v>
      </c>
      <c r="AG472" s="139" t="s">
        <v>539</v>
      </c>
      <c r="AH472" s="146">
        <f t="shared" si="94"/>
        <v>0</v>
      </c>
      <c r="AI472" s="146">
        <f t="shared" si="94"/>
        <v>3.1415926535897931</v>
      </c>
      <c r="AJ472" s="146">
        <f t="shared" si="94"/>
        <v>0</v>
      </c>
      <c r="AK472" s="146">
        <f t="shared" si="94"/>
        <v>3.1415926535897931</v>
      </c>
    </row>
    <row r="473" spans="10:38">
      <c r="J473" s="139" t="s">
        <v>298</v>
      </c>
      <c r="K473" s="140">
        <f>B164</f>
        <v>181</v>
      </c>
      <c r="L473" s="140">
        <f>L480*L479</f>
        <v>181.00000000000003</v>
      </c>
      <c r="M473" s="145">
        <f>L473/K473</f>
        <v>1.0000000000000002</v>
      </c>
      <c r="N473" s="139" t="s">
        <v>299</v>
      </c>
      <c r="O473" s="144">
        <f>H164</f>
        <v>160</v>
      </c>
      <c r="P473" s="144">
        <f>O473-H167*(P471)</f>
        <v>150</v>
      </c>
      <c r="Q473" s="145">
        <f t="shared" si="92"/>
        <v>0.9375</v>
      </c>
      <c r="R473" s="139" t="s">
        <v>541</v>
      </c>
      <c r="S473" s="154">
        <f>C22</f>
        <v>0</v>
      </c>
      <c r="T473" s="154">
        <f>D22</f>
        <v>0</v>
      </c>
      <c r="U473" s="154">
        <f>E22</f>
        <v>0</v>
      </c>
      <c r="V473" s="154">
        <f>F22</f>
        <v>0</v>
      </c>
      <c r="W473" s="156">
        <f>G22</f>
        <v>1</v>
      </c>
      <c r="X473" s="143"/>
      <c r="Z473" s="139"/>
      <c r="AA473" s="141">
        <f>AA472/2</f>
        <v>0</v>
      </c>
      <c r="AB473" s="141">
        <f>AB472/2</f>
        <v>1.5707963267948966</v>
      </c>
      <c r="AC473" s="141">
        <f>AC472/2</f>
        <v>0</v>
      </c>
      <c r="AD473" s="141">
        <f>AD472/2</f>
        <v>1.5707963267948966</v>
      </c>
      <c r="AE473" s="143"/>
      <c r="AL473" s="139"/>
    </row>
    <row r="474" spans="10:38">
      <c r="J474" s="139" t="s">
        <v>1579</v>
      </c>
      <c r="K474" s="140">
        <f>C164</f>
        <v>10.3</v>
      </c>
      <c r="L474" s="140">
        <f>(1+L483)/(1/L484+L483/L481)</f>
        <v>10.3</v>
      </c>
      <c r="M474" s="145">
        <f>L474/K474</f>
        <v>1</v>
      </c>
      <c r="N474" s="139" t="s">
        <v>1580</v>
      </c>
      <c r="O474" s="140">
        <f>(O473-O470)/(O473-O470)</f>
        <v>1</v>
      </c>
      <c r="P474" s="140">
        <f>(P473-P470)/(P473-O470)</f>
        <v>1</v>
      </c>
      <c r="Q474" s="145">
        <f t="shared" si="92"/>
        <v>1</v>
      </c>
      <c r="R474" s="139" t="s">
        <v>1295</v>
      </c>
      <c r="S474" s="158">
        <f>S472*PI()/90</f>
        <v>0</v>
      </c>
      <c r="T474" s="158">
        <f>T472*PI()/90</f>
        <v>3.1415926535897931</v>
      </c>
      <c r="U474" s="158">
        <f>U472*PI()/90</f>
        <v>0</v>
      </c>
      <c r="V474" s="158">
        <f>V472*PI()/90</f>
        <v>3.1415926535897931</v>
      </c>
      <c r="W474" s="143" t="s">
        <v>1296</v>
      </c>
      <c r="X474" s="146"/>
      <c r="Z474" s="137" t="s">
        <v>1297</v>
      </c>
      <c r="AA474" s="143"/>
      <c r="AB474" s="143"/>
      <c r="AC474" s="141"/>
      <c r="AD474" s="141"/>
      <c r="AE474" s="141"/>
      <c r="AG474" s="137" t="s">
        <v>1298</v>
      </c>
      <c r="AL474" s="139"/>
    </row>
    <row r="475" spans="10:38">
      <c r="J475" s="139" t="s">
        <v>259</v>
      </c>
      <c r="K475" s="140">
        <f>D164</f>
        <v>0.28000000000000003</v>
      </c>
      <c r="L475" s="140">
        <f>K475*I78</f>
        <v>0.28000000000000003</v>
      </c>
      <c r="M475" s="145">
        <f>L475/K475</f>
        <v>1</v>
      </c>
      <c r="N475" s="139" t="s">
        <v>260</v>
      </c>
      <c r="O475" s="144">
        <f>O470-O472</f>
        <v>-100</v>
      </c>
      <c r="P475" s="144">
        <f>P470-P472</f>
        <v>-100</v>
      </c>
      <c r="Q475" s="145">
        <f t="shared" si="92"/>
        <v>1</v>
      </c>
      <c r="R475" s="139" t="s">
        <v>1300</v>
      </c>
      <c r="S475" s="158">
        <f>2*S474</f>
        <v>0</v>
      </c>
      <c r="T475" s="158">
        <f>2*T474</f>
        <v>6.2831853071795862</v>
      </c>
      <c r="U475" s="158">
        <f>2*U474</f>
        <v>0</v>
      </c>
      <c r="V475" s="158">
        <f>2*V474</f>
        <v>6.2831853071795862</v>
      </c>
      <c r="W475" s="138" t="s">
        <v>651</v>
      </c>
      <c r="X475" s="143" t="s">
        <v>652</v>
      </c>
      <c r="Y475" s="143" t="s">
        <v>646</v>
      </c>
      <c r="Z475" s="139"/>
      <c r="AA475" s="143" t="s">
        <v>1301</v>
      </c>
      <c r="AB475" s="143"/>
      <c r="AC475" s="161" t="s">
        <v>977</v>
      </c>
      <c r="AD475" s="161"/>
      <c r="AE475" s="143" t="s">
        <v>1303</v>
      </c>
      <c r="AF475" s="143" t="s">
        <v>1304</v>
      </c>
      <c r="AG475" s="139" t="s">
        <v>1305</v>
      </c>
      <c r="AH475" s="147">
        <f t="shared" ref="AH475:AK477" si="95">AA481/1000</f>
        <v>0</v>
      </c>
      <c r="AI475" s="147">
        <f t="shared" si="95"/>
        <v>0</v>
      </c>
      <c r="AJ475" s="147">
        <f t="shared" si="95"/>
        <v>0</v>
      </c>
      <c r="AK475" s="147">
        <f t="shared" si="95"/>
        <v>0</v>
      </c>
      <c r="AL475" s="157"/>
    </row>
    <row r="476" spans="10:38">
      <c r="J476" s="139" t="s">
        <v>261</v>
      </c>
      <c r="K476" s="140">
        <f>E164</f>
        <v>7.17</v>
      </c>
      <c r="L476" s="140">
        <f>(1+L486)/(1/L487+L486*2.7/L481)</f>
        <v>7.17</v>
      </c>
      <c r="M476" s="145">
        <f>L476/K476</f>
        <v>1</v>
      </c>
      <c r="N476" s="139"/>
      <c r="O476" s="140"/>
      <c r="P476" s="140"/>
      <c r="Q476" s="140"/>
      <c r="R476" s="139" t="s">
        <v>1321</v>
      </c>
      <c r="S476" s="158">
        <f>2*W473*S473*L477/1000000/Y476</f>
        <v>0</v>
      </c>
      <c r="T476" s="158">
        <f>2*W473*T473*L477/1000000/Y476</f>
        <v>0</v>
      </c>
      <c r="U476" s="158">
        <f>2*W473*U473*L477/1000000/Y476</f>
        <v>0</v>
      </c>
      <c r="V476" s="158">
        <f>2*W473*V473*L477/1000000/Y476</f>
        <v>0</v>
      </c>
      <c r="W476" s="147">
        <f>SUM(S476:V476)</f>
        <v>0</v>
      </c>
      <c r="X476" s="163">
        <f>2*W473*SUM(S473:V473)*L477/1000000</f>
        <v>0</v>
      </c>
      <c r="Y476" s="147">
        <f>Y424</f>
        <v>5.0000000000000001E-4</v>
      </c>
      <c r="Z476" s="139">
        <v>1</v>
      </c>
      <c r="AA476" s="140">
        <f>$B$37</f>
        <v>1</v>
      </c>
      <c r="AB476" s="163"/>
      <c r="AC476" s="140">
        <f>AC424</f>
        <v>119.49416590714854</v>
      </c>
      <c r="AD476" s="163"/>
      <c r="AE476" s="159" t="s">
        <v>1306</v>
      </c>
      <c r="AF476" s="163">
        <f>IF(X476=0,0,(AC476+AC477)/2)</f>
        <v>0</v>
      </c>
      <c r="AG476" s="139" t="s">
        <v>1307</v>
      </c>
      <c r="AH476" s="147">
        <f t="shared" si="95"/>
        <v>0</v>
      </c>
      <c r="AI476" s="147">
        <f t="shared" si="95"/>
        <v>0</v>
      </c>
      <c r="AJ476" s="147">
        <f t="shared" si="95"/>
        <v>0</v>
      </c>
      <c r="AK476" s="147">
        <f t="shared" si="95"/>
        <v>0</v>
      </c>
      <c r="AL476" s="157"/>
    </row>
    <row r="477" spans="10:38">
      <c r="J477" s="139" t="s">
        <v>262</v>
      </c>
      <c r="K477" s="144">
        <f>B166</f>
        <v>125</v>
      </c>
      <c r="L477" s="144">
        <f>K477/M479</f>
        <v>125</v>
      </c>
      <c r="M477" s="145">
        <f>L477/K477</f>
        <v>1</v>
      </c>
      <c r="N477" s="137" t="s">
        <v>1531</v>
      </c>
      <c r="O477" s="140"/>
      <c r="P477" s="140"/>
      <c r="Q477" s="140"/>
      <c r="R477" s="139" t="s">
        <v>1325</v>
      </c>
      <c r="S477" s="143" t="s">
        <v>1326</v>
      </c>
      <c r="T477" s="143" t="s">
        <v>1327</v>
      </c>
      <c r="U477" s="143" t="s">
        <v>1328</v>
      </c>
      <c r="V477" s="143" t="s">
        <v>1329</v>
      </c>
      <c r="W477" s="143" t="s">
        <v>1330</v>
      </c>
      <c r="X477" s="139"/>
      <c r="Z477" s="139">
        <v>2</v>
      </c>
      <c r="AA477" s="140">
        <f>$B$38</f>
        <v>0</v>
      </c>
      <c r="AB477" s="163"/>
      <c r="AC477" s="140">
        <f>AC425</f>
        <v>-19.975848039852647</v>
      </c>
      <c r="AD477" s="163"/>
      <c r="AE477" s="159" t="s">
        <v>1309</v>
      </c>
      <c r="AF477" s="163">
        <f>IF(X476=0,0,(AC476-AC477)/2)</f>
        <v>0</v>
      </c>
      <c r="AG477" s="139" t="s">
        <v>1310</v>
      </c>
      <c r="AH477" s="147">
        <f t="shared" si="95"/>
        <v>0</v>
      </c>
      <c r="AI477" s="147">
        <f t="shared" si="95"/>
        <v>0</v>
      </c>
      <c r="AJ477" s="147">
        <f t="shared" si="95"/>
        <v>0</v>
      </c>
      <c r="AK477" s="147">
        <f t="shared" si="95"/>
        <v>0</v>
      </c>
      <c r="AL477" s="157"/>
    </row>
    <row r="478" spans="10:38">
      <c r="J478" s="137" t="s">
        <v>264</v>
      </c>
      <c r="K478" s="140"/>
      <c r="L478" s="140"/>
      <c r="N478" s="139" t="s">
        <v>265</v>
      </c>
      <c r="O478" s="140">
        <f>A167</f>
        <v>0.02</v>
      </c>
      <c r="P478" s="140">
        <f>O478</f>
        <v>0.02</v>
      </c>
      <c r="Q478" s="140">
        <f>P478/O478</f>
        <v>1</v>
      </c>
      <c r="R478" s="139">
        <v>11</v>
      </c>
      <c r="S478" s="140">
        <f>L495+L496*COS(S474)+L497*COS(S475)</f>
        <v>181.81113884441794</v>
      </c>
      <c r="T478" s="140">
        <f>L495+L496*COS(T474)+L497*COS(T475)</f>
        <v>10.346158729820477</v>
      </c>
      <c r="U478" s="140">
        <f>L495+L496*COS(U474)+L497*COS(U475)</f>
        <v>181.81113884441794</v>
      </c>
      <c r="V478" s="140">
        <f>L495+L496*COS(V474)+L497*COS(V475)</f>
        <v>10.346158729820477</v>
      </c>
      <c r="W478" s="163">
        <f>(S476*S478+T476*T478+U476*U478+V476*V478)</f>
        <v>0</v>
      </c>
      <c r="X478" s="147"/>
      <c r="Z478" s="139">
        <v>6</v>
      </c>
      <c r="AA478" s="140">
        <f>$B$39</f>
        <v>0</v>
      </c>
      <c r="AB478" s="163"/>
      <c r="AC478" s="140">
        <f>AC426</f>
        <v>-91.562516762323497</v>
      </c>
      <c r="AD478" s="163"/>
      <c r="AE478" s="159" t="s">
        <v>1312</v>
      </c>
      <c r="AF478" s="163">
        <f>IF(X476=0,0,AC478/2)</f>
        <v>0</v>
      </c>
      <c r="AG478" s="139"/>
      <c r="AH478" s="163"/>
      <c r="AI478" s="163"/>
      <c r="AJ478" s="163"/>
      <c r="AK478" s="163"/>
      <c r="AL478" s="163"/>
    </row>
    <row r="479" spans="10:38">
      <c r="J479" s="139" t="s">
        <v>1532</v>
      </c>
      <c r="K479" s="140">
        <f>C166</f>
        <v>0.7</v>
      </c>
      <c r="L479" s="140">
        <f>D78</f>
        <v>0.7</v>
      </c>
      <c r="M479" s="145">
        <f t="shared" ref="M479:M488" si="96">L479/K479</f>
        <v>1</v>
      </c>
      <c r="N479" s="139" t="s">
        <v>1533</v>
      </c>
      <c r="O479" s="140">
        <f>B167</f>
        <v>22.5</v>
      </c>
      <c r="P479" s="140">
        <f>O479*(1-L479)/(1-K479)</f>
        <v>22.5</v>
      </c>
      <c r="Q479" s="140">
        <f>P479/O479</f>
        <v>1</v>
      </c>
      <c r="R479" s="139">
        <v>22</v>
      </c>
      <c r="S479" s="140">
        <f>S478-2*L496*COS(S474)</f>
        <v>10.346158729820473</v>
      </c>
      <c r="T479" s="140">
        <f>T478-2*L496*COS(T474)</f>
        <v>181.81113884441794</v>
      </c>
      <c r="U479" s="140">
        <f>U478-2*L496*COS(U474)</f>
        <v>10.346158729820473</v>
      </c>
      <c r="V479" s="140">
        <f>V478-2*L496*COS(V474)</f>
        <v>181.81113884441794</v>
      </c>
      <c r="W479" s="163">
        <f>(S476*S479+T476*T479+U476*U479+V476*V479)</f>
        <v>0</v>
      </c>
      <c r="X479" s="147"/>
      <c r="AA479" s="163"/>
      <c r="AB479" s="163"/>
      <c r="AC479" s="163"/>
      <c r="AD479" s="163"/>
      <c r="AE479" s="159"/>
      <c r="AF479" s="163"/>
      <c r="AG479" s="139"/>
      <c r="AH479" s="163"/>
      <c r="AI479" s="163"/>
      <c r="AJ479" s="163"/>
      <c r="AK479" s="163"/>
      <c r="AL479" s="163"/>
    </row>
    <row r="480" spans="10:38">
      <c r="J480" s="139" t="s">
        <v>1534</v>
      </c>
      <c r="K480" s="144">
        <f>K473/K479</f>
        <v>258.57142857142861</v>
      </c>
      <c r="L480" s="144">
        <f>F78*P474^F167</f>
        <v>258.57142857142861</v>
      </c>
      <c r="M480" s="145">
        <f t="shared" si="96"/>
        <v>1</v>
      </c>
      <c r="N480" s="138" t="s">
        <v>1535</v>
      </c>
      <c r="O480" s="140"/>
      <c r="P480" s="140"/>
      <c r="Q480" s="140"/>
      <c r="R480" s="139" t="s">
        <v>1345</v>
      </c>
      <c r="S480" s="140">
        <f>L498-L497*COS(S475)</f>
        <v>2.8969244443497324</v>
      </c>
      <c r="T480" s="140">
        <f>L498-L497*COS(T475)</f>
        <v>2.8969244443497324</v>
      </c>
      <c r="U480" s="140">
        <f>L498-L497*COS(U475)</f>
        <v>2.8969244443497324</v>
      </c>
      <c r="V480" s="140">
        <f>L498-L497*COS(V475)</f>
        <v>2.8969244443497324</v>
      </c>
      <c r="W480" s="163">
        <f>(S476*S480+T476*T480+U476*U480+V476*V480)</f>
        <v>0</v>
      </c>
      <c r="X480" s="147"/>
      <c r="Z480" s="137" t="s">
        <v>1323</v>
      </c>
      <c r="AA480" s="163"/>
      <c r="AB480" s="163"/>
      <c r="AC480" s="163"/>
      <c r="AD480" s="163"/>
      <c r="AE480" s="159" t="s">
        <v>661</v>
      </c>
      <c r="AF480" s="163">
        <f>L475/L473*L490+L488/L474*L492</f>
        <v>0.42188220063345594</v>
      </c>
      <c r="AG480" s="139"/>
      <c r="AH480" s="163"/>
      <c r="AI480" s="163"/>
      <c r="AJ480" s="163"/>
      <c r="AK480" s="163"/>
      <c r="AL480" s="163"/>
    </row>
    <row r="481" spans="10:38">
      <c r="J481" s="139" t="s">
        <v>1536</v>
      </c>
      <c r="K481" s="140">
        <f>F164</f>
        <v>3.4</v>
      </c>
      <c r="L481" s="140">
        <f>E78*P474^F166*I78</f>
        <v>3.4</v>
      </c>
      <c r="M481" s="145">
        <f t="shared" si="96"/>
        <v>1</v>
      </c>
      <c r="N481" s="139" t="s">
        <v>1537</v>
      </c>
      <c r="O481" s="140">
        <f>C167</f>
        <v>0</v>
      </c>
      <c r="P481" s="140">
        <f>O481</f>
        <v>0</v>
      </c>
      <c r="Q481" s="140">
        <v>1</v>
      </c>
      <c r="R481" s="139">
        <v>66</v>
      </c>
      <c r="S481" s="140">
        <f>S480-L498+L499</f>
        <v>7.1700000000000053</v>
      </c>
      <c r="T481" s="140">
        <f>T480-L498+L499</f>
        <v>7.1700000000000053</v>
      </c>
      <c r="U481" s="140">
        <f>U480-L498+L499</f>
        <v>7.1700000000000053</v>
      </c>
      <c r="V481" s="140">
        <f>V480-L498+L499</f>
        <v>7.1700000000000053</v>
      </c>
      <c r="W481" s="163">
        <f>(S476*S481+T476*T481+U476*U481+V476*V481)</f>
        <v>0</v>
      </c>
      <c r="X481" s="147"/>
      <c r="Z481" s="139" t="s">
        <v>1324</v>
      </c>
      <c r="AA481" s="147">
        <f>(AF476+AF477*COS(AA472)+AF478*SIN(AA472))</f>
        <v>0</v>
      </c>
      <c r="AB481" s="147">
        <f>(AF476+AF477*COS(AB472)+AF478*SIN(AB472))</f>
        <v>0</v>
      </c>
      <c r="AC481" s="147">
        <f>(AF476+AF477*COS(AC472)+AF478*SIN(AC472))</f>
        <v>0</v>
      </c>
      <c r="AD481" s="147">
        <f>(AF476+AF477*COS(AD472)+AF478*SIN(AD472))</f>
        <v>0</v>
      </c>
      <c r="AE481" s="159" t="s">
        <v>664</v>
      </c>
      <c r="AF481" s="163">
        <f>L475/L473*L492+L488/L474*L491</f>
        <v>0.50672214511948566</v>
      </c>
      <c r="AG481" s="137"/>
      <c r="AH481" s="159"/>
      <c r="AI481" s="159"/>
      <c r="AJ481" s="159"/>
      <c r="AK481" s="159"/>
      <c r="AL481" s="163"/>
    </row>
    <row r="482" spans="10:38">
      <c r="J482" s="139" t="s">
        <v>1538</v>
      </c>
      <c r="K482" s="140">
        <f>E166</f>
        <v>0.51600000000000001</v>
      </c>
      <c r="L482" s="140">
        <f>K482*P474^G166</f>
        <v>0.51600000000000001</v>
      </c>
      <c r="M482" s="145">
        <f t="shared" si="96"/>
        <v>1</v>
      </c>
      <c r="N482" s="139" t="s">
        <v>1539</v>
      </c>
      <c r="O482" s="140">
        <f>D167</f>
        <v>0.6</v>
      </c>
      <c r="P482" s="140">
        <f>O482*(1-L479)/(1-K479)</f>
        <v>0.6</v>
      </c>
      <c r="Q482" s="140">
        <f>P482/O482</f>
        <v>1</v>
      </c>
      <c r="R482" s="139" t="s">
        <v>1347</v>
      </c>
      <c r="S482" s="140">
        <f>L496*SIN(S474)/2+L497*SIN(S475)</f>
        <v>0</v>
      </c>
      <c r="T482" s="140">
        <f>L496*SIN(T474)/2+L497*SIN(T475)</f>
        <v>4.221105484146412E-16</v>
      </c>
      <c r="U482" s="140">
        <f>L496*SIN(U474)/2+L497*SIN(U475)</f>
        <v>0</v>
      </c>
      <c r="V482" s="140">
        <f>L496*SIN(V474)/2+L497*SIN(V475)</f>
        <v>4.221105484146412E-16</v>
      </c>
      <c r="W482" s="163">
        <f>(S476*S482+T476*T482+U476*U482+V476*V482)</f>
        <v>0</v>
      </c>
      <c r="X482" s="147"/>
      <c r="Z482" s="139" t="s">
        <v>1332</v>
      </c>
      <c r="AA482" s="147">
        <f>2*AF476-AA481</f>
        <v>0</v>
      </c>
      <c r="AB482" s="147">
        <f>2*AF476-AB481</f>
        <v>0</v>
      </c>
      <c r="AC482" s="147">
        <f>2*AF476-AC481</f>
        <v>0</v>
      </c>
      <c r="AD482" s="147">
        <f>2*AF476-AD481</f>
        <v>0</v>
      </c>
      <c r="AE482" s="159"/>
      <c r="AF482" s="163"/>
      <c r="AG482" s="139" t="s">
        <v>1333</v>
      </c>
      <c r="AH482" s="163">
        <f>P501*AH475^2+2*P503*AH475*AH476+P502*AH476^2+P504*AH477^2</f>
        <v>0</v>
      </c>
      <c r="AI482" s="163">
        <f>P501*AI475^2+2*P503*AI475*AI476+P502*AI476^2+P504*AI477^2</f>
        <v>0</v>
      </c>
      <c r="AJ482" s="163">
        <f>P501*AJ475^2+2*P503*AJ475*AJ476+P502*AJ476^2+P504*AJ477^2</f>
        <v>0</v>
      </c>
      <c r="AK482" s="163">
        <f>P501*AK475^2+2*P503*AK475*AK476+P502*AK476^2+P504*AK477^2</f>
        <v>0</v>
      </c>
      <c r="AL482" s="163"/>
    </row>
    <row r="483" spans="10:38">
      <c r="J483" s="139" t="s">
        <v>1547</v>
      </c>
      <c r="K483" s="140">
        <f>K482*(1-K479)/K479</f>
        <v>0.2211428571428572</v>
      </c>
      <c r="L483" s="140">
        <f>L482*(1-L479)/L479</f>
        <v>0.2211428571428572</v>
      </c>
      <c r="M483" s="145">
        <f t="shared" si="96"/>
        <v>1</v>
      </c>
      <c r="O483" s="140"/>
      <c r="P483" s="140"/>
      <c r="Q483" s="140"/>
      <c r="R483" s="139" t="s">
        <v>1349</v>
      </c>
      <c r="S483" s="140">
        <f>L496*SIN(S474)-S482</f>
        <v>0</v>
      </c>
      <c r="T483" s="140">
        <f>L496*SIN(T474)-T482</f>
        <v>1.0081392224502176E-14</v>
      </c>
      <c r="U483" s="140">
        <f>L496*SIN(U474)-U482</f>
        <v>0</v>
      </c>
      <c r="V483" s="140">
        <f>L496*SIN(V474)-V482</f>
        <v>1.0081392224502176E-14</v>
      </c>
      <c r="W483" s="163">
        <f>(S476*S483+T476*T483+U476*U483+V476*V483)</f>
        <v>0</v>
      </c>
      <c r="X483" s="147"/>
      <c r="Z483" s="139" t="s">
        <v>1334</v>
      </c>
      <c r="AA483" s="147">
        <f>(2*(AF478*COS(AA472)-AF477*SIN(AA472)))</f>
        <v>0</v>
      </c>
      <c r="AB483" s="147">
        <f>(2*(AF478*COS(AB472)-AF477*SIN(AB472)))</f>
        <v>0</v>
      </c>
      <c r="AC483" s="147">
        <f>(2*(AF478*COS(AC472)-AF477*SIN(AC472)))</f>
        <v>0</v>
      </c>
      <c r="AD483" s="147">
        <f>(2*(AF478*COS(AD472)-AF477*SIN(AD472)))</f>
        <v>0</v>
      </c>
      <c r="AE483" s="159"/>
      <c r="AF483" s="163"/>
      <c r="AG483" s="139" t="s">
        <v>1335</v>
      </c>
      <c r="AH483" s="163">
        <f>P505*AH475+P506*AH476</f>
        <v>0</v>
      </c>
      <c r="AI483" s="163">
        <f>P505*AI475+P506*AI476</f>
        <v>0</v>
      </c>
      <c r="AJ483" s="163">
        <f>P505*AJ475+P506*AJ476</f>
        <v>0</v>
      </c>
      <c r="AK483" s="163">
        <f>P505*AK475+P506*AK476</f>
        <v>0</v>
      </c>
      <c r="AL483" s="163"/>
    </row>
    <row r="484" spans="10:38">
      <c r="J484" s="139" t="s">
        <v>1643</v>
      </c>
      <c r="K484" s="140">
        <f>1/((1+K483)/K474-K483/K481)</f>
        <v>18.686160319541436</v>
      </c>
      <c r="L484" s="140">
        <f>K484*P474^F167</f>
        <v>18.686160319541436</v>
      </c>
      <c r="M484" s="145">
        <f t="shared" si="96"/>
        <v>1</v>
      </c>
      <c r="N484" s="138" t="s">
        <v>176</v>
      </c>
      <c r="O484" s="140"/>
      <c r="P484" s="140"/>
      <c r="Q484" s="140"/>
      <c r="R484" s="139"/>
      <c r="S484" s="143"/>
      <c r="T484" s="143"/>
      <c r="U484" s="143"/>
      <c r="V484" s="139"/>
      <c r="W484" s="143"/>
      <c r="Z484" s="139" t="s">
        <v>671</v>
      </c>
      <c r="AA484" s="164">
        <f>S502*S476</f>
        <v>0</v>
      </c>
      <c r="AB484" s="164">
        <f>T502*T476</f>
        <v>0</v>
      </c>
      <c r="AC484" s="164">
        <f>U502*U476</f>
        <v>0</v>
      </c>
      <c r="AD484" s="164">
        <f>V502*V476</f>
        <v>0</v>
      </c>
      <c r="AE484" s="164">
        <f>W476*(P479+P478*AF480+AF481*P479)-AF480*SUM(AA484:AD484)-AF481*SUM(AA485:AD485)</f>
        <v>0</v>
      </c>
      <c r="AF484" s="164"/>
      <c r="AG484" s="139" t="s">
        <v>1344</v>
      </c>
      <c r="AH484" s="163" t="e">
        <f>AH483/2/AH482</f>
        <v>#DIV/0!</v>
      </c>
      <c r="AI484" s="163" t="e">
        <f>AI483/2/AI482</f>
        <v>#DIV/0!</v>
      </c>
      <c r="AJ484" s="163" t="e">
        <f>AJ483/2/AJ482</f>
        <v>#DIV/0!</v>
      </c>
      <c r="AK484" s="163" t="e">
        <f>AK483/2/AK482</f>
        <v>#DIV/0!</v>
      </c>
      <c r="AL484" s="163"/>
    </row>
    <row r="485" spans="10:38">
      <c r="J485" s="139" t="s">
        <v>295</v>
      </c>
      <c r="K485" s="140">
        <f>E167</f>
        <v>0.316</v>
      </c>
      <c r="L485" s="140">
        <f>K485*P474^G166</f>
        <v>0.316</v>
      </c>
      <c r="M485" s="145">
        <f t="shared" si="96"/>
        <v>1</v>
      </c>
      <c r="N485" s="139" t="s">
        <v>296</v>
      </c>
      <c r="O485" s="144">
        <f>A165</f>
        <v>1500</v>
      </c>
      <c r="P485" s="144">
        <f>P491*L479</f>
        <v>1500</v>
      </c>
      <c r="Q485" s="140">
        <f t="shared" ref="Q485:Q492" si="97">P485/O485</f>
        <v>1</v>
      </c>
      <c r="R485" s="139"/>
      <c r="T485" s="164"/>
      <c r="U485" s="140"/>
      <c r="V485" s="140"/>
      <c r="W485" s="140"/>
      <c r="X485" s="143"/>
      <c r="Y485" s="139"/>
      <c r="Z485" s="139" t="s">
        <v>675</v>
      </c>
      <c r="AA485" s="164">
        <f>S503*S476</f>
        <v>0</v>
      </c>
      <c r="AB485" s="164">
        <f>T503*T476</f>
        <v>0</v>
      </c>
      <c r="AC485" s="164">
        <f>U503*U476</f>
        <v>0</v>
      </c>
      <c r="AD485" s="164">
        <f>V503*V476</f>
        <v>0</v>
      </c>
      <c r="AE485" s="164"/>
      <c r="AF485" s="164"/>
      <c r="AG485" s="139"/>
      <c r="AH485" s="163"/>
      <c r="AI485" s="163"/>
      <c r="AJ485" s="163"/>
      <c r="AK485" s="163"/>
      <c r="AL485" s="163"/>
    </row>
    <row r="486" spans="10:38">
      <c r="J486" s="139" t="s">
        <v>301</v>
      </c>
      <c r="K486" s="140">
        <f>K485*(1-K479)/K479</f>
        <v>0.13542857142857145</v>
      </c>
      <c r="L486" s="140">
        <f>L485*(1-L479)/L479</f>
        <v>0.13542857142857145</v>
      </c>
      <c r="M486" s="145">
        <f t="shared" si="96"/>
        <v>1</v>
      </c>
      <c r="N486" s="139" t="s">
        <v>302</v>
      </c>
      <c r="O486" s="144">
        <f>B165</f>
        <v>1500</v>
      </c>
      <c r="P486" s="144">
        <f>O486*Q485*M476^F168</f>
        <v>1500</v>
      </c>
      <c r="Q486" s="140">
        <f t="shared" si="97"/>
        <v>1</v>
      </c>
      <c r="R486" s="139"/>
      <c r="T486" s="164"/>
      <c r="U486" s="140"/>
      <c r="V486" s="140"/>
      <c r="W486" s="140"/>
      <c r="X486" s="140"/>
      <c r="Y486" s="140"/>
      <c r="Z486" s="139" t="s">
        <v>677</v>
      </c>
      <c r="AA486" s="164">
        <f>S504*S476</f>
        <v>0</v>
      </c>
      <c r="AB486" s="164">
        <f>T504*T476</f>
        <v>0</v>
      </c>
      <c r="AC486" s="164">
        <f>U504*U476</f>
        <v>0</v>
      </c>
      <c r="AD486" s="164">
        <f>V504*V476</f>
        <v>0</v>
      </c>
      <c r="AE486" s="164">
        <f>W476*(P482+P481*AF480+AF481*P482)-AF480*SUM(AA486:AD486)-AF481*SUM(AA487:AD487)</f>
        <v>0</v>
      </c>
      <c r="AF486" s="164"/>
      <c r="AG486" s="139"/>
      <c r="AH486" s="163"/>
      <c r="AI486" s="147"/>
      <c r="AJ486" s="163"/>
      <c r="AK486" s="163"/>
      <c r="AL486" s="163"/>
    </row>
    <row r="487" spans="10:38">
      <c r="J487" s="139" t="s">
        <v>304</v>
      </c>
      <c r="K487" s="140">
        <f>1/((1+K486)/K476-K486*2.7/K481)</f>
        <v>19.680382632972858</v>
      </c>
      <c r="L487" s="140">
        <f>K487*P474^F167</f>
        <v>19.680382632972858</v>
      </c>
      <c r="M487" s="145">
        <f t="shared" si="96"/>
        <v>1</v>
      </c>
      <c r="N487" s="139" t="s">
        <v>305</v>
      </c>
      <c r="O487" s="144">
        <f>C165</f>
        <v>40</v>
      </c>
      <c r="P487" s="144">
        <f>O487*Q492</f>
        <v>40</v>
      </c>
      <c r="Q487" s="140">
        <f t="shared" si="97"/>
        <v>1</v>
      </c>
      <c r="R487" s="139"/>
      <c r="T487" s="164"/>
      <c r="U487" s="140"/>
      <c r="V487" s="140"/>
      <c r="W487" s="140"/>
      <c r="X487" s="140"/>
      <c r="Y487" s="140"/>
      <c r="Z487" s="138" t="s">
        <v>679</v>
      </c>
      <c r="AA487" s="164">
        <f>S505*S476</f>
        <v>0</v>
      </c>
      <c r="AB487" s="164">
        <f>T505*T476</f>
        <v>0</v>
      </c>
      <c r="AC487" s="164">
        <f>U505*U476</f>
        <v>0</v>
      </c>
      <c r="AD487" s="164">
        <f>V505*V476</f>
        <v>0</v>
      </c>
      <c r="AE487" s="164"/>
      <c r="AF487" s="164"/>
      <c r="AG487" s="139"/>
      <c r="AH487" s="163"/>
      <c r="AI487" s="163"/>
      <c r="AJ487" s="163"/>
      <c r="AK487" s="163"/>
      <c r="AL487" s="159" t="s">
        <v>1348</v>
      </c>
    </row>
    <row r="488" spans="10:38">
      <c r="J488" s="139" t="s">
        <v>1581</v>
      </c>
      <c r="K488" s="140">
        <f>F168</f>
        <v>0.5</v>
      </c>
      <c r="L488" s="140">
        <f>K488</f>
        <v>0.5</v>
      </c>
      <c r="M488" s="140">
        <f t="shared" si="96"/>
        <v>1</v>
      </c>
      <c r="N488" s="139" t="s">
        <v>1542</v>
      </c>
      <c r="O488" s="144">
        <f>D165</f>
        <v>246</v>
      </c>
      <c r="P488" s="144">
        <f>O488*Q492</f>
        <v>246</v>
      </c>
      <c r="Q488" s="140">
        <f t="shared" si="97"/>
        <v>1</v>
      </c>
      <c r="R488" s="139"/>
      <c r="T488" s="164"/>
      <c r="U488" s="140"/>
      <c r="V488" s="140"/>
      <c r="W488" s="138"/>
      <c r="X488" s="140"/>
      <c r="Y488" s="140"/>
      <c r="Z488" s="139" t="s">
        <v>682</v>
      </c>
      <c r="AA488" s="164">
        <f>S476*(AA481+S506/1000)</f>
        <v>0</v>
      </c>
      <c r="AB488" s="164">
        <f>T476*(AB481+T506/1000)</f>
        <v>0</v>
      </c>
      <c r="AC488" s="164">
        <f>U476*(AC481+U506/1000)</f>
        <v>0</v>
      </c>
      <c r="AD488" s="164">
        <f>V476*(AD481+V506/1000)</f>
        <v>0</v>
      </c>
      <c r="AE488" s="164">
        <f>W476*((1+AF481)*(P479*P475/1000000+P482*P471)+AF480*(P478*P475/1000000+P481*P471))*1000-AF480*SUM(AA488:AD488)-AF481*SUM(AA489:AD489)</f>
        <v>0</v>
      </c>
      <c r="AF488" s="164"/>
      <c r="AG488" s="139" t="s">
        <v>1351</v>
      </c>
      <c r="AH488" s="147" t="e">
        <f>(AH484^2+1/AH482)^0.5-AH484</f>
        <v>#DIV/0!</v>
      </c>
      <c r="AI488" s="147" t="e">
        <f>(AI484^2+1/AI482)^0.5-AI484</f>
        <v>#DIV/0!</v>
      </c>
      <c r="AJ488" s="147" t="e">
        <f>(AJ484^2+1/AJ482)^0.5-AJ484</f>
        <v>#DIV/0!</v>
      </c>
      <c r="AK488" s="147" t="e">
        <f>(AK484^2+1/AK482)^0.5-AK484</f>
        <v>#DIV/0!</v>
      </c>
      <c r="AL488" s="147">
        <f>MIN(AH489:AK489)</f>
        <v>1000000000</v>
      </c>
    </row>
    <row r="489" spans="10:38">
      <c r="J489" s="138" t="s">
        <v>1507</v>
      </c>
      <c r="N489" s="139" t="s">
        <v>1543</v>
      </c>
      <c r="O489" s="165">
        <f>E165</f>
        <v>68</v>
      </c>
      <c r="P489" s="165">
        <f>O489*Q492</f>
        <v>68</v>
      </c>
      <c r="Q489" s="140">
        <f t="shared" si="97"/>
        <v>1</v>
      </c>
      <c r="R489" s="139"/>
      <c r="T489" s="164"/>
      <c r="U489" s="140"/>
      <c r="V489" s="140"/>
      <c r="W489" s="138"/>
      <c r="X489" s="138"/>
      <c r="Z489" s="139" t="s">
        <v>685</v>
      </c>
      <c r="AA489" s="164">
        <f>S476*(AA482+S507/1000)</f>
        <v>0</v>
      </c>
      <c r="AB489" s="164">
        <f>T476*(AB482+T507/1000)</f>
        <v>0</v>
      </c>
      <c r="AC489" s="164">
        <f>U476*(AC482+U507/1000)</f>
        <v>0</v>
      </c>
      <c r="AD489" s="164">
        <f>V476*(AD482+V507/1000)</f>
        <v>0</v>
      </c>
      <c r="AE489" s="164"/>
      <c r="AF489" s="164"/>
      <c r="AG489" s="139"/>
      <c r="AH489" s="147">
        <f>IF(AH471=0,1000000000,AH488)</f>
        <v>1000000000</v>
      </c>
      <c r="AI489" s="147">
        <f>IF(AI471=0,1000000000,AI488)</f>
        <v>1000000000</v>
      </c>
      <c r="AJ489" s="147">
        <f>IF(AJ471=0,1000000000,AJ488)</f>
        <v>1000000000</v>
      </c>
      <c r="AK489" s="147">
        <f>IF(AK471=0,1000000000,AK488)</f>
        <v>1000000000</v>
      </c>
    </row>
    <row r="490" spans="10:38">
      <c r="J490" s="139" t="s">
        <v>1354</v>
      </c>
      <c r="K490" s="140">
        <f>K473/(1-K475^2*K474/K473)</f>
        <v>181.81113884441791</v>
      </c>
      <c r="L490" s="140">
        <f>L473/(1-L475^2*L474/L473)</f>
        <v>181.81113884441794</v>
      </c>
      <c r="M490" s="145">
        <f>L490/K490</f>
        <v>1.0000000000000002</v>
      </c>
      <c r="N490" s="139" t="s">
        <v>1168</v>
      </c>
      <c r="O490" s="145">
        <f>A166</f>
        <v>-0.5</v>
      </c>
      <c r="P490" s="145">
        <f>O490*I78</f>
        <v>-0.5</v>
      </c>
      <c r="Q490" s="140">
        <f t="shared" si="97"/>
        <v>1</v>
      </c>
      <c r="R490" s="139"/>
      <c r="T490" s="164"/>
      <c r="U490" s="140"/>
      <c r="V490" s="140"/>
      <c r="W490" s="138"/>
      <c r="X490" s="138"/>
      <c r="Z490" s="138" t="s">
        <v>686</v>
      </c>
      <c r="AA490" s="140">
        <f>($AF480*COS(AA473)^2+$AF481*SIN(AA473)^2)*S476</f>
        <v>0</v>
      </c>
      <c r="AB490" s="140">
        <f>($AF480*COS(AB473)^2+$AF481*SIN(AB473)^2)*T476</f>
        <v>0</v>
      </c>
      <c r="AC490" s="140">
        <f>($AF480*COS(AC473)^2+$AF481*SIN(AC473)^2)*U476</f>
        <v>0</v>
      </c>
      <c r="AD490" s="140">
        <f>($AF480*COS(AD473)^2+$AF481*SIN(AD473)^2)*V476</f>
        <v>0</v>
      </c>
      <c r="AE490" s="163">
        <f>SUM(AA490:AD490)</f>
        <v>0</v>
      </c>
      <c r="AF490" s="163"/>
      <c r="AG490" s="138" t="s">
        <v>1360</v>
      </c>
      <c r="AH490" s="147">
        <f>IF(AH471=0,0,AH488)</f>
        <v>0</v>
      </c>
      <c r="AI490" s="147">
        <f>IF(AI471=0,0,AI488)</f>
        <v>0</v>
      </c>
      <c r="AJ490" s="147">
        <f>IF(AJ471=0,0,AJ488)</f>
        <v>0</v>
      </c>
      <c r="AK490" s="147">
        <f>IF(AK471=0,0,AK488)</f>
        <v>0</v>
      </c>
    </row>
    <row r="491" spans="10:38">
      <c r="J491" s="139" t="s">
        <v>1361</v>
      </c>
      <c r="K491" s="140">
        <f>K490*K474/K473</f>
        <v>10.346158729820468</v>
      </c>
      <c r="L491" s="140">
        <f>L490*L474/L473</f>
        <v>10.346158729820468</v>
      </c>
      <c r="M491" s="145">
        <f>L491/K491</f>
        <v>1</v>
      </c>
      <c r="N491" s="139" t="s">
        <v>1175</v>
      </c>
      <c r="O491" s="144">
        <f>O485/K479</f>
        <v>2142.8571428571431</v>
      </c>
      <c r="P491" s="144">
        <f>H78*P474^G167</f>
        <v>2142.8571428571431</v>
      </c>
      <c r="Q491" s="140">
        <f t="shared" si="97"/>
        <v>1</v>
      </c>
      <c r="T491" s="147"/>
      <c r="U491" s="141"/>
      <c r="V491" s="141"/>
      <c r="W491" s="138"/>
      <c r="X491" s="138"/>
      <c r="Z491" s="138" t="s">
        <v>689</v>
      </c>
      <c r="AA491" s="140">
        <f>($AF480*SIN(AA473)^2+$AF481*COS(AA473)^2)*S476</f>
        <v>0</v>
      </c>
      <c r="AB491" s="140">
        <f>($AF480*SIN(AB473)^2+$AF481*COS(AB473)^2)*T476</f>
        <v>0</v>
      </c>
      <c r="AC491" s="140">
        <f>($AF480*SIN(AC473)^2+$AF481*COS(AC473)^2)*U476</f>
        <v>0</v>
      </c>
      <c r="AD491" s="140">
        <f>($AF480*SIN(AD473)^2+$AF481*COS(AD473)^2)*V476</f>
        <v>0</v>
      </c>
      <c r="AE491" s="163">
        <f>SUM(AA491:AD491)</f>
        <v>0</v>
      </c>
      <c r="AF491" s="163"/>
      <c r="AG491" s="139" t="s">
        <v>1364</v>
      </c>
      <c r="AH491" s="138">
        <f>(S506-P478*P475)/1000000-P481*P471</f>
        <v>3.7599999999999944E-4</v>
      </c>
      <c r="AI491" s="138">
        <f>(T506-P478*P475)/1000000-P481*P471</f>
        <v>3.7599999999999965E-4</v>
      </c>
      <c r="AJ491" s="157">
        <f>(U506-P478*P475)/1000000-P481*P471</f>
        <v>3.7599999999999944E-4</v>
      </c>
      <c r="AK491" s="157">
        <f>(V506-P478*P475)/1000000-P481*P471</f>
        <v>3.7599999999999965E-4</v>
      </c>
      <c r="AL491" s="163"/>
    </row>
    <row r="492" spans="10:38">
      <c r="J492" s="139" t="s">
        <v>1365</v>
      </c>
      <c r="K492" s="140">
        <f>K491*K475</f>
        <v>2.8969244443497315</v>
      </c>
      <c r="L492" s="140">
        <f>L491*L475</f>
        <v>2.8969244443497315</v>
      </c>
      <c r="M492" s="145">
        <f>L492/K492</f>
        <v>1</v>
      </c>
      <c r="N492" s="139" t="s">
        <v>1176</v>
      </c>
      <c r="O492" s="144">
        <f>O487</f>
        <v>40</v>
      </c>
      <c r="P492" s="144">
        <f>G78*P474^H166</f>
        <v>40</v>
      </c>
      <c r="Q492" s="140">
        <f t="shared" si="97"/>
        <v>1</v>
      </c>
      <c r="R492" s="137" t="s">
        <v>1185</v>
      </c>
      <c r="U492" s="141"/>
      <c r="W492" s="138"/>
      <c r="X492" s="138"/>
      <c r="AA492" s="140"/>
      <c r="AE492" s="163"/>
      <c r="AF492" s="163"/>
      <c r="AG492" s="139" t="s">
        <v>1367</v>
      </c>
      <c r="AH492" s="138">
        <f>(S507-P479*P475)/1000000-P482*P471</f>
        <v>-3.7600000000000047E-4</v>
      </c>
      <c r="AI492" s="138">
        <f>(T507-P479*P475)/1000000-P482*P471</f>
        <v>-3.7600000000000047E-4</v>
      </c>
      <c r="AJ492" s="157">
        <f>(U507-P479*P475)/1000000-P482*P471</f>
        <v>-3.7600000000000047E-4</v>
      </c>
      <c r="AK492" s="157">
        <f>(V507-P479*P475)/1000000-P482*P471</f>
        <v>-3.7600000000000047E-4</v>
      </c>
      <c r="AL492" s="163"/>
    </row>
    <row r="493" spans="10:38">
      <c r="J493" s="139" t="s">
        <v>1370</v>
      </c>
      <c r="K493" s="140">
        <f>K476</f>
        <v>7.17</v>
      </c>
      <c r="L493" s="140">
        <f>L476</f>
        <v>7.17</v>
      </c>
      <c r="M493" s="145">
        <f>L493/K493</f>
        <v>1</v>
      </c>
      <c r="R493" s="143" t="s">
        <v>695</v>
      </c>
      <c r="S493" s="147">
        <f>S476*COS(S474)</f>
        <v>0</v>
      </c>
      <c r="T493" s="147">
        <f>T476*COS(T474)</f>
        <v>0</v>
      </c>
      <c r="U493" s="147">
        <f>U476*COS(U474)</f>
        <v>0</v>
      </c>
      <c r="V493" s="147">
        <f>V476*COS(V474)</f>
        <v>0</v>
      </c>
      <c r="W493" s="147">
        <f>SUM(S493:V493)</f>
        <v>0</v>
      </c>
      <c r="X493" s="138"/>
      <c r="AF493" s="163"/>
      <c r="AG493" s="139" t="s">
        <v>1372</v>
      </c>
      <c r="AH493" s="138">
        <f>S521/1000000</f>
        <v>0</v>
      </c>
      <c r="AI493" s="138">
        <f>T521/1000000</f>
        <v>0</v>
      </c>
      <c r="AJ493" s="157">
        <f>U521/1000000</f>
        <v>0</v>
      </c>
      <c r="AK493" s="157">
        <f>V521/1000000</f>
        <v>0</v>
      </c>
      <c r="AL493" s="163"/>
    </row>
    <row r="494" spans="10:38">
      <c r="J494" s="138" t="s">
        <v>1510</v>
      </c>
      <c r="K494" s="140"/>
      <c r="L494" s="140"/>
      <c r="N494" s="138" t="s">
        <v>1375</v>
      </c>
      <c r="R494" s="139" t="s">
        <v>696</v>
      </c>
      <c r="S494" s="147">
        <f>S476*SIN(S474)</f>
        <v>0</v>
      </c>
      <c r="T494" s="147">
        <f>T476*SIN(T474)</f>
        <v>0</v>
      </c>
      <c r="U494" s="147">
        <f>U476*SIN(U474)</f>
        <v>0</v>
      </c>
      <c r="V494" s="147">
        <f>V476*SIN(V474)</f>
        <v>0</v>
      </c>
      <c r="W494" s="147">
        <f>SUM(S494:V494)</f>
        <v>0</v>
      </c>
      <c r="X494" s="138"/>
      <c r="AF494" s="163"/>
      <c r="AG494" s="163"/>
      <c r="AH494" s="163"/>
      <c r="AI494" s="163"/>
      <c r="AJ494" s="163"/>
      <c r="AK494" s="163"/>
      <c r="AL494" s="163"/>
    </row>
    <row r="495" spans="10:38">
      <c r="J495" s="139" t="s">
        <v>1380</v>
      </c>
      <c r="K495" s="140">
        <f>(3*K490+3*K491+2*K492+4*K493)/8</f>
        <v>76.368217701426829</v>
      </c>
      <c r="L495" s="140">
        <f>(3*L490+3*L491+2*L492+4*L493)/8</f>
        <v>76.368217701426843</v>
      </c>
      <c r="M495" s="145">
        <f>L495/K495</f>
        <v>1.0000000000000002</v>
      </c>
      <c r="N495" s="139" t="s">
        <v>1381</v>
      </c>
      <c r="O495" s="140">
        <f>1/O485/O486*1000000</f>
        <v>0.44444444444444442</v>
      </c>
      <c r="P495" s="140">
        <f>1/P485/P486*1000000</f>
        <v>0.44444444444444442</v>
      </c>
      <c r="Q495" s="140">
        <f>P495/O495</f>
        <v>1</v>
      </c>
      <c r="R495" s="139"/>
      <c r="S495" s="138" t="s">
        <v>698</v>
      </c>
      <c r="T495" s="137"/>
      <c r="U495" s="143" t="s">
        <v>700</v>
      </c>
      <c r="V495" s="137"/>
      <c r="W495" s="137" t="s">
        <v>702</v>
      </c>
      <c r="X495" s="138"/>
      <c r="Y495" s="137" t="s">
        <v>704</v>
      </c>
      <c r="Z495" s="137" t="s">
        <v>705</v>
      </c>
      <c r="AA495" s="138" t="s">
        <v>706</v>
      </c>
      <c r="AB495" s="139"/>
      <c r="AC495" s="139"/>
      <c r="AF495" s="138"/>
      <c r="AG495" s="159" t="s">
        <v>1383</v>
      </c>
      <c r="AH495" s="166">
        <f>P501*AH491^2+2*P503*AH491*AH492+P502*AH492^2+P504*AH493^2</f>
        <v>4.0749146542514705E-3</v>
      </c>
      <c r="AI495" s="163">
        <f>P501*AI491^2+2*P503*AI491*AI492+P502*AI492^2+P504*AI493^2</f>
        <v>4.0749146542514731E-3</v>
      </c>
      <c r="AJ495" s="163">
        <f>P501*AJ491^2+2*P503*AJ491*AJ492+P502*AJ492^2+P504*AJ493^2</f>
        <v>4.0749146542514705E-3</v>
      </c>
      <c r="AK495" s="163">
        <f>P501*AK491^2+2*P503*AK491*AK492+P502*AK492^2+P504*AK493^2</f>
        <v>4.0749146542514731E-3</v>
      </c>
      <c r="AL495" s="163"/>
    </row>
    <row r="496" spans="10:38">
      <c r="J496" s="139" t="s">
        <v>1384</v>
      </c>
      <c r="K496" s="140">
        <f>(K490-K491)/2</f>
        <v>85.732490057298719</v>
      </c>
      <c r="L496" s="140">
        <f>(L490-L491)/2</f>
        <v>85.732490057298733</v>
      </c>
      <c r="M496" s="145">
        <f>L496/K496</f>
        <v>1.0000000000000002</v>
      </c>
      <c r="N496" s="139" t="s">
        <v>1385</v>
      </c>
      <c r="O496" s="140">
        <f>1/O487/O488*1000000</f>
        <v>101.6260162601626</v>
      </c>
      <c r="P496" s="140">
        <f>1/P487/P488*1000000</f>
        <v>101.6260162601626</v>
      </c>
      <c r="Q496" s="140">
        <f>P496/O496</f>
        <v>1</v>
      </c>
      <c r="R496" s="139">
        <v>1</v>
      </c>
      <c r="S496" s="138">
        <f>(S500*W476+S501*W493)</f>
        <v>0</v>
      </c>
      <c r="T496" s="138"/>
      <c r="U496" s="138">
        <f>(T500*W476+T501*W493)</f>
        <v>0</v>
      </c>
      <c r="V496" s="147"/>
      <c r="W496" s="138">
        <f>S496*P475+U496*P471</f>
        <v>0</v>
      </c>
      <c r="X496" s="147"/>
      <c r="Y496" s="138">
        <f t="shared" ref="Y496:AA498" si="98">Y444</f>
        <v>11.259999999999984</v>
      </c>
      <c r="Z496" s="138">
        <f t="shared" si="98"/>
        <v>0.29999999999999954</v>
      </c>
      <c r="AA496" s="138">
        <f t="shared" si="98"/>
        <v>373.99999999999937</v>
      </c>
      <c r="AB496" s="147"/>
      <c r="AC496" s="147"/>
      <c r="AF496" s="138"/>
      <c r="AG496" s="159" t="s">
        <v>1387</v>
      </c>
      <c r="AH496" s="166">
        <f>P505*AH491+P506*AH492</f>
        <v>-5.8636980773925068E-2</v>
      </c>
      <c r="AI496" s="163">
        <f>P505*AI491+P506*AI492</f>
        <v>-5.8636980773925054E-2</v>
      </c>
      <c r="AJ496" s="163">
        <f>P505*AJ491+P506*AJ492</f>
        <v>-5.8636980773925068E-2</v>
      </c>
      <c r="AK496" s="163">
        <f>P505*AK491+P506*AK492</f>
        <v>-5.8636980773925054E-2</v>
      </c>
      <c r="AL496" s="163"/>
    </row>
    <row r="497" spans="10:38">
      <c r="J497" s="139" t="s">
        <v>1388</v>
      </c>
      <c r="K497" s="140">
        <f>(K490+K491-2*K492-4*K493)/8</f>
        <v>19.710431085692363</v>
      </c>
      <c r="L497" s="140">
        <f>(L490+L491-2*L492-4*L493)/8</f>
        <v>19.710431085692367</v>
      </c>
      <c r="M497" s="145">
        <f>L497/K497</f>
        <v>1.0000000000000002</v>
      </c>
      <c r="N497" s="139" t="s">
        <v>1389</v>
      </c>
      <c r="O497" s="140">
        <f>O490*(O495*O496)^0.5</f>
        <v>-3.3603243272729659</v>
      </c>
      <c r="P497" s="140">
        <f>P490*(P495*P496)^0.5</f>
        <v>-3.3603243272729659</v>
      </c>
      <c r="Q497" s="140">
        <f>P497/O497</f>
        <v>1</v>
      </c>
      <c r="R497" s="139">
        <v>2</v>
      </c>
      <c r="S497" s="138">
        <f>(S500*W476-S501*W493)</f>
        <v>0</v>
      </c>
      <c r="T497" s="138"/>
      <c r="U497" s="138">
        <f>(T500*W476-T501*W493)</f>
        <v>0</v>
      </c>
      <c r="V497" s="147"/>
      <c r="W497" s="138">
        <f>S497*P475+U497*P471</f>
        <v>0</v>
      </c>
      <c r="X497" s="147"/>
      <c r="Y497" s="138">
        <f t="shared" si="98"/>
        <v>11.259999999999993</v>
      </c>
      <c r="Z497" s="138">
        <f t="shared" si="98"/>
        <v>0.29999999999999977</v>
      </c>
      <c r="AA497" s="138">
        <f t="shared" si="98"/>
        <v>373.99999999999966</v>
      </c>
      <c r="AB497" s="147"/>
      <c r="AC497" s="147"/>
      <c r="AF497" s="138"/>
      <c r="AG497" s="159" t="s">
        <v>1390</v>
      </c>
      <c r="AH497" s="166">
        <f>AH495+AH496</f>
        <v>-5.4562066119673597E-2</v>
      </c>
      <c r="AI497" s="163">
        <f>AI495+AI496</f>
        <v>-5.4562066119673583E-2</v>
      </c>
      <c r="AJ497" s="163">
        <f>AJ495+AJ496</f>
        <v>-5.4562066119673597E-2</v>
      </c>
      <c r="AK497" s="163">
        <f>AK495+AK496</f>
        <v>-5.4562066119673583E-2</v>
      </c>
      <c r="AL497" s="163"/>
    </row>
    <row r="498" spans="10:38">
      <c r="J498" s="139" t="s">
        <v>1391</v>
      </c>
      <c r="K498" s="140">
        <f>(K490+K491+6*K492-4*K493)/8</f>
        <v>22.607355530042096</v>
      </c>
      <c r="L498" s="140">
        <f>(L490+L491+6*L492-4*L493)/8</f>
        <v>22.607355530042099</v>
      </c>
      <c r="M498" s="145">
        <f>L498/K498</f>
        <v>1.0000000000000002</v>
      </c>
      <c r="N498" s="139" t="s">
        <v>1392</v>
      </c>
      <c r="O498" s="140">
        <f>1/O489^2*1000000</f>
        <v>216.26297577854672</v>
      </c>
      <c r="P498" s="140">
        <f>1/P489^2*1000000</f>
        <v>216.26297577854672</v>
      </c>
      <c r="Q498" s="140">
        <f>P498/O498</f>
        <v>1</v>
      </c>
      <c r="R498" s="139">
        <v>6</v>
      </c>
      <c r="S498" s="139">
        <f>S501*W494</f>
        <v>0</v>
      </c>
      <c r="T498" s="138"/>
      <c r="U498" s="139">
        <f>T501*W494</f>
        <v>0</v>
      </c>
      <c r="V498" s="147"/>
      <c r="W498" s="138">
        <f>S498*P475+U498*P471</f>
        <v>0</v>
      </c>
      <c r="X498" s="147"/>
      <c r="Y498" s="138">
        <f t="shared" si="98"/>
        <v>-22.479999999999976</v>
      </c>
      <c r="Z498" s="138">
        <f t="shared" si="98"/>
        <v>-0.5999999999999992</v>
      </c>
      <c r="AA498" s="138">
        <f t="shared" si="98"/>
        <v>-397.02012514617672</v>
      </c>
      <c r="AB498" s="147"/>
      <c r="AC498" s="147"/>
      <c r="AF498" s="138"/>
      <c r="AG498" s="159" t="s">
        <v>1395</v>
      </c>
      <c r="AH498" s="166">
        <f>-1+AH497</f>
        <v>-1.0545620661196735</v>
      </c>
      <c r="AI498" s="163">
        <f>-1+AI497</f>
        <v>-1.0545620661196735</v>
      </c>
      <c r="AJ498" s="163">
        <f>-1+AJ497</f>
        <v>-1.0545620661196735</v>
      </c>
      <c r="AK498" s="163">
        <f>-1+AK497</f>
        <v>-1.0545620661196735</v>
      </c>
      <c r="AL498" s="163"/>
    </row>
    <row r="499" spans="10:38">
      <c r="J499" s="139" t="s">
        <v>1396</v>
      </c>
      <c r="K499" s="140">
        <f>(K495-K498)/2</f>
        <v>26.880431085692365</v>
      </c>
      <c r="L499" s="140">
        <f>(L495-L498)/2</f>
        <v>26.880431085692372</v>
      </c>
      <c r="M499" s="145">
        <f>L499/K499</f>
        <v>1.0000000000000002</v>
      </c>
      <c r="N499" s="139" t="s">
        <v>1397</v>
      </c>
      <c r="O499" s="140">
        <f>(1/O485-1/O486)*1000</f>
        <v>0</v>
      </c>
      <c r="P499" s="140">
        <f>(1/P485-1/P486)*1000</f>
        <v>0</v>
      </c>
      <c r="Q499" s="140">
        <f>IF(O499=0,1,P499/O499)</f>
        <v>1</v>
      </c>
      <c r="R499" s="143"/>
      <c r="S499" s="143" t="s">
        <v>709</v>
      </c>
      <c r="T499" s="143" t="s">
        <v>710</v>
      </c>
      <c r="U499" s="143"/>
      <c r="V499" s="141"/>
      <c r="W499" s="138"/>
      <c r="X499" s="139" t="s">
        <v>711</v>
      </c>
      <c r="Y499" s="138">
        <f>(Y496+Y497)/2</f>
        <v>11.259999999999987</v>
      </c>
      <c r="Z499" s="138">
        <f>(Z496+Z497)/2</f>
        <v>0.29999999999999966</v>
      </c>
      <c r="AA499" s="138">
        <f>(AA496+AA497)/2</f>
        <v>373.99999999999955</v>
      </c>
      <c r="AF499" s="138"/>
      <c r="AG499" s="159" t="s">
        <v>1399</v>
      </c>
      <c r="AH499" s="166">
        <f>2*(P501*AH475*AH491+P502*AH476*AH492+P503*(AH475*AH492+AH491*AH476)+P504*AH477*AH493)</f>
        <v>0</v>
      </c>
      <c r="AI499" s="163">
        <f>2*(P501*AI475*AI491+P502*AI476*AI492+P503*(AI475*AI492+AI491*AI476)+P504*AI477*AI493)</f>
        <v>0</v>
      </c>
      <c r="AJ499" s="163">
        <f>2*(P501*AJ475*AJ491+P502*AJ476*AJ492+P503*(AJ475*AJ492+AJ491*AJ476)+P504*AJ477*AJ493)</f>
        <v>0</v>
      </c>
      <c r="AK499" s="163">
        <f>2*(P501*AK475*AK491+P502*AK476*AK492+P503*(AK475*AK492+AK491*AK476)+P504*AK477*AK493)</f>
        <v>0</v>
      </c>
      <c r="AL499" s="163"/>
    </row>
    <row r="500" spans="10:38">
      <c r="J500" s="138" t="s">
        <v>1400</v>
      </c>
      <c r="N500" s="139" t="s">
        <v>1401</v>
      </c>
      <c r="O500" s="140">
        <f>(1/O487-1/O488)*1000</f>
        <v>20.934959349593495</v>
      </c>
      <c r="P500" s="140">
        <f>(1/P487-1/P488)*1000</f>
        <v>20.934959349593495</v>
      </c>
      <c r="Q500" s="140">
        <f t="shared" ref="Q500:Q506" si="99">P500/O500</f>
        <v>1</v>
      </c>
      <c r="R500" s="167" t="s">
        <v>711</v>
      </c>
      <c r="S500" s="138">
        <f>((K490+K492)*P478+(L492+L491)*P479)/2/1000000</f>
        <v>1.5083176634230242E-4</v>
      </c>
      <c r="T500" s="138">
        <f>((L490+L492)*P481+(L492+L491)*P482)/2</f>
        <v>3.9729249522510592</v>
      </c>
      <c r="U500" s="143"/>
      <c r="V500" s="141"/>
      <c r="W500" s="138"/>
      <c r="X500" s="143" t="s">
        <v>712</v>
      </c>
      <c r="Y500" s="164">
        <f>(Y496-Y497)/2</f>
        <v>-4.4408920985006262E-15</v>
      </c>
      <c r="Z500" s="164">
        <f>(Z496-Z497)/2</f>
        <v>-1.1102230246251565E-16</v>
      </c>
      <c r="AA500" s="164">
        <f>(AA496-AA497)/2</f>
        <v>-1.4210854715202004E-13</v>
      </c>
      <c r="AF500" s="138"/>
      <c r="AG500" s="159" t="s">
        <v>1403</v>
      </c>
      <c r="AH500" s="166">
        <f>AH499+AH483</f>
        <v>0</v>
      </c>
      <c r="AI500" s="163">
        <f>AI499+AI483</f>
        <v>0</v>
      </c>
      <c r="AJ500" s="163">
        <f>AJ499+AJ483</f>
        <v>0</v>
      </c>
      <c r="AK500" s="163">
        <f>AK499+AK483</f>
        <v>0</v>
      </c>
      <c r="AL500" s="163"/>
    </row>
    <row r="501" spans="10:38">
      <c r="J501" s="139" t="s">
        <v>1404</v>
      </c>
      <c r="K501" s="140">
        <f>(1-(K498/K495)^2)*K495</f>
        <v>69.675740916648124</v>
      </c>
      <c r="L501" s="140">
        <f>(1-(L498/L495)^2)*L495</f>
        <v>69.675740916648138</v>
      </c>
      <c r="M501" s="140">
        <f>L501/K501</f>
        <v>1.0000000000000002</v>
      </c>
      <c r="N501" s="139" t="s">
        <v>1405</v>
      </c>
      <c r="O501" s="144">
        <f>(O495*K490^2+2*O497*K490*K492+O496*K492^2)</f>
        <v>12004.38353147296</v>
      </c>
      <c r="P501" s="144">
        <f>(P495*L490^2+2*P497*L490*L492+P496*L492^2)</f>
        <v>12004.38353147296</v>
      </c>
      <c r="Q501" s="140">
        <f t="shared" si="99"/>
        <v>1</v>
      </c>
      <c r="R501" s="167" t="s">
        <v>712</v>
      </c>
      <c r="S501" s="138">
        <f>((L490-L492)*P478+(L492-L491)*P479)/2/1000000</f>
        <v>-8.2014743567545106E-5</v>
      </c>
      <c r="T501" s="138">
        <f>((L490-L492)*P481+(L492-L491)*P482)/2</f>
        <v>-2.234770285641221</v>
      </c>
      <c r="U501" s="143"/>
      <c r="V501" s="141"/>
      <c r="W501" s="138"/>
      <c r="X501" s="143" t="s">
        <v>714</v>
      </c>
      <c r="Y501" s="164">
        <f>Y498/2</f>
        <v>-11.239999999999988</v>
      </c>
      <c r="Z501" s="164">
        <f>Z498/2</f>
        <v>-0.2999999999999996</v>
      </c>
      <c r="AA501" s="164">
        <f>AA498/2</f>
        <v>-198.51006257308836</v>
      </c>
      <c r="AG501" s="159" t="s">
        <v>1412</v>
      </c>
      <c r="AH501" s="166" t="e">
        <f>AH500/2/AH482</f>
        <v>#DIV/0!</v>
      </c>
      <c r="AI501" s="163" t="e">
        <f>AI500/2/AI482</f>
        <v>#DIV/0!</v>
      </c>
      <c r="AJ501" s="163" t="e">
        <f>AJ500/2/AJ482</f>
        <v>#DIV/0!</v>
      </c>
      <c r="AK501" s="163" t="e">
        <f>AK500/2/AK482</f>
        <v>#DIV/0!</v>
      </c>
      <c r="AL501" s="163"/>
    </row>
    <row r="502" spans="10:38">
      <c r="J502" s="139" t="s">
        <v>1414</v>
      </c>
      <c r="K502" s="140">
        <f>K498/K495</f>
        <v>0.29603094337527941</v>
      </c>
      <c r="L502" s="140">
        <f>L498/L495</f>
        <v>0.29603094337527941</v>
      </c>
      <c r="M502" s="140">
        <f>L502/K502</f>
        <v>1</v>
      </c>
      <c r="N502" s="139" t="s">
        <v>1415</v>
      </c>
      <c r="O502" s="144">
        <f>(O495*K492^2+2*O497*K492*K491+O496*K491^2)</f>
        <v>10680.652008265077</v>
      </c>
      <c r="P502" s="144">
        <f>(P495*L492^2+2*P497*L492*L491+P496*L491^2)</f>
        <v>10680.652008265077</v>
      </c>
      <c r="Q502" s="140">
        <f t="shared" si="99"/>
        <v>1</v>
      </c>
      <c r="R502" s="139" t="s">
        <v>715</v>
      </c>
      <c r="S502" s="138">
        <f>Y499+Y500*COS(S474)+Y501*SIN(S474)</f>
        <v>11.259999999999984</v>
      </c>
      <c r="T502" s="138">
        <f>Y499+Y500*COS(T474)+Y501*SIN(T474)</f>
        <v>11.259999999999989</v>
      </c>
      <c r="U502" s="138">
        <f>Y499+Y500*COS(U474)+Y501*SIN(U474)</f>
        <v>11.259999999999984</v>
      </c>
      <c r="V502" s="138">
        <f>Y499+Y500*COS(V474)+Y501*SIN(V474)</f>
        <v>11.259999999999989</v>
      </c>
      <c r="W502" s="138"/>
      <c r="Y502" s="164"/>
      <c r="AC502" s="140"/>
      <c r="AG502" s="159"/>
      <c r="AH502" s="147"/>
      <c r="AI502" s="163"/>
      <c r="AJ502" s="163"/>
      <c r="AK502" s="163"/>
      <c r="AL502" s="163"/>
    </row>
    <row r="503" spans="10:38">
      <c r="J503" s="139" t="s">
        <v>716</v>
      </c>
      <c r="K503" s="138">
        <f>(1-L475^2*L474/L473)*L474/(1-L475^2*L474/L473-L488^2-L475^2*L474/L473-2*L475^2*L474/L473*L488)</f>
        <v>13.920484365408951</v>
      </c>
      <c r="N503" s="139" t="s">
        <v>1416</v>
      </c>
      <c r="O503" s="144">
        <f>(O495*K490*K492+O497*(K490*K491+K492^2)+O496*K492*K491)</f>
        <v>-3069.103206291968</v>
      </c>
      <c r="P503" s="144">
        <f>(P495*L490*L492+P497*(L490*L491+L492^2)+P496*L492*L491)</f>
        <v>-3069.1032062919689</v>
      </c>
      <c r="Q503" s="140">
        <f t="shared" si="99"/>
        <v>1.0000000000000002</v>
      </c>
      <c r="R503" s="139" t="s">
        <v>717</v>
      </c>
      <c r="S503" s="138">
        <f>2*Y499-S502</f>
        <v>11.259999999999991</v>
      </c>
      <c r="T503" s="138">
        <f>2*Y499-T502</f>
        <v>11.259999999999986</v>
      </c>
      <c r="U503" s="138">
        <f>2*Y499-U502</f>
        <v>11.259999999999991</v>
      </c>
      <c r="V503" s="138">
        <f>2*Y499-V502</f>
        <v>11.259999999999986</v>
      </c>
      <c r="W503" s="138"/>
      <c r="Y503" s="164"/>
      <c r="AC503" s="140"/>
      <c r="AG503" s="159"/>
      <c r="AH503" s="147"/>
      <c r="AI503" s="163"/>
      <c r="AJ503" s="163"/>
      <c r="AK503" s="163"/>
      <c r="AL503" s="163"/>
    </row>
    <row r="504" spans="10:38">
      <c r="J504" s="139" t="s">
        <v>1193</v>
      </c>
      <c r="K504" s="140">
        <f>D166</f>
        <v>1.6</v>
      </c>
      <c r="L504" s="140">
        <f>L505*(1-L479)+L506*L479</f>
        <v>1.6</v>
      </c>
      <c r="M504" s="140">
        <f>L504/K504</f>
        <v>1</v>
      </c>
      <c r="N504" s="139" t="s">
        <v>1418</v>
      </c>
      <c r="O504" s="144">
        <f>O498*K493^2</f>
        <v>11117.841695501729</v>
      </c>
      <c r="P504" s="144">
        <f>P498*L493^2</f>
        <v>11117.841695501729</v>
      </c>
      <c r="Q504" s="140">
        <f t="shared" si="99"/>
        <v>1</v>
      </c>
      <c r="R504" s="139" t="s">
        <v>124</v>
      </c>
      <c r="S504" s="138">
        <f>Z499+Z500*COS(S474)+Z501*SIN(S474)</f>
        <v>0.29999999999999954</v>
      </c>
      <c r="T504" s="138">
        <f>Z499+Z500*COS(T474)+Z501*SIN(T474)</f>
        <v>0.29999999999999971</v>
      </c>
      <c r="U504" s="138">
        <f>Z499+Z500*COS(U474)+Z501*SIN(U474)</f>
        <v>0.29999999999999954</v>
      </c>
      <c r="V504" s="138">
        <f>Z499+Z500*COS(V474)+Z501*SIN(V474)</f>
        <v>0.29999999999999971</v>
      </c>
      <c r="W504" s="138"/>
      <c r="Y504" s="164"/>
      <c r="AC504" s="140"/>
      <c r="AG504" s="159"/>
      <c r="AH504" s="147"/>
      <c r="AI504" s="163"/>
      <c r="AJ504" s="163"/>
      <c r="AK504" s="163"/>
      <c r="AL504" s="159" t="s">
        <v>1421</v>
      </c>
    </row>
    <row r="505" spans="10:38">
      <c r="J505" s="139" t="s">
        <v>274</v>
      </c>
      <c r="K505" s="140">
        <f>F165</f>
        <v>1.2</v>
      </c>
      <c r="L505" s="140">
        <f>K505</f>
        <v>1.2</v>
      </c>
      <c r="M505" s="140">
        <f>L505/K505</f>
        <v>1</v>
      </c>
      <c r="N505" s="139" t="s">
        <v>1422</v>
      </c>
      <c r="O505" s="144">
        <f>(O499*K490+O500*K492)</f>
        <v>60.646995481305353</v>
      </c>
      <c r="P505" s="144">
        <f>(P499*L490+P500*L492)</f>
        <v>60.646995481305353</v>
      </c>
      <c r="Q505" s="140">
        <f t="shared" si="99"/>
        <v>1</v>
      </c>
      <c r="R505" s="167" t="s">
        <v>125</v>
      </c>
      <c r="S505" s="138">
        <f>2*Z499-S504</f>
        <v>0.29999999999999977</v>
      </c>
      <c r="T505" s="138">
        <f>2*Z499-T504</f>
        <v>0.2999999999999996</v>
      </c>
      <c r="U505" s="138">
        <f>2*Z499-U504</f>
        <v>0.29999999999999977</v>
      </c>
      <c r="V505" s="138">
        <f>2*Z499-V504</f>
        <v>0.2999999999999996</v>
      </c>
      <c r="W505" s="138"/>
      <c r="Y505" s="164"/>
      <c r="Z505" s="164"/>
      <c r="AA505" s="147"/>
      <c r="AB505" s="147"/>
      <c r="AC505" s="147"/>
      <c r="AD505" s="147"/>
      <c r="AG505" s="139" t="s">
        <v>1424</v>
      </c>
      <c r="AH505" s="147" t="e">
        <f>(AH501^2-AH498/AH482)^0.5-AH501</f>
        <v>#DIV/0!</v>
      </c>
      <c r="AI505" s="147" t="e">
        <f>(AI501^2-AI498/AI482)^0.5-AI501</f>
        <v>#DIV/0!</v>
      </c>
      <c r="AJ505" s="147" t="e">
        <f>(AJ501^2-AJ498/AJ482)^0.5-AJ501</f>
        <v>#DIV/0!</v>
      </c>
      <c r="AK505" s="147" t="e">
        <f>(AK501^2-AK498/AK482)^0.5-AK501</f>
        <v>#DIV/0!</v>
      </c>
      <c r="AL505" s="147">
        <f>MIN(AH506:AK506)</f>
        <v>1000000000</v>
      </c>
    </row>
    <row r="506" spans="10:38">
      <c r="J506" s="139" t="s">
        <v>1195</v>
      </c>
      <c r="K506" s="140">
        <f>(K504-K505*(1-K479))/K479</f>
        <v>1.7714285714285716</v>
      </c>
      <c r="L506" s="140">
        <f>K506</f>
        <v>1.7714285714285716</v>
      </c>
      <c r="M506" s="140">
        <f>L506/K506</f>
        <v>1</v>
      </c>
      <c r="N506" s="139" t="s">
        <v>1426</v>
      </c>
      <c r="O506" s="144">
        <f>(O499*K492+O500*K491)</f>
        <v>216.59641243323335</v>
      </c>
      <c r="P506" s="144">
        <f>(P499*L492+P500*L491)</f>
        <v>216.59641243323335</v>
      </c>
      <c r="Q506" s="140">
        <f t="shared" si="99"/>
        <v>1</v>
      </c>
      <c r="R506" s="139" t="s">
        <v>126</v>
      </c>
      <c r="S506" s="138">
        <f>AA499+AA500*COS(S474)+AA501*SIN(S474)</f>
        <v>373.99999999999943</v>
      </c>
      <c r="T506" s="138">
        <f>AA499+AA500*COS(T474)+AA501*SIN(T474)</f>
        <v>373.99999999999966</v>
      </c>
      <c r="U506" s="138">
        <f>AA499+AA500*COS(U474)+AA501*SIN(U474)</f>
        <v>373.99999999999943</v>
      </c>
      <c r="V506" s="138">
        <f>AA499+AA500*COS(V474)+AA501*SIN(V474)</f>
        <v>373.99999999999966</v>
      </c>
      <c r="W506" s="138"/>
      <c r="Y506" s="164"/>
      <c r="Z506" s="164"/>
      <c r="AA506" s="147"/>
      <c r="AB506" s="147"/>
      <c r="AC506" s="147"/>
      <c r="AD506" s="147"/>
      <c r="AG506" s="139" t="s">
        <v>194</v>
      </c>
      <c r="AH506" s="147">
        <f>IF(AH471=0,1000000000,AH505)</f>
        <v>1000000000</v>
      </c>
      <c r="AI506" s="147">
        <f>IF(AI471=0,1000000000,AI505)</f>
        <v>1000000000</v>
      </c>
      <c r="AJ506" s="147">
        <f>IF(AJ471=0,1000000000,AJ505)</f>
        <v>1000000000</v>
      </c>
      <c r="AK506" s="147">
        <f>IF(AK471=0,1000000000,AK505)</f>
        <v>1000000000</v>
      </c>
    </row>
    <row r="507" spans="10:38">
      <c r="L507" s="138" t="s">
        <v>234</v>
      </c>
      <c r="R507" s="139" t="s">
        <v>127</v>
      </c>
      <c r="S507" s="138">
        <f>2*AA499-S506</f>
        <v>373.99999999999966</v>
      </c>
      <c r="T507" s="138">
        <f>2*AA499-T506</f>
        <v>373.99999999999943</v>
      </c>
      <c r="U507" s="138">
        <f>2*AA499-U506</f>
        <v>373.99999999999966</v>
      </c>
      <c r="V507" s="138">
        <f>2*AA499-V506</f>
        <v>373.99999999999943</v>
      </c>
      <c r="W507" s="138"/>
      <c r="Y507" s="164"/>
      <c r="Z507" s="164" t="s">
        <v>129</v>
      </c>
      <c r="AA507" s="147"/>
      <c r="AB507" s="147"/>
      <c r="AC507" s="147"/>
      <c r="AD507" s="147"/>
      <c r="AG507" s="139" t="s">
        <v>194</v>
      </c>
      <c r="AH507" s="147">
        <f>IF(AH471=0,0,AH505)</f>
        <v>0</v>
      </c>
      <c r="AI507" s="147">
        <f>IF(AI471=0,0,AI505)</f>
        <v>0</v>
      </c>
      <c r="AJ507" s="147">
        <f>IF(AJ471=0,0,AJ505)</f>
        <v>0</v>
      </c>
      <c r="AK507" s="147">
        <f>IF(AK471=0,0,AK505)</f>
        <v>0</v>
      </c>
    </row>
    <row r="508" spans="10:38">
      <c r="J508" s="139" t="s">
        <v>134</v>
      </c>
      <c r="K508" s="138">
        <f>(1-L488^2)*O509*L473</f>
        <v>184.28877056365894</v>
      </c>
      <c r="L508" s="139" t="s">
        <v>135</v>
      </c>
      <c r="M508" s="138">
        <f>L475*(1+L488)*O509*L474</f>
        <v>5.8728045779623468</v>
      </c>
      <c r="R508" s="139" t="s">
        <v>136</v>
      </c>
      <c r="S508" s="138">
        <f>4*COS(S474/2)^2*SIN(S474/2)^2*$K513+COS(S474/2)^4*$K508+SIN(S474/2)^4*$K509+2*COS(S474/2)^2*SIN(S474/2)^2*$M508</f>
        <v>184.28877056365894</v>
      </c>
      <c r="T508" s="138">
        <f>4*COS(T474/2)^2*SIN(T474/2)^2*$K513+COS(T474/2)^4*$K508+SIN(T474/2)^4*$K509+2*COS(T474/2)^2*SIN(T474/2)^2*$M508</f>
        <v>13.920484365408953</v>
      </c>
      <c r="U508" s="138">
        <f>4*COS(U474/2)^2*SIN(U474/2)^2*$K513+COS(U474/2)^4*$K508+SIN(U474/2)^4*$K509+2*COS(U474/2)^2*SIN(U474/2)^2*$M508</f>
        <v>184.28877056365894</v>
      </c>
      <c r="V508" s="138">
        <f>4*COS(V474/2)^2*SIN(V474/2)^2*$K513+COS(V474/2)^4*$K508+SIN(V474/2)^4*$K509+2*COS(V474/2)^2*SIN(V474/2)^2*$M508</f>
        <v>13.920484365408953</v>
      </c>
      <c r="W508" s="138" t="s">
        <v>137</v>
      </c>
      <c r="X508" s="147">
        <f>S476/S510+T476/T510+U476/U510+V476/V510</f>
        <v>0</v>
      </c>
      <c r="Y508" s="147">
        <f>S476*S508+T476*T508+U476*U508+V476*V508</f>
        <v>0</v>
      </c>
      <c r="Z508" s="164"/>
      <c r="AA508" s="147"/>
      <c r="AB508" s="147"/>
      <c r="AC508" s="147"/>
      <c r="AD508" s="147"/>
      <c r="AG508" s="139"/>
      <c r="AH508" s="147"/>
      <c r="AI508" s="147"/>
      <c r="AJ508" s="147"/>
      <c r="AK508" s="147"/>
    </row>
    <row r="509" spans="10:38">
      <c r="J509" s="139" t="s">
        <v>138</v>
      </c>
      <c r="K509" s="138">
        <f>(1-L475^2*L474/L473)*O509*L474</f>
        <v>13.920484365408953</v>
      </c>
      <c r="L509" s="139" t="s">
        <v>139</v>
      </c>
      <c r="M509" s="138">
        <f>M508</f>
        <v>5.8728045779623468</v>
      </c>
      <c r="N509" s="139" t="s">
        <v>140</v>
      </c>
      <c r="O509" s="138">
        <f>1/((1+L488)*(1-L488-2*L475^2*L474/L473))</f>
        <v>1.3575600041521836</v>
      </c>
      <c r="R509" s="139" t="s">
        <v>141</v>
      </c>
      <c r="S509" s="138">
        <f>4*COS(S474/2)^2*SIN(S474/2)^2*$K513+SIN(S474/2)^4*$K508+COS(S474/2)^4*$K509+2*COS(S474/2)^2*SIN(S474/2)^2*$M508</f>
        <v>13.920484365408953</v>
      </c>
      <c r="T509" s="138">
        <f>4*COS(T474/2)^2*SIN(T474/2)^2*$K513+SIN(T474/2)^4*$K508+COS(T474/2)^4*$K509+2*COS(T474/2)^2*SIN(T474/2)^2*$M508</f>
        <v>184.28877056365894</v>
      </c>
      <c r="U509" s="138">
        <f>4*COS(U474/2)^2*SIN(U474/2)^2*$K513+SIN(U474/2)^4*$K508+COS(U474/2)^4*$K509+2*COS(U474/2)^2*SIN(U474/2)^2*$M508</f>
        <v>13.920484365408953</v>
      </c>
      <c r="V509" s="138">
        <f>4*COS(V474/2)^2*SIN(V474/2)^2*$K513+SIN(V474/2)^4*$K508+COS(V474/2)^4*$K509+2*COS(V474/2)^2*SIN(V474/2)^2*$M508</f>
        <v>184.28877056365894</v>
      </c>
      <c r="W509" s="138" t="s">
        <v>142</v>
      </c>
      <c r="X509" s="141">
        <f>S476*S515/S510+T476*T515/T510+U476*U515/U510+V476*V515/V510</f>
        <v>0</v>
      </c>
      <c r="Y509" s="147">
        <f>S476*S509+T476*T509+U476*U509+V476*V509</f>
        <v>0</v>
      </c>
      <c r="Z509" s="164"/>
      <c r="AA509" s="147"/>
      <c r="AB509" s="147"/>
      <c r="AC509" s="147"/>
      <c r="AD509" s="147"/>
      <c r="AG509" s="139"/>
      <c r="AH509" s="147"/>
      <c r="AI509" s="147"/>
      <c r="AJ509" s="147"/>
      <c r="AK509" s="147"/>
    </row>
    <row r="510" spans="10:38">
      <c r="J510" s="139" t="s">
        <v>146</v>
      </c>
      <c r="K510" s="138">
        <f>K509</f>
        <v>13.920484365408953</v>
      </c>
      <c r="L510" s="139" t="s">
        <v>147</v>
      </c>
      <c r="M510" s="138">
        <f>(L488+L475^2*L474/L473)*O509*L474</f>
        <v>7.053817698742284</v>
      </c>
      <c r="R510" s="139" t="s">
        <v>716</v>
      </c>
      <c r="S510" s="138">
        <f>$K510</f>
        <v>13.920484365408953</v>
      </c>
      <c r="T510" s="138">
        <f>$K510</f>
        <v>13.920484365408953</v>
      </c>
      <c r="U510" s="138">
        <f>$K510</f>
        <v>13.920484365408953</v>
      </c>
      <c r="V510" s="138">
        <f>$K510</f>
        <v>13.920484365408953</v>
      </c>
      <c r="W510" s="138" t="s">
        <v>148</v>
      </c>
      <c r="X510" s="141">
        <f>S476*S516/S510+T476*T516/T510+U476*U516/U510+V476*V516/V510</f>
        <v>0</v>
      </c>
      <c r="Y510" s="164"/>
      <c r="Z510" s="164"/>
      <c r="AA510" s="147"/>
      <c r="AB510" s="147"/>
      <c r="AC510" s="147"/>
      <c r="AD510" s="147"/>
      <c r="AG510" s="139"/>
      <c r="AH510" s="147"/>
      <c r="AI510" s="147"/>
      <c r="AJ510" s="147"/>
      <c r="AK510" s="147"/>
    </row>
    <row r="511" spans="10:38">
      <c r="J511" s="139" t="s">
        <v>152</v>
      </c>
      <c r="K511" s="138">
        <f>(1-L488-2*L475^2*L474/L473)*O509*L474/2</f>
        <v>3.433333333333334</v>
      </c>
      <c r="R511" s="139" t="s">
        <v>153</v>
      </c>
      <c r="S511" s="138">
        <f>COS(S474/2)^2*$K511+SIN(S474/2)^2*$K512</f>
        <v>3.433333333333334</v>
      </c>
      <c r="T511" s="138">
        <f>COS(T474/2)^2*$K511+SIN(T474/2)^2*$K512</f>
        <v>7.17</v>
      </c>
      <c r="U511" s="138">
        <f>COS(U474/2)^2*$K511+SIN(U474/2)^2*$K512</f>
        <v>3.433333333333334</v>
      </c>
      <c r="V511" s="138">
        <f>COS(V474/2)^2*$K511+SIN(V474/2)^2*$K512</f>
        <v>7.17</v>
      </c>
      <c r="W511" s="138" t="s">
        <v>154</v>
      </c>
      <c r="X511" s="141">
        <f>S476*S520/S510+T476*T520/T510+U476*U520/U510+V476*V520/V510</f>
        <v>0</v>
      </c>
      <c r="Y511" s="164"/>
      <c r="Z511" s="164">
        <f>S476*S511/(S511*S512-S517^2)+T476*T511/(T511*T512-T517^2)+U476*U511/(U511*U512-U517^2)+V476*V511/(V511*V512-V517^2)</f>
        <v>0</v>
      </c>
      <c r="AA511" s="147"/>
      <c r="AB511" s="147"/>
      <c r="AC511" s="147"/>
      <c r="AD511" s="147"/>
      <c r="AG511" s="139"/>
      <c r="AH511" s="147"/>
      <c r="AI511" s="147"/>
      <c r="AJ511" s="147"/>
      <c r="AK511" s="147"/>
    </row>
    <row r="512" spans="10:38">
      <c r="J512" s="139" t="s">
        <v>769</v>
      </c>
      <c r="K512" s="140">
        <f>L476</f>
        <v>7.17</v>
      </c>
      <c r="R512" s="139" t="s">
        <v>770</v>
      </c>
      <c r="S512" s="138">
        <f>SIN(S474/2)^2*$K511+COS(S474/2)^2*$K512</f>
        <v>7.17</v>
      </c>
      <c r="T512" s="138">
        <f>SIN(T474/2)^2*$K511+COS(T474/2)^2*$K512</f>
        <v>3.433333333333334</v>
      </c>
      <c r="U512" s="138">
        <f>SIN(U474/2)^2*$K511+COS(U474/2)^2*$K512</f>
        <v>7.17</v>
      </c>
      <c r="V512" s="138">
        <f>SIN(V474/2)^2*$K511+COS(V474/2)^2*$K512</f>
        <v>3.433333333333334</v>
      </c>
      <c r="W512" s="138" t="s">
        <v>771</v>
      </c>
      <c r="X512" s="141">
        <f>S476*S515^2/S510+T476*T515^2/T510+U476*U515^2/U510+V476*V515^2/V510</f>
        <v>0</v>
      </c>
      <c r="Y512" s="164"/>
      <c r="Z512" s="164">
        <f>S476*S512/(S511*S512-S517^2)+T476*T512/(T511*T512-T517^2)+U476*U512/(U511*U512-U517^2)+V476*V512/(V511*V512-V517^2)</f>
        <v>0</v>
      </c>
      <c r="AA512" s="147"/>
      <c r="AB512" s="147"/>
      <c r="AC512" s="147"/>
      <c r="AD512" s="147"/>
      <c r="AG512" s="139"/>
      <c r="AH512" s="147"/>
      <c r="AI512" s="147"/>
      <c r="AJ512" s="147"/>
      <c r="AK512" s="147"/>
    </row>
    <row r="513" spans="10:38">
      <c r="J513" s="139" t="s">
        <v>773</v>
      </c>
      <c r="K513" s="140">
        <f>K512</f>
        <v>7.17</v>
      </c>
      <c r="P513" s="185"/>
      <c r="Q513" s="185"/>
      <c r="R513" s="186" t="s">
        <v>774</v>
      </c>
      <c r="S513" s="185">
        <f>(COS(S474/2)^2-SIN(S474/2)^2)^2*$K513+COS(S474/2)^2*SIN(S474/2)^2*($K508+$K509-2*$M508)</f>
        <v>7.17</v>
      </c>
      <c r="T513" s="185">
        <f>(COS(T474/2)^2-SIN(T474/2)^2)^2*$K513+COS(T474/2)^2*SIN(T474/2)^2*($K508+$K509-2*$M508)</f>
        <v>7.17</v>
      </c>
      <c r="U513" s="185">
        <f>(COS(U474/2)^2-SIN(U474/2)^2)^2*$K513+COS(U474/2)^2*SIN(U474/2)^2*($K508+$K509-2*$M508)</f>
        <v>7.17</v>
      </c>
      <c r="V513" s="185">
        <f>(COS(V474/2)^2-SIN(V474/2)^2)^2*$K513+COS(V474/2)^2*SIN(V474/2)^2*($K508+$K509-2*$M508)</f>
        <v>7.17</v>
      </c>
      <c r="W513" s="185" t="s">
        <v>775</v>
      </c>
      <c r="X513" s="187">
        <f>S476*S516^2/S510+T476*T516^2/T510+U476*U516^2/U510+V476*V516^2/V510</f>
        <v>0</v>
      </c>
      <c r="Y513" s="147">
        <f>S476*S513+T476*T513+U476*U513+V476*V513</f>
        <v>0</v>
      </c>
      <c r="Z513" s="188"/>
      <c r="AA513" s="190"/>
      <c r="AB513" s="190"/>
      <c r="AC513" s="190"/>
      <c r="AD513" s="190"/>
      <c r="AE513" s="185"/>
      <c r="AF513" s="187"/>
      <c r="AG513" s="186"/>
      <c r="AH513" s="190"/>
      <c r="AI513" s="190"/>
      <c r="AJ513" s="190"/>
      <c r="AK513" s="190"/>
      <c r="AL513" s="185"/>
    </row>
    <row r="514" spans="10:38">
      <c r="J514" s="185"/>
      <c r="K514" s="185"/>
      <c r="L514" s="185"/>
      <c r="M514" s="185"/>
      <c r="N514" s="185"/>
      <c r="O514" s="185"/>
      <c r="R514" s="139" t="s">
        <v>145</v>
      </c>
      <c r="S514" s="138">
        <f>-4*COS(S474/2)^2*SIN(S474/2)^2*$K513+COS(S474/2)^2*SIN(S474/2)^2*($K508+$K509)+(COS(S474/2)^4+SIN(S474/2)^4)*$M508</f>
        <v>5.8728045779623468</v>
      </c>
      <c r="T514" s="138">
        <f>-4*COS(T474/2)^2*SIN(T474/2)^2*$K513+COS(T474/2)^2*SIN(T474/2)^2*($K508+$K509)+(COS(T474/2)^4+SIN(T474/2)^4)*$M508</f>
        <v>5.8728045779623468</v>
      </c>
      <c r="U514" s="138">
        <f>-4*COS(U474/2)^2*SIN(U474/2)^2*$K513+COS(U474/2)^2*SIN(U474/2)^2*($K508+$K509)+(COS(U474/2)^4+SIN(U474/2)^4)*$M508</f>
        <v>5.8728045779623468</v>
      </c>
      <c r="V514" s="138">
        <f>-4*COS(V474/2)^2*SIN(V474/2)^2*$K513+COS(V474/2)^2*SIN(V474/2)^2*($K508+$K509)+(COS(V474/2)^4+SIN(V474/2)^4)*$M508</f>
        <v>5.8728045779623468</v>
      </c>
      <c r="W514" s="138" t="s">
        <v>778</v>
      </c>
      <c r="X514" s="141">
        <f>S476*S515*S516/S510+T476*T515*T516/T510+U476*U515*U516/U510+V476*V515*V516/V510</f>
        <v>0</v>
      </c>
      <c r="Y514" s="147">
        <f>S476*S514+T476*T514+U476*U514+V476*V514</f>
        <v>0</v>
      </c>
      <c r="Z514" s="164"/>
      <c r="AA514" s="147"/>
      <c r="AB514" s="147"/>
      <c r="AC514" s="147"/>
      <c r="AD514" s="147"/>
      <c r="AG514" s="139"/>
      <c r="AH514" s="147"/>
      <c r="AI514" s="147"/>
      <c r="AJ514" s="147"/>
      <c r="AK514" s="147"/>
    </row>
    <row r="515" spans="10:38">
      <c r="R515" s="139" t="s">
        <v>151</v>
      </c>
      <c r="S515" s="138">
        <f>COS(S474/2)^2*$M509+SIN(S474/2)^2*$M510</f>
        <v>5.8728045779623468</v>
      </c>
      <c r="T515" s="138">
        <f>COS(T474/2)^2*$M509+SIN(T474/2)^2*$M510</f>
        <v>7.053817698742284</v>
      </c>
      <c r="U515" s="138">
        <f>COS(U474/2)^2*$M509+SIN(U474/2)^2*$M510</f>
        <v>5.8728045779623468</v>
      </c>
      <c r="V515" s="138">
        <f>COS(V474/2)^2*$M509+SIN(V474/2)^2*$M510</f>
        <v>7.053817698742284</v>
      </c>
      <c r="W515" s="138" t="s">
        <v>782</v>
      </c>
      <c r="X515" s="141">
        <f>S476*S520*S515/S510+T476*T520*T515/T510+U476*U520*U515/U510+V476*V520*V515/V510</f>
        <v>0</v>
      </c>
      <c r="Y515" s="147"/>
      <c r="Z515" s="164"/>
      <c r="AA515" s="147"/>
      <c r="AB515" s="147"/>
      <c r="AC515" s="147"/>
      <c r="AD515" s="147"/>
      <c r="AG515" s="139"/>
      <c r="AH515" s="147"/>
      <c r="AI515" s="147"/>
      <c r="AJ515" s="147"/>
      <c r="AK515" s="147"/>
    </row>
    <row r="516" spans="10:38">
      <c r="R516" s="139" t="s">
        <v>768</v>
      </c>
      <c r="S516" s="138">
        <f>SIN(S474/2)^2*$M509+COS(S474/2)^2*$M510</f>
        <v>7.053817698742284</v>
      </c>
      <c r="T516" s="138">
        <f>SIN(T474/2)^2*$M509+COS(T474/2)^2*$M510</f>
        <v>5.8728045779623468</v>
      </c>
      <c r="U516" s="138">
        <f>SIN(U474/2)^2*$M509+COS(U474/2)^2*$M510</f>
        <v>7.053817698742284</v>
      </c>
      <c r="V516" s="138">
        <f>SIN(V474/2)^2*$M509+COS(V474/2)^2*$M510</f>
        <v>5.8728045779623468</v>
      </c>
      <c r="W516" s="138" t="s">
        <v>785</v>
      </c>
      <c r="X516" s="141">
        <f>S476*S520*S516/S510+T476*T520*T516/T510+U476*U520*U516/U510+V476*V520*V516/V510</f>
        <v>0</v>
      </c>
      <c r="Y516" s="164"/>
      <c r="Z516" s="164"/>
      <c r="AA516" s="147"/>
      <c r="AB516" s="147"/>
      <c r="AC516" s="147"/>
      <c r="AD516" s="147"/>
      <c r="AG516" s="139"/>
      <c r="AH516" s="147"/>
      <c r="AI516" s="147"/>
      <c r="AJ516" s="147"/>
      <c r="AK516" s="147"/>
    </row>
    <row r="517" spans="10:38">
      <c r="R517" s="139" t="s">
        <v>660</v>
      </c>
      <c r="S517" s="138">
        <f>COS(S474/2)*SIN(S474/2)*(-$K511+$K512)</f>
        <v>0</v>
      </c>
      <c r="T517" s="138">
        <f>COS(T474/2)*SIN(T474/2)*(-$K511+$K512)</f>
        <v>2.2889856965876046E-16</v>
      </c>
      <c r="U517" s="138">
        <f>COS(U474/2)*SIN(U474/2)*(-$K511+$K512)</f>
        <v>0</v>
      </c>
      <c r="V517" s="138">
        <f>COS(V474/2)*SIN(V474/2)*(-$K511+$K512)</f>
        <v>2.2889856965876046E-16</v>
      </c>
      <c r="W517" s="138" t="s">
        <v>1048</v>
      </c>
      <c r="X517" s="141">
        <f>S476*S520^2/S510+T476*T520^2/T510+U476*U520^2/U510+V476*V520^2/V510</f>
        <v>0</v>
      </c>
      <c r="Y517" s="164"/>
      <c r="Z517" s="164">
        <f>S476*S517/(S511*S512-S517^2)+T476*T517/(T511*T512-T517^2)+U476*U517/(U511*U512-U517^2)+V476*V517/(V511*V512-V517^2)</f>
        <v>0</v>
      </c>
      <c r="AA517" s="147"/>
      <c r="AB517" s="147"/>
      <c r="AC517" s="147"/>
      <c r="AD517" s="147"/>
      <c r="AG517" s="139"/>
      <c r="AH517" s="147"/>
      <c r="AI517" s="147"/>
      <c r="AJ517" s="147"/>
      <c r="AK517" s="147"/>
    </row>
    <row r="518" spans="10:38">
      <c r="R518" s="139" t="s">
        <v>777</v>
      </c>
      <c r="S518" s="138">
        <f>-2*COS(S474/2)*SIN(S474/2)*(COS(S474/2)^2-SIN(S474/2)^2)*$K513+COS(S474/2)*SIN(S474/2)*(COS(S474/2)^2*$K508+SIN(S474/2)^2*$K509)+COS(S474/2)*SIN(S474/2)*(COS(S474/2)^2+SIN(S474/2)^2)*$M508</f>
        <v>0</v>
      </c>
      <c r="T518" s="138">
        <f>-2*COS(T474/2)*SIN(T474/2)*(COS(T474/2)^2-SIN(T474/2)^2)*$K513+COS(T474/2)*SIN(T474/2)*(COS(T474/2)^2*$K508+SIN(T474/2)^2*$K509)+COS(T474/2)*SIN(T474/2)*(COS(T474/2)^2+SIN(T474/2)^2)*$M508</f>
        <v>2.0909173104960418E-15</v>
      </c>
      <c r="U518" s="138">
        <f>-2*COS(U474/2)*SIN(U474/2)*(COS(U474/2)^2-SIN(U474/2)^2)*$K513+COS(U474/2)*SIN(U474/2)*(COS(U474/2)^2*$K508+SIN(U474/2)^2*$K509)+COS(U474/2)*SIN(U474/2)*(COS(U474/2)^2+SIN(U474/2)^2)*$M508</f>
        <v>0</v>
      </c>
      <c r="V518" s="138">
        <f>-2*COS(V474/2)*SIN(V474/2)*(COS(V474/2)^2-SIN(V474/2)^2)*$K513+COS(V474/2)*SIN(V474/2)*(COS(V474/2)^2*$K508+SIN(V474/2)^2*$K509)+COS(V474/2)*SIN(V474/2)*(COS(V474/2)^2+SIN(V474/2)^2)*$M508</f>
        <v>2.0909173104960418E-15</v>
      </c>
      <c r="W518" s="138"/>
      <c r="Y518" s="147">
        <f>S476*S518+T476*T518+U476*U518+V476*V518</f>
        <v>0</v>
      </c>
      <c r="Z518" s="164"/>
      <c r="AA518" s="147"/>
      <c r="AB518" s="147"/>
      <c r="AC518" s="147"/>
      <c r="AD518" s="147"/>
      <c r="AG518" s="139"/>
      <c r="AH518" s="147"/>
      <c r="AI518" s="147"/>
      <c r="AJ518" s="147"/>
      <c r="AK518" s="147"/>
    </row>
    <row r="519" spans="10:38">
      <c r="R519" s="139" t="s">
        <v>781</v>
      </c>
      <c r="S519" s="138">
        <f>2*COS(S474/2)*SIN(S474/2)*(COS(S474/2)^2-SIN(S474/2)^2)*$K513+COS(S474/2)*SIN(S474/2)*(SIN(S474/2)^2*$K508-COS(S474/2)^2*$K509)+COS(S474/2)*SIN(S474/2)*(COS(S474/2)^2-SIN(S474/2)^2)*$M508</f>
        <v>0</v>
      </c>
      <c r="T519" s="138">
        <f>2*COS(T474/2)*SIN(T474/2)*(COS(T474/2)^2-SIN(T474/2)^2)*$K513+COS(T474/2)*SIN(T474/2)*(SIN(T474/2)^2*$K508-COS(T474/2)^2*$K509)+COS(T474/2)*SIN(T474/2)*(COS(T474/2)^2-SIN(T474/2)^2)*$M508</f>
        <v>1.0050870810750773E-14</v>
      </c>
      <c r="U519" s="138">
        <f>2*COS(U474/2)*SIN(U474/2)*(COS(U474/2)^2-SIN(U474/2)^2)*$K513+COS(U474/2)*SIN(U474/2)*(SIN(U474/2)^2*$K508-COS(U474/2)^2*$K509)+COS(U474/2)*SIN(U474/2)*(COS(U474/2)^2-SIN(U474/2)^2)*$M508</f>
        <v>0</v>
      </c>
      <c r="V519" s="138">
        <f>2*COS(V474/2)*SIN(V474/2)*(COS(V474/2)^2-SIN(V474/2)^2)*$K513+COS(V474/2)*SIN(V474/2)*(SIN(V474/2)^2*$K508-COS(V474/2)^2*$K509)+COS(V474/2)*SIN(V474/2)*(COS(V474/2)^2-SIN(V474/2)^2)*$M508</f>
        <v>1.0050870810750773E-14</v>
      </c>
      <c r="W519" s="138"/>
      <c r="Y519" s="147">
        <f>S476*S519+T476*T519+U476*U519+V476*V519</f>
        <v>0</v>
      </c>
      <c r="Z519" s="164"/>
      <c r="AA519" s="147"/>
      <c r="AB519" s="147"/>
      <c r="AC519" s="147"/>
      <c r="AD519" s="147"/>
      <c r="AG519" s="139"/>
      <c r="AH519" s="147"/>
      <c r="AI519" s="147"/>
      <c r="AJ519" s="147"/>
      <c r="AK519" s="147"/>
    </row>
    <row r="520" spans="10:38">
      <c r="R520" s="139" t="s">
        <v>784</v>
      </c>
      <c r="S520" s="138">
        <f>COS(S474/2)*SIN(S474/2)*($M509-$M510)</f>
        <v>0</v>
      </c>
      <c r="T520" s="138">
        <f>COS(T474/2)*SIN(T474/2)*($M509-$M510)</f>
        <v>-7.2345820007517372E-17</v>
      </c>
      <c r="U520" s="138">
        <f>COS(U474/2)*SIN(U474/2)*($M509-$M510)</f>
        <v>0</v>
      </c>
      <c r="V520" s="138">
        <f>COS(V474/2)*SIN(V474/2)*($M509-$M510)</f>
        <v>-7.2345820007517372E-17</v>
      </c>
      <c r="W520" s="138"/>
      <c r="Y520" s="164"/>
      <c r="Z520" s="164"/>
      <c r="AA520" s="147"/>
      <c r="AB520" s="147"/>
      <c r="AC520" s="147"/>
      <c r="AD520" s="147"/>
      <c r="AG520" s="139"/>
      <c r="AH520" s="147"/>
      <c r="AI520" s="147"/>
      <c r="AJ520" s="147"/>
      <c r="AK520" s="147"/>
    </row>
    <row r="521" spans="10:38">
      <c r="J521" s="137" t="s">
        <v>855</v>
      </c>
      <c r="K521" s="139"/>
      <c r="L521" s="139"/>
      <c r="N521" s="138" t="s">
        <v>1551</v>
      </c>
      <c r="P521" s="140"/>
      <c r="R521" s="138" t="s">
        <v>634</v>
      </c>
      <c r="Y521" s="164"/>
      <c r="Z521" s="138" t="s">
        <v>635</v>
      </c>
      <c r="AG521" s="138" t="s">
        <v>636</v>
      </c>
    </row>
    <row r="522" spans="10:38">
      <c r="J522" s="139" t="str">
        <f>A171</f>
        <v>T3/N52[SI]</v>
      </c>
      <c r="K522" s="137"/>
      <c r="L522" s="139"/>
      <c r="N522" s="139" t="s">
        <v>596</v>
      </c>
      <c r="O522" s="144">
        <f>G172</f>
        <v>22</v>
      </c>
      <c r="P522" s="144">
        <f>B80</f>
        <v>22</v>
      </c>
      <c r="Q522" s="145">
        <f t="shared" ref="Q522:Q527" si="100">P522/O522</f>
        <v>1</v>
      </c>
      <c r="R522" s="137"/>
      <c r="Z522" s="139" t="s">
        <v>531</v>
      </c>
      <c r="AA522" s="146">
        <f t="shared" ref="AA522:AD524" si="101">S524</f>
        <v>0</v>
      </c>
      <c r="AB522" s="146">
        <f t="shared" si="101"/>
        <v>90</v>
      </c>
      <c r="AC522" s="146">
        <f t="shared" si="101"/>
        <v>0</v>
      </c>
      <c r="AD522" s="146">
        <f t="shared" si="101"/>
        <v>90</v>
      </c>
      <c r="AE522" s="139" t="s">
        <v>532</v>
      </c>
      <c r="AF522" s="143" t="s">
        <v>533</v>
      </c>
      <c r="AG522" s="139" t="s">
        <v>531</v>
      </c>
      <c r="AH522" s="146">
        <f t="shared" ref="AH522:AK524" si="102">AA522</f>
        <v>0</v>
      </c>
      <c r="AI522" s="146">
        <f t="shared" si="102"/>
        <v>90</v>
      </c>
      <c r="AJ522" s="146">
        <f t="shared" si="102"/>
        <v>0</v>
      </c>
      <c r="AK522" s="146">
        <f t="shared" si="102"/>
        <v>90</v>
      </c>
    </row>
    <row r="523" spans="10:38">
      <c r="J523" s="139"/>
      <c r="K523" s="139"/>
      <c r="L523" s="139"/>
      <c r="N523" s="139" t="s">
        <v>600</v>
      </c>
      <c r="O523" s="147">
        <f>H172</f>
        <v>5.0000000000000001E-3</v>
      </c>
      <c r="P523" s="147">
        <f>C80</f>
        <v>5.0000000000000001E-3</v>
      </c>
      <c r="Q523" s="145">
        <f t="shared" si="100"/>
        <v>1</v>
      </c>
      <c r="R523" s="139" t="s">
        <v>243</v>
      </c>
      <c r="S523" s="143" t="s">
        <v>1562</v>
      </c>
      <c r="T523" s="143" t="s">
        <v>1563</v>
      </c>
      <c r="U523" s="143" t="s">
        <v>1564</v>
      </c>
      <c r="V523" s="143" t="s">
        <v>1565</v>
      </c>
      <c r="W523" s="143"/>
      <c r="X523" s="143"/>
      <c r="Z523" s="139" t="s">
        <v>536</v>
      </c>
      <c r="AA523" s="146">
        <f t="shared" si="101"/>
        <v>0</v>
      </c>
      <c r="AB523" s="146">
        <f t="shared" si="101"/>
        <v>0</v>
      </c>
      <c r="AC523" s="146">
        <f t="shared" si="101"/>
        <v>0</v>
      </c>
      <c r="AD523" s="146">
        <f t="shared" si="101"/>
        <v>0</v>
      </c>
      <c r="AE523" s="139">
        <f>W525</f>
        <v>1</v>
      </c>
      <c r="AF523" s="146">
        <f>X526</f>
        <v>0</v>
      </c>
      <c r="AG523" s="139" t="s">
        <v>536</v>
      </c>
      <c r="AH523" s="146">
        <f t="shared" si="102"/>
        <v>0</v>
      </c>
      <c r="AI523" s="146">
        <f t="shared" si="102"/>
        <v>0</v>
      </c>
      <c r="AJ523" s="146">
        <f t="shared" si="102"/>
        <v>0</v>
      </c>
      <c r="AK523" s="146">
        <f t="shared" si="102"/>
        <v>0</v>
      </c>
    </row>
    <row r="524" spans="10:38">
      <c r="J524" s="139" t="s">
        <v>1553</v>
      </c>
      <c r="K524" s="139" t="s">
        <v>1554</v>
      </c>
      <c r="L524" s="139" t="s">
        <v>1555</v>
      </c>
      <c r="M524" s="153" t="s">
        <v>1556</v>
      </c>
      <c r="N524" s="139" t="s">
        <v>1557</v>
      </c>
      <c r="O524" s="144">
        <f>G171</f>
        <v>122</v>
      </c>
      <c r="P524" s="144">
        <f>O524</f>
        <v>122</v>
      </c>
      <c r="Q524" s="145">
        <f t="shared" si="100"/>
        <v>1</v>
      </c>
      <c r="R524" s="139" t="s">
        <v>537</v>
      </c>
      <c r="S524" s="154">
        <f>C23+I24</f>
        <v>0</v>
      </c>
      <c r="T524" s="154">
        <f>D23+I24</f>
        <v>90</v>
      </c>
      <c r="U524" s="154">
        <f>E23+I24</f>
        <v>0</v>
      </c>
      <c r="V524" s="154">
        <f>F23+I24</f>
        <v>90</v>
      </c>
      <c r="W524" s="143" t="s">
        <v>538</v>
      </c>
      <c r="X524" s="143"/>
      <c r="Z524" s="139" t="s">
        <v>539</v>
      </c>
      <c r="AA524" s="146">
        <f t="shared" si="101"/>
        <v>0</v>
      </c>
      <c r="AB524" s="146">
        <f t="shared" si="101"/>
        <v>3.1415926535897931</v>
      </c>
      <c r="AC524" s="146">
        <f t="shared" si="101"/>
        <v>0</v>
      </c>
      <c r="AD524" s="146">
        <f t="shared" si="101"/>
        <v>3.1415926535897931</v>
      </c>
      <c r="AE524" s="139" t="s">
        <v>540</v>
      </c>
      <c r="AF524" s="141">
        <f>W532</f>
        <v>0</v>
      </c>
      <c r="AG524" s="139" t="s">
        <v>539</v>
      </c>
      <c r="AH524" s="146">
        <f t="shared" si="102"/>
        <v>0</v>
      </c>
      <c r="AI524" s="146">
        <f t="shared" si="102"/>
        <v>3.1415926535897931</v>
      </c>
      <c r="AJ524" s="146">
        <f t="shared" si="102"/>
        <v>0</v>
      </c>
      <c r="AK524" s="146">
        <f t="shared" si="102"/>
        <v>3.1415926535897931</v>
      </c>
    </row>
    <row r="525" spans="10:38">
      <c r="J525" s="139" t="s">
        <v>298</v>
      </c>
      <c r="K525" s="140">
        <f>B171</f>
        <v>181</v>
      </c>
      <c r="L525" s="140">
        <f>L532*L531</f>
        <v>181.00000000000003</v>
      </c>
      <c r="M525" s="145">
        <f>L525/K525</f>
        <v>1.0000000000000002</v>
      </c>
      <c r="N525" s="139" t="s">
        <v>299</v>
      </c>
      <c r="O525" s="144">
        <f>H171</f>
        <v>160</v>
      </c>
      <c r="P525" s="144">
        <f>O525-H174*(P523)</f>
        <v>150</v>
      </c>
      <c r="Q525" s="145">
        <f t="shared" si="100"/>
        <v>0.9375</v>
      </c>
      <c r="R525" s="139" t="s">
        <v>541</v>
      </c>
      <c r="S525" s="154">
        <f>C24</f>
        <v>0</v>
      </c>
      <c r="T525" s="154">
        <f>D24</f>
        <v>0</v>
      </c>
      <c r="U525" s="154">
        <f>E24</f>
        <v>0</v>
      </c>
      <c r="V525" s="154">
        <f>F24</f>
        <v>0</v>
      </c>
      <c r="W525" s="156">
        <f>G24</f>
        <v>1</v>
      </c>
      <c r="X525" s="143"/>
      <c r="Z525" s="139"/>
      <c r="AA525" s="141">
        <f>AA524/2</f>
        <v>0</v>
      </c>
      <c r="AB525" s="141">
        <f>AB524/2</f>
        <v>1.5707963267948966</v>
      </c>
      <c r="AC525" s="141">
        <f>AC524/2</f>
        <v>0</v>
      </c>
      <c r="AD525" s="141">
        <f>AD524/2</f>
        <v>1.5707963267948966</v>
      </c>
      <c r="AE525" s="143"/>
      <c r="AL525" s="139"/>
    </row>
    <row r="526" spans="10:38">
      <c r="J526" s="139" t="s">
        <v>1579</v>
      </c>
      <c r="K526" s="140">
        <f>C171</f>
        <v>10.3</v>
      </c>
      <c r="L526" s="140">
        <f>(1+L535)/(1/L536+L535/L533)</f>
        <v>10.3</v>
      </c>
      <c r="M526" s="145">
        <f>L526/K526</f>
        <v>1</v>
      </c>
      <c r="N526" s="139" t="s">
        <v>1580</v>
      </c>
      <c r="O526" s="140">
        <f>(O525-O522)/(O525-O522)</f>
        <v>1</v>
      </c>
      <c r="P526" s="140">
        <f>(P525-P522)/(P525-O522)</f>
        <v>1</v>
      </c>
      <c r="Q526" s="145">
        <f t="shared" si="100"/>
        <v>1</v>
      </c>
      <c r="R526" s="139" t="s">
        <v>1295</v>
      </c>
      <c r="S526" s="158">
        <f>S524*PI()/90</f>
        <v>0</v>
      </c>
      <c r="T526" s="158">
        <f>T524*PI()/90</f>
        <v>3.1415926535897931</v>
      </c>
      <c r="U526" s="158">
        <f>U524*PI()/90</f>
        <v>0</v>
      </c>
      <c r="V526" s="158">
        <f>V524*PI()/90</f>
        <v>3.1415926535897931</v>
      </c>
      <c r="W526" s="143" t="s">
        <v>1296</v>
      </c>
      <c r="X526" s="146"/>
      <c r="Z526" s="137" t="s">
        <v>1297</v>
      </c>
      <c r="AA526" s="143"/>
      <c r="AB526" s="143"/>
      <c r="AC526" s="141"/>
      <c r="AD526" s="141"/>
      <c r="AE526" s="141"/>
      <c r="AG526" s="137" t="s">
        <v>1298</v>
      </c>
      <c r="AL526" s="139"/>
    </row>
    <row r="527" spans="10:38">
      <c r="J527" s="139" t="s">
        <v>259</v>
      </c>
      <c r="K527" s="140">
        <f>D171</f>
        <v>0.28000000000000003</v>
      </c>
      <c r="L527" s="140">
        <f>K527*I80</f>
        <v>0.28000000000000003</v>
      </c>
      <c r="M527" s="145">
        <f>L527/K527</f>
        <v>1</v>
      </c>
      <c r="N527" s="139" t="s">
        <v>260</v>
      </c>
      <c r="O527" s="144">
        <f>O522-O524</f>
        <v>-100</v>
      </c>
      <c r="P527" s="144">
        <f>P522-P524</f>
        <v>-100</v>
      </c>
      <c r="Q527" s="145">
        <f t="shared" si="100"/>
        <v>1</v>
      </c>
      <c r="R527" s="139" t="s">
        <v>1300</v>
      </c>
      <c r="S527" s="158">
        <f>2*S526</f>
        <v>0</v>
      </c>
      <c r="T527" s="158">
        <f>2*T526</f>
        <v>6.2831853071795862</v>
      </c>
      <c r="U527" s="158">
        <f>2*U526</f>
        <v>0</v>
      </c>
      <c r="V527" s="158">
        <f>2*V526</f>
        <v>6.2831853071795862</v>
      </c>
      <c r="W527" s="138" t="s">
        <v>651</v>
      </c>
      <c r="X527" s="143" t="s">
        <v>652</v>
      </c>
      <c r="Y527" s="143" t="s">
        <v>646</v>
      </c>
      <c r="Z527" s="139"/>
      <c r="AA527" s="143" t="s">
        <v>1301</v>
      </c>
      <c r="AB527" s="143"/>
      <c r="AC527" s="161" t="s">
        <v>977</v>
      </c>
      <c r="AD527" s="161"/>
      <c r="AE527" s="143" t="s">
        <v>1303</v>
      </c>
      <c r="AF527" s="143" t="s">
        <v>1304</v>
      </c>
      <c r="AG527" s="139" t="s">
        <v>1305</v>
      </c>
      <c r="AH527" s="147">
        <f t="shared" ref="AH527:AK529" si="103">AA533/1000</f>
        <v>0</v>
      </c>
      <c r="AI527" s="147">
        <f t="shared" si="103"/>
        <v>0</v>
      </c>
      <c r="AJ527" s="147">
        <f t="shared" si="103"/>
        <v>0</v>
      </c>
      <c r="AK527" s="147">
        <f t="shared" si="103"/>
        <v>0</v>
      </c>
      <c r="AL527" s="157"/>
    </row>
    <row r="528" spans="10:38">
      <c r="J528" s="139" t="s">
        <v>261</v>
      </c>
      <c r="K528" s="140">
        <f>E171</f>
        <v>7.17</v>
      </c>
      <c r="L528" s="140">
        <f>(1+L538)/(1/L539+L538*2.7/L533)</f>
        <v>7.17</v>
      </c>
      <c r="M528" s="145">
        <f>L528/K528</f>
        <v>1</v>
      </c>
      <c r="N528" s="139"/>
      <c r="O528" s="140"/>
      <c r="P528" s="140"/>
      <c r="Q528" s="140"/>
      <c r="R528" s="139" t="s">
        <v>1321</v>
      </c>
      <c r="S528" s="158">
        <f>2*W525*S525*L529/1000000/Y528</f>
        <v>0</v>
      </c>
      <c r="T528" s="158">
        <f>2*W525*T525*L529/1000000/Y528</f>
        <v>0</v>
      </c>
      <c r="U528" s="158">
        <f>2*W525*U525*L529/1000000/Y528</f>
        <v>0</v>
      </c>
      <c r="V528" s="158">
        <f>2*W525*V525*L529/1000000/Y528</f>
        <v>0</v>
      </c>
      <c r="W528" s="147">
        <f>SUM(S528:V528)</f>
        <v>0</v>
      </c>
      <c r="X528" s="163">
        <f>2*W525*SUM(S525:V525)*L529/1000000</f>
        <v>0</v>
      </c>
      <c r="Y528" s="147">
        <f>Y476</f>
        <v>5.0000000000000001E-4</v>
      </c>
      <c r="Z528" s="139">
        <v>1</v>
      </c>
      <c r="AA528" s="140">
        <f>$B$37</f>
        <v>1</v>
      </c>
      <c r="AB528" s="163"/>
      <c r="AC528" s="140">
        <f>AC476</f>
        <v>119.49416590714854</v>
      </c>
      <c r="AD528" s="163"/>
      <c r="AE528" s="159" t="s">
        <v>1306</v>
      </c>
      <c r="AF528" s="163">
        <f>IF(X528=0,0,(AC528+AC529)/2)</f>
        <v>0</v>
      </c>
      <c r="AG528" s="139" t="s">
        <v>1307</v>
      </c>
      <c r="AH528" s="147">
        <f t="shared" si="103"/>
        <v>0</v>
      </c>
      <c r="AI528" s="147">
        <f t="shared" si="103"/>
        <v>0</v>
      </c>
      <c r="AJ528" s="147">
        <f t="shared" si="103"/>
        <v>0</v>
      </c>
      <c r="AK528" s="147">
        <f t="shared" si="103"/>
        <v>0</v>
      </c>
      <c r="AL528" s="157"/>
    </row>
    <row r="529" spans="10:38">
      <c r="J529" s="139" t="s">
        <v>262</v>
      </c>
      <c r="K529" s="144">
        <f>B173</f>
        <v>125</v>
      </c>
      <c r="L529" s="144">
        <f>K529/M531</f>
        <v>125</v>
      </c>
      <c r="M529" s="145">
        <f>L529/K529</f>
        <v>1</v>
      </c>
      <c r="N529" s="137" t="s">
        <v>1531</v>
      </c>
      <c r="O529" s="140"/>
      <c r="P529" s="140"/>
      <c r="Q529" s="140"/>
      <c r="R529" s="139" t="s">
        <v>1325</v>
      </c>
      <c r="S529" s="143" t="s">
        <v>1326</v>
      </c>
      <c r="T529" s="143" t="s">
        <v>1327</v>
      </c>
      <c r="U529" s="143" t="s">
        <v>1328</v>
      </c>
      <c r="V529" s="143" t="s">
        <v>1329</v>
      </c>
      <c r="W529" s="143" t="s">
        <v>1330</v>
      </c>
      <c r="X529" s="139"/>
      <c r="Z529" s="139">
        <v>2</v>
      </c>
      <c r="AA529" s="140">
        <f>$B$38</f>
        <v>0</v>
      </c>
      <c r="AB529" s="163"/>
      <c r="AC529" s="140">
        <f>AC477</f>
        <v>-19.975848039852647</v>
      </c>
      <c r="AD529" s="163"/>
      <c r="AE529" s="159" t="s">
        <v>1309</v>
      </c>
      <c r="AF529" s="163">
        <f>IF(X528=0,0,(AC528-AC529)/2)</f>
        <v>0</v>
      </c>
      <c r="AG529" s="139" t="s">
        <v>1310</v>
      </c>
      <c r="AH529" s="147">
        <f t="shared" si="103"/>
        <v>0</v>
      </c>
      <c r="AI529" s="147">
        <f t="shared" si="103"/>
        <v>0</v>
      </c>
      <c r="AJ529" s="147">
        <f t="shared" si="103"/>
        <v>0</v>
      </c>
      <c r="AK529" s="147">
        <f t="shared" si="103"/>
        <v>0</v>
      </c>
      <c r="AL529" s="157"/>
    </row>
    <row r="530" spans="10:38">
      <c r="J530" s="137" t="s">
        <v>264</v>
      </c>
      <c r="K530" s="140"/>
      <c r="L530" s="140"/>
      <c r="N530" s="139" t="s">
        <v>265</v>
      </c>
      <c r="O530" s="140">
        <f>A174</f>
        <v>0.02</v>
      </c>
      <c r="P530" s="140">
        <f>O530</f>
        <v>0.02</v>
      </c>
      <c r="Q530" s="140">
        <f>P530/O530</f>
        <v>1</v>
      </c>
      <c r="R530" s="139">
        <v>11</v>
      </c>
      <c r="S530" s="140">
        <f>L547+L548*COS(S526)+L549*COS(S527)</f>
        <v>181.81113884441794</v>
      </c>
      <c r="T530" s="140">
        <f>L547+L548*COS(T526)+L549*COS(T527)</f>
        <v>10.346158729820477</v>
      </c>
      <c r="U530" s="140">
        <f>L547+L548*COS(U526)+L549*COS(U527)</f>
        <v>181.81113884441794</v>
      </c>
      <c r="V530" s="140">
        <f>L547+L548*COS(V526)+L549*COS(V527)</f>
        <v>10.346158729820477</v>
      </c>
      <c r="W530" s="163">
        <f>(S528*S530+T528*T530+U528*U530+V528*V530)</f>
        <v>0</v>
      </c>
      <c r="X530" s="147"/>
      <c r="Z530" s="139">
        <v>6</v>
      </c>
      <c r="AA530" s="140">
        <f>$B$39</f>
        <v>0</v>
      </c>
      <c r="AB530" s="163"/>
      <c r="AC530" s="140">
        <f>AC478</f>
        <v>-91.562516762323497</v>
      </c>
      <c r="AD530" s="163"/>
      <c r="AE530" s="159" t="s">
        <v>1312</v>
      </c>
      <c r="AF530" s="163">
        <f>IF(X528=0,0,AC530/2)</f>
        <v>0</v>
      </c>
      <c r="AG530" s="139"/>
      <c r="AH530" s="163"/>
      <c r="AI530" s="163"/>
      <c r="AJ530" s="163"/>
      <c r="AK530" s="163"/>
      <c r="AL530" s="163"/>
    </row>
    <row r="531" spans="10:38">
      <c r="J531" s="139" t="s">
        <v>1532</v>
      </c>
      <c r="K531" s="140">
        <f>C173</f>
        <v>0.7</v>
      </c>
      <c r="L531" s="140">
        <f>D80</f>
        <v>0.7</v>
      </c>
      <c r="M531" s="145">
        <f t="shared" ref="M531:M540" si="104">L531/K531</f>
        <v>1</v>
      </c>
      <c r="N531" s="139" t="s">
        <v>1533</v>
      </c>
      <c r="O531" s="140">
        <f>B174</f>
        <v>22.5</v>
      </c>
      <c r="P531" s="140">
        <f>O531*(1-L531)/(1-K531)</f>
        <v>22.5</v>
      </c>
      <c r="Q531" s="140">
        <f>P531/O531</f>
        <v>1</v>
      </c>
      <c r="R531" s="139">
        <v>22</v>
      </c>
      <c r="S531" s="140">
        <f>S530-2*L548*COS(S526)</f>
        <v>10.346158729820473</v>
      </c>
      <c r="T531" s="140">
        <f>T530-2*L548*COS(T526)</f>
        <v>181.81113884441794</v>
      </c>
      <c r="U531" s="140">
        <f>U530-2*L548*COS(U526)</f>
        <v>10.346158729820473</v>
      </c>
      <c r="V531" s="140">
        <f>V530-2*L548*COS(V526)</f>
        <v>181.81113884441794</v>
      </c>
      <c r="W531" s="163">
        <f>(S528*S531+T528*T531+U528*U531+V528*V531)</f>
        <v>0</v>
      </c>
      <c r="X531" s="147"/>
      <c r="AA531" s="163"/>
      <c r="AB531" s="163"/>
      <c r="AC531" s="163"/>
      <c r="AD531" s="163"/>
      <c r="AE531" s="159"/>
      <c r="AF531" s="163"/>
      <c r="AG531" s="139"/>
      <c r="AH531" s="163"/>
      <c r="AI531" s="163"/>
      <c r="AJ531" s="163"/>
      <c r="AK531" s="163"/>
      <c r="AL531" s="163"/>
    </row>
    <row r="532" spans="10:38">
      <c r="J532" s="139" t="s">
        <v>1534</v>
      </c>
      <c r="K532" s="144">
        <f>K525/K531</f>
        <v>258.57142857142861</v>
      </c>
      <c r="L532" s="144">
        <f>F80*P526^F174</f>
        <v>258.57142857142861</v>
      </c>
      <c r="M532" s="145">
        <f t="shared" si="104"/>
        <v>1</v>
      </c>
      <c r="N532" s="138" t="s">
        <v>1535</v>
      </c>
      <c r="O532" s="140"/>
      <c r="P532" s="140"/>
      <c r="Q532" s="140"/>
      <c r="R532" s="139" t="s">
        <v>1345</v>
      </c>
      <c r="S532" s="140">
        <f>L550-L549*COS(S527)</f>
        <v>2.8969244443497324</v>
      </c>
      <c r="T532" s="140">
        <f>L550-L549*COS(T527)</f>
        <v>2.8969244443497324</v>
      </c>
      <c r="U532" s="140">
        <f>L550-L549*COS(U527)</f>
        <v>2.8969244443497324</v>
      </c>
      <c r="V532" s="140">
        <f>L550-L549*COS(V527)</f>
        <v>2.8969244443497324</v>
      </c>
      <c r="W532" s="163">
        <f>(S528*S532+T528*T532+U528*U532+V528*V532)</f>
        <v>0</v>
      </c>
      <c r="X532" s="147"/>
      <c r="Z532" s="137" t="s">
        <v>1323</v>
      </c>
      <c r="AA532" s="163"/>
      <c r="AB532" s="163"/>
      <c r="AC532" s="163"/>
      <c r="AD532" s="163"/>
      <c r="AE532" s="159" t="s">
        <v>661</v>
      </c>
      <c r="AF532" s="163">
        <f>L527/L525*L542+L540/L526*L544</f>
        <v>0.42188220063345594</v>
      </c>
      <c r="AG532" s="139"/>
      <c r="AH532" s="163"/>
      <c r="AI532" s="163"/>
      <c r="AJ532" s="163"/>
      <c r="AK532" s="163"/>
      <c r="AL532" s="163"/>
    </row>
    <row r="533" spans="10:38">
      <c r="J533" s="139" t="s">
        <v>1536</v>
      </c>
      <c r="K533" s="140">
        <f>F171</f>
        <v>3.4</v>
      </c>
      <c r="L533" s="140">
        <f>E80*P526^F173*I80</f>
        <v>3.4</v>
      </c>
      <c r="M533" s="145">
        <f t="shared" si="104"/>
        <v>1</v>
      </c>
      <c r="N533" s="139" t="s">
        <v>1537</v>
      </c>
      <c r="O533" s="140">
        <f>C174</f>
        <v>0</v>
      </c>
      <c r="P533" s="140">
        <f>O533</f>
        <v>0</v>
      </c>
      <c r="Q533" s="140">
        <v>1</v>
      </c>
      <c r="R533" s="139">
        <v>66</v>
      </c>
      <c r="S533" s="140">
        <f>S532-L550+L551</f>
        <v>7.1700000000000053</v>
      </c>
      <c r="T533" s="140">
        <f>T532-L550+L551</f>
        <v>7.1700000000000053</v>
      </c>
      <c r="U533" s="140">
        <f>U532-L550+L551</f>
        <v>7.1700000000000053</v>
      </c>
      <c r="V533" s="140">
        <f>V532-L550+L551</f>
        <v>7.1700000000000053</v>
      </c>
      <c r="W533" s="163">
        <f>(S528*S533+T528*T533+U528*U533+V528*V533)</f>
        <v>0</v>
      </c>
      <c r="X533" s="147"/>
      <c r="Z533" s="139" t="s">
        <v>1324</v>
      </c>
      <c r="AA533" s="147">
        <f>(AF528+AF529*COS(AA524)+AF530*SIN(AA524))</f>
        <v>0</v>
      </c>
      <c r="AB533" s="147">
        <f>(AF528+AF529*COS(AB524)+AF530*SIN(AB524))</f>
        <v>0</v>
      </c>
      <c r="AC533" s="147">
        <f>(AF528+AF529*COS(AC524)+AF530*SIN(AC524))</f>
        <v>0</v>
      </c>
      <c r="AD533" s="147">
        <f>(AF528+AF529*COS(AD524)+AF530*SIN(AD524))</f>
        <v>0</v>
      </c>
      <c r="AE533" s="159" t="s">
        <v>664</v>
      </c>
      <c r="AF533" s="163">
        <f>L527/L525*L544+L540/L526*L543</f>
        <v>0.50672214511948566</v>
      </c>
      <c r="AG533" s="137"/>
      <c r="AH533" s="159"/>
      <c r="AI533" s="159"/>
      <c r="AJ533" s="159"/>
      <c r="AK533" s="159"/>
      <c r="AL533" s="163"/>
    </row>
    <row r="534" spans="10:38">
      <c r="J534" s="139" t="s">
        <v>1538</v>
      </c>
      <c r="K534" s="140">
        <f>E173</f>
        <v>0.51600000000000001</v>
      </c>
      <c r="L534" s="140">
        <f>K534*P526^G173</f>
        <v>0.51600000000000001</v>
      </c>
      <c r="M534" s="145">
        <f t="shared" si="104"/>
        <v>1</v>
      </c>
      <c r="N534" s="139" t="s">
        <v>1539</v>
      </c>
      <c r="O534" s="140">
        <f>D174</f>
        <v>0.6</v>
      </c>
      <c r="P534" s="140">
        <f>O534*(1-L531)/(1-K531)</f>
        <v>0.6</v>
      </c>
      <c r="Q534" s="140">
        <f>P534/O534</f>
        <v>1</v>
      </c>
      <c r="R534" s="139" t="s">
        <v>1347</v>
      </c>
      <c r="S534" s="140">
        <f>L548*SIN(S526)/2+L549*SIN(S527)</f>
        <v>0</v>
      </c>
      <c r="T534" s="140">
        <f>L548*SIN(T526)/2+L549*SIN(T527)</f>
        <v>4.221105484146412E-16</v>
      </c>
      <c r="U534" s="140">
        <f>L548*SIN(U526)/2+L549*SIN(U527)</f>
        <v>0</v>
      </c>
      <c r="V534" s="140">
        <f>L548*SIN(V526)/2+L549*SIN(V527)</f>
        <v>4.221105484146412E-16</v>
      </c>
      <c r="W534" s="163">
        <f>(S528*S534+T528*T534+U528*U534+V528*V534)</f>
        <v>0</v>
      </c>
      <c r="X534" s="147"/>
      <c r="Z534" s="139" t="s">
        <v>1332</v>
      </c>
      <c r="AA534" s="147">
        <f>2*AF528-AA533</f>
        <v>0</v>
      </c>
      <c r="AB534" s="147">
        <f>2*AF528-AB533</f>
        <v>0</v>
      </c>
      <c r="AC534" s="147">
        <f>2*AF528-AC533</f>
        <v>0</v>
      </c>
      <c r="AD534" s="147">
        <f>2*AF528-AD533</f>
        <v>0</v>
      </c>
      <c r="AE534" s="159"/>
      <c r="AF534" s="163"/>
      <c r="AG534" s="139" t="s">
        <v>1333</v>
      </c>
      <c r="AH534" s="163">
        <f>P553*AH527^2+2*P555*AH527*AH528+P554*AH528^2+P556*AH529^2</f>
        <v>0</v>
      </c>
      <c r="AI534" s="163">
        <f>P553*AI527^2+2*P555*AI527*AI528+P554*AI528^2+P556*AI529^2</f>
        <v>0</v>
      </c>
      <c r="AJ534" s="163">
        <f>P553*AJ527^2+2*P555*AJ527*AJ528+P554*AJ528^2+P556*AJ529^2</f>
        <v>0</v>
      </c>
      <c r="AK534" s="163">
        <f>P553*AK527^2+2*P555*AK527*AK528+P554*AK528^2+P556*AK529^2</f>
        <v>0</v>
      </c>
      <c r="AL534" s="163"/>
    </row>
    <row r="535" spans="10:38">
      <c r="J535" s="139" t="s">
        <v>1547</v>
      </c>
      <c r="K535" s="140">
        <f>K534*(1-K531)/K531</f>
        <v>0.2211428571428572</v>
      </c>
      <c r="L535" s="140">
        <f>L534*(1-L531)/L531</f>
        <v>0.2211428571428572</v>
      </c>
      <c r="M535" s="145">
        <f t="shared" si="104"/>
        <v>1</v>
      </c>
      <c r="O535" s="140"/>
      <c r="P535" s="140"/>
      <c r="Q535" s="140"/>
      <c r="R535" s="139" t="s">
        <v>1349</v>
      </c>
      <c r="S535" s="140">
        <f>L548*SIN(S526)-S534</f>
        <v>0</v>
      </c>
      <c r="T535" s="140">
        <f>L548*SIN(T526)-T534</f>
        <v>1.0081392224502176E-14</v>
      </c>
      <c r="U535" s="140">
        <f>L548*SIN(U526)-U534</f>
        <v>0</v>
      </c>
      <c r="V535" s="140">
        <f>L548*SIN(V526)-V534</f>
        <v>1.0081392224502176E-14</v>
      </c>
      <c r="W535" s="163">
        <f>(S528*S535+T528*T535+U528*U535+V528*V535)</f>
        <v>0</v>
      </c>
      <c r="X535" s="147"/>
      <c r="Z535" s="139" t="s">
        <v>1334</v>
      </c>
      <c r="AA535" s="147">
        <f>(2*(AF530*COS(AA524)-AF529*SIN(AA524)))</f>
        <v>0</v>
      </c>
      <c r="AB535" s="147">
        <f>(2*(AF530*COS(AB524)-AF529*SIN(AB524)))</f>
        <v>0</v>
      </c>
      <c r="AC535" s="147">
        <f>(2*(AF530*COS(AC524)-AF529*SIN(AC524)))</f>
        <v>0</v>
      </c>
      <c r="AD535" s="147">
        <f>(2*(AF530*COS(AD524)-AF529*SIN(AD524)))</f>
        <v>0</v>
      </c>
      <c r="AE535" s="159"/>
      <c r="AF535" s="163"/>
      <c r="AG535" s="139" t="s">
        <v>1335</v>
      </c>
      <c r="AH535" s="163">
        <f>P557*AH527+P558*AH528</f>
        <v>0</v>
      </c>
      <c r="AI535" s="163">
        <f>P557*AI527+P558*AI528</f>
        <v>0</v>
      </c>
      <c r="AJ535" s="163">
        <f>P557*AJ527+P558*AJ528</f>
        <v>0</v>
      </c>
      <c r="AK535" s="163">
        <f>P557*AK527+P558*AK528</f>
        <v>0</v>
      </c>
      <c r="AL535" s="163"/>
    </row>
    <row r="536" spans="10:38">
      <c r="J536" s="139" t="s">
        <v>1643</v>
      </c>
      <c r="K536" s="140">
        <f>1/((1+K535)/K526-K535/K533)</f>
        <v>18.686160319541436</v>
      </c>
      <c r="L536" s="140">
        <f>K536*P526^F174</f>
        <v>18.686160319541436</v>
      </c>
      <c r="M536" s="145">
        <f t="shared" si="104"/>
        <v>1</v>
      </c>
      <c r="N536" s="138" t="s">
        <v>176</v>
      </c>
      <c r="O536" s="140"/>
      <c r="P536" s="140"/>
      <c r="Q536" s="140"/>
      <c r="R536" s="139"/>
      <c r="S536" s="143"/>
      <c r="T536" s="143"/>
      <c r="U536" s="143"/>
      <c r="V536" s="139"/>
      <c r="W536" s="143"/>
      <c r="Z536" s="139" t="s">
        <v>671</v>
      </c>
      <c r="AA536" s="164">
        <f>S554*S528</f>
        <v>0</v>
      </c>
      <c r="AB536" s="164">
        <f>T554*T528</f>
        <v>0</v>
      </c>
      <c r="AC536" s="164">
        <f>U554*U528</f>
        <v>0</v>
      </c>
      <c r="AD536" s="164">
        <f>V554*V528</f>
        <v>0</v>
      </c>
      <c r="AE536" s="164">
        <f>W528*(P531+P530*AF532+AF533*P531)-AF532*SUM(AA536:AD536)-AF533*SUM(AA537:AD537)</f>
        <v>0</v>
      </c>
      <c r="AF536" s="164"/>
      <c r="AG536" s="139" t="s">
        <v>1344</v>
      </c>
      <c r="AH536" s="163" t="e">
        <f>AH535/2/AH534</f>
        <v>#DIV/0!</v>
      </c>
      <c r="AI536" s="163" t="e">
        <f>AI535/2/AI534</f>
        <v>#DIV/0!</v>
      </c>
      <c r="AJ536" s="163" t="e">
        <f>AJ535/2/AJ534</f>
        <v>#DIV/0!</v>
      </c>
      <c r="AK536" s="163" t="e">
        <f>AK535/2/AK534</f>
        <v>#DIV/0!</v>
      </c>
      <c r="AL536" s="163"/>
    </row>
    <row r="537" spans="10:38">
      <c r="J537" s="139" t="s">
        <v>295</v>
      </c>
      <c r="K537" s="140">
        <f>E174</f>
        <v>0.316</v>
      </c>
      <c r="L537" s="140">
        <f>K537*P526^G173</f>
        <v>0.316</v>
      </c>
      <c r="M537" s="145">
        <f t="shared" si="104"/>
        <v>1</v>
      </c>
      <c r="N537" s="139" t="s">
        <v>296</v>
      </c>
      <c r="O537" s="144">
        <f>A172</f>
        <v>1500</v>
      </c>
      <c r="P537" s="144">
        <f>P543*L531</f>
        <v>1500</v>
      </c>
      <c r="Q537" s="140">
        <f t="shared" ref="Q537:Q544" si="105">P537/O537</f>
        <v>1</v>
      </c>
      <c r="R537" s="139"/>
      <c r="T537" s="164"/>
      <c r="U537" s="140"/>
      <c r="V537" s="140"/>
      <c r="W537" s="140"/>
      <c r="X537" s="143"/>
      <c r="Y537" s="139"/>
      <c r="Z537" s="139" t="s">
        <v>675</v>
      </c>
      <c r="AA537" s="164">
        <f>S555*S528</f>
        <v>0</v>
      </c>
      <c r="AB537" s="164">
        <f>T555*T528</f>
        <v>0</v>
      </c>
      <c r="AC537" s="164">
        <f>U555*U528</f>
        <v>0</v>
      </c>
      <c r="AD537" s="164">
        <f>V555*V528</f>
        <v>0</v>
      </c>
      <c r="AE537" s="164"/>
      <c r="AF537" s="164"/>
      <c r="AG537" s="139"/>
      <c r="AH537" s="163"/>
      <c r="AI537" s="163"/>
      <c r="AJ537" s="163"/>
      <c r="AK537" s="163"/>
      <c r="AL537" s="163"/>
    </row>
    <row r="538" spans="10:38">
      <c r="J538" s="139" t="s">
        <v>301</v>
      </c>
      <c r="K538" s="140">
        <f>K537*(1-K531)/K531</f>
        <v>0.13542857142857145</v>
      </c>
      <c r="L538" s="140">
        <f>L537*(1-L531)/L531</f>
        <v>0.13542857142857145</v>
      </c>
      <c r="M538" s="145">
        <f t="shared" si="104"/>
        <v>1</v>
      </c>
      <c r="N538" s="139" t="s">
        <v>302</v>
      </c>
      <c r="O538" s="144">
        <f>B172</f>
        <v>1500</v>
      </c>
      <c r="P538" s="144">
        <f>O538*Q537*M528^F175</f>
        <v>1500</v>
      </c>
      <c r="Q538" s="140">
        <f t="shared" si="105"/>
        <v>1</v>
      </c>
      <c r="R538" s="139"/>
      <c r="T538" s="164"/>
      <c r="U538" s="140"/>
      <c r="V538" s="140"/>
      <c r="W538" s="140"/>
      <c r="X538" s="140"/>
      <c r="Y538" s="140"/>
      <c r="Z538" s="139" t="s">
        <v>677</v>
      </c>
      <c r="AA538" s="164">
        <f>S556*S528</f>
        <v>0</v>
      </c>
      <c r="AB538" s="164">
        <f>T556*T528</f>
        <v>0</v>
      </c>
      <c r="AC538" s="164">
        <f>U556*U528</f>
        <v>0</v>
      </c>
      <c r="AD538" s="164">
        <f>V556*V528</f>
        <v>0</v>
      </c>
      <c r="AE538" s="164">
        <f>W528*(P534+P533*AF532+AF533*P534)-AF532*SUM(AA538:AD538)-AF533*SUM(AA539:AD539)</f>
        <v>0</v>
      </c>
      <c r="AF538" s="164"/>
      <c r="AG538" s="139"/>
      <c r="AH538" s="163"/>
      <c r="AI538" s="147"/>
      <c r="AJ538" s="163"/>
      <c r="AK538" s="163"/>
      <c r="AL538" s="163"/>
    </row>
    <row r="539" spans="10:38">
      <c r="J539" s="139" t="s">
        <v>304</v>
      </c>
      <c r="K539" s="140">
        <f>1/((1+K538)/K528-K538*2.7/K533)</f>
        <v>19.680382632972858</v>
      </c>
      <c r="L539" s="140">
        <f>K539*P526^F174</f>
        <v>19.680382632972858</v>
      </c>
      <c r="M539" s="145">
        <f t="shared" si="104"/>
        <v>1</v>
      </c>
      <c r="N539" s="139" t="s">
        <v>305</v>
      </c>
      <c r="O539" s="144">
        <f>C172</f>
        <v>40</v>
      </c>
      <c r="P539" s="144">
        <f>O539*Q544</f>
        <v>40</v>
      </c>
      <c r="Q539" s="140">
        <f t="shared" si="105"/>
        <v>1</v>
      </c>
      <c r="R539" s="139"/>
      <c r="T539" s="164"/>
      <c r="U539" s="140"/>
      <c r="V539" s="140"/>
      <c r="W539" s="140"/>
      <c r="X539" s="140"/>
      <c r="Y539" s="140"/>
      <c r="Z539" s="138" t="s">
        <v>679</v>
      </c>
      <c r="AA539" s="164">
        <f>S557*S528</f>
        <v>0</v>
      </c>
      <c r="AB539" s="164">
        <f>T557*T528</f>
        <v>0</v>
      </c>
      <c r="AC539" s="164">
        <f>U557*U528</f>
        <v>0</v>
      </c>
      <c r="AD539" s="164">
        <f>V557*V528</f>
        <v>0</v>
      </c>
      <c r="AE539" s="164"/>
      <c r="AF539" s="164"/>
      <c r="AG539" s="139"/>
      <c r="AH539" s="163"/>
      <c r="AI539" s="163"/>
      <c r="AJ539" s="163"/>
      <c r="AK539" s="163"/>
      <c r="AL539" s="159" t="s">
        <v>1348</v>
      </c>
    </row>
    <row r="540" spans="10:38">
      <c r="J540" s="139" t="s">
        <v>1581</v>
      </c>
      <c r="K540" s="140">
        <f>F175</f>
        <v>0.5</v>
      </c>
      <c r="L540" s="140">
        <f>K540</f>
        <v>0.5</v>
      </c>
      <c r="M540" s="140">
        <f t="shared" si="104"/>
        <v>1</v>
      </c>
      <c r="N540" s="139" t="s">
        <v>1542</v>
      </c>
      <c r="O540" s="144">
        <f>D172</f>
        <v>246</v>
      </c>
      <c r="P540" s="144">
        <f>O540*Q544</f>
        <v>246</v>
      </c>
      <c r="Q540" s="140">
        <f t="shared" si="105"/>
        <v>1</v>
      </c>
      <c r="R540" s="139"/>
      <c r="T540" s="164"/>
      <c r="U540" s="140"/>
      <c r="V540" s="140"/>
      <c r="W540" s="138"/>
      <c r="X540" s="140"/>
      <c r="Y540" s="140"/>
      <c r="Z540" s="139" t="s">
        <v>682</v>
      </c>
      <c r="AA540" s="164">
        <f>S528*(AA533+S558/1000)</f>
        <v>0</v>
      </c>
      <c r="AB540" s="164">
        <f>T528*(AB533+T558/1000)</f>
        <v>0</v>
      </c>
      <c r="AC540" s="164">
        <f>U528*(AC533+U558/1000)</f>
        <v>0</v>
      </c>
      <c r="AD540" s="164">
        <f>V528*(AD533+V558/1000)</f>
        <v>0</v>
      </c>
      <c r="AE540" s="164">
        <f>W528*((1+AF533)*(P531*P527/1000000+P534*P523)+AF532*(P530*P527/1000000+P533*P523))*1000-AF532*SUM(AA540:AD540)-AF533*SUM(AA541:AD541)</f>
        <v>0</v>
      </c>
      <c r="AF540" s="164"/>
      <c r="AG540" s="139" t="s">
        <v>1351</v>
      </c>
      <c r="AH540" s="147" t="e">
        <f>(AH536^2+1/AH534)^0.5-AH536</f>
        <v>#DIV/0!</v>
      </c>
      <c r="AI540" s="147" t="e">
        <f>(AI536^2+1/AI534)^0.5-AI536</f>
        <v>#DIV/0!</v>
      </c>
      <c r="AJ540" s="147" t="e">
        <f>(AJ536^2+1/AJ534)^0.5-AJ536</f>
        <v>#DIV/0!</v>
      </c>
      <c r="AK540" s="147" t="e">
        <f>(AK536^2+1/AK534)^0.5-AK536</f>
        <v>#DIV/0!</v>
      </c>
      <c r="AL540" s="147">
        <f>MIN(AH541:AK541)</f>
        <v>1000000000</v>
      </c>
    </row>
    <row r="541" spans="10:38">
      <c r="J541" s="138" t="s">
        <v>1507</v>
      </c>
      <c r="N541" s="139" t="s">
        <v>1543</v>
      </c>
      <c r="O541" s="165">
        <f>E172</f>
        <v>68</v>
      </c>
      <c r="P541" s="165">
        <f>O541*Q544</f>
        <v>68</v>
      </c>
      <c r="Q541" s="140">
        <f t="shared" si="105"/>
        <v>1</v>
      </c>
      <c r="R541" s="139"/>
      <c r="T541" s="164"/>
      <c r="U541" s="140"/>
      <c r="V541" s="140"/>
      <c r="W541" s="138"/>
      <c r="X541" s="138"/>
      <c r="Z541" s="139" t="s">
        <v>685</v>
      </c>
      <c r="AA541" s="164">
        <f>S528*(AA534+S559/1000)</f>
        <v>0</v>
      </c>
      <c r="AB541" s="164">
        <f>T528*(AB534+T559/1000)</f>
        <v>0</v>
      </c>
      <c r="AC541" s="164">
        <f>U528*(AC534+U559/1000)</f>
        <v>0</v>
      </c>
      <c r="AD541" s="164">
        <f>V528*(AD534+V559/1000)</f>
        <v>0</v>
      </c>
      <c r="AE541" s="164"/>
      <c r="AF541" s="164"/>
      <c r="AG541" s="139"/>
      <c r="AH541" s="147">
        <f>IF(AH523=0,1000000000,AH540)</f>
        <v>1000000000</v>
      </c>
      <c r="AI541" s="147">
        <f>IF(AI523=0,1000000000,AI540)</f>
        <v>1000000000</v>
      </c>
      <c r="AJ541" s="147">
        <f>IF(AJ523=0,1000000000,AJ540)</f>
        <v>1000000000</v>
      </c>
      <c r="AK541" s="147">
        <f>IF(AK523=0,1000000000,AK540)</f>
        <v>1000000000</v>
      </c>
    </row>
    <row r="542" spans="10:38">
      <c r="J542" s="139" t="s">
        <v>1354</v>
      </c>
      <c r="K542" s="140">
        <f>K525/(1-K527^2*K526/K525)</f>
        <v>181.81113884441791</v>
      </c>
      <c r="L542" s="140">
        <f>L525/(1-L527^2*L526/L525)</f>
        <v>181.81113884441794</v>
      </c>
      <c r="M542" s="145">
        <f>L542/K542</f>
        <v>1.0000000000000002</v>
      </c>
      <c r="N542" s="139" t="s">
        <v>1168</v>
      </c>
      <c r="O542" s="145">
        <f>A173</f>
        <v>-0.5</v>
      </c>
      <c r="P542" s="145">
        <f>O542*I80</f>
        <v>-0.5</v>
      </c>
      <c r="Q542" s="140">
        <f t="shared" si="105"/>
        <v>1</v>
      </c>
      <c r="R542" s="139"/>
      <c r="T542" s="164"/>
      <c r="U542" s="140"/>
      <c r="V542" s="140"/>
      <c r="W542" s="138"/>
      <c r="X542" s="138"/>
      <c r="Z542" s="138" t="s">
        <v>686</v>
      </c>
      <c r="AA542" s="140">
        <f>($AF532*COS(AA525)^2+$AF533*SIN(AA525)^2)*S528</f>
        <v>0</v>
      </c>
      <c r="AB542" s="140">
        <f>($AF532*COS(AB525)^2+$AF533*SIN(AB525)^2)*T528</f>
        <v>0</v>
      </c>
      <c r="AC542" s="140">
        <f>($AF532*COS(AC525)^2+$AF533*SIN(AC525)^2)*U528</f>
        <v>0</v>
      </c>
      <c r="AD542" s="140">
        <f>($AF532*COS(AD525)^2+$AF533*SIN(AD525)^2)*V528</f>
        <v>0</v>
      </c>
      <c r="AE542" s="163">
        <f>SUM(AA542:AD542)</f>
        <v>0</v>
      </c>
      <c r="AF542" s="163"/>
      <c r="AG542" s="138" t="s">
        <v>1360</v>
      </c>
      <c r="AH542" s="147">
        <f>IF(AH523=0,0,AH540)</f>
        <v>0</v>
      </c>
      <c r="AI542" s="147">
        <f>IF(AI523=0,0,AI540)</f>
        <v>0</v>
      </c>
      <c r="AJ542" s="147">
        <f>IF(AJ523=0,0,AJ540)</f>
        <v>0</v>
      </c>
      <c r="AK542" s="147">
        <f>IF(AK523=0,0,AK540)</f>
        <v>0</v>
      </c>
    </row>
    <row r="543" spans="10:38">
      <c r="J543" s="139" t="s">
        <v>1361</v>
      </c>
      <c r="K543" s="140">
        <f>K542*K526/K525</f>
        <v>10.346158729820468</v>
      </c>
      <c r="L543" s="140">
        <f>L542*L526/L525</f>
        <v>10.346158729820468</v>
      </c>
      <c r="M543" s="145">
        <f>L543/K543</f>
        <v>1</v>
      </c>
      <c r="N543" s="139" t="s">
        <v>1175</v>
      </c>
      <c r="O543" s="144">
        <f>O537/K531</f>
        <v>2142.8571428571431</v>
      </c>
      <c r="P543" s="144">
        <f>H80*P526^G174</f>
        <v>2142.8571428571431</v>
      </c>
      <c r="Q543" s="140">
        <f t="shared" si="105"/>
        <v>1</v>
      </c>
      <c r="T543" s="147"/>
      <c r="U543" s="141"/>
      <c r="V543" s="141"/>
      <c r="W543" s="138"/>
      <c r="X543" s="138"/>
      <c r="Z543" s="138" t="s">
        <v>689</v>
      </c>
      <c r="AA543" s="140">
        <f>($AF532*SIN(AA525)^2+$AF533*COS(AA525)^2)*S528</f>
        <v>0</v>
      </c>
      <c r="AB543" s="140">
        <f>($AF532*SIN(AB525)^2+$AF533*COS(AB525)^2)*T528</f>
        <v>0</v>
      </c>
      <c r="AC543" s="140">
        <f>($AF532*SIN(AC525)^2+$AF533*COS(AC525)^2)*U528</f>
        <v>0</v>
      </c>
      <c r="AD543" s="140">
        <f>($AF532*SIN(AD525)^2+$AF533*COS(AD525)^2)*V528</f>
        <v>0</v>
      </c>
      <c r="AE543" s="163">
        <f>SUM(AA543:AD543)</f>
        <v>0</v>
      </c>
      <c r="AF543" s="163"/>
      <c r="AG543" s="139" t="s">
        <v>1364</v>
      </c>
      <c r="AH543" s="138">
        <f>(S558-P530*P527)/1000000-P533*P523</f>
        <v>3.7599999999999944E-4</v>
      </c>
      <c r="AI543" s="138">
        <f>(T558-P530*P527)/1000000-P533*P523</f>
        <v>3.7599999999999965E-4</v>
      </c>
      <c r="AJ543" s="157">
        <f>(U558-P530*P527)/1000000-P533*P523</f>
        <v>3.7599999999999944E-4</v>
      </c>
      <c r="AK543" s="157">
        <f>(V558-P530*P527)/1000000-P533*P523</f>
        <v>3.7599999999999965E-4</v>
      </c>
      <c r="AL543" s="163"/>
    </row>
    <row r="544" spans="10:38">
      <c r="J544" s="139" t="s">
        <v>1365</v>
      </c>
      <c r="K544" s="140">
        <f>K543*K527</f>
        <v>2.8969244443497315</v>
      </c>
      <c r="L544" s="140">
        <f>L543*L527</f>
        <v>2.8969244443497315</v>
      </c>
      <c r="M544" s="145">
        <f>L544/K544</f>
        <v>1</v>
      </c>
      <c r="N544" s="139" t="s">
        <v>1176</v>
      </c>
      <c r="O544" s="144">
        <f>O539</f>
        <v>40</v>
      </c>
      <c r="P544" s="144">
        <f>G80*P526^H173</f>
        <v>40</v>
      </c>
      <c r="Q544" s="140">
        <f t="shared" si="105"/>
        <v>1</v>
      </c>
      <c r="R544" s="137" t="s">
        <v>1185</v>
      </c>
      <c r="U544" s="141"/>
      <c r="W544" s="138"/>
      <c r="X544" s="138"/>
      <c r="AA544" s="140"/>
      <c r="AE544" s="163"/>
      <c r="AF544" s="163"/>
      <c r="AG544" s="139" t="s">
        <v>1367</v>
      </c>
      <c r="AH544" s="138">
        <f>(S559-P531*P527)/1000000-P534*P523</f>
        <v>-3.7600000000000047E-4</v>
      </c>
      <c r="AI544" s="138">
        <f>(T559-P531*P527)/1000000-P534*P523</f>
        <v>-3.7600000000000047E-4</v>
      </c>
      <c r="AJ544" s="157">
        <f>(U559-P531*P527)/1000000-P534*P523</f>
        <v>-3.7600000000000047E-4</v>
      </c>
      <c r="AK544" s="157">
        <f>(V559-P531*P527)/1000000-P534*P523</f>
        <v>-3.7600000000000047E-4</v>
      </c>
      <c r="AL544" s="163"/>
    </row>
    <row r="545" spans="10:38">
      <c r="J545" s="139" t="s">
        <v>1370</v>
      </c>
      <c r="K545" s="140">
        <f>K528</f>
        <v>7.17</v>
      </c>
      <c r="L545" s="140">
        <f>L528</f>
        <v>7.17</v>
      </c>
      <c r="M545" s="145">
        <f>L545/K545</f>
        <v>1</v>
      </c>
      <c r="R545" s="143" t="s">
        <v>695</v>
      </c>
      <c r="S545" s="147">
        <f>S528*COS(S526)</f>
        <v>0</v>
      </c>
      <c r="T545" s="147">
        <f>T528*COS(T526)</f>
        <v>0</v>
      </c>
      <c r="U545" s="147">
        <f>U528*COS(U526)</f>
        <v>0</v>
      </c>
      <c r="V545" s="147">
        <f>V528*COS(V526)</f>
        <v>0</v>
      </c>
      <c r="W545" s="147">
        <f>SUM(S545:V545)</f>
        <v>0</v>
      </c>
      <c r="X545" s="138"/>
      <c r="AF545" s="163"/>
      <c r="AG545" s="139" t="s">
        <v>1372</v>
      </c>
      <c r="AH545" s="138">
        <f>S573/1000000</f>
        <v>0</v>
      </c>
      <c r="AI545" s="138">
        <f>T573/1000000</f>
        <v>0</v>
      </c>
      <c r="AJ545" s="157">
        <f>U573/1000000</f>
        <v>0</v>
      </c>
      <c r="AK545" s="157">
        <f>V573/1000000</f>
        <v>0</v>
      </c>
      <c r="AL545" s="163"/>
    </row>
    <row r="546" spans="10:38">
      <c r="J546" s="138" t="s">
        <v>1510</v>
      </c>
      <c r="K546" s="140"/>
      <c r="L546" s="140"/>
      <c r="N546" s="138" t="s">
        <v>1375</v>
      </c>
      <c r="R546" s="139" t="s">
        <v>696</v>
      </c>
      <c r="S546" s="147">
        <f>S528*SIN(S526)</f>
        <v>0</v>
      </c>
      <c r="T546" s="147">
        <f>T528*SIN(T526)</f>
        <v>0</v>
      </c>
      <c r="U546" s="147">
        <f>U528*SIN(U526)</f>
        <v>0</v>
      </c>
      <c r="V546" s="147">
        <f>V528*SIN(V526)</f>
        <v>0</v>
      </c>
      <c r="W546" s="147">
        <f>SUM(S546:V546)</f>
        <v>0</v>
      </c>
      <c r="X546" s="138"/>
      <c r="AF546" s="163"/>
      <c r="AG546" s="163"/>
      <c r="AH546" s="163"/>
      <c r="AI546" s="163"/>
      <c r="AJ546" s="163"/>
      <c r="AK546" s="163"/>
      <c r="AL546" s="163"/>
    </row>
    <row r="547" spans="10:38">
      <c r="J547" s="139" t="s">
        <v>1380</v>
      </c>
      <c r="K547" s="140">
        <f>(3*K542+3*K543+2*K544+4*K545)/8</f>
        <v>76.368217701426829</v>
      </c>
      <c r="L547" s="140">
        <f>(3*L542+3*L543+2*L544+4*L545)/8</f>
        <v>76.368217701426843</v>
      </c>
      <c r="M547" s="145">
        <f>L547/K547</f>
        <v>1.0000000000000002</v>
      </c>
      <c r="N547" s="139" t="s">
        <v>1381</v>
      </c>
      <c r="O547" s="140">
        <f>1/O537/O538*1000000</f>
        <v>0.44444444444444442</v>
      </c>
      <c r="P547" s="140">
        <f>1/P537/P538*1000000</f>
        <v>0.44444444444444442</v>
      </c>
      <c r="Q547" s="140">
        <f>P547/O547</f>
        <v>1</v>
      </c>
      <c r="R547" s="139"/>
      <c r="S547" s="138" t="s">
        <v>698</v>
      </c>
      <c r="T547" s="137"/>
      <c r="U547" s="143" t="s">
        <v>700</v>
      </c>
      <c r="V547" s="137"/>
      <c r="W547" s="137" t="s">
        <v>702</v>
      </c>
      <c r="X547" s="138"/>
      <c r="Y547" s="137" t="s">
        <v>704</v>
      </c>
      <c r="Z547" s="137" t="s">
        <v>705</v>
      </c>
      <c r="AA547" s="138" t="s">
        <v>706</v>
      </c>
      <c r="AB547" s="139"/>
      <c r="AC547" s="139"/>
      <c r="AF547" s="138"/>
      <c r="AG547" s="159" t="s">
        <v>1383</v>
      </c>
      <c r="AH547" s="166">
        <f>P553*AH543^2+2*P555*AH543*AH544+P554*AH544^2+P556*AH545^2</f>
        <v>4.0749146542514705E-3</v>
      </c>
      <c r="AI547" s="163">
        <f>P553*AI543^2+2*P555*AI543*AI544+P554*AI544^2+P556*AI545^2</f>
        <v>4.0749146542514731E-3</v>
      </c>
      <c r="AJ547" s="163">
        <f>P553*AJ543^2+2*P555*AJ543*AJ544+P554*AJ544^2+P556*AJ545^2</f>
        <v>4.0749146542514705E-3</v>
      </c>
      <c r="AK547" s="163">
        <f>P553*AK543^2+2*P555*AK543*AK544+P554*AK544^2+P556*AK545^2</f>
        <v>4.0749146542514731E-3</v>
      </c>
      <c r="AL547" s="163"/>
    </row>
    <row r="548" spans="10:38">
      <c r="J548" s="139" t="s">
        <v>1384</v>
      </c>
      <c r="K548" s="140">
        <f>(K542-K543)/2</f>
        <v>85.732490057298719</v>
      </c>
      <c r="L548" s="140">
        <f>(L542-L543)/2</f>
        <v>85.732490057298733</v>
      </c>
      <c r="M548" s="145">
        <f>L548/K548</f>
        <v>1.0000000000000002</v>
      </c>
      <c r="N548" s="139" t="s">
        <v>1385</v>
      </c>
      <c r="O548" s="140">
        <f>1/O539/O540*1000000</f>
        <v>101.6260162601626</v>
      </c>
      <c r="P548" s="140">
        <f>1/P539/P540*1000000</f>
        <v>101.6260162601626</v>
      </c>
      <c r="Q548" s="140">
        <f>P548/O548</f>
        <v>1</v>
      </c>
      <c r="R548" s="139">
        <v>1</v>
      </c>
      <c r="S548" s="138">
        <f>(S552*W528+S553*W545)</f>
        <v>0</v>
      </c>
      <c r="T548" s="138"/>
      <c r="U548" s="138">
        <f>(T552*W528+T553*W545)</f>
        <v>0</v>
      </c>
      <c r="V548" s="147"/>
      <c r="W548" s="138">
        <f>S548*P527+U548*P523</f>
        <v>0</v>
      </c>
      <c r="X548" s="147"/>
      <c r="Y548" s="138">
        <f t="shared" ref="Y548:AA550" si="106">Y496</f>
        <v>11.259999999999984</v>
      </c>
      <c r="Z548" s="138">
        <f t="shared" si="106"/>
        <v>0.29999999999999954</v>
      </c>
      <c r="AA548" s="138">
        <f t="shared" si="106"/>
        <v>373.99999999999937</v>
      </c>
      <c r="AB548" s="147"/>
      <c r="AC548" s="147"/>
      <c r="AF548" s="138"/>
      <c r="AG548" s="159" t="s">
        <v>1387</v>
      </c>
      <c r="AH548" s="166">
        <f>P557*AH543+P558*AH544</f>
        <v>-5.8636980773925068E-2</v>
      </c>
      <c r="AI548" s="163">
        <f>P557*AI543+P558*AI544</f>
        <v>-5.8636980773925054E-2</v>
      </c>
      <c r="AJ548" s="163">
        <f>P557*AJ543+P558*AJ544</f>
        <v>-5.8636980773925068E-2</v>
      </c>
      <c r="AK548" s="163">
        <f>P557*AK543+P558*AK544</f>
        <v>-5.8636980773925054E-2</v>
      </c>
      <c r="AL548" s="163"/>
    </row>
    <row r="549" spans="10:38">
      <c r="J549" s="139" t="s">
        <v>1388</v>
      </c>
      <c r="K549" s="140">
        <f>(K542+K543-2*K544-4*K545)/8</f>
        <v>19.710431085692363</v>
      </c>
      <c r="L549" s="140">
        <f>(L542+L543-2*L544-4*L545)/8</f>
        <v>19.710431085692367</v>
      </c>
      <c r="M549" s="145">
        <f>L549/K549</f>
        <v>1.0000000000000002</v>
      </c>
      <c r="N549" s="139" t="s">
        <v>1389</v>
      </c>
      <c r="O549" s="140">
        <f>O542*(O547*O548)^0.5</f>
        <v>-3.3603243272729659</v>
      </c>
      <c r="P549" s="140">
        <f>P542*(P547*P548)^0.5</f>
        <v>-3.3603243272729659</v>
      </c>
      <c r="Q549" s="140">
        <f>P549/O549</f>
        <v>1</v>
      </c>
      <c r="R549" s="139">
        <v>2</v>
      </c>
      <c r="S549" s="138">
        <f>(S552*W528-S553*W545)</f>
        <v>0</v>
      </c>
      <c r="T549" s="138"/>
      <c r="U549" s="138">
        <f>(T552*W528-T553*W545)</f>
        <v>0</v>
      </c>
      <c r="V549" s="147"/>
      <c r="W549" s="138">
        <f>S549*P527+U549*P523</f>
        <v>0</v>
      </c>
      <c r="X549" s="147"/>
      <c r="Y549" s="138">
        <f t="shared" si="106"/>
        <v>11.259999999999993</v>
      </c>
      <c r="Z549" s="138">
        <f t="shared" si="106"/>
        <v>0.29999999999999977</v>
      </c>
      <c r="AA549" s="138">
        <f t="shared" si="106"/>
        <v>373.99999999999966</v>
      </c>
      <c r="AB549" s="147"/>
      <c r="AC549" s="147"/>
      <c r="AF549" s="138"/>
      <c r="AG549" s="159" t="s">
        <v>1390</v>
      </c>
      <c r="AH549" s="166">
        <f>AH547+AH548</f>
        <v>-5.4562066119673597E-2</v>
      </c>
      <c r="AI549" s="163">
        <f>AI547+AI548</f>
        <v>-5.4562066119673583E-2</v>
      </c>
      <c r="AJ549" s="163">
        <f>AJ547+AJ548</f>
        <v>-5.4562066119673597E-2</v>
      </c>
      <c r="AK549" s="163">
        <f>AK547+AK548</f>
        <v>-5.4562066119673583E-2</v>
      </c>
      <c r="AL549" s="163"/>
    </row>
    <row r="550" spans="10:38">
      <c r="J550" s="139" t="s">
        <v>1391</v>
      </c>
      <c r="K550" s="140">
        <f>(K542+K543+6*K544-4*K545)/8</f>
        <v>22.607355530042096</v>
      </c>
      <c r="L550" s="140">
        <f>(L542+L543+6*L544-4*L545)/8</f>
        <v>22.607355530042099</v>
      </c>
      <c r="M550" s="145">
        <f>L550/K550</f>
        <v>1.0000000000000002</v>
      </c>
      <c r="N550" s="139" t="s">
        <v>1392</v>
      </c>
      <c r="O550" s="140">
        <f>1/O541^2*1000000</f>
        <v>216.26297577854672</v>
      </c>
      <c r="P550" s="140">
        <f>1/P541^2*1000000</f>
        <v>216.26297577854672</v>
      </c>
      <c r="Q550" s="140">
        <f>P550/O550</f>
        <v>1</v>
      </c>
      <c r="R550" s="139">
        <v>6</v>
      </c>
      <c r="S550" s="139">
        <f>S553*W546</f>
        <v>0</v>
      </c>
      <c r="T550" s="138"/>
      <c r="U550" s="139">
        <f>T553*W546</f>
        <v>0</v>
      </c>
      <c r="V550" s="147"/>
      <c r="W550" s="138">
        <f>S550*P527+U550*P523</f>
        <v>0</v>
      </c>
      <c r="X550" s="147"/>
      <c r="Y550" s="138">
        <f t="shared" si="106"/>
        <v>-22.479999999999976</v>
      </c>
      <c r="Z550" s="138">
        <f t="shared" si="106"/>
        <v>-0.5999999999999992</v>
      </c>
      <c r="AA550" s="138">
        <f t="shared" si="106"/>
        <v>-397.02012514617672</v>
      </c>
      <c r="AB550" s="147"/>
      <c r="AC550" s="147"/>
      <c r="AF550" s="138"/>
      <c r="AG550" s="159" t="s">
        <v>1395</v>
      </c>
      <c r="AH550" s="166">
        <f>-1+AH549</f>
        <v>-1.0545620661196735</v>
      </c>
      <c r="AI550" s="163">
        <f>-1+AI549</f>
        <v>-1.0545620661196735</v>
      </c>
      <c r="AJ550" s="163">
        <f>-1+AJ549</f>
        <v>-1.0545620661196735</v>
      </c>
      <c r="AK550" s="163">
        <f>-1+AK549</f>
        <v>-1.0545620661196735</v>
      </c>
      <c r="AL550" s="163"/>
    </row>
    <row r="551" spans="10:38">
      <c r="J551" s="139" t="s">
        <v>1396</v>
      </c>
      <c r="K551" s="140">
        <f>(K547-K550)/2</f>
        <v>26.880431085692365</v>
      </c>
      <c r="L551" s="140">
        <f>(L547-L550)/2</f>
        <v>26.880431085692372</v>
      </c>
      <c r="M551" s="145">
        <f>L551/K551</f>
        <v>1.0000000000000002</v>
      </c>
      <c r="N551" s="139" t="s">
        <v>1397</v>
      </c>
      <c r="O551" s="140">
        <f>(1/O537-1/O538)*1000</f>
        <v>0</v>
      </c>
      <c r="P551" s="140">
        <f>(1/P537-1/P538)*1000</f>
        <v>0</v>
      </c>
      <c r="Q551" s="140">
        <f>IF(O551=0,1,P551/O551)</f>
        <v>1</v>
      </c>
      <c r="R551" s="143"/>
      <c r="S551" s="143" t="s">
        <v>709</v>
      </c>
      <c r="T551" s="143" t="s">
        <v>710</v>
      </c>
      <c r="U551" s="143"/>
      <c r="V551" s="141"/>
      <c r="W551" s="138"/>
      <c r="X551" s="139" t="s">
        <v>711</v>
      </c>
      <c r="Y551" s="138">
        <f>(Y548+Y549)/2</f>
        <v>11.259999999999987</v>
      </c>
      <c r="Z551" s="138">
        <f>(Z548+Z549)/2</f>
        <v>0.29999999999999966</v>
      </c>
      <c r="AA551" s="138">
        <f>(AA548+AA549)/2</f>
        <v>373.99999999999955</v>
      </c>
      <c r="AF551" s="138"/>
      <c r="AG551" s="159" t="s">
        <v>1399</v>
      </c>
      <c r="AH551" s="166">
        <f>2*(P553*AH527*AH543+P554*AH528*AH544+P555*(AH527*AH544+AH543*AH528)+P556*AH529*AH545)</f>
        <v>0</v>
      </c>
      <c r="AI551" s="163">
        <f>2*(P553*AI527*AI543+P554*AI528*AI544+P555*(AI527*AI544+AI543*AI528)+P556*AI529*AI545)</f>
        <v>0</v>
      </c>
      <c r="AJ551" s="163">
        <f>2*(P553*AJ527*AJ543+P554*AJ528*AJ544+P555*(AJ527*AJ544+AJ543*AJ528)+P556*AJ529*AJ545)</f>
        <v>0</v>
      </c>
      <c r="AK551" s="163">
        <f>2*(P553*AK527*AK543+P554*AK528*AK544+P555*(AK527*AK544+AK543*AK528)+P556*AK529*AK545)</f>
        <v>0</v>
      </c>
      <c r="AL551" s="163"/>
    </row>
    <row r="552" spans="10:38">
      <c r="J552" s="138" t="s">
        <v>1400</v>
      </c>
      <c r="N552" s="139" t="s">
        <v>1401</v>
      </c>
      <c r="O552" s="140">
        <f>(1/O539-1/O540)*1000</f>
        <v>20.934959349593495</v>
      </c>
      <c r="P552" s="140">
        <f>(1/P539-1/P540)*1000</f>
        <v>20.934959349593495</v>
      </c>
      <c r="Q552" s="140">
        <f t="shared" ref="Q552:Q558" si="107">P552/O552</f>
        <v>1</v>
      </c>
      <c r="R552" s="167" t="s">
        <v>711</v>
      </c>
      <c r="S552" s="138">
        <f>((K542+K544)*P530+(L544+L543)*P531)/2/1000000</f>
        <v>1.5083176634230242E-4</v>
      </c>
      <c r="T552" s="138">
        <f>((L542+L544)*P533+(L544+L543)*P534)/2</f>
        <v>3.9729249522510592</v>
      </c>
      <c r="U552" s="143"/>
      <c r="V552" s="141"/>
      <c r="W552" s="138"/>
      <c r="X552" s="143" t="s">
        <v>712</v>
      </c>
      <c r="Y552" s="164">
        <f>(Y548-Y549)/2</f>
        <v>-4.4408920985006262E-15</v>
      </c>
      <c r="Z552" s="164">
        <f>(Z548-Z549)/2</f>
        <v>-1.1102230246251565E-16</v>
      </c>
      <c r="AA552" s="164">
        <f>(AA548-AA549)/2</f>
        <v>-1.4210854715202004E-13</v>
      </c>
      <c r="AF552" s="138"/>
      <c r="AG552" s="159" t="s">
        <v>1403</v>
      </c>
      <c r="AH552" s="166">
        <f>AH551+AH535</f>
        <v>0</v>
      </c>
      <c r="AI552" s="163">
        <f>AI551+AI535</f>
        <v>0</v>
      </c>
      <c r="AJ552" s="163">
        <f>AJ551+AJ535</f>
        <v>0</v>
      </c>
      <c r="AK552" s="163">
        <f>AK551+AK535</f>
        <v>0</v>
      </c>
      <c r="AL552" s="163"/>
    </row>
    <row r="553" spans="10:38">
      <c r="J553" s="139" t="s">
        <v>1404</v>
      </c>
      <c r="K553" s="140">
        <f>(1-(K550/K547)^2)*K547</f>
        <v>69.675740916648124</v>
      </c>
      <c r="L553" s="140">
        <f>(1-(L550/L547)^2)*L547</f>
        <v>69.675740916648138</v>
      </c>
      <c r="M553" s="140">
        <f>L553/K553</f>
        <v>1.0000000000000002</v>
      </c>
      <c r="N553" s="139" t="s">
        <v>1405</v>
      </c>
      <c r="O553" s="144">
        <f>(O547*K542^2+2*O549*K542*K544+O548*K544^2)</f>
        <v>12004.38353147296</v>
      </c>
      <c r="P553" s="144">
        <f>(P547*L542^2+2*P549*L542*L544+P548*L544^2)</f>
        <v>12004.38353147296</v>
      </c>
      <c r="Q553" s="140">
        <f t="shared" si="107"/>
        <v>1</v>
      </c>
      <c r="R553" s="167" t="s">
        <v>712</v>
      </c>
      <c r="S553" s="138">
        <f>((L542-L544)*P530+(L544-L543)*P531)/2/1000000</f>
        <v>-8.2014743567545106E-5</v>
      </c>
      <c r="T553" s="138">
        <f>((L542-L544)*P533+(L544-L543)*P534)/2</f>
        <v>-2.234770285641221</v>
      </c>
      <c r="U553" s="143"/>
      <c r="V553" s="141"/>
      <c r="W553" s="138"/>
      <c r="X553" s="143" t="s">
        <v>714</v>
      </c>
      <c r="Y553" s="164">
        <f>Y550/2</f>
        <v>-11.239999999999988</v>
      </c>
      <c r="Z553" s="164">
        <f>Z550/2</f>
        <v>-0.2999999999999996</v>
      </c>
      <c r="AA553" s="164">
        <f>AA550/2</f>
        <v>-198.51006257308836</v>
      </c>
      <c r="AG553" s="159" t="s">
        <v>1412</v>
      </c>
      <c r="AH553" s="166" t="e">
        <f>AH552/2/AH534</f>
        <v>#DIV/0!</v>
      </c>
      <c r="AI553" s="163" t="e">
        <f>AI552/2/AI534</f>
        <v>#DIV/0!</v>
      </c>
      <c r="AJ553" s="163" t="e">
        <f>AJ552/2/AJ534</f>
        <v>#DIV/0!</v>
      </c>
      <c r="AK553" s="163" t="e">
        <f>AK552/2/AK534</f>
        <v>#DIV/0!</v>
      </c>
      <c r="AL553" s="163"/>
    </row>
    <row r="554" spans="10:38">
      <c r="J554" s="139" t="s">
        <v>1414</v>
      </c>
      <c r="K554" s="140">
        <f>K550/K547</f>
        <v>0.29603094337527941</v>
      </c>
      <c r="L554" s="140">
        <f>L550/L547</f>
        <v>0.29603094337527941</v>
      </c>
      <c r="M554" s="140">
        <f>L554/K554</f>
        <v>1</v>
      </c>
      <c r="N554" s="139" t="s">
        <v>1415</v>
      </c>
      <c r="O554" s="144">
        <f>(O547*K544^2+2*O549*K544*K543+O548*K543^2)</f>
        <v>10680.652008265077</v>
      </c>
      <c r="P554" s="144">
        <f>(P547*L544^2+2*P549*L544*L543+P548*L543^2)</f>
        <v>10680.652008265077</v>
      </c>
      <c r="Q554" s="140">
        <f t="shared" si="107"/>
        <v>1</v>
      </c>
      <c r="R554" s="139" t="s">
        <v>715</v>
      </c>
      <c r="S554" s="138">
        <f>Y551+Y552*COS(S526)+Y553*SIN(S526)</f>
        <v>11.259999999999984</v>
      </c>
      <c r="T554" s="138">
        <f>Y551+Y552*COS(T526)+Y553*SIN(T526)</f>
        <v>11.259999999999989</v>
      </c>
      <c r="U554" s="138">
        <f>Y551+Y552*COS(U526)+Y553*SIN(U526)</f>
        <v>11.259999999999984</v>
      </c>
      <c r="V554" s="138">
        <f>Y551+Y552*COS(V526)+Y553*SIN(V526)</f>
        <v>11.259999999999989</v>
      </c>
      <c r="W554" s="138"/>
      <c r="Y554" s="164"/>
      <c r="AC554" s="140"/>
      <c r="AG554" s="159"/>
      <c r="AH554" s="147"/>
      <c r="AI554" s="163"/>
      <c r="AJ554" s="163"/>
      <c r="AK554" s="163"/>
      <c r="AL554" s="163"/>
    </row>
    <row r="555" spans="10:38">
      <c r="J555" s="139" t="s">
        <v>716</v>
      </c>
      <c r="K555" s="138">
        <f>(1-L527^2*L526/L525)*L526/(1-L527^2*L526/L525-L540^2-L527^2*L526/L525-2*L527^2*L526/L525*L540)</f>
        <v>13.920484365408951</v>
      </c>
      <c r="N555" s="139" t="s">
        <v>1416</v>
      </c>
      <c r="O555" s="144">
        <f>(O547*K542*K544+O549*(K542*K543+K544^2)+O548*K544*K543)</f>
        <v>-3069.103206291968</v>
      </c>
      <c r="P555" s="144">
        <f>(P547*L542*L544+P549*(L542*L543+L544^2)+P548*L544*L543)</f>
        <v>-3069.1032062919689</v>
      </c>
      <c r="Q555" s="140">
        <f t="shared" si="107"/>
        <v>1.0000000000000002</v>
      </c>
      <c r="R555" s="139" t="s">
        <v>717</v>
      </c>
      <c r="S555" s="138">
        <f>2*Y551-S554</f>
        <v>11.259999999999991</v>
      </c>
      <c r="T555" s="138">
        <f>2*Y551-T554</f>
        <v>11.259999999999986</v>
      </c>
      <c r="U555" s="138">
        <f>2*Y551-U554</f>
        <v>11.259999999999991</v>
      </c>
      <c r="V555" s="138">
        <f>2*Y551-V554</f>
        <v>11.259999999999986</v>
      </c>
      <c r="W555" s="138"/>
      <c r="Y555" s="164"/>
      <c r="AC555" s="140"/>
      <c r="AG555" s="159"/>
      <c r="AH555" s="147"/>
      <c r="AI555" s="163"/>
      <c r="AJ555" s="163"/>
      <c r="AK555" s="163"/>
      <c r="AL555" s="163"/>
    </row>
    <row r="556" spans="10:38">
      <c r="J556" s="139" t="s">
        <v>1193</v>
      </c>
      <c r="K556" s="140">
        <f>D173</f>
        <v>1.6</v>
      </c>
      <c r="L556" s="140">
        <f>L557*(1-L531)+L558*L531</f>
        <v>1.6</v>
      </c>
      <c r="M556" s="140">
        <f>L556/K556</f>
        <v>1</v>
      </c>
      <c r="N556" s="139" t="s">
        <v>1418</v>
      </c>
      <c r="O556" s="144">
        <f>O550*K545^2</f>
        <v>11117.841695501729</v>
      </c>
      <c r="P556" s="144">
        <f>P550*L545^2</f>
        <v>11117.841695501729</v>
      </c>
      <c r="Q556" s="140">
        <f t="shared" si="107"/>
        <v>1</v>
      </c>
      <c r="R556" s="139" t="s">
        <v>124</v>
      </c>
      <c r="S556" s="138">
        <f>Z551+Z552*COS(S526)+Z553*SIN(S526)</f>
        <v>0.29999999999999954</v>
      </c>
      <c r="T556" s="138">
        <f>Z551+Z552*COS(T526)+Z553*SIN(T526)</f>
        <v>0.29999999999999971</v>
      </c>
      <c r="U556" s="138">
        <f>Z551+Z552*COS(U526)+Z553*SIN(U526)</f>
        <v>0.29999999999999954</v>
      </c>
      <c r="V556" s="138">
        <f>Z551+Z552*COS(V526)+Z553*SIN(V526)</f>
        <v>0.29999999999999971</v>
      </c>
      <c r="W556" s="138"/>
      <c r="Y556" s="164"/>
      <c r="AC556" s="140"/>
      <c r="AG556" s="159"/>
      <c r="AH556" s="147"/>
      <c r="AI556" s="163"/>
      <c r="AJ556" s="163"/>
      <c r="AK556" s="163"/>
      <c r="AL556" s="159" t="s">
        <v>1421</v>
      </c>
    </row>
    <row r="557" spans="10:38">
      <c r="J557" s="139" t="s">
        <v>274</v>
      </c>
      <c r="K557" s="140">
        <f>F172</f>
        <v>1.2</v>
      </c>
      <c r="L557" s="140">
        <f>K557</f>
        <v>1.2</v>
      </c>
      <c r="M557" s="140">
        <f>L557/K557</f>
        <v>1</v>
      </c>
      <c r="N557" s="139" t="s">
        <v>1422</v>
      </c>
      <c r="O557" s="144">
        <f>(O551*K542+O552*K544)</f>
        <v>60.646995481305353</v>
      </c>
      <c r="P557" s="144">
        <f>(P551*L542+P552*L544)</f>
        <v>60.646995481305353</v>
      </c>
      <c r="Q557" s="140">
        <f t="shared" si="107"/>
        <v>1</v>
      </c>
      <c r="R557" s="167" t="s">
        <v>125</v>
      </c>
      <c r="S557" s="138">
        <f>2*Z551-S556</f>
        <v>0.29999999999999977</v>
      </c>
      <c r="T557" s="138">
        <f>2*Z551-T556</f>
        <v>0.2999999999999996</v>
      </c>
      <c r="U557" s="138">
        <f>2*Z551-U556</f>
        <v>0.29999999999999977</v>
      </c>
      <c r="V557" s="138">
        <f>2*Z551-V556</f>
        <v>0.2999999999999996</v>
      </c>
      <c r="W557" s="138"/>
      <c r="Y557" s="164"/>
      <c r="Z557" s="164"/>
      <c r="AA557" s="147"/>
      <c r="AB557" s="147"/>
      <c r="AC557" s="147"/>
      <c r="AD557" s="147"/>
      <c r="AG557" s="139" t="s">
        <v>1424</v>
      </c>
      <c r="AH557" s="147" t="e">
        <f>(AH553^2-AH550/AH534)^0.5-AH553</f>
        <v>#DIV/0!</v>
      </c>
      <c r="AI557" s="147" t="e">
        <f>(AI553^2-AI550/AI534)^0.5-AI553</f>
        <v>#DIV/0!</v>
      </c>
      <c r="AJ557" s="147" t="e">
        <f>(AJ553^2-AJ550/AJ534)^0.5-AJ553</f>
        <v>#DIV/0!</v>
      </c>
      <c r="AK557" s="147" t="e">
        <f>(AK553^2-AK550/AK534)^0.5-AK553</f>
        <v>#DIV/0!</v>
      </c>
      <c r="AL557" s="147">
        <f>MIN(AH558:AK558)</f>
        <v>1000000000</v>
      </c>
    </row>
    <row r="558" spans="10:38">
      <c r="J558" s="139" t="s">
        <v>1195</v>
      </c>
      <c r="K558" s="140">
        <f>(K556-K557*(1-K531))/K531</f>
        <v>1.7714285714285716</v>
      </c>
      <c r="L558" s="140">
        <f>K558</f>
        <v>1.7714285714285716</v>
      </c>
      <c r="M558" s="140">
        <f>L558/K558</f>
        <v>1</v>
      </c>
      <c r="N558" s="139" t="s">
        <v>1426</v>
      </c>
      <c r="O558" s="144">
        <f>(O551*K544+O552*K543)</f>
        <v>216.59641243323335</v>
      </c>
      <c r="P558" s="144">
        <f>(P551*L544+P552*L543)</f>
        <v>216.59641243323335</v>
      </c>
      <c r="Q558" s="140">
        <f t="shared" si="107"/>
        <v>1</v>
      </c>
      <c r="R558" s="139" t="s">
        <v>126</v>
      </c>
      <c r="S558" s="138">
        <f>AA551+AA552*COS(S526)+AA553*SIN(S526)</f>
        <v>373.99999999999943</v>
      </c>
      <c r="T558" s="138">
        <f>AA551+AA552*COS(T526)+AA553*SIN(T526)</f>
        <v>373.99999999999966</v>
      </c>
      <c r="U558" s="138">
        <f>AA551+AA552*COS(U526)+AA553*SIN(U526)</f>
        <v>373.99999999999943</v>
      </c>
      <c r="V558" s="138">
        <f>AA551+AA552*COS(V526)+AA553*SIN(V526)</f>
        <v>373.99999999999966</v>
      </c>
      <c r="W558" s="138"/>
      <c r="Y558" s="164"/>
      <c r="Z558" s="164"/>
      <c r="AA558" s="147"/>
      <c r="AB558" s="147"/>
      <c r="AC558" s="147"/>
      <c r="AD558" s="147"/>
      <c r="AG558" s="139" t="s">
        <v>194</v>
      </c>
      <c r="AH558" s="147">
        <f>IF(AH523=0,1000000000,AH557)</f>
        <v>1000000000</v>
      </c>
      <c r="AI558" s="147">
        <f>IF(AI523=0,1000000000,AI557)</f>
        <v>1000000000</v>
      </c>
      <c r="AJ558" s="147">
        <f>IF(AJ523=0,1000000000,AJ557)</f>
        <v>1000000000</v>
      </c>
      <c r="AK558" s="147">
        <f>IF(AK523=0,1000000000,AK557)</f>
        <v>1000000000</v>
      </c>
    </row>
    <row r="559" spans="10:38">
      <c r="L559" s="138" t="s">
        <v>234</v>
      </c>
      <c r="R559" s="139" t="s">
        <v>127</v>
      </c>
      <c r="S559" s="138">
        <f>2*AA551-S558</f>
        <v>373.99999999999966</v>
      </c>
      <c r="T559" s="138">
        <f>2*AA551-T558</f>
        <v>373.99999999999943</v>
      </c>
      <c r="U559" s="138">
        <f>2*AA551-U558</f>
        <v>373.99999999999966</v>
      </c>
      <c r="V559" s="138">
        <f>2*AA551-V558</f>
        <v>373.99999999999943</v>
      </c>
      <c r="W559" s="138"/>
      <c r="Y559" s="164"/>
      <c r="Z559" s="164" t="s">
        <v>129</v>
      </c>
      <c r="AA559" s="147"/>
      <c r="AB559" s="147"/>
      <c r="AC559" s="147"/>
      <c r="AD559" s="147"/>
      <c r="AG559" s="139" t="s">
        <v>194</v>
      </c>
      <c r="AH559" s="147">
        <f>IF(AH523=0,0,AH557)</f>
        <v>0</v>
      </c>
      <c r="AI559" s="147">
        <f>IF(AI523=0,0,AI557)</f>
        <v>0</v>
      </c>
      <c r="AJ559" s="147">
        <f>IF(AJ523=0,0,AJ557)</f>
        <v>0</v>
      </c>
      <c r="AK559" s="147">
        <f>IF(AK523=0,0,AK557)</f>
        <v>0</v>
      </c>
    </row>
    <row r="560" spans="10:38">
      <c r="J560" s="139" t="s">
        <v>134</v>
      </c>
      <c r="K560" s="138">
        <f>(1-L540^2)*O561*L525</f>
        <v>184.28877056365894</v>
      </c>
      <c r="L560" s="139" t="s">
        <v>135</v>
      </c>
      <c r="M560" s="138">
        <f>L527*(1+L540)*O561*L526</f>
        <v>5.8728045779623468</v>
      </c>
      <c r="R560" s="139" t="s">
        <v>136</v>
      </c>
      <c r="S560" s="138">
        <f>4*COS(S526/2)^2*SIN(S526/2)^2*$K565+COS(S526/2)^4*$K560+SIN(S526/2)^4*$K561+2*COS(S526/2)^2*SIN(S526/2)^2*$M560</f>
        <v>184.28877056365894</v>
      </c>
      <c r="T560" s="138">
        <f>4*COS(T526/2)^2*SIN(T526/2)^2*$K565+COS(T526/2)^4*$K560+SIN(T526/2)^4*$K561+2*COS(T526/2)^2*SIN(T526/2)^2*$M560</f>
        <v>13.920484365408953</v>
      </c>
      <c r="U560" s="138">
        <f>4*COS(U526/2)^2*SIN(U526/2)^2*$K565+COS(U526/2)^4*$K560+SIN(U526/2)^4*$K561+2*COS(U526/2)^2*SIN(U526/2)^2*$M560</f>
        <v>184.28877056365894</v>
      </c>
      <c r="V560" s="138">
        <f>4*COS(V526/2)^2*SIN(V526/2)^2*$K565+COS(V526/2)^4*$K560+SIN(V526/2)^4*$K561+2*COS(V526/2)^2*SIN(V526/2)^2*$M560</f>
        <v>13.920484365408953</v>
      </c>
      <c r="W560" s="138" t="s">
        <v>137</v>
      </c>
      <c r="X560" s="147">
        <f>S528/S562+T528/T562+U528/U562+V528/V562</f>
        <v>0</v>
      </c>
      <c r="Y560" s="147">
        <f>S528*S560+T528*T560+U528*U560+V528*V560</f>
        <v>0</v>
      </c>
      <c r="Z560" s="164"/>
      <c r="AA560" s="147"/>
      <c r="AB560" s="147"/>
      <c r="AC560" s="147"/>
      <c r="AD560" s="147"/>
      <c r="AG560" s="139"/>
      <c r="AH560" s="147"/>
      <c r="AI560" s="147"/>
      <c r="AJ560" s="147"/>
      <c r="AK560" s="147"/>
    </row>
    <row r="561" spans="10:38">
      <c r="J561" s="139" t="s">
        <v>138</v>
      </c>
      <c r="K561" s="138">
        <f>(1-L527^2*L526/L525)*O561*L526</f>
        <v>13.920484365408953</v>
      </c>
      <c r="L561" s="139" t="s">
        <v>139</v>
      </c>
      <c r="M561" s="138">
        <f>M560</f>
        <v>5.8728045779623468</v>
      </c>
      <c r="N561" s="139" t="s">
        <v>140</v>
      </c>
      <c r="O561" s="138">
        <f>1/((1+L540)*(1-L540-2*L527^2*L526/L525))</f>
        <v>1.3575600041521836</v>
      </c>
      <c r="R561" s="139" t="s">
        <v>141</v>
      </c>
      <c r="S561" s="138">
        <f>4*COS(S526/2)^2*SIN(S526/2)^2*$K565+SIN(S526/2)^4*$K560+COS(S526/2)^4*$K561+2*COS(S526/2)^2*SIN(S526/2)^2*$M560</f>
        <v>13.920484365408953</v>
      </c>
      <c r="T561" s="138">
        <f>4*COS(T526/2)^2*SIN(T526/2)^2*$K565+SIN(T526/2)^4*$K560+COS(T526/2)^4*$K561+2*COS(T526/2)^2*SIN(T526/2)^2*$M560</f>
        <v>184.28877056365894</v>
      </c>
      <c r="U561" s="138">
        <f>4*COS(U526/2)^2*SIN(U526/2)^2*$K565+SIN(U526/2)^4*$K560+COS(U526/2)^4*$K561+2*COS(U526/2)^2*SIN(U526/2)^2*$M560</f>
        <v>13.920484365408953</v>
      </c>
      <c r="V561" s="138">
        <f>4*COS(V526/2)^2*SIN(V526/2)^2*$K565+SIN(V526/2)^4*$K560+COS(V526/2)^4*$K561+2*COS(V526/2)^2*SIN(V526/2)^2*$M560</f>
        <v>184.28877056365894</v>
      </c>
      <c r="W561" s="138" t="s">
        <v>142</v>
      </c>
      <c r="X561" s="141">
        <f>S528*S567/S562+T528*T567/T562+U528*U567/U562+V528*V567/V562</f>
        <v>0</v>
      </c>
      <c r="Y561" s="147">
        <f>S528*S561+T528*T561+U528*U561+V528*V561</f>
        <v>0</v>
      </c>
      <c r="Z561" s="164"/>
      <c r="AA561" s="147"/>
      <c r="AB561" s="147"/>
      <c r="AC561" s="147"/>
      <c r="AD561" s="147"/>
      <c r="AG561" s="139"/>
      <c r="AH561" s="147"/>
      <c r="AI561" s="147"/>
      <c r="AJ561" s="147"/>
      <c r="AK561" s="147"/>
    </row>
    <row r="562" spans="10:38">
      <c r="J562" s="139" t="s">
        <v>146</v>
      </c>
      <c r="K562" s="138">
        <f>K561</f>
        <v>13.920484365408953</v>
      </c>
      <c r="L562" s="139" t="s">
        <v>147</v>
      </c>
      <c r="M562" s="138">
        <f>(L540+L527^2*L526/L525)*O561*L526</f>
        <v>7.053817698742284</v>
      </c>
      <c r="R562" s="139" t="s">
        <v>716</v>
      </c>
      <c r="S562" s="138">
        <f>$K562</f>
        <v>13.920484365408953</v>
      </c>
      <c r="T562" s="138">
        <f>$K562</f>
        <v>13.920484365408953</v>
      </c>
      <c r="U562" s="138">
        <f>$K562</f>
        <v>13.920484365408953</v>
      </c>
      <c r="V562" s="138">
        <f>$K562</f>
        <v>13.920484365408953</v>
      </c>
      <c r="W562" s="138" t="s">
        <v>148</v>
      </c>
      <c r="X562" s="141">
        <f>S528*S568/S562+T528*T568/T562+U528*U568/U562+V528*V568/V562</f>
        <v>0</v>
      </c>
      <c r="Y562" s="164"/>
      <c r="Z562" s="164"/>
      <c r="AA562" s="147"/>
      <c r="AB562" s="147"/>
      <c r="AC562" s="147"/>
      <c r="AD562" s="147"/>
      <c r="AG562" s="139"/>
      <c r="AH562" s="147"/>
      <c r="AI562" s="147"/>
      <c r="AJ562" s="147"/>
      <c r="AK562" s="147"/>
    </row>
    <row r="563" spans="10:38">
      <c r="J563" s="139" t="s">
        <v>152</v>
      </c>
      <c r="K563" s="138">
        <f>(1-L540-2*L527^2*L526/L525)*O561*L526/2</f>
        <v>3.433333333333334</v>
      </c>
      <c r="R563" s="139" t="s">
        <v>153</v>
      </c>
      <c r="S563" s="138">
        <f>COS(S526/2)^2*$K563+SIN(S526/2)^2*$K564</f>
        <v>3.433333333333334</v>
      </c>
      <c r="T563" s="138">
        <f>COS(T526/2)^2*$K563+SIN(T526/2)^2*$K564</f>
        <v>7.17</v>
      </c>
      <c r="U563" s="138">
        <f>COS(U526/2)^2*$K563+SIN(U526/2)^2*$K564</f>
        <v>3.433333333333334</v>
      </c>
      <c r="V563" s="138">
        <f>COS(V526/2)^2*$K563+SIN(V526/2)^2*$K564</f>
        <v>7.17</v>
      </c>
      <c r="W563" s="138" t="s">
        <v>154</v>
      </c>
      <c r="X563" s="141">
        <f>S528*S572/S562+T528*T572/T562+U528*U572/U562+V528*V572/V562</f>
        <v>0</v>
      </c>
      <c r="Y563" s="164"/>
      <c r="Z563" s="164">
        <f>S528*S563/(S563*S564-S569^2)+T528*T563/(T563*T564-T569^2)+U528*U563/(U563*U564-U569^2)+V528*V563/(V563*V564-V569^2)</f>
        <v>0</v>
      </c>
      <c r="AA563" s="147"/>
      <c r="AB563" s="147"/>
      <c r="AC563" s="147"/>
      <c r="AD563" s="147"/>
      <c r="AG563" s="139"/>
      <c r="AH563" s="147"/>
      <c r="AI563" s="147"/>
      <c r="AJ563" s="147"/>
      <c r="AK563" s="147"/>
    </row>
    <row r="564" spans="10:38">
      <c r="J564" s="139" t="s">
        <v>769</v>
      </c>
      <c r="K564" s="140">
        <f>L528</f>
        <v>7.17</v>
      </c>
      <c r="R564" s="139" t="s">
        <v>770</v>
      </c>
      <c r="S564" s="138">
        <f>SIN(S526/2)^2*$K563+COS(S526/2)^2*$K564</f>
        <v>7.17</v>
      </c>
      <c r="T564" s="138">
        <f>SIN(T526/2)^2*$K563+COS(T526/2)^2*$K564</f>
        <v>3.433333333333334</v>
      </c>
      <c r="U564" s="138">
        <f>SIN(U526/2)^2*$K563+COS(U526/2)^2*$K564</f>
        <v>7.17</v>
      </c>
      <c r="V564" s="138">
        <f>SIN(V526/2)^2*$K563+COS(V526/2)^2*$K564</f>
        <v>3.433333333333334</v>
      </c>
      <c r="W564" s="138" t="s">
        <v>771</v>
      </c>
      <c r="X564" s="141">
        <f>S528*S567^2/S562+T528*T567^2/T562+U528*U567^2/U562+V528*V567^2/V562</f>
        <v>0</v>
      </c>
      <c r="Y564" s="164"/>
      <c r="Z564" s="164">
        <f>S528*S564/(S563*S564-S569^2)+T528*T564/(T563*T564-T569^2)+U528*U564/(U563*U564-U569^2)+V528*V564/(V563*V564-V569^2)</f>
        <v>0</v>
      </c>
      <c r="AA564" s="147"/>
      <c r="AB564" s="147"/>
      <c r="AC564" s="147"/>
      <c r="AD564" s="147"/>
      <c r="AG564" s="139"/>
      <c r="AH564" s="147"/>
      <c r="AI564" s="147"/>
      <c r="AJ564" s="147"/>
      <c r="AK564" s="147"/>
    </row>
    <row r="565" spans="10:38">
      <c r="J565" s="139" t="s">
        <v>773</v>
      </c>
      <c r="K565" s="140">
        <f>K564</f>
        <v>7.17</v>
      </c>
      <c r="P565" s="185"/>
      <c r="Q565" s="185"/>
      <c r="R565" s="186" t="s">
        <v>774</v>
      </c>
      <c r="S565" s="185">
        <f>(COS(S526/2)^2-SIN(S526/2)^2)^2*$K565+COS(S526/2)^2*SIN(S526/2)^2*($K560+$K561-2*$M560)</f>
        <v>7.17</v>
      </c>
      <c r="T565" s="185">
        <f>(COS(T526/2)^2-SIN(T526/2)^2)^2*$K565+COS(T526/2)^2*SIN(T526/2)^2*($K560+$K561-2*$M560)</f>
        <v>7.17</v>
      </c>
      <c r="U565" s="185">
        <f>(COS(U526/2)^2-SIN(U526/2)^2)^2*$K565+COS(U526/2)^2*SIN(U526/2)^2*($K560+$K561-2*$M560)</f>
        <v>7.17</v>
      </c>
      <c r="V565" s="185">
        <f>(COS(V526/2)^2-SIN(V526/2)^2)^2*$K565+COS(V526/2)^2*SIN(V526/2)^2*($K560+$K561-2*$M560)</f>
        <v>7.17</v>
      </c>
      <c r="W565" s="185" t="s">
        <v>775</v>
      </c>
      <c r="X565" s="187">
        <f>S528*S568^2/S562+T528*T568^2/T562+U528*U568^2/U562+V528*V568^2/V562</f>
        <v>0</v>
      </c>
      <c r="Y565" s="147">
        <f>S528*S565+T528*T565+U528*U565+V528*V565</f>
        <v>0</v>
      </c>
      <c r="Z565" s="188"/>
      <c r="AA565" s="190"/>
      <c r="AB565" s="190"/>
      <c r="AC565" s="190"/>
      <c r="AD565" s="190"/>
      <c r="AE565" s="185"/>
      <c r="AF565" s="187"/>
      <c r="AG565" s="186"/>
      <c r="AH565" s="190"/>
      <c r="AI565" s="190"/>
      <c r="AJ565" s="190"/>
      <c r="AK565" s="190"/>
      <c r="AL565" s="185"/>
    </row>
    <row r="566" spans="10:38">
      <c r="J566" s="185"/>
      <c r="K566" s="185"/>
      <c r="L566" s="185"/>
      <c r="M566" s="185"/>
      <c r="N566" s="185"/>
      <c r="O566" s="185"/>
      <c r="R566" s="139" t="s">
        <v>145</v>
      </c>
      <c r="S566" s="138">
        <f>-4*COS(S526/2)^2*SIN(S526/2)^2*$K565+COS(S526/2)^2*SIN(S526/2)^2*($K560+$K561)+(COS(S526/2)^4+SIN(S526/2)^4)*$M560</f>
        <v>5.8728045779623468</v>
      </c>
      <c r="T566" s="138">
        <f>-4*COS(T526/2)^2*SIN(T526/2)^2*$K565+COS(T526/2)^2*SIN(T526/2)^2*($K560+$K561)+(COS(T526/2)^4+SIN(T526/2)^4)*$M560</f>
        <v>5.8728045779623468</v>
      </c>
      <c r="U566" s="138">
        <f>-4*COS(U526/2)^2*SIN(U526/2)^2*$K565+COS(U526/2)^2*SIN(U526/2)^2*($K560+$K561)+(COS(U526/2)^4+SIN(U526/2)^4)*$M560</f>
        <v>5.8728045779623468</v>
      </c>
      <c r="V566" s="138">
        <f>-4*COS(V526/2)^2*SIN(V526/2)^2*$K565+COS(V526/2)^2*SIN(V526/2)^2*($K560+$K561)+(COS(V526/2)^4+SIN(V526/2)^4)*$M560</f>
        <v>5.8728045779623468</v>
      </c>
      <c r="W566" s="138" t="s">
        <v>778</v>
      </c>
      <c r="X566" s="141">
        <f>S528*S567*S568/S562+T528*T567*T568/T562+U528*U567*U568/U562+V528*V567*V568/V562</f>
        <v>0</v>
      </c>
      <c r="Y566" s="147">
        <f>S528*S566+T528*T566+U528*U566+V528*V566</f>
        <v>0</v>
      </c>
      <c r="Z566" s="164"/>
      <c r="AA566" s="147"/>
      <c r="AB566" s="147"/>
      <c r="AC566" s="147"/>
      <c r="AD566" s="147"/>
      <c r="AG566" s="139"/>
      <c r="AH566" s="147"/>
      <c r="AI566" s="147"/>
      <c r="AJ566" s="147"/>
      <c r="AK566" s="147"/>
    </row>
    <row r="567" spans="10:38">
      <c r="R567" s="139" t="s">
        <v>151</v>
      </c>
      <c r="S567" s="138">
        <f>COS(S526/2)^2*$M561+SIN(S526/2)^2*$M562</f>
        <v>5.8728045779623468</v>
      </c>
      <c r="T567" s="138">
        <f>COS(T526/2)^2*$M561+SIN(T526/2)^2*$M562</f>
        <v>7.053817698742284</v>
      </c>
      <c r="U567" s="138">
        <f>COS(U526/2)^2*$M561+SIN(U526/2)^2*$M562</f>
        <v>5.8728045779623468</v>
      </c>
      <c r="V567" s="138">
        <f>COS(V526/2)^2*$M561+SIN(V526/2)^2*$M562</f>
        <v>7.053817698742284</v>
      </c>
      <c r="W567" s="138" t="s">
        <v>782</v>
      </c>
      <c r="X567" s="141">
        <f>S528*S572*S567/S562+T528*T572*T567/T562+U528*U572*U567/U562+V528*V572*V567/V562</f>
        <v>0</v>
      </c>
      <c r="Y567" s="147"/>
      <c r="Z567" s="164"/>
      <c r="AA567" s="147"/>
      <c r="AB567" s="147"/>
      <c r="AC567" s="147"/>
      <c r="AD567" s="147"/>
      <c r="AG567" s="139"/>
      <c r="AH567" s="147"/>
      <c r="AI567" s="147"/>
      <c r="AJ567" s="147"/>
      <c r="AK567" s="147"/>
    </row>
    <row r="568" spans="10:38">
      <c r="R568" s="139" t="s">
        <v>768</v>
      </c>
      <c r="S568" s="138">
        <f>SIN(S526/2)^2*$M561+COS(S526/2)^2*$M562</f>
        <v>7.053817698742284</v>
      </c>
      <c r="T568" s="138">
        <f>SIN(T526/2)^2*$M561+COS(T526/2)^2*$M562</f>
        <v>5.8728045779623468</v>
      </c>
      <c r="U568" s="138">
        <f>SIN(U526/2)^2*$M561+COS(U526/2)^2*$M562</f>
        <v>7.053817698742284</v>
      </c>
      <c r="V568" s="138">
        <f>SIN(V526/2)^2*$M561+COS(V526/2)^2*$M562</f>
        <v>5.8728045779623468</v>
      </c>
      <c r="W568" s="138" t="s">
        <v>785</v>
      </c>
      <c r="X568" s="141">
        <f>S528*S572*S568/S562+T528*T572*T568/T562+U528*U572*U568/U562+V528*V572*V568/V562</f>
        <v>0</v>
      </c>
      <c r="Y568" s="164"/>
      <c r="Z568" s="164"/>
      <c r="AA568" s="147"/>
      <c r="AB568" s="147"/>
      <c r="AC568" s="147"/>
      <c r="AD568" s="147"/>
      <c r="AG568" s="139"/>
      <c r="AH568" s="147"/>
      <c r="AI568" s="147"/>
      <c r="AJ568" s="147"/>
      <c r="AK568" s="147"/>
    </row>
    <row r="569" spans="10:38">
      <c r="R569" s="139" t="s">
        <v>660</v>
      </c>
      <c r="S569" s="138">
        <f>COS(S526/2)*SIN(S526/2)*(-$K563+$K564)</f>
        <v>0</v>
      </c>
      <c r="T569" s="138">
        <f>COS(T526/2)*SIN(T526/2)*(-$K563+$K564)</f>
        <v>2.2889856965876046E-16</v>
      </c>
      <c r="U569" s="138">
        <f>COS(U526/2)*SIN(U526/2)*(-$K563+$K564)</f>
        <v>0</v>
      </c>
      <c r="V569" s="138">
        <f>COS(V526/2)*SIN(V526/2)*(-$K563+$K564)</f>
        <v>2.2889856965876046E-16</v>
      </c>
      <c r="W569" s="138" t="s">
        <v>1048</v>
      </c>
      <c r="X569" s="141">
        <f>S528*S572^2/S562+T528*T572^2/T562+U528*U572^2/U562+V528*V572^2/V562</f>
        <v>0</v>
      </c>
      <c r="Y569" s="164"/>
      <c r="Z569" s="164">
        <f>S528*S569/(S563*S564-S569^2)+T528*T569/(T563*T564-T569^2)+U528*U569/(U563*U564-U569^2)+V528*V569/(V563*V564-V569^2)</f>
        <v>0</v>
      </c>
      <c r="AA569" s="147"/>
      <c r="AB569" s="147"/>
      <c r="AC569" s="147"/>
      <c r="AD569" s="147"/>
      <c r="AG569" s="139"/>
      <c r="AH569" s="147"/>
      <c r="AI569" s="147"/>
      <c r="AJ569" s="147"/>
      <c r="AK569" s="147"/>
    </row>
    <row r="570" spans="10:38">
      <c r="R570" s="139" t="s">
        <v>777</v>
      </c>
      <c r="S570" s="138">
        <f>-2*COS(S526/2)*SIN(S526/2)*(COS(S526/2)^2-SIN(S526/2)^2)*$K565+COS(S526/2)*SIN(S526/2)*(COS(S526/2)^2*$K560+SIN(S526/2)^2*$K561)+COS(S526/2)*SIN(S526/2)*(COS(S526/2)^2+SIN(S526/2)^2)*$M560</f>
        <v>0</v>
      </c>
      <c r="T570" s="138">
        <f>-2*COS(T526/2)*SIN(T526/2)*(COS(T526/2)^2-SIN(T526/2)^2)*$K565+COS(T526/2)*SIN(T526/2)*(COS(T526/2)^2*$K560+SIN(T526/2)^2*$K561)+COS(T526/2)*SIN(T526/2)*(COS(T526/2)^2+SIN(T526/2)^2)*$M560</f>
        <v>2.0909173104960418E-15</v>
      </c>
      <c r="U570" s="138">
        <f>-2*COS(U526/2)*SIN(U526/2)*(COS(U526/2)^2-SIN(U526/2)^2)*$K565+COS(U526/2)*SIN(U526/2)*(COS(U526/2)^2*$K560+SIN(U526/2)^2*$K561)+COS(U526/2)*SIN(U526/2)*(COS(U526/2)^2+SIN(U526/2)^2)*$M560</f>
        <v>0</v>
      </c>
      <c r="V570" s="138">
        <f>-2*COS(V526/2)*SIN(V526/2)*(COS(V526/2)^2-SIN(V526/2)^2)*$K565+COS(V526/2)*SIN(V526/2)*(COS(V526/2)^2*$K560+SIN(V526/2)^2*$K561)+COS(V526/2)*SIN(V526/2)*(COS(V526/2)^2+SIN(V526/2)^2)*$M560</f>
        <v>2.0909173104960418E-15</v>
      </c>
      <c r="W570" s="138"/>
      <c r="Y570" s="147">
        <f>S528*S570+T528*T570+U528*U570+V528*V570</f>
        <v>0</v>
      </c>
      <c r="Z570" s="164"/>
      <c r="AA570" s="147"/>
      <c r="AB570" s="147"/>
      <c r="AC570" s="147"/>
      <c r="AD570" s="147"/>
      <c r="AG570" s="139"/>
      <c r="AH570" s="147"/>
      <c r="AI570" s="147"/>
      <c r="AJ570" s="147"/>
      <c r="AK570" s="147"/>
    </row>
    <row r="571" spans="10:38">
      <c r="R571" s="139" t="s">
        <v>781</v>
      </c>
      <c r="S571" s="138">
        <f>2*COS(S526/2)*SIN(S526/2)*(COS(S526/2)^2-SIN(S526/2)^2)*$K565+COS(S526/2)*SIN(S526/2)*(SIN(S526/2)^2*$K560-COS(S526/2)^2*$K561)+COS(S526/2)*SIN(S526/2)*(COS(S526/2)^2-SIN(S526/2)^2)*$M560</f>
        <v>0</v>
      </c>
      <c r="T571" s="138">
        <f>2*COS(T526/2)*SIN(T526/2)*(COS(T526/2)^2-SIN(T526/2)^2)*$K565+COS(T526/2)*SIN(T526/2)*(SIN(T526/2)^2*$K560-COS(T526/2)^2*$K561)+COS(T526/2)*SIN(T526/2)*(COS(T526/2)^2-SIN(T526/2)^2)*$M560</f>
        <v>1.0050870810750773E-14</v>
      </c>
      <c r="U571" s="138">
        <f>2*COS(U526/2)*SIN(U526/2)*(COS(U526/2)^2-SIN(U526/2)^2)*$K565+COS(U526/2)*SIN(U526/2)*(SIN(U526/2)^2*$K560-COS(U526/2)^2*$K561)+COS(U526/2)*SIN(U526/2)*(COS(U526/2)^2-SIN(U526/2)^2)*$M560</f>
        <v>0</v>
      </c>
      <c r="V571" s="138">
        <f>2*COS(V526/2)*SIN(V526/2)*(COS(V526/2)^2-SIN(V526/2)^2)*$K565+COS(V526/2)*SIN(V526/2)*(SIN(V526/2)^2*$K560-COS(V526/2)^2*$K561)+COS(V526/2)*SIN(V526/2)*(COS(V526/2)^2-SIN(V526/2)^2)*$M560</f>
        <v>1.0050870810750773E-14</v>
      </c>
      <c r="W571" s="138"/>
      <c r="Y571" s="147">
        <f>S528*S571+T528*T571+U528*U571+V528*V571</f>
        <v>0</v>
      </c>
      <c r="Z571" s="164"/>
      <c r="AA571" s="147"/>
      <c r="AB571" s="147"/>
      <c r="AC571" s="147"/>
      <c r="AD571" s="147"/>
      <c r="AG571" s="139"/>
      <c r="AH571" s="147"/>
      <c r="AI571" s="147"/>
      <c r="AJ571" s="147"/>
      <c r="AK571" s="147"/>
    </row>
    <row r="572" spans="10:38">
      <c r="R572" s="139" t="s">
        <v>784</v>
      </c>
      <c r="S572" s="138">
        <f>COS(S526/2)*SIN(S526/2)*($M561-$M562)</f>
        <v>0</v>
      </c>
      <c r="T572" s="138">
        <f>COS(T526/2)*SIN(T526/2)*($M561-$M562)</f>
        <v>-7.2345820007517372E-17</v>
      </c>
      <c r="U572" s="138">
        <f>COS(U526/2)*SIN(U526/2)*($M561-$M562)</f>
        <v>0</v>
      </c>
      <c r="V572" s="138">
        <f>COS(V526/2)*SIN(V526/2)*($M561-$M562)</f>
        <v>-7.2345820007517372E-17</v>
      </c>
      <c r="W572" s="138"/>
      <c r="Y572" s="164"/>
      <c r="Z572" s="164"/>
      <c r="AA572" s="147"/>
      <c r="AB572" s="147"/>
      <c r="AC572" s="147"/>
      <c r="AD572" s="147"/>
      <c r="AG572" s="139"/>
      <c r="AH572" s="147"/>
      <c r="AI572" s="147"/>
      <c r="AJ572" s="147"/>
      <c r="AK572" s="147"/>
    </row>
    <row r="573" spans="10:38">
      <c r="J573" s="137" t="s">
        <v>856</v>
      </c>
      <c r="K573" s="139"/>
      <c r="L573" s="139"/>
      <c r="N573" s="138" t="s">
        <v>1551</v>
      </c>
      <c r="P573" s="140"/>
      <c r="R573" s="138" t="s">
        <v>634</v>
      </c>
      <c r="Y573" s="164"/>
      <c r="Z573" s="138" t="s">
        <v>635</v>
      </c>
      <c r="AG573" s="138" t="s">
        <v>636</v>
      </c>
    </row>
    <row r="574" spans="10:38">
      <c r="J574" s="139" t="str">
        <f>A176</f>
        <v>T3/N52[SI]</v>
      </c>
      <c r="K574" s="137"/>
      <c r="L574" s="139"/>
      <c r="N574" s="139" t="s">
        <v>596</v>
      </c>
      <c r="O574" s="144">
        <f>G177</f>
        <v>22</v>
      </c>
      <c r="P574" s="144">
        <f>B82</f>
        <v>22</v>
      </c>
      <c r="Q574" s="145">
        <f t="shared" ref="Q574:Q579" si="108">P574/O574</f>
        <v>1</v>
      </c>
      <c r="R574" s="137"/>
      <c r="Z574" s="139" t="s">
        <v>531</v>
      </c>
      <c r="AA574" s="146">
        <f t="shared" ref="AA574:AD576" si="109">S576</f>
        <v>0</v>
      </c>
      <c r="AB574" s="146">
        <f t="shared" si="109"/>
        <v>90</v>
      </c>
      <c r="AC574" s="146">
        <f t="shared" si="109"/>
        <v>0</v>
      </c>
      <c r="AD574" s="146">
        <f t="shared" si="109"/>
        <v>90</v>
      </c>
      <c r="AE574" s="139" t="s">
        <v>532</v>
      </c>
      <c r="AF574" s="143" t="s">
        <v>533</v>
      </c>
      <c r="AG574" s="139" t="s">
        <v>531</v>
      </c>
      <c r="AH574" s="146">
        <f t="shared" ref="AH574:AK576" si="110">AA574</f>
        <v>0</v>
      </c>
      <c r="AI574" s="146">
        <f t="shared" si="110"/>
        <v>90</v>
      </c>
      <c r="AJ574" s="146">
        <f t="shared" si="110"/>
        <v>0</v>
      </c>
      <c r="AK574" s="146">
        <f t="shared" si="110"/>
        <v>90</v>
      </c>
    </row>
    <row r="575" spans="10:38">
      <c r="J575" s="139"/>
      <c r="K575" s="139"/>
      <c r="L575" s="139"/>
      <c r="N575" s="139" t="s">
        <v>600</v>
      </c>
      <c r="O575" s="147">
        <f>H177</f>
        <v>5.0000000000000001E-3</v>
      </c>
      <c r="P575" s="147">
        <f>C82</f>
        <v>5.0000000000000001E-3</v>
      </c>
      <c r="Q575" s="145">
        <f t="shared" si="108"/>
        <v>1</v>
      </c>
      <c r="R575" s="139" t="s">
        <v>243</v>
      </c>
      <c r="S575" s="143" t="s">
        <v>1562</v>
      </c>
      <c r="T575" s="143" t="s">
        <v>1563</v>
      </c>
      <c r="U575" s="143" t="s">
        <v>1564</v>
      </c>
      <c r="V575" s="143" t="s">
        <v>1565</v>
      </c>
      <c r="W575" s="143"/>
      <c r="X575" s="143"/>
      <c r="Z575" s="139" t="s">
        <v>536</v>
      </c>
      <c r="AA575" s="146">
        <f t="shared" si="109"/>
        <v>0</v>
      </c>
      <c r="AB575" s="146">
        <f t="shared" si="109"/>
        <v>0</v>
      </c>
      <c r="AC575" s="146">
        <f t="shared" si="109"/>
        <v>0</v>
      </c>
      <c r="AD575" s="146">
        <f t="shared" si="109"/>
        <v>0</v>
      </c>
      <c r="AE575" s="139">
        <f>W577</f>
        <v>1</v>
      </c>
      <c r="AF575" s="146">
        <f>X578</f>
        <v>0</v>
      </c>
      <c r="AG575" s="139" t="s">
        <v>536</v>
      </c>
      <c r="AH575" s="146">
        <f t="shared" si="110"/>
        <v>0</v>
      </c>
      <c r="AI575" s="146">
        <f t="shared" si="110"/>
        <v>0</v>
      </c>
      <c r="AJ575" s="146">
        <f t="shared" si="110"/>
        <v>0</v>
      </c>
      <c r="AK575" s="146">
        <f t="shared" si="110"/>
        <v>0</v>
      </c>
    </row>
    <row r="576" spans="10:38">
      <c r="J576" s="139" t="s">
        <v>1553</v>
      </c>
      <c r="K576" s="139" t="s">
        <v>1554</v>
      </c>
      <c r="L576" s="139" t="s">
        <v>1555</v>
      </c>
      <c r="M576" s="153" t="s">
        <v>1556</v>
      </c>
      <c r="N576" s="139" t="s">
        <v>1557</v>
      </c>
      <c r="O576" s="144">
        <f>G176</f>
        <v>122</v>
      </c>
      <c r="P576" s="144">
        <f>O576</f>
        <v>122</v>
      </c>
      <c r="Q576" s="145">
        <f t="shared" si="108"/>
        <v>1</v>
      </c>
      <c r="R576" s="139" t="s">
        <v>537</v>
      </c>
      <c r="S576" s="154">
        <f>C25+I26</f>
        <v>0</v>
      </c>
      <c r="T576" s="154">
        <f>D25+I26</f>
        <v>90</v>
      </c>
      <c r="U576" s="154">
        <f>E25+I26</f>
        <v>0</v>
      </c>
      <c r="V576" s="154">
        <f>F25+I26</f>
        <v>90</v>
      </c>
      <c r="W576" s="143" t="s">
        <v>538</v>
      </c>
      <c r="X576" s="143"/>
      <c r="Z576" s="139" t="s">
        <v>539</v>
      </c>
      <c r="AA576" s="146">
        <f t="shared" si="109"/>
        <v>0</v>
      </c>
      <c r="AB576" s="146">
        <f t="shared" si="109"/>
        <v>3.1415926535897931</v>
      </c>
      <c r="AC576" s="146">
        <f t="shared" si="109"/>
        <v>0</v>
      </c>
      <c r="AD576" s="146">
        <f t="shared" si="109"/>
        <v>3.1415926535897931</v>
      </c>
      <c r="AE576" s="139" t="s">
        <v>540</v>
      </c>
      <c r="AF576" s="141">
        <f>W584</f>
        <v>0</v>
      </c>
      <c r="AG576" s="139" t="s">
        <v>539</v>
      </c>
      <c r="AH576" s="146">
        <f t="shared" si="110"/>
        <v>0</v>
      </c>
      <c r="AI576" s="146">
        <f t="shared" si="110"/>
        <v>3.1415926535897931</v>
      </c>
      <c r="AJ576" s="146">
        <f t="shared" si="110"/>
        <v>0</v>
      </c>
      <c r="AK576" s="146">
        <f t="shared" si="110"/>
        <v>3.1415926535897931</v>
      </c>
    </row>
    <row r="577" spans="10:38">
      <c r="J577" s="139" t="s">
        <v>298</v>
      </c>
      <c r="K577" s="140">
        <f>B176</f>
        <v>181</v>
      </c>
      <c r="L577" s="140">
        <f>L584*L583</f>
        <v>181.00000000000003</v>
      </c>
      <c r="M577" s="145">
        <f>L577/K577</f>
        <v>1.0000000000000002</v>
      </c>
      <c r="N577" s="139" t="s">
        <v>299</v>
      </c>
      <c r="O577" s="144">
        <f>H176</f>
        <v>160</v>
      </c>
      <c r="P577" s="144">
        <f>O577-H179*(P575)</f>
        <v>150</v>
      </c>
      <c r="Q577" s="145">
        <f t="shared" si="108"/>
        <v>0.9375</v>
      </c>
      <c r="R577" s="139" t="s">
        <v>541</v>
      </c>
      <c r="S577" s="154">
        <f>C26</f>
        <v>0</v>
      </c>
      <c r="T577" s="154">
        <f>D26</f>
        <v>0</v>
      </c>
      <c r="U577" s="154">
        <f>E26</f>
        <v>0</v>
      </c>
      <c r="V577" s="154">
        <f>F26</f>
        <v>0</v>
      </c>
      <c r="W577" s="156">
        <f>G26</f>
        <v>1</v>
      </c>
      <c r="X577" s="143"/>
      <c r="Z577" s="139"/>
      <c r="AA577" s="141">
        <f>AA576/2</f>
        <v>0</v>
      </c>
      <c r="AB577" s="141">
        <f>AB576/2</f>
        <v>1.5707963267948966</v>
      </c>
      <c r="AC577" s="141">
        <f>AC576/2</f>
        <v>0</v>
      </c>
      <c r="AD577" s="141">
        <f>AD576/2</f>
        <v>1.5707963267948966</v>
      </c>
      <c r="AE577" s="143"/>
      <c r="AL577" s="139"/>
    </row>
    <row r="578" spans="10:38">
      <c r="J578" s="139" t="s">
        <v>1579</v>
      </c>
      <c r="K578" s="140">
        <f>C176</f>
        <v>10.3</v>
      </c>
      <c r="L578" s="140">
        <f>(1+L587)/(1/L588+L587/L585)</f>
        <v>10.3</v>
      </c>
      <c r="M578" s="145">
        <f>L578/K578</f>
        <v>1</v>
      </c>
      <c r="N578" s="139" t="s">
        <v>1580</v>
      </c>
      <c r="O578" s="140">
        <f>(O577-O574)/(O577-O574)</f>
        <v>1</v>
      </c>
      <c r="P578" s="140">
        <f>(P577-P574)/(P577-O574)</f>
        <v>1</v>
      </c>
      <c r="Q578" s="145">
        <f t="shared" si="108"/>
        <v>1</v>
      </c>
      <c r="R578" s="139" t="s">
        <v>1295</v>
      </c>
      <c r="S578" s="158">
        <f>S576*PI()/90</f>
        <v>0</v>
      </c>
      <c r="T578" s="158">
        <f>T576*PI()/90</f>
        <v>3.1415926535897931</v>
      </c>
      <c r="U578" s="158">
        <f>U576*PI()/90</f>
        <v>0</v>
      </c>
      <c r="V578" s="158">
        <f>V576*PI()/90</f>
        <v>3.1415926535897931</v>
      </c>
      <c r="W578" s="143" t="s">
        <v>1296</v>
      </c>
      <c r="X578" s="146"/>
      <c r="Z578" s="137" t="s">
        <v>1297</v>
      </c>
      <c r="AA578" s="143"/>
      <c r="AB578" s="143"/>
      <c r="AC578" s="141"/>
      <c r="AD578" s="141"/>
      <c r="AE578" s="141"/>
      <c r="AG578" s="137" t="s">
        <v>1298</v>
      </c>
      <c r="AL578" s="139"/>
    </row>
    <row r="579" spans="10:38">
      <c r="J579" s="139" t="s">
        <v>259</v>
      </c>
      <c r="K579" s="140">
        <f>D176</f>
        <v>0.28000000000000003</v>
      </c>
      <c r="L579" s="140">
        <f>K579*I82</f>
        <v>0.28000000000000003</v>
      </c>
      <c r="M579" s="145">
        <f>L579/K579</f>
        <v>1</v>
      </c>
      <c r="N579" s="139" t="s">
        <v>260</v>
      </c>
      <c r="O579" s="144">
        <f>O574-O576</f>
        <v>-100</v>
      </c>
      <c r="P579" s="144">
        <f>P574-P576</f>
        <v>-100</v>
      </c>
      <c r="Q579" s="145">
        <f t="shared" si="108"/>
        <v>1</v>
      </c>
      <c r="R579" s="139" t="s">
        <v>1300</v>
      </c>
      <c r="S579" s="158">
        <f>2*S578</f>
        <v>0</v>
      </c>
      <c r="T579" s="158">
        <f>2*T578</f>
        <v>6.2831853071795862</v>
      </c>
      <c r="U579" s="158">
        <f>2*U578</f>
        <v>0</v>
      </c>
      <c r="V579" s="158">
        <f>2*V578</f>
        <v>6.2831853071795862</v>
      </c>
      <c r="W579" s="138" t="s">
        <v>651</v>
      </c>
      <c r="X579" s="143" t="s">
        <v>652</v>
      </c>
      <c r="Y579" s="143" t="s">
        <v>646</v>
      </c>
      <c r="Z579" s="139"/>
      <c r="AA579" s="143" t="s">
        <v>1301</v>
      </c>
      <c r="AB579" s="143"/>
      <c r="AC579" s="161" t="s">
        <v>977</v>
      </c>
      <c r="AD579" s="161"/>
      <c r="AE579" s="143" t="s">
        <v>1303</v>
      </c>
      <c r="AF579" s="143" t="s">
        <v>1304</v>
      </c>
      <c r="AG579" s="139" t="s">
        <v>1305</v>
      </c>
      <c r="AH579" s="147">
        <f t="shared" ref="AH579:AK581" si="111">AA585/1000</f>
        <v>0</v>
      </c>
      <c r="AI579" s="147">
        <f t="shared" si="111"/>
        <v>0</v>
      </c>
      <c r="AJ579" s="147">
        <f t="shared" si="111"/>
        <v>0</v>
      </c>
      <c r="AK579" s="147">
        <f t="shared" si="111"/>
        <v>0</v>
      </c>
      <c r="AL579" s="157"/>
    </row>
    <row r="580" spans="10:38">
      <c r="J580" s="139" t="s">
        <v>261</v>
      </c>
      <c r="K580" s="140">
        <f>E176</f>
        <v>7.17</v>
      </c>
      <c r="L580" s="140">
        <f>(1+L590)/(1/L591+L590*2.7/L585)</f>
        <v>7.17</v>
      </c>
      <c r="M580" s="145">
        <f>L580/K580</f>
        <v>1</v>
      </c>
      <c r="N580" s="139"/>
      <c r="O580" s="140"/>
      <c r="P580" s="140"/>
      <c r="Q580" s="140"/>
      <c r="R580" s="139" t="s">
        <v>1321</v>
      </c>
      <c r="S580" s="158">
        <f>2*W577*S577*L581/1000000/Y580</f>
        <v>0</v>
      </c>
      <c r="T580" s="158">
        <f>2*W577*T577*L581/1000000/Y580</f>
        <v>0</v>
      </c>
      <c r="U580" s="158">
        <f>2*W577*U577*L581/1000000/Y580</f>
        <v>0</v>
      </c>
      <c r="V580" s="158">
        <f>2*W577*V577*L581/1000000/Y580</f>
        <v>0</v>
      </c>
      <c r="W580" s="147">
        <f>SUM(S580:V580)</f>
        <v>0</v>
      </c>
      <c r="X580" s="163">
        <f>2*W577*SUM(S577:V577)*L581/1000000</f>
        <v>0</v>
      </c>
      <c r="Y580" s="147">
        <f>Y528</f>
        <v>5.0000000000000001E-4</v>
      </c>
      <c r="Z580" s="139">
        <v>1</v>
      </c>
      <c r="AA580" s="140">
        <f>$B$37</f>
        <v>1</v>
      </c>
      <c r="AB580" s="163"/>
      <c r="AC580" s="140">
        <f>AC528</f>
        <v>119.49416590714854</v>
      </c>
      <c r="AD580" s="163"/>
      <c r="AE580" s="159" t="s">
        <v>1306</v>
      </c>
      <c r="AF580" s="163">
        <f>IF(X580=0,0,(AC580+AC581)/2)</f>
        <v>0</v>
      </c>
      <c r="AG580" s="139" t="s">
        <v>1307</v>
      </c>
      <c r="AH580" s="147">
        <f t="shared" si="111"/>
        <v>0</v>
      </c>
      <c r="AI580" s="147">
        <f t="shared" si="111"/>
        <v>0</v>
      </c>
      <c r="AJ580" s="147">
        <f t="shared" si="111"/>
        <v>0</v>
      </c>
      <c r="AK580" s="147">
        <f t="shared" si="111"/>
        <v>0</v>
      </c>
      <c r="AL580" s="157"/>
    </row>
    <row r="581" spans="10:38">
      <c r="J581" s="139" t="s">
        <v>262</v>
      </c>
      <c r="K581" s="144">
        <f>B178</f>
        <v>125</v>
      </c>
      <c r="L581" s="144">
        <f>K581/M583</f>
        <v>125</v>
      </c>
      <c r="M581" s="145">
        <f>L581/K581</f>
        <v>1</v>
      </c>
      <c r="N581" s="137" t="s">
        <v>1531</v>
      </c>
      <c r="O581" s="140"/>
      <c r="P581" s="140"/>
      <c r="Q581" s="140"/>
      <c r="R581" s="139" t="s">
        <v>1325</v>
      </c>
      <c r="S581" s="143" t="s">
        <v>1326</v>
      </c>
      <c r="T581" s="143" t="s">
        <v>1327</v>
      </c>
      <c r="U581" s="143" t="s">
        <v>1328</v>
      </c>
      <c r="V581" s="143" t="s">
        <v>1329</v>
      </c>
      <c r="W581" s="143" t="s">
        <v>1330</v>
      </c>
      <c r="X581" s="139"/>
      <c r="Z581" s="139">
        <v>2</v>
      </c>
      <c r="AA581" s="140">
        <f>$B$38</f>
        <v>0</v>
      </c>
      <c r="AB581" s="163"/>
      <c r="AC581" s="140">
        <f>AC529</f>
        <v>-19.975848039852647</v>
      </c>
      <c r="AD581" s="163"/>
      <c r="AE581" s="159" t="s">
        <v>1309</v>
      </c>
      <c r="AF581" s="163">
        <f>IF(X580=0,0,(AC580-AC581)/2)</f>
        <v>0</v>
      </c>
      <c r="AG581" s="139" t="s">
        <v>1310</v>
      </c>
      <c r="AH581" s="147">
        <f t="shared" si="111"/>
        <v>0</v>
      </c>
      <c r="AI581" s="147">
        <f t="shared" si="111"/>
        <v>0</v>
      </c>
      <c r="AJ581" s="147">
        <f t="shared" si="111"/>
        <v>0</v>
      </c>
      <c r="AK581" s="147">
        <f t="shared" si="111"/>
        <v>0</v>
      </c>
      <c r="AL581" s="157"/>
    </row>
    <row r="582" spans="10:38">
      <c r="J582" s="137" t="s">
        <v>264</v>
      </c>
      <c r="K582" s="140"/>
      <c r="L582" s="140"/>
      <c r="N582" s="139" t="s">
        <v>265</v>
      </c>
      <c r="O582" s="140">
        <f>A179</f>
        <v>0.02</v>
      </c>
      <c r="P582" s="140">
        <f>O582</f>
        <v>0.02</v>
      </c>
      <c r="Q582" s="140">
        <f>P582/O582</f>
        <v>1</v>
      </c>
      <c r="R582" s="139">
        <v>11</v>
      </c>
      <c r="S582" s="140">
        <f>L599+L600*COS(S578)+L601*COS(S579)</f>
        <v>181.81113884441794</v>
      </c>
      <c r="T582" s="140">
        <f>L599+L600*COS(T578)+L601*COS(T579)</f>
        <v>10.346158729820477</v>
      </c>
      <c r="U582" s="140">
        <f>L599+L600*COS(U578)+L601*COS(U579)</f>
        <v>181.81113884441794</v>
      </c>
      <c r="V582" s="140">
        <f>L599+L600*COS(V578)+L601*COS(V579)</f>
        <v>10.346158729820477</v>
      </c>
      <c r="W582" s="163">
        <f>(S580*S582+T580*T582+U580*U582+V580*V582)</f>
        <v>0</v>
      </c>
      <c r="X582" s="147"/>
      <c r="Z582" s="139">
        <v>6</v>
      </c>
      <c r="AA582" s="140">
        <f>$B$39</f>
        <v>0</v>
      </c>
      <c r="AB582" s="163"/>
      <c r="AC582" s="140">
        <f>AC530</f>
        <v>-91.562516762323497</v>
      </c>
      <c r="AD582" s="163"/>
      <c r="AE582" s="159" t="s">
        <v>1312</v>
      </c>
      <c r="AF582" s="163">
        <f>IF(X580=0,0,AC582/2)</f>
        <v>0</v>
      </c>
      <c r="AG582" s="139"/>
      <c r="AH582" s="163"/>
      <c r="AI582" s="163"/>
      <c r="AJ582" s="163"/>
      <c r="AK582" s="163"/>
      <c r="AL582" s="163"/>
    </row>
    <row r="583" spans="10:38">
      <c r="J583" s="139" t="s">
        <v>1532</v>
      </c>
      <c r="K583" s="140">
        <f>C178</f>
        <v>0.7</v>
      </c>
      <c r="L583" s="140">
        <f>D82</f>
        <v>0.7</v>
      </c>
      <c r="M583" s="145">
        <f t="shared" ref="M583:M592" si="112">L583/K583</f>
        <v>1</v>
      </c>
      <c r="N583" s="139" t="s">
        <v>1533</v>
      </c>
      <c r="O583" s="140">
        <f>B179</f>
        <v>22.5</v>
      </c>
      <c r="P583" s="140">
        <f>O583*(1-L583)/(1-K583)</f>
        <v>22.5</v>
      </c>
      <c r="Q583" s="140">
        <f>P583/O583</f>
        <v>1</v>
      </c>
      <c r="R583" s="139">
        <v>22</v>
      </c>
      <c r="S583" s="140">
        <f>S582-2*L600*COS(S578)</f>
        <v>10.346158729820473</v>
      </c>
      <c r="T583" s="140">
        <f>T582-2*L600*COS(T578)</f>
        <v>181.81113884441794</v>
      </c>
      <c r="U583" s="140">
        <f>U582-2*L600*COS(U578)</f>
        <v>10.346158729820473</v>
      </c>
      <c r="V583" s="140">
        <f>V582-2*L600*COS(V578)</f>
        <v>181.81113884441794</v>
      </c>
      <c r="W583" s="163">
        <f>(S580*S583+T580*T583+U580*U583+V580*V583)</f>
        <v>0</v>
      </c>
      <c r="X583" s="147"/>
      <c r="AA583" s="163"/>
      <c r="AB583" s="163"/>
      <c r="AC583" s="163"/>
      <c r="AD583" s="163"/>
      <c r="AE583" s="159"/>
      <c r="AF583" s="163"/>
      <c r="AG583" s="139"/>
      <c r="AH583" s="163"/>
      <c r="AI583" s="163"/>
      <c r="AJ583" s="163"/>
      <c r="AK583" s="163"/>
      <c r="AL583" s="163"/>
    </row>
    <row r="584" spans="10:38">
      <c r="J584" s="139" t="s">
        <v>1534</v>
      </c>
      <c r="K584" s="144">
        <f>K577/K583</f>
        <v>258.57142857142861</v>
      </c>
      <c r="L584" s="144">
        <f>F82*P578^F179</f>
        <v>258.57142857142861</v>
      </c>
      <c r="M584" s="145">
        <f t="shared" si="112"/>
        <v>1</v>
      </c>
      <c r="N584" s="138" t="s">
        <v>1535</v>
      </c>
      <c r="O584" s="140"/>
      <c r="P584" s="140"/>
      <c r="Q584" s="140"/>
      <c r="R584" s="139" t="s">
        <v>1345</v>
      </c>
      <c r="S584" s="140">
        <f>L602-L601*COS(S579)</f>
        <v>2.8969244443497324</v>
      </c>
      <c r="T584" s="140">
        <f>L602-L601*COS(T579)</f>
        <v>2.8969244443497324</v>
      </c>
      <c r="U584" s="140">
        <f>L602-L601*COS(U579)</f>
        <v>2.8969244443497324</v>
      </c>
      <c r="V584" s="140">
        <f>L602-L601*COS(V579)</f>
        <v>2.8969244443497324</v>
      </c>
      <c r="W584" s="163">
        <f>(S580*S584+T580*T584+U580*U584+V580*V584)</f>
        <v>0</v>
      </c>
      <c r="X584" s="147"/>
      <c r="Z584" s="137" t="s">
        <v>1323</v>
      </c>
      <c r="AA584" s="163"/>
      <c r="AB584" s="163"/>
      <c r="AC584" s="163"/>
      <c r="AD584" s="163"/>
      <c r="AE584" s="159" t="s">
        <v>661</v>
      </c>
      <c r="AF584" s="163">
        <f>L579/L577*L594+L592/L578*L596</f>
        <v>0.42188220063345594</v>
      </c>
      <c r="AG584" s="139"/>
      <c r="AH584" s="163"/>
      <c r="AI584" s="163"/>
      <c r="AJ584" s="163"/>
      <c r="AK584" s="163"/>
      <c r="AL584" s="163"/>
    </row>
    <row r="585" spans="10:38">
      <c r="J585" s="139" t="s">
        <v>1536</v>
      </c>
      <c r="K585" s="140">
        <f>F176</f>
        <v>3.4</v>
      </c>
      <c r="L585" s="140">
        <f>E82*P578^F178*I82</f>
        <v>3.4</v>
      </c>
      <c r="M585" s="145">
        <f t="shared" si="112"/>
        <v>1</v>
      </c>
      <c r="N585" s="139" t="s">
        <v>1537</v>
      </c>
      <c r="O585" s="140">
        <f>C179</f>
        <v>0</v>
      </c>
      <c r="P585" s="140">
        <f>O585</f>
        <v>0</v>
      </c>
      <c r="Q585" s="140">
        <v>1</v>
      </c>
      <c r="R585" s="139">
        <v>66</v>
      </c>
      <c r="S585" s="140">
        <f>S584-L602+L603</f>
        <v>7.1700000000000053</v>
      </c>
      <c r="T585" s="140">
        <f>T584-L602+L603</f>
        <v>7.1700000000000053</v>
      </c>
      <c r="U585" s="140">
        <f>U584-L602+L603</f>
        <v>7.1700000000000053</v>
      </c>
      <c r="V585" s="140">
        <f>V584-L602+L603</f>
        <v>7.1700000000000053</v>
      </c>
      <c r="W585" s="163">
        <f>(S580*S585+T580*T585+U580*U585+V580*V585)</f>
        <v>0</v>
      </c>
      <c r="X585" s="147"/>
      <c r="Z585" s="139" t="s">
        <v>1324</v>
      </c>
      <c r="AA585" s="147">
        <f>(AF580+AF581*COS(AA576)+AF582*SIN(AA576))</f>
        <v>0</v>
      </c>
      <c r="AB585" s="147">
        <f>(AF580+AF581*COS(AB576)+AF582*SIN(AB576))</f>
        <v>0</v>
      </c>
      <c r="AC585" s="147">
        <f>(AF580+AF581*COS(AC576)+AF582*SIN(AC576))</f>
        <v>0</v>
      </c>
      <c r="AD585" s="147">
        <f>(AF580+AF581*COS(AD576)+AF582*SIN(AD576))</f>
        <v>0</v>
      </c>
      <c r="AE585" s="159" t="s">
        <v>664</v>
      </c>
      <c r="AF585" s="163">
        <f>L579/L577*L596+L592/L578*L595</f>
        <v>0.50672214511948566</v>
      </c>
      <c r="AG585" s="137"/>
      <c r="AH585" s="159"/>
      <c r="AI585" s="159"/>
      <c r="AJ585" s="159"/>
      <c r="AK585" s="159"/>
      <c r="AL585" s="163"/>
    </row>
    <row r="586" spans="10:38">
      <c r="J586" s="139" t="s">
        <v>1538</v>
      </c>
      <c r="K586" s="140">
        <f>E178</f>
        <v>0.51600000000000001</v>
      </c>
      <c r="L586" s="140">
        <f>K586*P578^G178</f>
        <v>0.51600000000000001</v>
      </c>
      <c r="M586" s="145">
        <f t="shared" si="112"/>
        <v>1</v>
      </c>
      <c r="N586" s="139" t="s">
        <v>1539</v>
      </c>
      <c r="O586" s="140">
        <f>D179</f>
        <v>0.6</v>
      </c>
      <c r="P586" s="140">
        <f>O586*(1-L583)/(1-K583)</f>
        <v>0.6</v>
      </c>
      <c r="Q586" s="140">
        <f>P586/O586</f>
        <v>1</v>
      </c>
      <c r="R586" s="139" t="s">
        <v>1347</v>
      </c>
      <c r="S586" s="140">
        <f>L600*SIN(S578)/2+L601*SIN(S579)</f>
        <v>0</v>
      </c>
      <c r="T586" s="140">
        <f>L600*SIN(T578)/2+L601*SIN(T579)</f>
        <v>4.221105484146412E-16</v>
      </c>
      <c r="U586" s="140">
        <f>L600*SIN(U578)/2+L601*SIN(U579)</f>
        <v>0</v>
      </c>
      <c r="V586" s="140">
        <f>L600*SIN(V578)/2+L601*SIN(V579)</f>
        <v>4.221105484146412E-16</v>
      </c>
      <c r="W586" s="163">
        <f>(S580*S586+T580*T586+U580*U586+V580*V586)</f>
        <v>0</v>
      </c>
      <c r="X586" s="147"/>
      <c r="Z586" s="139" t="s">
        <v>1332</v>
      </c>
      <c r="AA586" s="147">
        <f>2*AF580-AA585</f>
        <v>0</v>
      </c>
      <c r="AB586" s="147">
        <f>2*AF580-AB585</f>
        <v>0</v>
      </c>
      <c r="AC586" s="147">
        <f>2*AF580-AC585</f>
        <v>0</v>
      </c>
      <c r="AD586" s="147">
        <f>2*AF580-AD585</f>
        <v>0</v>
      </c>
      <c r="AE586" s="159"/>
      <c r="AF586" s="163"/>
      <c r="AG586" s="139" t="s">
        <v>1333</v>
      </c>
      <c r="AH586" s="163">
        <f>P605*AH579^2+2*P607*AH579*AH580+P606*AH580^2+P608*AH581^2</f>
        <v>0</v>
      </c>
      <c r="AI586" s="163">
        <f>P605*AI579^2+2*P607*AI579*AI580+P606*AI580^2+P608*AI581^2</f>
        <v>0</v>
      </c>
      <c r="AJ586" s="163">
        <f>P605*AJ579^2+2*P607*AJ579*AJ580+P606*AJ580^2+P608*AJ581^2</f>
        <v>0</v>
      </c>
      <c r="AK586" s="163">
        <f>P605*AK579^2+2*P607*AK579*AK580+P606*AK580^2+P608*AK581^2</f>
        <v>0</v>
      </c>
      <c r="AL586" s="163"/>
    </row>
    <row r="587" spans="10:38">
      <c r="J587" s="139" t="s">
        <v>1547</v>
      </c>
      <c r="K587" s="140">
        <f>K586*(1-K583)/K583</f>
        <v>0.2211428571428572</v>
      </c>
      <c r="L587" s="140">
        <f>L586*(1-L583)/L583</f>
        <v>0.2211428571428572</v>
      </c>
      <c r="M587" s="145">
        <f t="shared" si="112"/>
        <v>1</v>
      </c>
      <c r="O587" s="140"/>
      <c r="P587" s="140"/>
      <c r="Q587" s="140"/>
      <c r="R587" s="139" t="s">
        <v>1349</v>
      </c>
      <c r="S587" s="140">
        <f>L600*SIN(S578)-S586</f>
        <v>0</v>
      </c>
      <c r="T587" s="140">
        <f>L600*SIN(T578)-T586</f>
        <v>1.0081392224502176E-14</v>
      </c>
      <c r="U587" s="140">
        <f>L600*SIN(U578)-U586</f>
        <v>0</v>
      </c>
      <c r="V587" s="140">
        <f>L600*SIN(V578)-V586</f>
        <v>1.0081392224502176E-14</v>
      </c>
      <c r="W587" s="163">
        <f>(S580*S587+T580*T587+U580*U587+V580*V587)</f>
        <v>0</v>
      </c>
      <c r="X587" s="147"/>
      <c r="Z587" s="139" t="s">
        <v>1334</v>
      </c>
      <c r="AA587" s="147">
        <f>(2*(AF582*COS(AA576)-AF581*SIN(AA576)))</f>
        <v>0</v>
      </c>
      <c r="AB587" s="147">
        <f>(2*(AF582*COS(AB576)-AF581*SIN(AB576)))</f>
        <v>0</v>
      </c>
      <c r="AC587" s="147">
        <f>(2*(AF582*COS(AC576)-AF581*SIN(AC576)))</f>
        <v>0</v>
      </c>
      <c r="AD587" s="147">
        <f>(2*(AF582*COS(AD576)-AF581*SIN(AD576)))</f>
        <v>0</v>
      </c>
      <c r="AE587" s="159"/>
      <c r="AF587" s="163"/>
      <c r="AG587" s="139" t="s">
        <v>1335</v>
      </c>
      <c r="AH587" s="163">
        <f>P609*AH579+P610*AH580</f>
        <v>0</v>
      </c>
      <c r="AI587" s="163">
        <f>P609*AI579+P610*AI580</f>
        <v>0</v>
      </c>
      <c r="AJ587" s="163">
        <f>P609*AJ579+P610*AJ580</f>
        <v>0</v>
      </c>
      <c r="AK587" s="163">
        <f>P609*AK579+P610*AK580</f>
        <v>0</v>
      </c>
      <c r="AL587" s="163"/>
    </row>
    <row r="588" spans="10:38">
      <c r="J588" s="139" t="s">
        <v>1643</v>
      </c>
      <c r="K588" s="140">
        <f>1/((1+K587)/K578-K587/K585)</f>
        <v>18.686160319541436</v>
      </c>
      <c r="L588" s="140">
        <f>K588*P578^F179</f>
        <v>18.686160319541436</v>
      </c>
      <c r="M588" s="145">
        <f t="shared" si="112"/>
        <v>1</v>
      </c>
      <c r="N588" s="138" t="s">
        <v>176</v>
      </c>
      <c r="O588" s="140"/>
      <c r="P588" s="140"/>
      <c r="Q588" s="140"/>
      <c r="R588" s="139"/>
      <c r="S588" s="143"/>
      <c r="T588" s="143"/>
      <c r="U588" s="143"/>
      <c r="V588" s="139"/>
      <c r="W588" s="143"/>
      <c r="Z588" s="139" t="s">
        <v>671</v>
      </c>
      <c r="AA588" s="164">
        <f>S606*S580</f>
        <v>0</v>
      </c>
      <c r="AB588" s="164">
        <f>T606*T580</f>
        <v>0</v>
      </c>
      <c r="AC588" s="164">
        <f>U606*U580</f>
        <v>0</v>
      </c>
      <c r="AD588" s="164">
        <f>V606*V580</f>
        <v>0</v>
      </c>
      <c r="AE588" s="164">
        <f>W580*(P583+P582*AF584+AF585*P583)-AF584*SUM(AA588:AD588)-AF585*SUM(AA589:AD589)</f>
        <v>0</v>
      </c>
      <c r="AF588" s="164"/>
      <c r="AG588" s="139" t="s">
        <v>1344</v>
      </c>
      <c r="AH588" s="163" t="e">
        <f>AH587/2/AH586</f>
        <v>#DIV/0!</v>
      </c>
      <c r="AI588" s="163" t="e">
        <f>AI587/2/AI586</f>
        <v>#DIV/0!</v>
      </c>
      <c r="AJ588" s="163" t="e">
        <f>AJ587/2/AJ586</f>
        <v>#DIV/0!</v>
      </c>
      <c r="AK588" s="163" t="e">
        <f>AK587/2/AK586</f>
        <v>#DIV/0!</v>
      </c>
      <c r="AL588" s="163"/>
    </row>
    <row r="589" spans="10:38">
      <c r="J589" s="139" t="s">
        <v>295</v>
      </c>
      <c r="K589" s="140">
        <f>E179</f>
        <v>0.316</v>
      </c>
      <c r="L589" s="140">
        <f>K589*P578^G178</f>
        <v>0.316</v>
      </c>
      <c r="M589" s="145">
        <f t="shared" si="112"/>
        <v>1</v>
      </c>
      <c r="N589" s="139" t="s">
        <v>296</v>
      </c>
      <c r="O589" s="144">
        <f>A177</f>
        <v>1500</v>
      </c>
      <c r="P589" s="144">
        <f>P595*L583</f>
        <v>1500</v>
      </c>
      <c r="Q589" s="140">
        <f t="shared" ref="Q589:Q596" si="113">P589/O589</f>
        <v>1</v>
      </c>
      <c r="R589" s="139"/>
      <c r="T589" s="164"/>
      <c r="U589" s="140"/>
      <c r="V589" s="140"/>
      <c r="W589" s="140"/>
      <c r="X589" s="143"/>
      <c r="Y589" s="139"/>
      <c r="Z589" s="139" t="s">
        <v>675</v>
      </c>
      <c r="AA589" s="164">
        <f>S607*S580</f>
        <v>0</v>
      </c>
      <c r="AB589" s="164">
        <f>T607*T580</f>
        <v>0</v>
      </c>
      <c r="AC589" s="164">
        <f>U607*U580</f>
        <v>0</v>
      </c>
      <c r="AD589" s="164">
        <f>V607*V580</f>
        <v>0</v>
      </c>
      <c r="AE589" s="164"/>
      <c r="AF589" s="164"/>
      <c r="AG589" s="139"/>
      <c r="AH589" s="163"/>
      <c r="AI589" s="163"/>
      <c r="AJ589" s="163"/>
      <c r="AK589" s="163"/>
      <c r="AL589" s="163"/>
    </row>
    <row r="590" spans="10:38">
      <c r="J590" s="139" t="s">
        <v>301</v>
      </c>
      <c r="K590" s="140">
        <f>K589*(1-K583)/K583</f>
        <v>0.13542857142857145</v>
      </c>
      <c r="L590" s="140">
        <f>L589*(1-L583)/L583</f>
        <v>0.13542857142857145</v>
      </c>
      <c r="M590" s="145">
        <f t="shared" si="112"/>
        <v>1</v>
      </c>
      <c r="N590" s="139" t="s">
        <v>302</v>
      </c>
      <c r="O590" s="144">
        <f>B177</f>
        <v>1500</v>
      </c>
      <c r="P590" s="144">
        <f>O590*Q589*M580^F180</f>
        <v>1500</v>
      </c>
      <c r="Q590" s="140">
        <f t="shared" si="113"/>
        <v>1</v>
      </c>
      <c r="R590" s="139"/>
      <c r="T590" s="164"/>
      <c r="U590" s="140"/>
      <c r="V590" s="140"/>
      <c r="W590" s="140"/>
      <c r="X590" s="140"/>
      <c r="Y590" s="140"/>
      <c r="Z590" s="139" t="s">
        <v>677</v>
      </c>
      <c r="AA590" s="164">
        <f>S608*S580</f>
        <v>0</v>
      </c>
      <c r="AB590" s="164">
        <f>T608*T580</f>
        <v>0</v>
      </c>
      <c r="AC590" s="164">
        <f>U608*U580</f>
        <v>0</v>
      </c>
      <c r="AD590" s="164">
        <f>V608*V580</f>
        <v>0</v>
      </c>
      <c r="AE590" s="164">
        <f>W580*(P586+P585*AF584+AF585*P586)-AF584*SUM(AA590:AD590)-AF585*SUM(AA591:AD591)</f>
        <v>0</v>
      </c>
      <c r="AF590" s="164"/>
      <c r="AG590" s="139"/>
      <c r="AH590" s="163"/>
      <c r="AI590" s="147"/>
      <c r="AJ590" s="163"/>
      <c r="AK590" s="163"/>
      <c r="AL590" s="163"/>
    </row>
    <row r="591" spans="10:38">
      <c r="J591" s="139" t="s">
        <v>304</v>
      </c>
      <c r="K591" s="140">
        <f>1/((1+K590)/K580-K590*2.7/K585)</f>
        <v>19.680382632972858</v>
      </c>
      <c r="L591" s="140">
        <f>K591*P578^F179</f>
        <v>19.680382632972858</v>
      </c>
      <c r="M591" s="145">
        <f t="shared" si="112"/>
        <v>1</v>
      </c>
      <c r="N591" s="139" t="s">
        <v>305</v>
      </c>
      <c r="O591" s="144">
        <f>C177</f>
        <v>40</v>
      </c>
      <c r="P591" s="144">
        <f>O591*Q596</f>
        <v>40</v>
      </c>
      <c r="Q591" s="140">
        <f t="shared" si="113"/>
        <v>1</v>
      </c>
      <c r="R591" s="139"/>
      <c r="T591" s="164"/>
      <c r="U591" s="140"/>
      <c r="V591" s="140"/>
      <c r="W591" s="140"/>
      <c r="X591" s="140"/>
      <c r="Y591" s="140"/>
      <c r="Z591" s="138" t="s">
        <v>679</v>
      </c>
      <c r="AA591" s="164">
        <f>S609*S580</f>
        <v>0</v>
      </c>
      <c r="AB591" s="164">
        <f>T609*T580</f>
        <v>0</v>
      </c>
      <c r="AC591" s="164">
        <f>U609*U580</f>
        <v>0</v>
      </c>
      <c r="AD591" s="164">
        <f>V609*V580</f>
        <v>0</v>
      </c>
      <c r="AE591" s="164"/>
      <c r="AF591" s="164"/>
      <c r="AG591" s="139"/>
      <c r="AH591" s="163"/>
      <c r="AI591" s="163"/>
      <c r="AJ591" s="163"/>
      <c r="AK591" s="163"/>
      <c r="AL591" s="159" t="s">
        <v>1348</v>
      </c>
    </row>
    <row r="592" spans="10:38">
      <c r="J592" s="139" t="s">
        <v>1581</v>
      </c>
      <c r="K592" s="140">
        <f>F180</f>
        <v>0.5</v>
      </c>
      <c r="L592" s="140">
        <f>K592</f>
        <v>0.5</v>
      </c>
      <c r="M592" s="140">
        <f t="shared" si="112"/>
        <v>1</v>
      </c>
      <c r="N592" s="139" t="s">
        <v>1542</v>
      </c>
      <c r="O592" s="144">
        <f>D177</f>
        <v>246</v>
      </c>
      <c r="P592" s="144">
        <f>O592*Q596</f>
        <v>246</v>
      </c>
      <c r="Q592" s="140">
        <f t="shared" si="113"/>
        <v>1</v>
      </c>
      <c r="R592" s="139"/>
      <c r="T592" s="164"/>
      <c r="U592" s="140"/>
      <c r="V592" s="140"/>
      <c r="W592" s="138"/>
      <c r="X592" s="140"/>
      <c r="Y592" s="140"/>
      <c r="Z592" s="139" t="s">
        <v>682</v>
      </c>
      <c r="AA592" s="164">
        <f>S580*(AA585+S610/1000)</f>
        <v>0</v>
      </c>
      <c r="AB592" s="164">
        <f>T580*(AB585+T610/1000)</f>
        <v>0</v>
      </c>
      <c r="AC592" s="164">
        <f>U580*(AC585+U610/1000)</f>
        <v>0</v>
      </c>
      <c r="AD592" s="164">
        <f>V580*(AD585+V610/1000)</f>
        <v>0</v>
      </c>
      <c r="AE592" s="164">
        <f>W580*((1+AF585)*(P583*P579/1000000+P586*P575)+AF584*(P582*P579/1000000+P585*P575))*1000-AF584*SUM(AA592:AD592)-AF585*SUM(AA593:AD593)</f>
        <v>0</v>
      </c>
      <c r="AF592" s="164"/>
      <c r="AG592" s="139" t="s">
        <v>1351</v>
      </c>
      <c r="AH592" s="147" t="e">
        <f>(AH588^2+1/AH586)^0.5-AH588</f>
        <v>#DIV/0!</v>
      </c>
      <c r="AI592" s="147" t="e">
        <f>(AI588^2+1/AI586)^0.5-AI588</f>
        <v>#DIV/0!</v>
      </c>
      <c r="AJ592" s="147" t="e">
        <f>(AJ588^2+1/AJ586)^0.5-AJ588</f>
        <v>#DIV/0!</v>
      </c>
      <c r="AK592" s="147" t="e">
        <f>(AK588^2+1/AK586)^0.5-AK588</f>
        <v>#DIV/0!</v>
      </c>
      <c r="AL592" s="147">
        <f>MIN(AH593:AK593)</f>
        <v>1000000000</v>
      </c>
    </row>
    <row r="593" spans="10:38">
      <c r="J593" s="138" t="s">
        <v>1507</v>
      </c>
      <c r="N593" s="139" t="s">
        <v>1543</v>
      </c>
      <c r="O593" s="165">
        <f>E177</f>
        <v>68</v>
      </c>
      <c r="P593" s="165">
        <f>O593*Q596</f>
        <v>68</v>
      </c>
      <c r="Q593" s="140">
        <f t="shared" si="113"/>
        <v>1</v>
      </c>
      <c r="R593" s="139"/>
      <c r="T593" s="164"/>
      <c r="U593" s="140"/>
      <c r="V593" s="140"/>
      <c r="W593" s="138"/>
      <c r="X593" s="138"/>
      <c r="Z593" s="139" t="s">
        <v>685</v>
      </c>
      <c r="AA593" s="164">
        <f>S580*(AA586+S611/1000)</f>
        <v>0</v>
      </c>
      <c r="AB593" s="164">
        <f>T580*(AB586+T611/1000)</f>
        <v>0</v>
      </c>
      <c r="AC593" s="164">
        <f>U580*(AC586+U611/1000)</f>
        <v>0</v>
      </c>
      <c r="AD593" s="164">
        <f>V580*(AD586+V611/1000)</f>
        <v>0</v>
      </c>
      <c r="AE593" s="164"/>
      <c r="AF593" s="164"/>
      <c r="AG593" s="139"/>
      <c r="AH593" s="147">
        <f>IF(AH575=0,1000000000,AH592)</f>
        <v>1000000000</v>
      </c>
      <c r="AI593" s="147">
        <f>IF(AI575=0,1000000000,AI592)</f>
        <v>1000000000</v>
      </c>
      <c r="AJ593" s="147">
        <f>IF(AJ575=0,1000000000,AJ592)</f>
        <v>1000000000</v>
      </c>
      <c r="AK593" s="147">
        <f>IF(AK575=0,1000000000,AK592)</f>
        <v>1000000000</v>
      </c>
    </row>
    <row r="594" spans="10:38">
      <c r="J594" s="139" t="s">
        <v>1354</v>
      </c>
      <c r="K594" s="140">
        <f>K577/(1-K579^2*K578/K577)</f>
        <v>181.81113884441791</v>
      </c>
      <c r="L594" s="140">
        <f>L577/(1-L579^2*L578/L577)</f>
        <v>181.81113884441794</v>
      </c>
      <c r="M594" s="145">
        <f>L594/K594</f>
        <v>1.0000000000000002</v>
      </c>
      <c r="N594" s="139" t="s">
        <v>1168</v>
      </c>
      <c r="O594" s="145">
        <f>A178</f>
        <v>-0.5</v>
      </c>
      <c r="P594" s="145">
        <f>O594*I82</f>
        <v>-0.5</v>
      </c>
      <c r="Q594" s="140">
        <f t="shared" si="113"/>
        <v>1</v>
      </c>
      <c r="R594" s="139"/>
      <c r="T594" s="164"/>
      <c r="U594" s="140"/>
      <c r="V594" s="140"/>
      <c r="W594" s="138"/>
      <c r="X594" s="138"/>
      <c r="Z594" s="138" t="s">
        <v>686</v>
      </c>
      <c r="AA594" s="140">
        <f>($AF584*COS(AA577)^2+$AF585*SIN(AA577)^2)*S580</f>
        <v>0</v>
      </c>
      <c r="AB594" s="140">
        <f>($AF584*COS(AB577)^2+$AF585*SIN(AB577)^2)*T580</f>
        <v>0</v>
      </c>
      <c r="AC594" s="140">
        <f>($AF584*COS(AC577)^2+$AF585*SIN(AC577)^2)*U580</f>
        <v>0</v>
      </c>
      <c r="AD594" s="140">
        <f>($AF584*COS(AD577)^2+$AF585*SIN(AD577)^2)*V580</f>
        <v>0</v>
      </c>
      <c r="AE594" s="163">
        <f>SUM(AA594:AD594)</f>
        <v>0</v>
      </c>
      <c r="AF594" s="163"/>
      <c r="AG594" s="138" t="s">
        <v>1360</v>
      </c>
      <c r="AH594" s="147">
        <f>IF(AH575=0,0,AH592)</f>
        <v>0</v>
      </c>
      <c r="AI594" s="147">
        <f>IF(AI575=0,0,AI592)</f>
        <v>0</v>
      </c>
      <c r="AJ594" s="147">
        <f>IF(AJ575=0,0,AJ592)</f>
        <v>0</v>
      </c>
      <c r="AK594" s="147">
        <f>IF(AK575=0,0,AK592)</f>
        <v>0</v>
      </c>
    </row>
    <row r="595" spans="10:38">
      <c r="J595" s="139" t="s">
        <v>1361</v>
      </c>
      <c r="K595" s="140">
        <f>K594*K578/K577</f>
        <v>10.346158729820468</v>
      </c>
      <c r="L595" s="140">
        <f>L594*L578/L577</f>
        <v>10.346158729820468</v>
      </c>
      <c r="M595" s="145">
        <f>L595/K595</f>
        <v>1</v>
      </c>
      <c r="N595" s="139" t="s">
        <v>1175</v>
      </c>
      <c r="O595" s="144">
        <f>O589/K583</f>
        <v>2142.8571428571431</v>
      </c>
      <c r="P595" s="144">
        <f>H82*P578^G179</f>
        <v>2142.8571428571431</v>
      </c>
      <c r="Q595" s="140">
        <f t="shared" si="113"/>
        <v>1</v>
      </c>
      <c r="T595" s="147"/>
      <c r="U595" s="141"/>
      <c r="V595" s="141"/>
      <c r="W595" s="138"/>
      <c r="X595" s="138"/>
      <c r="Z595" s="138" t="s">
        <v>689</v>
      </c>
      <c r="AA595" s="140">
        <f>($AF584*SIN(AA577)^2+$AF585*COS(AA577)^2)*S580</f>
        <v>0</v>
      </c>
      <c r="AB595" s="140">
        <f>($AF584*SIN(AB577)^2+$AF585*COS(AB577)^2)*T580</f>
        <v>0</v>
      </c>
      <c r="AC595" s="140">
        <f>($AF584*SIN(AC577)^2+$AF585*COS(AC577)^2)*U580</f>
        <v>0</v>
      </c>
      <c r="AD595" s="140">
        <f>($AF584*SIN(AD577)^2+$AF585*COS(AD577)^2)*V580</f>
        <v>0</v>
      </c>
      <c r="AE595" s="163">
        <f>SUM(AA595:AD595)</f>
        <v>0</v>
      </c>
      <c r="AF595" s="163"/>
      <c r="AG595" s="139" t="s">
        <v>1364</v>
      </c>
      <c r="AH595" s="138">
        <f>(S610-P582*P579)/1000000-P585*P575</f>
        <v>3.7599999999999944E-4</v>
      </c>
      <c r="AI595" s="138">
        <f>(T610-P582*P579)/1000000-P585*P575</f>
        <v>3.7599999999999965E-4</v>
      </c>
      <c r="AJ595" s="157">
        <f>(U610-P582*P579)/1000000-P585*P575</f>
        <v>3.7599999999999944E-4</v>
      </c>
      <c r="AK595" s="157">
        <f>(V610-P582*P579)/1000000-P585*P575</f>
        <v>3.7599999999999965E-4</v>
      </c>
      <c r="AL595" s="163"/>
    </row>
    <row r="596" spans="10:38">
      <c r="J596" s="139" t="s">
        <v>1365</v>
      </c>
      <c r="K596" s="140">
        <f>K595*K579</f>
        <v>2.8969244443497315</v>
      </c>
      <c r="L596" s="140">
        <f>L595*L579</f>
        <v>2.8969244443497315</v>
      </c>
      <c r="M596" s="145">
        <f>L596/K596</f>
        <v>1</v>
      </c>
      <c r="N596" s="139" t="s">
        <v>1176</v>
      </c>
      <c r="O596" s="144">
        <f>O591</f>
        <v>40</v>
      </c>
      <c r="P596" s="144">
        <f>G82*P578^H178</f>
        <v>40</v>
      </c>
      <c r="Q596" s="140">
        <f t="shared" si="113"/>
        <v>1</v>
      </c>
      <c r="R596" s="137" t="s">
        <v>1185</v>
      </c>
      <c r="U596" s="141"/>
      <c r="W596" s="138"/>
      <c r="X596" s="138"/>
      <c r="AA596" s="140"/>
      <c r="AE596" s="163"/>
      <c r="AF596" s="163"/>
      <c r="AG596" s="139" t="s">
        <v>1367</v>
      </c>
      <c r="AH596" s="138">
        <f>(S611-P583*P579)/1000000-P586*P575</f>
        <v>-3.7600000000000047E-4</v>
      </c>
      <c r="AI596" s="138">
        <f>(T611-P583*P579)/1000000-P586*P575</f>
        <v>-3.7600000000000047E-4</v>
      </c>
      <c r="AJ596" s="157">
        <f>(U611-P583*P579)/1000000-P586*P575</f>
        <v>-3.7600000000000047E-4</v>
      </c>
      <c r="AK596" s="157">
        <f>(V611-P583*P579)/1000000-P586*P575</f>
        <v>-3.7600000000000047E-4</v>
      </c>
      <c r="AL596" s="163"/>
    </row>
    <row r="597" spans="10:38">
      <c r="J597" s="139" t="s">
        <v>1370</v>
      </c>
      <c r="K597" s="140">
        <f>K580</f>
        <v>7.17</v>
      </c>
      <c r="L597" s="140">
        <f>L580</f>
        <v>7.17</v>
      </c>
      <c r="M597" s="145">
        <f>L597/K597</f>
        <v>1</v>
      </c>
      <c r="R597" s="143" t="s">
        <v>695</v>
      </c>
      <c r="S597" s="147">
        <f>S580*COS(S578)</f>
        <v>0</v>
      </c>
      <c r="T597" s="147">
        <f>T580*COS(T578)</f>
        <v>0</v>
      </c>
      <c r="U597" s="147">
        <f>U580*COS(U578)</f>
        <v>0</v>
      </c>
      <c r="V597" s="147">
        <f>V580*COS(V578)</f>
        <v>0</v>
      </c>
      <c r="W597" s="147">
        <f>SUM(S597:V597)</f>
        <v>0</v>
      </c>
      <c r="X597" s="138"/>
      <c r="AF597" s="163"/>
      <c r="AG597" s="139" t="s">
        <v>1372</v>
      </c>
      <c r="AH597" s="138">
        <f>S625/1000000</f>
        <v>0</v>
      </c>
      <c r="AI597" s="138">
        <f>T625/1000000</f>
        <v>0</v>
      </c>
      <c r="AJ597" s="157">
        <f>U625/1000000</f>
        <v>0</v>
      </c>
      <c r="AK597" s="157">
        <f>V625/1000000</f>
        <v>0</v>
      </c>
      <c r="AL597" s="163"/>
    </row>
    <row r="598" spans="10:38">
      <c r="J598" s="138" t="s">
        <v>1510</v>
      </c>
      <c r="K598" s="140"/>
      <c r="L598" s="140"/>
      <c r="N598" s="138" t="s">
        <v>1375</v>
      </c>
      <c r="R598" s="139" t="s">
        <v>696</v>
      </c>
      <c r="S598" s="147">
        <f>S580*SIN(S578)</f>
        <v>0</v>
      </c>
      <c r="T598" s="147">
        <f>T580*SIN(T578)</f>
        <v>0</v>
      </c>
      <c r="U598" s="147">
        <f>U580*SIN(U578)</f>
        <v>0</v>
      </c>
      <c r="V598" s="147">
        <f>V580*SIN(V578)</f>
        <v>0</v>
      </c>
      <c r="W598" s="147">
        <f>SUM(S598:V598)</f>
        <v>0</v>
      </c>
      <c r="X598" s="138"/>
      <c r="AF598" s="163"/>
      <c r="AG598" s="163"/>
      <c r="AH598" s="163"/>
      <c r="AI598" s="163"/>
      <c r="AJ598" s="163"/>
      <c r="AK598" s="163"/>
      <c r="AL598" s="163"/>
    </row>
    <row r="599" spans="10:38">
      <c r="J599" s="139" t="s">
        <v>1380</v>
      </c>
      <c r="K599" s="140">
        <f>(3*K594+3*K595+2*K596+4*K597)/8</f>
        <v>76.368217701426829</v>
      </c>
      <c r="L599" s="140">
        <f>(3*L594+3*L595+2*L596+4*L597)/8</f>
        <v>76.368217701426843</v>
      </c>
      <c r="M599" s="145">
        <f>L599/K599</f>
        <v>1.0000000000000002</v>
      </c>
      <c r="N599" s="139" t="s">
        <v>1381</v>
      </c>
      <c r="O599" s="140">
        <f>1/O589/O590*1000000</f>
        <v>0.44444444444444442</v>
      </c>
      <c r="P599" s="140">
        <f>1/P589/P590*1000000</f>
        <v>0.44444444444444442</v>
      </c>
      <c r="Q599" s="140">
        <f>P599/O599</f>
        <v>1</v>
      </c>
      <c r="R599" s="139"/>
      <c r="S599" s="138" t="s">
        <v>698</v>
      </c>
      <c r="T599" s="137"/>
      <c r="U599" s="143" t="s">
        <v>700</v>
      </c>
      <c r="V599" s="137"/>
      <c r="W599" s="137" t="s">
        <v>702</v>
      </c>
      <c r="X599" s="138"/>
      <c r="Y599" s="137" t="s">
        <v>704</v>
      </c>
      <c r="Z599" s="137" t="s">
        <v>705</v>
      </c>
      <c r="AA599" s="138" t="s">
        <v>706</v>
      </c>
      <c r="AB599" s="139"/>
      <c r="AC599" s="139"/>
      <c r="AF599" s="138"/>
      <c r="AG599" s="159" t="s">
        <v>1383</v>
      </c>
      <c r="AH599" s="166">
        <f>P605*AH595^2+2*P607*AH595*AH596+P606*AH596^2+P608*AH597^2</f>
        <v>4.0749146542514705E-3</v>
      </c>
      <c r="AI599" s="163">
        <f>P605*AI595^2+2*P607*AI595*AI596+P606*AI596^2+P608*AI597^2</f>
        <v>4.0749146542514731E-3</v>
      </c>
      <c r="AJ599" s="163">
        <f>P605*AJ595^2+2*P607*AJ595*AJ596+P606*AJ596^2+P608*AJ597^2</f>
        <v>4.0749146542514705E-3</v>
      </c>
      <c r="AK599" s="163">
        <f>P605*AK595^2+2*P607*AK595*AK596+P606*AK596^2+P608*AK597^2</f>
        <v>4.0749146542514731E-3</v>
      </c>
      <c r="AL599" s="163"/>
    </row>
    <row r="600" spans="10:38">
      <c r="J600" s="139" t="s">
        <v>1384</v>
      </c>
      <c r="K600" s="140">
        <f>(K594-K595)/2</f>
        <v>85.732490057298719</v>
      </c>
      <c r="L600" s="140">
        <f>(L594-L595)/2</f>
        <v>85.732490057298733</v>
      </c>
      <c r="M600" s="145">
        <f>L600/K600</f>
        <v>1.0000000000000002</v>
      </c>
      <c r="N600" s="139" t="s">
        <v>1385</v>
      </c>
      <c r="O600" s="140">
        <f>1/O591/O592*1000000</f>
        <v>101.6260162601626</v>
      </c>
      <c r="P600" s="140">
        <f>1/P591/P592*1000000</f>
        <v>101.6260162601626</v>
      </c>
      <c r="Q600" s="140">
        <f>P600/O600</f>
        <v>1</v>
      </c>
      <c r="R600" s="139">
        <v>1</v>
      </c>
      <c r="S600" s="138">
        <f>(S604*W580+S605*W597)</f>
        <v>0</v>
      </c>
      <c r="T600" s="138"/>
      <c r="U600" s="138">
        <f>(T604*W580+T605*W597)</f>
        <v>0</v>
      </c>
      <c r="V600" s="147"/>
      <c r="W600" s="138">
        <f>S600*P579+U600*P575</f>
        <v>0</v>
      </c>
      <c r="X600" s="147"/>
      <c r="Y600" s="138">
        <f t="shared" ref="Y600:AA602" si="114">Y548</f>
        <v>11.259999999999984</v>
      </c>
      <c r="Z600" s="138">
        <f t="shared" si="114"/>
        <v>0.29999999999999954</v>
      </c>
      <c r="AA600" s="138">
        <f t="shared" si="114"/>
        <v>373.99999999999937</v>
      </c>
      <c r="AB600" s="147"/>
      <c r="AC600" s="147"/>
      <c r="AF600" s="138"/>
      <c r="AG600" s="159" t="s">
        <v>1387</v>
      </c>
      <c r="AH600" s="166">
        <f>P609*AH595+P610*AH596</f>
        <v>-5.8636980773925068E-2</v>
      </c>
      <c r="AI600" s="163">
        <f>P609*AI595+P610*AI596</f>
        <v>-5.8636980773925054E-2</v>
      </c>
      <c r="AJ600" s="163">
        <f>P609*AJ595+P610*AJ596</f>
        <v>-5.8636980773925068E-2</v>
      </c>
      <c r="AK600" s="163">
        <f>P609*AK595+P610*AK596</f>
        <v>-5.8636980773925054E-2</v>
      </c>
      <c r="AL600" s="163"/>
    </row>
    <row r="601" spans="10:38">
      <c r="J601" s="139" t="s">
        <v>1388</v>
      </c>
      <c r="K601" s="140">
        <f>(K594+K595-2*K596-4*K597)/8</f>
        <v>19.710431085692363</v>
      </c>
      <c r="L601" s="140">
        <f>(L594+L595-2*L596-4*L597)/8</f>
        <v>19.710431085692367</v>
      </c>
      <c r="M601" s="145">
        <f>L601/K601</f>
        <v>1.0000000000000002</v>
      </c>
      <c r="N601" s="139" t="s">
        <v>1389</v>
      </c>
      <c r="O601" s="140">
        <f>O594*(O599*O600)^0.5</f>
        <v>-3.3603243272729659</v>
      </c>
      <c r="P601" s="140">
        <f>P594*(P599*P600)^0.5</f>
        <v>-3.3603243272729659</v>
      </c>
      <c r="Q601" s="140">
        <f>P601/O601</f>
        <v>1</v>
      </c>
      <c r="R601" s="139">
        <v>2</v>
      </c>
      <c r="S601" s="138">
        <f>(S604*W580-S605*W597)</f>
        <v>0</v>
      </c>
      <c r="T601" s="138"/>
      <c r="U601" s="138">
        <f>(T604*W580-T605*W597)</f>
        <v>0</v>
      </c>
      <c r="V601" s="147"/>
      <c r="W601" s="138">
        <f>S601*P579+U601*P575</f>
        <v>0</v>
      </c>
      <c r="X601" s="147"/>
      <c r="Y601" s="138">
        <f t="shared" si="114"/>
        <v>11.259999999999993</v>
      </c>
      <c r="Z601" s="138">
        <f t="shared" si="114"/>
        <v>0.29999999999999977</v>
      </c>
      <c r="AA601" s="138">
        <f t="shared" si="114"/>
        <v>373.99999999999966</v>
      </c>
      <c r="AB601" s="147"/>
      <c r="AC601" s="147"/>
      <c r="AF601" s="138"/>
      <c r="AG601" s="159" t="s">
        <v>1390</v>
      </c>
      <c r="AH601" s="166">
        <f>AH599+AH600</f>
        <v>-5.4562066119673597E-2</v>
      </c>
      <c r="AI601" s="163">
        <f>AI599+AI600</f>
        <v>-5.4562066119673583E-2</v>
      </c>
      <c r="AJ601" s="163">
        <f>AJ599+AJ600</f>
        <v>-5.4562066119673597E-2</v>
      </c>
      <c r="AK601" s="163">
        <f>AK599+AK600</f>
        <v>-5.4562066119673583E-2</v>
      </c>
      <c r="AL601" s="163"/>
    </row>
    <row r="602" spans="10:38">
      <c r="J602" s="139" t="s">
        <v>1391</v>
      </c>
      <c r="K602" s="140">
        <f>(K594+K595+6*K596-4*K597)/8</f>
        <v>22.607355530042096</v>
      </c>
      <c r="L602" s="140">
        <f>(L594+L595+6*L596-4*L597)/8</f>
        <v>22.607355530042099</v>
      </c>
      <c r="M602" s="145">
        <f>L602/K602</f>
        <v>1.0000000000000002</v>
      </c>
      <c r="N602" s="139" t="s">
        <v>1392</v>
      </c>
      <c r="O602" s="140">
        <f>1/O593^2*1000000</f>
        <v>216.26297577854672</v>
      </c>
      <c r="P602" s="140">
        <f>1/P593^2*1000000</f>
        <v>216.26297577854672</v>
      </c>
      <c r="Q602" s="140">
        <f>P602/O602</f>
        <v>1</v>
      </c>
      <c r="R602" s="139">
        <v>6</v>
      </c>
      <c r="S602" s="139">
        <f>S605*W598</f>
        <v>0</v>
      </c>
      <c r="T602" s="138"/>
      <c r="U602" s="139">
        <f>T605*W598</f>
        <v>0</v>
      </c>
      <c r="V602" s="147"/>
      <c r="W602" s="138">
        <f>S602*P579+U602*P575</f>
        <v>0</v>
      </c>
      <c r="X602" s="147"/>
      <c r="Y602" s="138">
        <f t="shared" si="114"/>
        <v>-22.479999999999976</v>
      </c>
      <c r="Z602" s="138">
        <f t="shared" si="114"/>
        <v>-0.5999999999999992</v>
      </c>
      <c r="AA602" s="138">
        <f t="shared" si="114"/>
        <v>-397.02012514617672</v>
      </c>
      <c r="AB602" s="147"/>
      <c r="AC602" s="147"/>
      <c r="AF602" s="138"/>
      <c r="AG602" s="159" t="s">
        <v>1395</v>
      </c>
      <c r="AH602" s="166">
        <f>-1+AH601</f>
        <v>-1.0545620661196735</v>
      </c>
      <c r="AI602" s="163">
        <f>-1+AI601</f>
        <v>-1.0545620661196735</v>
      </c>
      <c r="AJ602" s="163">
        <f>-1+AJ601</f>
        <v>-1.0545620661196735</v>
      </c>
      <c r="AK602" s="163">
        <f>-1+AK601</f>
        <v>-1.0545620661196735</v>
      </c>
      <c r="AL602" s="163"/>
    </row>
    <row r="603" spans="10:38">
      <c r="J603" s="139" t="s">
        <v>1396</v>
      </c>
      <c r="K603" s="140">
        <f>(K599-K602)/2</f>
        <v>26.880431085692365</v>
      </c>
      <c r="L603" s="140">
        <f>(L599-L602)/2</f>
        <v>26.880431085692372</v>
      </c>
      <c r="M603" s="145">
        <f>L603/K603</f>
        <v>1.0000000000000002</v>
      </c>
      <c r="N603" s="139" t="s">
        <v>1397</v>
      </c>
      <c r="O603" s="140">
        <f>(1/O589-1/O590)*1000</f>
        <v>0</v>
      </c>
      <c r="P603" s="140">
        <f>(1/P589-1/P590)*1000</f>
        <v>0</v>
      </c>
      <c r="Q603" s="140">
        <f>IF(O603=0,1,P603/O603)</f>
        <v>1</v>
      </c>
      <c r="R603" s="143"/>
      <c r="S603" s="143" t="s">
        <v>709</v>
      </c>
      <c r="T603" s="143" t="s">
        <v>710</v>
      </c>
      <c r="U603" s="143"/>
      <c r="V603" s="141"/>
      <c r="W603" s="138"/>
      <c r="X603" s="139" t="s">
        <v>711</v>
      </c>
      <c r="Y603" s="138">
        <f>(Y600+Y601)/2</f>
        <v>11.259999999999987</v>
      </c>
      <c r="Z603" s="138">
        <f>(Z600+Z601)/2</f>
        <v>0.29999999999999966</v>
      </c>
      <c r="AA603" s="138">
        <f>(AA600+AA601)/2</f>
        <v>373.99999999999955</v>
      </c>
      <c r="AF603" s="138"/>
      <c r="AG603" s="159" t="s">
        <v>1399</v>
      </c>
      <c r="AH603" s="166">
        <f>2*(P605*AH579*AH595+P606*AH580*AH596+P607*(AH579*AH596+AH595*AH580)+P608*AH581*AH597)</f>
        <v>0</v>
      </c>
      <c r="AI603" s="163">
        <f>2*(P605*AI579*AI595+P606*AI580*AI596+P607*(AI579*AI596+AI595*AI580)+P608*AI581*AI597)</f>
        <v>0</v>
      </c>
      <c r="AJ603" s="163">
        <f>2*(P605*AJ579*AJ595+P606*AJ580*AJ596+P607*(AJ579*AJ596+AJ595*AJ580)+P608*AJ581*AJ597)</f>
        <v>0</v>
      </c>
      <c r="AK603" s="163">
        <f>2*(P605*AK579*AK595+P606*AK580*AK596+P607*(AK579*AK596+AK595*AK580)+P608*AK581*AK597)</f>
        <v>0</v>
      </c>
      <c r="AL603" s="163"/>
    </row>
    <row r="604" spans="10:38">
      <c r="J604" s="138" t="s">
        <v>1400</v>
      </c>
      <c r="N604" s="139" t="s">
        <v>1401</v>
      </c>
      <c r="O604" s="140">
        <f>(1/O591-1/O592)*1000</f>
        <v>20.934959349593495</v>
      </c>
      <c r="P604" s="140">
        <f>(1/P591-1/P592)*1000</f>
        <v>20.934959349593495</v>
      </c>
      <c r="Q604" s="140">
        <f t="shared" ref="Q604:Q610" si="115">P604/O604</f>
        <v>1</v>
      </c>
      <c r="R604" s="167" t="s">
        <v>711</v>
      </c>
      <c r="S604" s="138">
        <f>((K594+K596)*P582+(L596+L595)*P583)/2/1000000</f>
        <v>1.5083176634230242E-4</v>
      </c>
      <c r="T604" s="138">
        <f>((L594+L596)*P585+(L596+L595)*P586)/2</f>
        <v>3.9729249522510592</v>
      </c>
      <c r="U604" s="143"/>
      <c r="V604" s="141"/>
      <c r="W604" s="138"/>
      <c r="X604" s="143" t="s">
        <v>712</v>
      </c>
      <c r="Y604" s="164">
        <f>(Y600-Y601)/2</f>
        <v>-4.4408920985006262E-15</v>
      </c>
      <c r="Z604" s="164">
        <f>(Z600-Z601)/2</f>
        <v>-1.1102230246251565E-16</v>
      </c>
      <c r="AA604" s="164">
        <f>(AA600-AA601)/2</f>
        <v>-1.4210854715202004E-13</v>
      </c>
      <c r="AF604" s="138"/>
      <c r="AG604" s="159" t="s">
        <v>1403</v>
      </c>
      <c r="AH604" s="166">
        <f>AH603+AH587</f>
        <v>0</v>
      </c>
      <c r="AI604" s="163">
        <f>AI603+AI587</f>
        <v>0</v>
      </c>
      <c r="AJ604" s="163">
        <f>AJ603+AJ587</f>
        <v>0</v>
      </c>
      <c r="AK604" s="163">
        <f>AK603+AK587</f>
        <v>0</v>
      </c>
      <c r="AL604" s="163"/>
    </row>
    <row r="605" spans="10:38">
      <c r="J605" s="139" t="s">
        <v>1404</v>
      </c>
      <c r="K605" s="140">
        <f>(1-(K602/K599)^2)*K599</f>
        <v>69.675740916648124</v>
      </c>
      <c r="L605" s="140">
        <f>(1-(L602/L599)^2)*L599</f>
        <v>69.675740916648138</v>
      </c>
      <c r="M605" s="140">
        <f>L605/K605</f>
        <v>1.0000000000000002</v>
      </c>
      <c r="N605" s="139" t="s">
        <v>1405</v>
      </c>
      <c r="O605" s="144">
        <f>(O599*K594^2+2*O601*K594*K596+O600*K596^2)</f>
        <v>12004.38353147296</v>
      </c>
      <c r="P605" s="144">
        <f>(P599*L594^2+2*P601*L594*L596+P600*L596^2)</f>
        <v>12004.38353147296</v>
      </c>
      <c r="Q605" s="140">
        <f t="shared" si="115"/>
        <v>1</v>
      </c>
      <c r="R605" s="167" t="s">
        <v>712</v>
      </c>
      <c r="S605" s="138">
        <f>((L594-L596)*P582+(L596-L595)*P583)/2/1000000</f>
        <v>-8.2014743567545106E-5</v>
      </c>
      <c r="T605" s="138">
        <f>((L594-L596)*P585+(L596-L595)*P586)/2</f>
        <v>-2.234770285641221</v>
      </c>
      <c r="U605" s="143"/>
      <c r="V605" s="141"/>
      <c r="W605" s="138"/>
      <c r="X605" s="143" t="s">
        <v>714</v>
      </c>
      <c r="Y605" s="164">
        <f>Y602/2</f>
        <v>-11.239999999999988</v>
      </c>
      <c r="Z605" s="164">
        <f>Z602/2</f>
        <v>-0.2999999999999996</v>
      </c>
      <c r="AA605" s="164">
        <f>AA602/2</f>
        <v>-198.51006257308836</v>
      </c>
      <c r="AG605" s="159" t="s">
        <v>1412</v>
      </c>
      <c r="AH605" s="166" t="e">
        <f>AH604/2/AH586</f>
        <v>#DIV/0!</v>
      </c>
      <c r="AI605" s="163" t="e">
        <f>AI604/2/AI586</f>
        <v>#DIV/0!</v>
      </c>
      <c r="AJ605" s="163" t="e">
        <f>AJ604/2/AJ586</f>
        <v>#DIV/0!</v>
      </c>
      <c r="AK605" s="163" t="e">
        <f>AK604/2/AK586</f>
        <v>#DIV/0!</v>
      </c>
      <c r="AL605" s="163"/>
    </row>
    <row r="606" spans="10:38">
      <c r="J606" s="139" t="s">
        <v>1414</v>
      </c>
      <c r="K606" s="140">
        <f>K602/K599</f>
        <v>0.29603094337527941</v>
      </c>
      <c r="L606" s="140">
        <f>L602/L599</f>
        <v>0.29603094337527941</v>
      </c>
      <c r="M606" s="140">
        <f>L606/K606</f>
        <v>1</v>
      </c>
      <c r="N606" s="139" t="s">
        <v>1415</v>
      </c>
      <c r="O606" s="144">
        <f>(O599*K596^2+2*O601*K596*K595+O600*K595^2)</f>
        <v>10680.652008265077</v>
      </c>
      <c r="P606" s="144">
        <f>(P599*L596^2+2*P601*L596*L595+P600*L595^2)</f>
        <v>10680.652008265077</v>
      </c>
      <c r="Q606" s="140">
        <f t="shared" si="115"/>
        <v>1</v>
      </c>
      <c r="R606" s="139" t="s">
        <v>715</v>
      </c>
      <c r="S606" s="138">
        <f>Y603+Y604*COS(S578)+Y605*SIN(S578)</f>
        <v>11.259999999999984</v>
      </c>
      <c r="T606" s="138">
        <f>Y603+Y604*COS(T578)+Y605*SIN(T578)</f>
        <v>11.259999999999989</v>
      </c>
      <c r="U606" s="138">
        <f>Y603+Y604*COS(U578)+Y605*SIN(U578)</f>
        <v>11.259999999999984</v>
      </c>
      <c r="V606" s="138">
        <f>Y603+Y604*COS(V578)+Y605*SIN(V578)</f>
        <v>11.259999999999989</v>
      </c>
      <c r="W606" s="138"/>
      <c r="Y606" s="164"/>
      <c r="AC606" s="140"/>
      <c r="AG606" s="159"/>
      <c r="AH606" s="147"/>
      <c r="AI606" s="163"/>
      <c r="AJ606" s="163"/>
      <c r="AK606" s="163"/>
      <c r="AL606" s="163"/>
    </row>
    <row r="607" spans="10:38">
      <c r="J607" s="139" t="s">
        <v>716</v>
      </c>
      <c r="K607" s="138">
        <f>(1-L579^2*L578/L577)*L578/(1-L579^2*L578/L577-L592^2-L579^2*L578/L577-2*L579^2*L578/L577*L592)</f>
        <v>13.920484365408951</v>
      </c>
      <c r="N607" s="139" t="s">
        <v>1416</v>
      </c>
      <c r="O607" s="144">
        <f>(O599*K594*K596+O601*(K594*K595+K596^2)+O600*K596*K595)</f>
        <v>-3069.103206291968</v>
      </c>
      <c r="P607" s="144">
        <f>(P599*L594*L596+P601*(L594*L595+L596^2)+P600*L596*L595)</f>
        <v>-3069.1032062919689</v>
      </c>
      <c r="Q607" s="140">
        <f t="shared" si="115"/>
        <v>1.0000000000000002</v>
      </c>
      <c r="R607" s="139" t="s">
        <v>717</v>
      </c>
      <c r="S607" s="138">
        <f>2*Y603-S606</f>
        <v>11.259999999999991</v>
      </c>
      <c r="T607" s="138">
        <f>2*Y603-T606</f>
        <v>11.259999999999986</v>
      </c>
      <c r="U607" s="138">
        <f>2*Y603-U606</f>
        <v>11.259999999999991</v>
      </c>
      <c r="V607" s="138">
        <f>2*Y603-V606</f>
        <v>11.259999999999986</v>
      </c>
      <c r="W607" s="138"/>
      <c r="Y607" s="164"/>
      <c r="AC607" s="140"/>
      <c r="AG607" s="159"/>
      <c r="AH607" s="147"/>
      <c r="AI607" s="163"/>
      <c r="AJ607" s="163"/>
      <c r="AK607" s="163"/>
      <c r="AL607" s="163"/>
    </row>
    <row r="608" spans="10:38">
      <c r="J608" s="139" t="s">
        <v>1193</v>
      </c>
      <c r="K608" s="140">
        <f>D178</f>
        <v>1.6</v>
      </c>
      <c r="L608" s="140">
        <f>L609*(1-L583)+L610*L583</f>
        <v>1.6</v>
      </c>
      <c r="M608" s="140">
        <f>L608/K608</f>
        <v>1</v>
      </c>
      <c r="N608" s="139" t="s">
        <v>1418</v>
      </c>
      <c r="O608" s="144">
        <f>O602*K597^2</f>
        <v>11117.841695501729</v>
      </c>
      <c r="P608" s="144">
        <f>P602*L597^2</f>
        <v>11117.841695501729</v>
      </c>
      <c r="Q608" s="140">
        <f t="shared" si="115"/>
        <v>1</v>
      </c>
      <c r="R608" s="139" t="s">
        <v>124</v>
      </c>
      <c r="S608" s="138">
        <f>Z603+Z604*COS(S578)+Z605*SIN(S578)</f>
        <v>0.29999999999999954</v>
      </c>
      <c r="T608" s="138">
        <f>Z603+Z604*COS(T578)+Z605*SIN(T578)</f>
        <v>0.29999999999999971</v>
      </c>
      <c r="U608" s="138">
        <f>Z603+Z604*COS(U578)+Z605*SIN(U578)</f>
        <v>0.29999999999999954</v>
      </c>
      <c r="V608" s="138">
        <f>Z603+Z604*COS(V578)+Z605*SIN(V578)</f>
        <v>0.29999999999999971</v>
      </c>
      <c r="W608" s="138"/>
      <c r="Y608" s="164"/>
      <c r="AC608" s="140"/>
      <c r="AG608" s="159"/>
      <c r="AH608" s="147"/>
      <c r="AI608" s="163"/>
      <c r="AJ608" s="163"/>
      <c r="AK608" s="163"/>
      <c r="AL608" s="159" t="s">
        <v>1421</v>
      </c>
    </row>
    <row r="609" spans="10:38">
      <c r="J609" s="139" t="s">
        <v>274</v>
      </c>
      <c r="K609" s="140">
        <f>F177</f>
        <v>1.2</v>
      </c>
      <c r="L609" s="140">
        <f>K609</f>
        <v>1.2</v>
      </c>
      <c r="M609" s="140">
        <f>L609/K609</f>
        <v>1</v>
      </c>
      <c r="N609" s="139" t="s">
        <v>1422</v>
      </c>
      <c r="O609" s="144">
        <f>(O603*K594+O604*K596)</f>
        <v>60.646995481305353</v>
      </c>
      <c r="P609" s="144">
        <f>(P603*L594+P604*L596)</f>
        <v>60.646995481305353</v>
      </c>
      <c r="Q609" s="140">
        <f t="shared" si="115"/>
        <v>1</v>
      </c>
      <c r="R609" s="167" t="s">
        <v>125</v>
      </c>
      <c r="S609" s="138">
        <f>2*Z603-S608</f>
        <v>0.29999999999999977</v>
      </c>
      <c r="T609" s="138">
        <f>2*Z603-T608</f>
        <v>0.2999999999999996</v>
      </c>
      <c r="U609" s="138">
        <f>2*Z603-U608</f>
        <v>0.29999999999999977</v>
      </c>
      <c r="V609" s="138">
        <f>2*Z603-V608</f>
        <v>0.2999999999999996</v>
      </c>
      <c r="W609" s="138"/>
      <c r="Y609" s="164"/>
      <c r="Z609" s="164"/>
      <c r="AA609" s="147"/>
      <c r="AB609" s="147"/>
      <c r="AC609" s="147"/>
      <c r="AD609" s="147"/>
      <c r="AG609" s="139" t="s">
        <v>1424</v>
      </c>
      <c r="AH609" s="147" t="e">
        <f>(AH605^2-AH602/AH586)^0.5-AH605</f>
        <v>#DIV/0!</v>
      </c>
      <c r="AI609" s="147" t="e">
        <f>(AI605^2-AI602/AI586)^0.5-AI605</f>
        <v>#DIV/0!</v>
      </c>
      <c r="AJ609" s="147" t="e">
        <f>(AJ605^2-AJ602/AJ586)^0.5-AJ605</f>
        <v>#DIV/0!</v>
      </c>
      <c r="AK609" s="147" t="e">
        <f>(AK605^2-AK602/AK586)^0.5-AK605</f>
        <v>#DIV/0!</v>
      </c>
      <c r="AL609" s="147">
        <f>MIN(AH610:AK610)</f>
        <v>1000000000</v>
      </c>
    </row>
    <row r="610" spans="10:38">
      <c r="J610" s="139" t="s">
        <v>1195</v>
      </c>
      <c r="K610" s="140">
        <f>(K608-K609*(1-K583))/K583</f>
        <v>1.7714285714285716</v>
      </c>
      <c r="L610" s="140">
        <f>K610</f>
        <v>1.7714285714285716</v>
      </c>
      <c r="M610" s="140">
        <f>L610/K610</f>
        <v>1</v>
      </c>
      <c r="N610" s="139" t="s">
        <v>1426</v>
      </c>
      <c r="O610" s="144">
        <f>(O603*K596+O604*K595)</f>
        <v>216.59641243323335</v>
      </c>
      <c r="P610" s="144">
        <f>(P603*L596+P604*L595)</f>
        <v>216.59641243323335</v>
      </c>
      <c r="Q610" s="140">
        <f t="shared" si="115"/>
        <v>1</v>
      </c>
      <c r="R610" s="139" t="s">
        <v>126</v>
      </c>
      <c r="S610" s="138">
        <f>AA603+AA604*COS(S578)+AA605*SIN(S578)</f>
        <v>373.99999999999943</v>
      </c>
      <c r="T610" s="138">
        <f>AA603+AA604*COS(T578)+AA605*SIN(T578)</f>
        <v>373.99999999999966</v>
      </c>
      <c r="U610" s="138">
        <f>AA603+AA604*COS(U578)+AA605*SIN(U578)</f>
        <v>373.99999999999943</v>
      </c>
      <c r="V610" s="138">
        <f>AA603+AA604*COS(V578)+AA605*SIN(V578)</f>
        <v>373.99999999999966</v>
      </c>
      <c r="W610" s="138"/>
      <c r="Y610" s="164"/>
      <c r="Z610" s="164"/>
      <c r="AA610" s="147"/>
      <c r="AB610" s="147"/>
      <c r="AC610" s="147"/>
      <c r="AD610" s="147"/>
      <c r="AG610" s="139" t="s">
        <v>194</v>
      </c>
      <c r="AH610" s="147">
        <f>IF(AH575=0,1000000000,AH609)</f>
        <v>1000000000</v>
      </c>
      <c r="AI610" s="147">
        <f>IF(AI575=0,1000000000,AI609)</f>
        <v>1000000000</v>
      </c>
      <c r="AJ610" s="147">
        <f>IF(AJ575=0,1000000000,AJ609)</f>
        <v>1000000000</v>
      </c>
      <c r="AK610" s="147">
        <f>IF(AK575=0,1000000000,AK609)</f>
        <v>1000000000</v>
      </c>
    </row>
    <row r="611" spans="10:38">
      <c r="L611" s="138" t="s">
        <v>234</v>
      </c>
      <c r="R611" s="139" t="s">
        <v>127</v>
      </c>
      <c r="S611" s="138">
        <f>2*AA603-S610</f>
        <v>373.99999999999966</v>
      </c>
      <c r="T611" s="138">
        <f>2*AA603-T610</f>
        <v>373.99999999999943</v>
      </c>
      <c r="U611" s="138">
        <f>2*AA603-U610</f>
        <v>373.99999999999966</v>
      </c>
      <c r="V611" s="138">
        <f>2*AA603-V610</f>
        <v>373.99999999999943</v>
      </c>
      <c r="W611" s="138"/>
      <c r="Y611" s="164"/>
      <c r="Z611" s="164" t="s">
        <v>129</v>
      </c>
      <c r="AA611" s="147"/>
      <c r="AB611" s="147"/>
      <c r="AC611" s="147"/>
      <c r="AD611" s="147"/>
      <c r="AG611" s="139" t="s">
        <v>194</v>
      </c>
      <c r="AH611" s="147">
        <f>IF(AH575=0,0,AH609)</f>
        <v>0</v>
      </c>
      <c r="AI611" s="147">
        <f>IF(AI575=0,0,AI609)</f>
        <v>0</v>
      </c>
      <c r="AJ611" s="147">
        <f>IF(AJ575=0,0,AJ609)</f>
        <v>0</v>
      </c>
      <c r="AK611" s="147">
        <f>IF(AK575=0,0,AK609)</f>
        <v>0</v>
      </c>
    </row>
    <row r="612" spans="10:38">
      <c r="J612" s="139" t="s">
        <v>134</v>
      </c>
      <c r="K612" s="138">
        <f>(1-L592^2)*O613*L577</f>
        <v>184.28877056365894</v>
      </c>
      <c r="L612" s="139" t="s">
        <v>135</v>
      </c>
      <c r="M612" s="138">
        <f>L579*(1+L592)*O613*L578</f>
        <v>5.8728045779623468</v>
      </c>
      <c r="R612" s="139" t="s">
        <v>136</v>
      </c>
      <c r="S612" s="138">
        <f>4*COS(S578/2)^2*SIN(S578/2)^2*$K617+COS(S578/2)^4*$K612+SIN(S578/2)^4*$K613+2*COS(S578/2)^2*SIN(S578/2)^2*$M612</f>
        <v>184.28877056365894</v>
      </c>
      <c r="T612" s="138">
        <f>4*COS(T578/2)^2*SIN(T578/2)^2*$K617+COS(T578/2)^4*$K612+SIN(T578/2)^4*$K613+2*COS(T578/2)^2*SIN(T578/2)^2*$M612</f>
        <v>13.920484365408953</v>
      </c>
      <c r="U612" s="138">
        <f>4*COS(U578/2)^2*SIN(U578/2)^2*$K617+COS(U578/2)^4*$K612+SIN(U578/2)^4*$K613+2*COS(U578/2)^2*SIN(U578/2)^2*$M612</f>
        <v>184.28877056365894</v>
      </c>
      <c r="V612" s="138">
        <f>4*COS(V578/2)^2*SIN(V578/2)^2*$K617+COS(V578/2)^4*$K612+SIN(V578/2)^4*$K613+2*COS(V578/2)^2*SIN(V578/2)^2*$M612</f>
        <v>13.920484365408953</v>
      </c>
      <c r="W612" s="138" t="s">
        <v>137</v>
      </c>
      <c r="X612" s="147">
        <f>S580/S614+T580/T614+U580/U614+V580/V614</f>
        <v>0</v>
      </c>
      <c r="Y612" s="147">
        <f>S580*S612+T580*T612+U580*U612+V580*V612</f>
        <v>0</v>
      </c>
      <c r="Z612" s="164"/>
      <c r="AA612" s="147"/>
      <c r="AB612" s="147"/>
      <c r="AC612" s="147"/>
      <c r="AD612" s="147"/>
      <c r="AG612" s="139"/>
      <c r="AH612" s="147"/>
      <c r="AI612" s="147"/>
      <c r="AJ612" s="147"/>
      <c r="AK612" s="147"/>
    </row>
    <row r="613" spans="10:38">
      <c r="J613" s="139" t="s">
        <v>138</v>
      </c>
      <c r="K613" s="138">
        <f>(1-L579^2*L578/L577)*O613*L578</f>
        <v>13.920484365408953</v>
      </c>
      <c r="L613" s="139" t="s">
        <v>139</v>
      </c>
      <c r="M613" s="138">
        <f>M612</f>
        <v>5.8728045779623468</v>
      </c>
      <c r="N613" s="139" t="s">
        <v>140</v>
      </c>
      <c r="O613" s="138">
        <f>1/((1+L592)*(1-L592-2*L579^2*L578/L577))</f>
        <v>1.3575600041521836</v>
      </c>
      <c r="R613" s="139" t="s">
        <v>141</v>
      </c>
      <c r="S613" s="138">
        <f>4*COS(S578/2)^2*SIN(S578/2)^2*$K617+SIN(S578/2)^4*$K612+COS(S578/2)^4*$K613+2*COS(S578/2)^2*SIN(S578/2)^2*$M612</f>
        <v>13.920484365408953</v>
      </c>
      <c r="T613" s="138">
        <f>4*COS(T578/2)^2*SIN(T578/2)^2*$K617+SIN(T578/2)^4*$K612+COS(T578/2)^4*$K613+2*COS(T578/2)^2*SIN(T578/2)^2*$M612</f>
        <v>184.28877056365894</v>
      </c>
      <c r="U613" s="138">
        <f>4*COS(U578/2)^2*SIN(U578/2)^2*$K617+SIN(U578/2)^4*$K612+COS(U578/2)^4*$K613+2*COS(U578/2)^2*SIN(U578/2)^2*$M612</f>
        <v>13.920484365408953</v>
      </c>
      <c r="V613" s="138">
        <f>4*COS(V578/2)^2*SIN(V578/2)^2*$K617+SIN(V578/2)^4*$K612+COS(V578/2)^4*$K613+2*COS(V578/2)^2*SIN(V578/2)^2*$M612</f>
        <v>184.28877056365894</v>
      </c>
      <c r="W613" s="138" t="s">
        <v>142</v>
      </c>
      <c r="X613" s="141">
        <f>S580*S619/S614+T580*T619/T614+U580*U619/U614+V580*V619/V614</f>
        <v>0</v>
      </c>
      <c r="Y613" s="147">
        <f>S580*S613+T580*T613+U580*U613+V580*V613</f>
        <v>0</v>
      </c>
      <c r="Z613" s="164"/>
      <c r="AA613" s="147"/>
      <c r="AB613" s="147"/>
      <c r="AC613" s="147"/>
      <c r="AD613" s="147"/>
      <c r="AG613" s="139"/>
      <c r="AH613" s="147"/>
      <c r="AI613" s="147"/>
      <c r="AJ613" s="147"/>
      <c r="AK613" s="147"/>
    </row>
    <row r="614" spans="10:38">
      <c r="J614" s="139" t="s">
        <v>146</v>
      </c>
      <c r="K614" s="138">
        <f>K613</f>
        <v>13.920484365408953</v>
      </c>
      <c r="L614" s="139" t="s">
        <v>147</v>
      </c>
      <c r="M614" s="138">
        <f>(L592+L579^2*L578/L577)*O613*L578</f>
        <v>7.053817698742284</v>
      </c>
      <c r="R614" s="139" t="s">
        <v>716</v>
      </c>
      <c r="S614" s="138">
        <f>$K614</f>
        <v>13.920484365408953</v>
      </c>
      <c r="T614" s="138">
        <f>$K614</f>
        <v>13.920484365408953</v>
      </c>
      <c r="U614" s="138">
        <f>$K614</f>
        <v>13.920484365408953</v>
      </c>
      <c r="V614" s="138">
        <f>$K614</f>
        <v>13.920484365408953</v>
      </c>
      <c r="W614" s="138" t="s">
        <v>148</v>
      </c>
      <c r="X614" s="141">
        <f>S580*S620/S614+T580*T620/T614+U580*U620/U614+V580*V620/V614</f>
        <v>0</v>
      </c>
      <c r="Y614" s="164"/>
      <c r="Z614" s="164"/>
      <c r="AA614" s="147"/>
      <c r="AB614" s="147"/>
      <c r="AC614" s="147"/>
      <c r="AD614" s="147"/>
      <c r="AG614" s="139"/>
      <c r="AH614" s="147"/>
      <c r="AI614" s="147"/>
      <c r="AJ614" s="147"/>
      <c r="AK614" s="147"/>
    </row>
    <row r="615" spans="10:38">
      <c r="J615" s="139" t="s">
        <v>152</v>
      </c>
      <c r="K615" s="138">
        <f>(1-L592-2*L579^2*L578/L577)*O613*L578/2</f>
        <v>3.433333333333334</v>
      </c>
      <c r="R615" s="139" t="s">
        <v>153</v>
      </c>
      <c r="S615" s="138">
        <f>COS(S578/2)^2*$K615+SIN(S578/2)^2*$K616</f>
        <v>3.433333333333334</v>
      </c>
      <c r="T615" s="138">
        <f>COS(T578/2)^2*$K615+SIN(T578/2)^2*$K616</f>
        <v>7.17</v>
      </c>
      <c r="U615" s="138">
        <f>COS(U578/2)^2*$K615+SIN(U578/2)^2*$K616</f>
        <v>3.433333333333334</v>
      </c>
      <c r="V615" s="138">
        <f>COS(V578/2)^2*$K615+SIN(V578/2)^2*$K616</f>
        <v>7.17</v>
      </c>
      <c r="W615" s="138" t="s">
        <v>154</v>
      </c>
      <c r="X615" s="141">
        <f>S580*S624/S614+T580*T624/T614+U580*U624/U614+V580*V624/V614</f>
        <v>0</v>
      </c>
      <c r="Y615" s="164"/>
      <c r="Z615" s="164">
        <f>S580*S615/(S615*S616-S621^2)+T580*T615/(T615*T616-T621^2)+U580*U615/(U615*U616-U621^2)+V580*V615/(V615*V616-V621^2)</f>
        <v>0</v>
      </c>
      <c r="AA615" s="147"/>
      <c r="AB615" s="147"/>
      <c r="AC615" s="147"/>
      <c r="AD615" s="147"/>
      <c r="AG615" s="139"/>
      <c r="AH615" s="147"/>
      <c r="AI615" s="147"/>
      <c r="AJ615" s="147"/>
      <c r="AK615" s="147"/>
    </row>
    <row r="616" spans="10:38">
      <c r="J616" s="139" t="s">
        <v>769</v>
      </c>
      <c r="K616" s="140">
        <f>L580</f>
        <v>7.17</v>
      </c>
      <c r="R616" s="139" t="s">
        <v>770</v>
      </c>
      <c r="S616" s="138">
        <f>SIN(S578/2)^2*$K615+COS(S578/2)^2*$K616</f>
        <v>7.17</v>
      </c>
      <c r="T616" s="138">
        <f>SIN(T578/2)^2*$K615+COS(T578/2)^2*$K616</f>
        <v>3.433333333333334</v>
      </c>
      <c r="U616" s="138">
        <f>SIN(U578/2)^2*$K615+COS(U578/2)^2*$K616</f>
        <v>7.17</v>
      </c>
      <c r="V616" s="138">
        <f>SIN(V578/2)^2*$K615+COS(V578/2)^2*$K616</f>
        <v>3.433333333333334</v>
      </c>
      <c r="W616" s="138" t="s">
        <v>771</v>
      </c>
      <c r="X616" s="141">
        <f>S580*S619^2/S614+T580*T619^2/T614+U580*U619^2/U614+V580*V619^2/V614</f>
        <v>0</v>
      </c>
      <c r="Y616" s="164"/>
      <c r="Z616" s="164">
        <f>S580*S616/(S615*S616-S621^2)+T580*T616/(T615*T616-T621^2)+U580*U616/(U615*U616-U621^2)+V580*V616/(V615*V616-V621^2)</f>
        <v>0</v>
      </c>
      <c r="AA616" s="147"/>
      <c r="AB616" s="147"/>
      <c r="AC616" s="147"/>
      <c r="AD616" s="147"/>
      <c r="AG616" s="139"/>
      <c r="AH616" s="147"/>
      <c r="AI616" s="147"/>
      <c r="AJ616" s="147"/>
      <c r="AK616" s="147"/>
    </row>
    <row r="617" spans="10:38">
      <c r="J617" s="139" t="s">
        <v>773</v>
      </c>
      <c r="K617" s="140">
        <f>K616</f>
        <v>7.17</v>
      </c>
      <c r="P617" s="185"/>
      <c r="Q617" s="185"/>
      <c r="R617" s="186" t="s">
        <v>774</v>
      </c>
      <c r="S617" s="185">
        <f>(COS(S578/2)^2-SIN(S578/2)^2)^2*$K617+COS(S578/2)^2*SIN(S578/2)^2*($K612+$K613-2*$M612)</f>
        <v>7.17</v>
      </c>
      <c r="T617" s="185">
        <f>(COS(T578/2)^2-SIN(T578/2)^2)^2*$K617+COS(T578/2)^2*SIN(T578/2)^2*($K612+$K613-2*$M612)</f>
        <v>7.17</v>
      </c>
      <c r="U617" s="185">
        <f>(COS(U578/2)^2-SIN(U578/2)^2)^2*$K617+COS(U578/2)^2*SIN(U578/2)^2*($K612+$K613-2*$M612)</f>
        <v>7.17</v>
      </c>
      <c r="V617" s="185">
        <f>(COS(V578/2)^2-SIN(V578/2)^2)^2*$K617+COS(V578/2)^2*SIN(V578/2)^2*($K612+$K613-2*$M612)</f>
        <v>7.17</v>
      </c>
      <c r="W617" s="185" t="s">
        <v>775</v>
      </c>
      <c r="X617" s="187">
        <f>S580*S620^2/S614+T580*T620^2/T614+U580*U620^2/U614+V580*V620^2/V614</f>
        <v>0</v>
      </c>
      <c r="Y617" s="147">
        <f>S580*S617+T580*T617+U580*U617+V580*V617</f>
        <v>0</v>
      </c>
      <c r="Z617" s="188"/>
      <c r="AA617" s="190"/>
      <c r="AB617" s="190"/>
      <c r="AC617" s="190"/>
      <c r="AD617" s="190"/>
      <c r="AE617" s="185"/>
      <c r="AF617" s="187"/>
      <c r="AG617" s="186"/>
      <c r="AH617" s="190"/>
      <c r="AI617" s="190"/>
      <c r="AJ617" s="190"/>
      <c r="AK617" s="190"/>
      <c r="AL617" s="185"/>
    </row>
    <row r="618" spans="10:38">
      <c r="J618" s="185"/>
      <c r="K618" s="185"/>
      <c r="L618" s="185"/>
      <c r="M618" s="185"/>
      <c r="N618" s="185"/>
      <c r="O618" s="185"/>
      <c r="R618" s="139" t="s">
        <v>145</v>
      </c>
      <c r="S618" s="138">
        <f>-4*COS(S578/2)^2*SIN(S578/2)^2*$K617+COS(S578/2)^2*SIN(S578/2)^2*($K612+$K613)+(COS(S578/2)^4+SIN(S578/2)^4)*$M612</f>
        <v>5.8728045779623468</v>
      </c>
      <c r="T618" s="138">
        <f>-4*COS(T578/2)^2*SIN(T578/2)^2*$K617+COS(T578/2)^2*SIN(T578/2)^2*($K612+$K613)+(COS(T578/2)^4+SIN(T578/2)^4)*$M612</f>
        <v>5.8728045779623468</v>
      </c>
      <c r="U618" s="138">
        <f>-4*COS(U578/2)^2*SIN(U578/2)^2*$K617+COS(U578/2)^2*SIN(U578/2)^2*($K612+$K613)+(COS(U578/2)^4+SIN(U578/2)^4)*$M612</f>
        <v>5.8728045779623468</v>
      </c>
      <c r="V618" s="138">
        <f>-4*COS(V578/2)^2*SIN(V578/2)^2*$K617+COS(V578/2)^2*SIN(V578/2)^2*($K612+$K613)+(COS(V578/2)^4+SIN(V578/2)^4)*$M612</f>
        <v>5.8728045779623468</v>
      </c>
      <c r="W618" s="138" t="s">
        <v>778</v>
      </c>
      <c r="X618" s="141">
        <f>S580*S619*S620/S614+T580*T619*T620/T614+U580*U619*U620/U614+V580*V619*V620/V614</f>
        <v>0</v>
      </c>
      <c r="Y618" s="147">
        <f>S580*S618+T580*T618+U580*U618+V580*V618</f>
        <v>0</v>
      </c>
      <c r="Z618" s="164"/>
      <c r="AA618" s="147"/>
      <c r="AB618" s="147"/>
      <c r="AC618" s="147"/>
      <c r="AD618" s="147"/>
      <c r="AG618" s="139"/>
      <c r="AH618" s="147"/>
      <c r="AI618" s="147"/>
      <c r="AJ618" s="147"/>
      <c r="AK618" s="147"/>
    </row>
    <row r="619" spans="10:38">
      <c r="R619" s="139" t="s">
        <v>151</v>
      </c>
      <c r="S619" s="138">
        <f>COS(S578/2)^2*$M613+SIN(S578/2)^2*$M614</f>
        <v>5.8728045779623468</v>
      </c>
      <c r="T619" s="138">
        <f>COS(T578/2)^2*$M613+SIN(T578/2)^2*$M614</f>
        <v>7.053817698742284</v>
      </c>
      <c r="U619" s="138">
        <f>COS(U578/2)^2*$M613+SIN(U578/2)^2*$M614</f>
        <v>5.8728045779623468</v>
      </c>
      <c r="V619" s="138">
        <f>COS(V578/2)^2*$M613+SIN(V578/2)^2*$M614</f>
        <v>7.053817698742284</v>
      </c>
      <c r="W619" s="138" t="s">
        <v>782</v>
      </c>
      <c r="X619" s="141">
        <f>S580*S624*S619/S614+T580*T624*T619/T614+U580*U624*U619/U614+V580*V624*V619/V614</f>
        <v>0</v>
      </c>
      <c r="Y619" s="147"/>
      <c r="Z619" s="164"/>
      <c r="AA619" s="147"/>
      <c r="AB619" s="147"/>
      <c r="AC619" s="147"/>
      <c r="AD619" s="147"/>
      <c r="AG619" s="139"/>
      <c r="AH619" s="147"/>
      <c r="AI619" s="147"/>
      <c r="AJ619" s="147"/>
      <c r="AK619" s="147"/>
    </row>
    <row r="620" spans="10:38">
      <c r="R620" s="139" t="s">
        <v>768</v>
      </c>
      <c r="S620" s="138">
        <f>SIN(S578/2)^2*$M613+COS(S578/2)^2*$M614</f>
        <v>7.053817698742284</v>
      </c>
      <c r="T620" s="138">
        <f>SIN(T578/2)^2*$M613+COS(T578/2)^2*$M614</f>
        <v>5.8728045779623468</v>
      </c>
      <c r="U620" s="138">
        <f>SIN(U578/2)^2*$M613+COS(U578/2)^2*$M614</f>
        <v>7.053817698742284</v>
      </c>
      <c r="V620" s="138">
        <f>SIN(V578/2)^2*$M613+COS(V578/2)^2*$M614</f>
        <v>5.8728045779623468</v>
      </c>
      <c r="W620" s="138" t="s">
        <v>785</v>
      </c>
      <c r="X620" s="141">
        <f>S580*S624*S620/S614+T580*T624*T620/T614+U580*U624*U620/U614+V580*V624*V620/V614</f>
        <v>0</v>
      </c>
      <c r="Y620" s="164"/>
      <c r="Z620" s="164"/>
      <c r="AA620" s="147"/>
      <c r="AB620" s="147"/>
      <c r="AC620" s="147"/>
      <c r="AD620" s="147"/>
      <c r="AG620" s="139"/>
      <c r="AH620" s="147"/>
      <c r="AI620" s="147"/>
      <c r="AJ620" s="147"/>
      <c r="AK620" s="147"/>
    </row>
    <row r="621" spans="10:38">
      <c r="R621" s="139" t="s">
        <v>660</v>
      </c>
      <c r="S621" s="138">
        <f>COS(S578/2)*SIN(S578/2)*(-$K615+$K616)</f>
        <v>0</v>
      </c>
      <c r="T621" s="138">
        <f>COS(T578/2)*SIN(T578/2)*(-$K615+$K616)</f>
        <v>2.2889856965876046E-16</v>
      </c>
      <c r="U621" s="138">
        <f>COS(U578/2)*SIN(U578/2)*(-$K615+$K616)</f>
        <v>0</v>
      </c>
      <c r="V621" s="138">
        <f>COS(V578/2)*SIN(V578/2)*(-$K615+$K616)</f>
        <v>2.2889856965876046E-16</v>
      </c>
      <c r="W621" s="138" t="s">
        <v>1048</v>
      </c>
      <c r="X621" s="141">
        <f>S580*S624^2/S614+T580*T624^2/T614+U580*U624^2/U614+V580*V624^2/V614</f>
        <v>0</v>
      </c>
      <c r="Y621" s="164"/>
      <c r="Z621" s="164">
        <f>S580*S621/(S615*S616-S621^2)+T580*T621/(T615*T616-T621^2)+U580*U621/(U615*U616-U621^2)+V580*V621/(V615*V616-V621^2)</f>
        <v>0</v>
      </c>
      <c r="AA621" s="147"/>
      <c r="AB621" s="147"/>
      <c r="AC621" s="147"/>
      <c r="AD621" s="147"/>
      <c r="AG621" s="139"/>
      <c r="AH621" s="147"/>
      <c r="AI621" s="147"/>
      <c r="AJ621" s="147"/>
      <c r="AK621" s="147"/>
    </row>
    <row r="622" spans="10:38">
      <c r="R622" s="139" t="s">
        <v>777</v>
      </c>
      <c r="S622" s="138">
        <f>-2*COS(S578/2)*SIN(S578/2)*(COS(S578/2)^2-SIN(S578/2)^2)*$K617+COS(S578/2)*SIN(S578/2)*(COS(S578/2)^2*$K612+SIN(S578/2)^2*$K613)+COS(S578/2)*SIN(S578/2)*(COS(S578/2)^2+SIN(S578/2)^2)*$M612</f>
        <v>0</v>
      </c>
      <c r="T622" s="138">
        <f>-2*COS(T578/2)*SIN(T578/2)*(COS(T578/2)^2-SIN(T578/2)^2)*$K617+COS(T578/2)*SIN(T578/2)*(COS(T578/2)^2*$K612+SIN(T578/2)^2*$K613)+COS(T578/2)*SIN(T578/2)*(COS(T578/2)^2+SIN(T578/2)^2)*$M612</f>
        <v>2.0909173104960418E-15</v>
      </c>
      <c r="U622" s="138">
        <f>-2*COS(U578/2)*SIN(U578/2)*(COS(U578/2)^2-SIN(U578/2)^2)*$K617+COS(U578/2)*SIN(U578/2)*(COS(U578/2)^2*$K612+SIN(U578/2)^2*$K613)+COS(U578/2)*SIN(U578/2)*(COS(U578/2)^2+SIN(U578/2)^2)*$M612</f>
        <v>0</v>
      </c>
      <c r="V622" s="138">
        <f>-2*COS(V578/2)*SIN(V578/2)*(COS(V578/2)^2-SIN(V578/2)^2)*$K617+COS(V578/2)*SIN(V578/2)*(COS(V578/2)^2*$K612+SIN(V578/2)^2*$K613)+COS(V578/2)*SIN(V578/2)*(COS(V578/2)^2+SIN(V578/2)^2)*$M612</f>
        <v>2.0909173104960418E-15</v>
      </c>
      <c r="W622" s="138"/>
      <c r="Y622" s="147">
        <f>S580*S622+T580*T622+U580*U622+V580*V622</f>
        <v>0</v>
      </c>
      <c r="Z622" s="164"/>
      <c r="AA622" s="147"/>
      <c r="AB622" s="147"/>
      <c r="AC622" s="147"/>
      <c r="AD622" s="147"/>
      <c r="AG622" s="139"/>
      <c r="AH622" s="147"/>
      <c r="AI622" s="147"/>
      <c r="AJ622" s="147"/>
      <c r="AK622" s="147"/>
    </row>
    <row r="623" spans="10:38">
      <c r="R623" s="139" t="s">
        <v>781</v>
      </c>
      <c r="S623" s="138">
        <f>2*COS(S578/2)*SIN(S578/2)*(COS(S578/2)^2-SIN(S578/2)^2)*$K617+COS(S578/2)*SIN(S578/2)*(SIN(S578/2)^2*$K612-COS(S578/2)^2*$K613)+COS(S578/2)*SIN(S578/2)*(COS(S578/2)^2-SIN(S578/2)^2)*$M612</f>
        <v>0</v>
      </c>
      <c r="T623" s="138">
        <f>2*COS(T578/2)*SIN(T578/2)*(COS(T578/2)^2-SIN(T578/2)^2)*$K617+COS(T578/2)*SIN(T578/2)*(SIN(T578/2)^2*$K612-COS(T578/2)^2*$K613)+COS(T578/2)*SIN(T578/2)*(COS(T578/2)^2-SIN(T578/2)^2)*$M612</f>
        <v>1.0050870810750773E-14</v>
      </c>
      <c r="U623" s="138">
        <f>2*COS(U578/2)*SIN(U578/2)*(COS(U578/2)^2-SIN(U578/2)^2)*$K617+COS(U578/2)*SIN(U578/2)*(SIN(U578/2)^2*$K612-COS(U578/2)^2*$K613)+COS(U578/2)*SIN(U578/2)*(COS(U578/2)^2-SIN(U578/2)^2)*$M612</f>
        <v>0</v>
      </c>
      <c r="V623" s="138">
        <f>2*COS(V578/2)*SIN(V578/2)*(COS(V578/2)^2-SIN(V578/2)^2)*$K617+COS(V578/2)*SIN(V578/2)*(SIN(V578/2)^2*$K612-COS(V578/2)^2*$K613)+COS(V578/2)*SIN(V578/2)*(COS(V578/2)^2-SIN(V578/2)^2)*$M612</f>
        <v>1.0050870810750773E-14</v>
      </c>
      <c r="W623" s="138"/>
      <c r="Y623" s="147">
        <f>S580*S623+T580*T623+U580*U623+V580*V623</f>
        <v>0</v>
      </c>
      <c r="Z623" s="164"/>
      <c r="AA623" s="147"/>
      <c r="AB623" s="147"/>
      <c r="AC623" s="147"/>
      <c r="AD623" s="147"/>
      <c r="AG623" s="139"/>
      <c r="AH623" s="147"/>
      <c r="AI623" s="147"/>
      <c r="AJ623" s="147"/>
      <c r="AK623" s="147"/>
    </row>
    <row r="624" spans="10:38">
      <c r="R624" s="139" t="s">
        <v>784</v>
      </c>
      <c r="S624" s="138">
        <f>COS(S578/2)*SIN(S578/2)*($M613-$M614)</f>
        <v>0</v>
      </c>
      <c r="T624" s="138">
        <f>COS(T578/2)*SIN(T578/2)*($M613-$M614)</f>
        <v>-7.2345820007517372E-17</v>
      </c>
      <c r="U624" s="138">
        <f>COS(U578/2)*SIN(U578/2)*($M613-$M614)</f>
        <v>0</v>
      </c>
      <c r="V624" s="138">
        <f>COS(V578/2)*SIN(V578/2)*($M613-$M614)</f>
        <v>-7.2345820007517372E-17</v>
      </c>
      <c r="W624" s="138"/>
      <c r="Y624" s="164"/>
      <c r="Z624" s="164"/>
      <c r="AA624" s="147"/>
      <c r="AB624" s="147"/>
      <c r="AC624" s="147"/>
      <c r="AD624" s="147"/>
      <c r="AG624" s="139"/>
      <c r="AH624" s="147"/>
      <c r="AI624" s="147"/>
      <c r="AJ624" s="147"/>
      <c r="AK624" s="147"/>
    </row>
    <row r="625" spans="10:38">
      <c r="J625" s="137" t="s">
        <v>857</v>
      </c>
      <c r="K625" s="139"/>
      <c r="L625" s="139"/>
      <c r="N625" s="138" t="s">
        <v>1551</v>
      </c>
      <c r="P625" s="140"/>
      <c r="R625" s="138" t="s">
        <v>634</v>
      </c>
      <c r="Y625" s="164"/>
      <c r="Z625" s="138" t="s">
        <v>635</v>
      </c>
      <c r="AG625" s="138" t="s">
        <v>636</v>
      </c>
    </row>
    <row r="626" spans="10:38">
      <c r="J626" s="139" t="str">
        <f>A183</f>
        <v>T3/N52[SI]</v>
      </c>
      <c r="K626" s="137"/>
      <c r="L626" s="139"/>
      <c r="N626" s="139" t="s">
        <v>596</v>
      </c>
      <c r="O626" s="144">
        <f>G184</f>
        <v>22</v>
      </c>
      <c r="P626" s="144">
        <f>B84</f>
        <v>22</v>
      </c>
      <c r="Q626" s="145">
        <f t="shared" ref="Q626:Q631" si="116">P626/O626</f>
        <v>1</v>
      </c>
      <c r="R626" s="137"/>
      <c r="Z626" s="139" t="s">
        <v>531</v>
      </c>
      <c r="AA626" s="146">
        <f t="shared" ref="AA626:AD628" si="117">S628</f>
        <v>0</v>
      </c>
      <c r="AB626" s="146">
        <f t="shared" si="117"/>
        <v>90</v>
      </c>
      <c r="AC626" s="146">
        <f t="shared" si="117"/>
        <v>0</v>
      </c>
      <c r="AD626" s="146">
        <f t="shared" si="117"/>
        <v>90</v>
      </c>
      <c r="AE626" s="139" t="s">
        <v>532</v>
      </c>
      <c r="AF626" s="143" t="s">
        <v>533</v>
      </c>
      <c r="AG626" s="139" t="s">
        <v>531</v>
      </c>
      <c r="AH626" s="146">
        <f t="shared" ref="AH626:AK628" si="118">AA626</f>
        <v>0</v>
      </c>
      <c r="AI626" s="146">
        <f t="shared" si="118"/>
        <v>90</v>
      </c>
      <c r="AJ626" s="146">
        <f t="shared" si="118"/>
        <v>0</v>
      </c>
      <c r="AK626" s="146">
        <f t="shared" si="118"/>
        <v>90</v>
      </c>
    </row>
    <row r="627" spans="10:38">
      <c r="J627" s="139"/>
      <c r="K627" s="139"/>
      <c r="L627" s="139"/>
      <c r="N627" s="139" t="s">
        <v>600</v>
      </c>
      <c r="O627" s="147">
        <f>H184</f>
        <v>5.0000000000000001E-3</v>
      </c>
      <c r="P627" s="147">
        <f>C84</f>
        <v>5.0000000000000001E-3</v>
      </c>
      <c r="Q627" s="145">
        <f t="shared" si="116"/>
        <v>1</v>
      </c>
      <c r="R627" s="139" t="s">
        <v>243</v>
      </c>
      <c r="S627" s="143" t="s">
        <v>1562</v>
      </c>
      <c r="T627" s="143" t="s">
        <v>1563</v>
      </c>
      <c r="U627" s="143" t="s">
        <v>1564</v>
      </c>
      <c r="V627" s="143" t="s">
        <v>1565</v>
      </c>
      <c r="W627" s="143"/>
      <c r="X627" s="143"/>
      <c r="Z627" s="139" t="s">
        <v>536</v>
      </c>
      <c r="AA627" s="146">
        <f t="shared" si="117"/>
        <v>0</v>
      </c>
      <c r="AB627" s="146">
        <f t="shared" si="117"/>
        <v>0</v>
      </c>
      <c r="AC627" s="146">
        <f t="shared" si="117"/>
        <v>0</v>
      </c>
      <c r="AD627" s="146">
        <f t="shared" si="117"/>
        <v>0</v>
      </c>
      <c r="AE627" s="139">
        <f>W629</f>
        <v>1</v>
      </c>
      <c r="AF627" s="146">
        <f>X630</f>
        <v>0</v>
      </c>
      <c r="AG627" s="139" t="s">
        <v>536</v>
      </c>
      <c r="AH627" s="146">
        <f t="shared" si="118"/>
        <v>0</v>
      </c>
      <c r="AI627" s="146">
        <f t="shared" si="118"/>
        <v>0</v>
      </c>
      <c r="AJ627" s="146">
        <f t="shared" si="118"/>
        <v>0</v>
      </c>
      <c r="AK627" s="146">
        <f t="shared" si="118"/>
        <v>0</v>
      </c>
    </row>
    <row r="628" spans="10:38">
      <c r="J628" s="139" t="s">
        <v>1553</v>
      </c>
      <c r="K628" s="139" t="s">
        <v>1554</v>
      </c>
      <c r="L628" s="139" t="s">
        <v>1555</v>
      </c>
      <c r="M628" s="153" t="s">
        <v>1556</v>
      </c>
      <c r="N628" s="139" t="s">
        <v>1557</v>
      </c>
      <c r="O628" s="144">
        <f>G183</f>
        <v>122</v>
      </c>
      <c r="P628" s="144">
        <f>O628</f>
        <v>122</v>
      </c>
      <c r="Q628" s="145">
        <f t="shared" si="116"/>
        <v>1</v>
      </c>
      <c r="R628" s="139" t="s">
        <v>537</v>
      </c>
      <c r="S628" s="154">
        <f>C27+I28</f>
        <v>0</v>
      </c>
      <c r="T628" s="154">
        <f>D27+I28</f>
        <v>90</v>
      </c>
      <c r="U628" s="154">
        <f>E27+I28</f>
        <v>0</v>
      </c>
      <c r="V628" s="154">
        <f>F27+I28</f>
        <v>90</v>
      </c>
      <c r="W628" s="143" t="s">
        <v>538</v>
      </c>
      <c r="X628" s="143"/>
      <c r="Z628" s="139" t="s">
        <v>539</v>
      </c>
      <c r="AA628" s="146">
        <f t="shared" si="117"/>
        <v>0</v>
      </c>
      <c r="AB628" s="146">
        <f t="shared" si="117"/>
        <v>3.1415926535897931</v>
      </c>
      <c r="AC628" s="146">
        <f t="shared" si="117"/>
        <v>0</v>
      </c>
      <c r="AD628" s="146">
        <f t="shared" si="117"/>
        <v>3.1415926535897931</v>
      </c>
      <c r="AE628" s="139" t="s">
        <v>540</v>
      </c>
      <c r="AF628" s="141">
        <f>W636</f>
        <v>0</v>
      </c>
      <c r="AG628" s="139" t="s">
        <v>539</v>
      </c>
      <c r="AH628" s="146">
        <f t="shared" si="118"/>
        <v>0</v>
      </c>
      <c r="AI628" s="146">
        <f t="shared" si="118"/>
        <v>3.1415926535897931</v>
      </c>
      <c r="AJ628" s="146">
        <f t="shared" si="118"/>
        <v>0</v>
      </c>
      <c r="AK628" s="146">
        <f t="shared" si="118"/>
        <v>3.1415926535897931</v>
      </c>
    </row>
    <row r="629" spans="10:38">
      <c r="J629" s="139" t="s">
        <v>298</v>
      </c>
      <c r="K629" s="140">
        <f>B183</f>
        <v>181</v>
      </c>
      <c r="L629" s="140">
        <f>L636*L635</f>
        <v>181.00000000000003</v>
      </c>
      <c r="M629" s="145">
        <f>L629/K629</f>
        <v>1.0000000000000002</v>
      </c>
      <c r="N629" s="139" t="s">
        <v>299</v>
      </c>
      <c r="O629" s="144">
        <f>H183</f>
        <v>160</v>
      </c>
      <c r="P629" s="144">
        <f>O629-H186*(P627)</f>
        <v>150</v>
      </c>
      <c r="Q629" s="145">
        <f t="shared" si="116"/>
        <v>0.9375</v>
      </c>
      <c r="R629" s="139" t="s">
        <v>541</v>
      </c>
      <c r="S629" s="154">
        <f>C28</f>
        <v>0</v>
      </c>
      <c r="T629" s="154">
        <f>D28</f>
        <v>0</v>
      </c>
      <c r="U629" s="154">
        <f>E28</f>
        <v>0</v>
      </c>
      <c r="V629" s="154">
        <f>F28</f>
        <v>0</v>
      </c>
      <c r="W629" s="156">
        <f>G28</f>
        <v>1</v>
      </c>
      <c r="X629" s="143"/>
      <c r="Z629" s="139"/>
      <c r="AA629" s="141">
        <f>AA628/2</f>
        <v>0</v>
      </c>
      <c r="AB629" s="141">
        <f>AB628/2</f>
        <v>1.5707963267948966</v>
      </c>
      <c r="AC629" s="141">
        <f>AC628/2</f>
        <v>0</v>
      </c>
      <c r="AD629" s="141">
        <f>AD628/2</f>
        <v>1.5707963267948966</v>
      </c>
      <c r="AE629" s="143"/>
      <c r="AL629" s="139"/>
    </row>
    <row r="630" spans="10:38">
      <c r="J630" s="139" t="s">
        <v>1579</v>
      </c>
      <c r="K630" s="140">
        <f>C183</f>
        <v>10.3</v>
      </c>
      <c r="L630" s="140">
        <f>(1+L639)/(1/L640+L639/L637)</f>
        <v>10.3</v>
      </c>
      <c r="M630" s="145">
        <f>L630/K630</f>
        <v>1</v>
      </c>
      <c r="N630" s="139" t="s">
        <v>1580</v>
      </c>
      <c r="O630" s="140">
        <f>(O629-O626)/(O629-O626)</f>
        <v>1</v>
      </c>
      <c r="P630" s="140">
        <f>(P629-P626)/(P629-O626)</f>
        <v>1</v>
      </c>
      <c r="Q630" s="145">
        <f t="shared" si="116"/>
        <v>1</v>
      </c>
      <c r="R630" s="139" t="s">
        <v>1295</v>
      </c>
      <c r="S630" s="158">
        <f>S628*PI()/90</f>
        <v>0</v>
      </c>
      <c r="T630" s="158">
        <f>T628*PI()/90</f>
        <v>3.1415926535897931</v>
      </c>
      <c r="U630" s="158">
        <f>U628*PI()/90</f>
        <v>0</v>
      </c>
      <c r="V630" s="158">
        <f>V628*PI()/90</f>
        <v>3.1415926535897931</v>
      </c>
      <c r="W630" s="143" t="s">
        <v>1296</v>
      </c>
      <c r="X630" s="146"/>
      <c r="Z630" s="137" t="s">
        <v>1297</v>
      </c>
      <c r="AA630" s="143"/>
      <c r="AB630" s="143"/>
      <c r="AC630" s="141"/>
      <c r="AD630" s="141"/>
      <c r="AE630" s="141"/>
      <c r="AG630" s="137" t="s">
        <v>1298</v>
      </c>
      <c r="AL630" s="139"/>
    </row>
    <row r="631" spans="10:38">
      <c r="J631" s="139" t="s">
        <v>259</v>
      </c>
      <c r="K631" s="140">
        <f>D183</f>
        <v>0.28000000000000003</v>
      </c>
      <c r="L631" s="140">
        <f>K631*I84</f>
        <v>0.28000000000000003</v>
      </c>
      <c r="M631" s="145">
        <f>L631/K631</f>
        <v>1</v>
      </c>
      <c r="N631" s="139" t="s">
        <v>260</v>
      </c>
      <c r="O631" s="144">
        <f>O626-O628</f>
        <v>-100</v>
      </c>
      <c r="P631" s="144">
        <f>P626-P628</f>
        <v>-100</v>
      </c>
      <c r="Q631" s="145">
        <f t="shared" si="116"/>
        <v>1</v>
      </c>
      <c r="R631" s="139" t="s">
        <v>1300</v>
      </c>
      <c r="S631" s="158">
        <f>2*S630</f>
        <v>0</v>
      </c>
      <c r="T631" s="158">
        <f>2*T630</f>
        <v>6.2831853071795862</v>
      </c>
      <c r="U631" s="158">
        <f>2*U630</f>
        <v>0</v>
      </c>
      <c r="V631" s="158">
        <f>2*V630</f>
        <v>6.2831853071795862</v>
      </c>
      <c r="W631" s="138" t="s">
        <v>651</v>
      </c>
      <c r="X631" s="143" t="s">
        <v>652</v>
      </c>
      <c r="Y631" s="143" t="s">
        <v>646</v>
      </c>
      <c r="Z631" s="139"/>
      <c r="AA631" s="143" t="s">
        <v>1301</v>
      </c>
      <c r="AB631" s="143"/>
      <c r="AC631" s="161" t="s">
        <v>977</v>
      </c>
      <c r="AD631" s="161"/>
      <c r="AE631" s="143" t="s">
        <v>1303</v>
      </c>
      <c r="AF631" s="143" t="s">
        <v>1304</v>
      </c>
      <c r="AG631" s="139" t="s">
        <v>1305</v>
      </c>
      <c r="AH631" s="147">
        <f t="shared" ref="AH631:AK633" si="119">AA637/1000</f>
        <v>0</v>
      </c>
      <c r="AI631" s="147">
        <f t="shared" si="119"/>
        <v>0</v>
      </c>
      <c r="AJ631" s="147">
        <f t="shared" si="119"/>
        <v>0</v>
      </c>
      <c r="AK631" s="147">
        <f t="shared" si="119"/>
        <v>0</v>
      </c>
      <c r="AL631" s="157"/>
    </row>
    <row r="632" spans="10:38">
      <c r="J632" s="139" t="s">
        <v>261</v>
      </c>
      <c r="K632" s="140">
        <f>E183</f>
        <v>7.17</v>
      </c>
      <c r="L632" s="140">
        <f>(1+L642)/(1/L643+L642*2.7/L637)</f>
        <v>7.17</v>
      </c>
      <c r="M632" s="145">
        <f>L632/K632</f>
        <v>1</v>
      </c>
      <c r="N632" s="139"/>
      <c r="O632" s="140"/>
      <c r="P632" s="140"/>
      <c r="Q632" s="140"/>
      <c r="R632" s="139" t="s">
        <v>1321</v>
      </c>
      <c r="S632" s="158">
        <f>2*W629*S629*L633/1000000/Y632</f>
        <v>0</v>
      </c>
      <c r="T632" s="158">
        <f>2*W629*T629*L633/1000000/Y632</f>
        <v>0</v>
      </c>
      <c r="U632" s="158">
        <f>2*W629*U629*L633/1000000/Y632</f>
        <v>0</v>
      </c>
      <c r="V632" s="158">
        <f>2*W629*V629*L633/1000000/Y632</f>
        <v>0</v>
      </c>
      <c r="W632" s="147">
        <f>SUM(S632:V632)</f>
        <v>0</v>
      </c>
      <c r="X632" s="163">
        <f>2*W629*SUM(S629:V629)*L633/1000000</f>
        <v>0</v>
      </c>
      <c r="Y632" s="147">
        <f>Y580</f>
        <v>5.0000000000000001E-4</v>
      </c>
      <c r="Z632" s="139">
        <v>1</v>
      </c>
      <c r="AA632" s="140">
        <f>$B$37</f>
        <v>1</v>
      </c>
      <c r="AB632" s="163"/>
      <c r="AC632" s="140">
        <f>AC580</f>
        <v>119.49416590714854</v>
      </c>
      <c r="AD632" s="163"/>
      <c r="AE632" s="159" t="s">
        <v>1306</v>
      </c>
      <c r="AF632" s="163">
        <f>IF(X632=0,0,(AC632+AC633)/2)</f>
        <v>0</v>
      </c>
      <c r="AG632" s="139" t="s">
        <v>1307</v>
      </c>
      <c r="AH632" s="147">
        <f t="shared" si="119"/>
        <v>0</v>
      </c>
      <c r="AI632" s="147">
        <f t="shared" si="119"/>
        <v>0</v>
      </c>
      <c r="AJ632" s="147">
        <f t="shared" si="119"/>
        <v>0</v>
      </c>
      <c r="AK632" s="147">
        <f t="shared" si="119"/>
        <v>0</v>
      </c>
      <c r="AL632" s="157"/>
    </row>
    <row r="633" spans="10:38">
      <c r="J633" s="139" t="s">
        <v>262</v>
      </c>
      <c r="K633" s="144">
        <f>B185</f>
        <v>125</v>
      </c>
      <c r="L633" s="144">
        <f>K633/M635</f>
        <v>125</v>
      </c>
      <c r="M633" s="145">
        <f>L633/K633</f>
        <v>1</v>
      </c>
      <c r="N633" s="137" t="s">
        <v>1531</v>
      </c>
      <c r="O633" s="140"/>
      <c r="P633" s="140"/>
      <c r="Q633" s="140"/>
      <c r="R633" s="139" t="s">
        <v>1325</v>
      </c>
      <c r="S633" s="143" t="s">
        <v>1326</v>
      </c>
      <c r="T633" s="143" t="s">
        <v>1327</v>
      </c>
      <c r="U633" s="143" t="s">
        <v>1328</v>
      </c>
      <c r="V633" s="143" t="s">
        <v>1329</v>
      </c>
      <c r="W633" s="143" t="s">
        <v>1330</v>
      </c>
      <c r="X633" s="139"/>
      <c r="Z633" s="139">
        <v>2</v>
      </c>
      <c r="AA633" s="140">
        <f>$B$38</f>
        <v>0</v>
      </c>
      <c r="AB633" s="163"/>
      <c r="AC633" s="140">
        <f>AC581</f>
        <v>-19.975848039852647</v>
      </c>
      <c r="AD633" s="163"/>
      <c r="AE633" s="159" t="s">
        <v>1309</v>
      </c>
      <c r="AF633" s="163">
        <f>IF(X632=0,0,(AC632-AC633)/2)</f>
        <v>0</v>
      </c>
      <c r="AG633" s="139" t="s">
        <v>1310</v>
      </c>
      <c r="AH633" s="147">
        <f t="shared" si="119"/>
        <v>0</v>
      </c>
      <c r="AI633" s="147">
        <f t="shared" si="119"/>
        <v>0</v>
      </c>
      <c r="AJ633" s="147">
        <f t="shared" si="119"/>
        <v>0</v>
      </c>
      <c r="AK633" s="147">
        <f t="shared" si="119"/>
        <v>0</v>
      </c>
      <c r="AL633" s="157"/>
    </row>
    <row r="634" spans="10:38">
      <c r="J634" s="137" t="s">
        <v>264</v>
      </c>
      <c r="K634" s="140"/>
      <c r="L634" s="140"/>
      <c r="N634" s="139" t="s">
        <v>265</v>
      </c>
      <c r="O634" s="140">
        <f>A186</f>
        <v>0.02</v>
      </c>
      <c r="P634" s="140">
        <f>O634</f>
        <v>0.02</v>
      </c>
      <c r="Q634" s="140">
        <f>P634/O634</f>
        <v>1</v>
      </c>
      <c r="R634" s="139">
        <v>11</v>
      </c>
      <c r="S634" s="140">
        <f>L651+L652*COS(S630)+L653*COS(S631)</f>
        <v>181.81113884441794</v>
      </c>
      <c r="T634" s="140">
        <f>L651+L652*COS(T630)+L653*COS(T631)</f>
        <v>10.346158729820477</v>
      </c>
      <c r="U634" s="140">
        <f>L651+L652*COS(U630)+L653*COS(U631)</f>
        <v>181.81113884441794</v>
      </c>
      <c r="V634" s="140">
        <f>L651+L652*COS(V630)+L653*COS(V631)</f>
        <v>10.346158729820477</v>
      </c>
      <c r="W634" s="163">
        <f>(S632*S634+T632*T634+U632*U634+V632*V634)</f>
        <v>0</v>
      </c>
      <c r="X634" s="147"/>
      <c r="Z634" s="139">
        <v>6</v>
      </c>
      <c r="AA634" s="140">
        <f>$B$39</f>
        <v>0</v>
      </c>
      <c r="AB634" s="163"/>
      <c r="AC634" s="140">
        <f>AC582</f>
        <v>-91.562516762323497</v>
      </c>
      <c r="AD634" s="163"/>
      <c r="AE634" s="159" t="s">
        <v>1312</v>
      </c>
      <c r="AF634" s="163">
        <f>IF(X632=0,0,AC634/2)</f>
        <v>0</v>
      </c>
      <c r="AG634" s="139"/>
      <c r="AH634" s="163"/>
      <c r="AI634" s="163"/>
      <c r="AJ634" s="163"/>
      <c r="AK634" s="163"/>
      <c r="AL634" s="163"/>
    </row>
    <row r="635" spans="10:38">
      <c r="J635" s="139" t="s">
        <v>1532</v>
      </c>
      <c r="K635" s="140">
        <f>C185</f>
        <v>0.7</v>
      </c>
      <c r="L635" s="140">
        <f>D84</f>
        <v>0.7</v>
      </c>
      <c r="M635" s="145">
        <f t="shared" ref="M635:M644" si="120">L635/K635</f>
        <v>1</v>
      </c>
      <c r="N635" s="139" t="s">
        <v>1533</v>
      </c>
      <c r="O635" s="140">
        <f>B186</f>
        <v>22.5</v>
      </c>
      <c r="P635" s="140">
        <f>O635*(1-L635)/(1-K635)</f>
        <v>22.5</v>
      </c>
      <c r="Q635" s="140">
        <f>P635/O635</f>
        <v>1</v>
      </c>
      <c r="R635" s="139">
        <v>22</v>
      </c>
      <c r="S635" s="140">
        <f>S634-2*L652*COS(S630)</f>
        <v>10.346158729820473</v>
      </c>
      <c r="T635" s="140">
        <f>T634-2*L652*COS(T630)</f>
        <v>181.81113884441794</v>
      </c>
      <c r="U635" s="140">
        <f>U634-2*L652*COS(U630)</f>
        <v>10.346158729820473</v>
      </c>
      <c r="V635" s="140">
        <f>V634-2*L652*COS(V630)</f>
        <v>181.81113884441794</v>
      </c>
      <c r="W635" s="163">
        <f>(S632*S635+T632*T635+U632*U635+V632*V635)</f>
        <v>0</v>
      </c>
      <c r="X635" s="147"/>
      <c r="AA635" s="163"/>
      <c r="AB635" s="163"/>
      <c r="AC635" s="163"/>
      <c r="AD635" s="163"/>
      <c r="AE635" s="159"/>
      <c r="AF635" s="163"/>
      <c r="AG635" s="139"/>
      <c r="AH635" s="163"/>
      <c r="AI635" s="163"/>
      <c r="AJ635" s="163"/>
      <c r="AK635" s="163"/>
      <c r="AL635" s="163"/>
    </row>
    <row r="636" spans="10:38">
      <c r="J636" s="139" t="s">
        <v>1534</v>
      </c>
      <c r="K636" s="144">
        <f>K629/K635</f>
        <v>258.57142857142861</v>
      </c>
      <c r="L636" s="144">
        <f>F84*P630^F186</f>
        <v>258.57142857142861</v>
      </c>
      <c r="M636" s="145">
        <f t="shared" si="120"/>
        <v>1</v>
      </c>
      <c r="N636" s="138" t="s">
        <v>1535</v>
      </c>
      <c r="O636" s="140"/>
      <c r="P636" s="140"/>
      <c r="Q636" s="140"/>
      <c r="R636" s="139" t="s">
        <v>1345</v>
      </c>
      <c r="S636" s="140">
        <f>L654-L653*COS(S631)</f>
        <v>2.8969244443497324</v>
      </c>
      <c r="T636" s="140">
        <f>L654-L653*COS(T631)</f>
        <v>2.8969244443497324</v>
      </c>
      <c r="U636" s="140">
        <f>L654-L653*COS(U631)</f>
        <v>2.8969244443497324</v>
      </c>
      <c r="V636" s="140">
        <f>L654-L653*COS(V631)</f>
        <v>2.8969244443497324</v>
      </c>
      <c r="W636" s="163">
        <f>(S632*S636+T632*T636+U632*U636+V632*V636)</f>
        <v>0</v>
      </c>
      <c r="X636" s="147"/>
      <c r="Z636" s="137" t="s">
        <v>1323</v>
      </c>
      <c r="AA636" s="163"/>
      <c r="AB636" s="163"/>
      <c r="AC636" s="163"/>
      <c r="AD636" s="163"/>
      <c r="AE636" s="159" t="s">
        <v>661</v>
      </c>
      <c r="AF636" s="163">
        <f>L631/L629*L646+L644/L630*L648</f>
        <v>0.42188220063345594</v>
      </c>
      <c r="AG636" s="139"/>
      <c r="AH636" s="163"/>
      <c r="AI636" s="163"/>
      <c r="AJ636" s="163"/>
      <c r="AK636" s="163"/>
      <c r="AL636" s="163"/>
    </row>
    <row r="637" spans="10:38">
      <c r="J637" s="139" t="s">
        <v>1536</v>
      </c>
      <c r="K637" s="140">
        <f>F183</f>
        <v>3.4</v>
      </c>
      <c r="L637" s="140">
        <f>E84*P630^F185*I84</f>
        <v>3.4</v>
      </c>
      <c r="M637" s="145">
        <f t="shared" si="120"/>
        <v>1</v>
      </c>
      <c r="N637" s="139" t="s">
        <v>1537</v>
      </c>
      <c r="O637" s="140">
        <f>C186</f>
        <v>0</v>
      </c>
      <c r="P637" s="140">
        <f>O637</f>
        <v>0</v>
      </c>
      <c r="Q637" s="140">
        <v>1</v>
      </c>
      <c r="R637" s="139">
        <v>66</v>
      </c>
      <c r="S637" s="140">
        <f>S636-L654+L655</f>
        <v>7.1700000000000053</v>
      </c>
      <c r="T637" s="140">
        <f>T636-L654+L655</f>
        <v>7.1700000000000053</v>
      </c>
      <c r="U637" s="140">
        <f>U636-L654+L655</f>
        <v>7.1700000000000053</v>
      </c>
      <c r="V637" s="140">
        <f>V636-L654+L655</f>
        <v>7.1700000000000053</v>
      </c>
      <c r="W637" s="163">
        <f>(S632*S637+T632*T637+U632*U637+V632*V637)</f>
        <v>0</v>
      </c>
      <c r="X637" s="147"/>
      <c r="Z637" s="139" t="s">
        <v>1324</v>
      </c>
      <c r="AA637" s="147">
        <f>(AF632+AF633*COS(AA628)+AF634*SIN(AA628))</f>
        <v>0</v>
      </c>
      <c r="AB637" s="147">
        <f>(AF632+AF633*COS(AB628)+AF634*SIN(AB628))</f>
        <v>0</v>
      </c>
      <c r="AC637" s="147">
        <f>(AF632+AF633*COS(AC628)+AF634*SIN(AC628))</f>
        <v>0</v>
      </c>
      <c r="AD637" s="147">
        <f>(AF632+AF633*COS(AD628)+AF634*SIN(AD628))</f>
        <v>0</v>
      </c>
      <c r="AE637" s="159" t="s">
        <v>664</v>
      </c>
      <c r="AF637" s="163">
        <f>L631/L629*L648+L644/L630*L647</f>
        <v>0.50672214511948566</v>
      </c>
      <c r="AG637" s="137"/>
      <c r="AH637" s="159"/>
      <c r="AI637" s="159"/>
      <c r="AJ637" s="159"/>
      <c r="AK637" s="159"/>
      <c r="AL637" s="163"/>
    </row>
    <row r="638" spans="10:38">
      <c r="J638" s="139" t="s">
        <v>1538</v>
      </c>
      <c r="K638" s="140">
        <f>E185</f>
        <v>0.51600000000000001</v>
      </c>
      <c r="L638" s="140">
        <f>K638*P630^G185</f>
        <v>0.51600000000000001</v>
      </c>
      <c r="M638" s="145">
        <f t="shared" si="120"/>
        <v>1</v>
      </c>
      <c r="N638" s="139" t="s">
        <v>1539</v>
      </c>
      <c r="O638" s="140">
        <f>D186</f>
        <v>0.6</v>
      </c>
      <c r="P638" s="140">
        <f>O638*(1-L635)/(1-K635)</f>
        <v>0.6</v>
      </c>
      <c r="Q638" s="140">
        <f>P638/O638</f>
        <v>1</v>
      </c>
      <c r="R638" s="139" t="s">
        <v>1347</v>
      </c>
      <c r="S638" s="140">
        <f>L652*SIN(S630)/2+L653*SIN(S631)</f>
        <v>0</v>
      </c>
      <c r="T638" s="140">
        <f>L652*SIN(T630)/2+L653*SIN(T631)</f>
        <v>4.221105484146412E-16</v>
      </c>
      <c r="U638" s="140">
        <f>L652*SIN(U630)/2+L653*SIN(U631)</f>
        <v>0</v>
      </c>
      <c r="V638" s="140">
        <f>L652*SIN(V630)/2+L653*SIN(V631)</f>
        <v>4.221105484146412E-16</v>
      </c>
      <c r="W638" s="163">
        <f>(S632*S638+T632*T638+U632*U638+V632*V638)</f>
        <v>0</v>
      </c>
      <c r="X638" s="147"/>
      <c r="Z638" s="139" t="s">
        <v>1332</v>
      </c>
      <c r="AA638" s="147">
        <f>2*AF632-AA637</f>
        <v>0</v>
      </c>
      <c r="AB638" s="147">
        <f>2*AF632-AB637</f>
        <v>0</v>
      </c>
      <c r="AC638" s="147">
        <f>2*AF632-AC637</f>
        <v>0</v>
      </c>
      <c r="AD638" s="147">
        <f>2*AF632-AD637</f>
        <v>0</v>
      </c>
      <c r="AE638" s="159"/>
      <c r="AF638" s="163"/>
      <c r="AG638" s="139" t="s">
        <v>1333</v>
      </c>
      <c r="AH638" s="163">
        <f>P657*AH631^2+2*P659*AH631*AH632+P658*AH632^2+P660*AH633^2</f>
        <v>0</v>
      </c>
      <c r="AI638" s="163">
        <f>P657*AI631^2+2*P659*AI631*AI632+P658*AI632^2+P660*AI633^2</f>
        <v>0</v>
      </c>
      <c r="AJ638" s="163">
        <f>P657*AJ631^2+2*P659*AJ631*AJ632+P658*AJ632^2+P660*AJ633^2</f>
        <v>0</v>
      </c>
      <c r="AK638" s="163">
        <f>P657*AK631^2+2*P659*AK631*AK632+P658*AK632^2+P660*AK633^2</f>
        <v>0</v>
      </c>
      <c r="AL638" s="163"/>
    </row>
    <row r="639" spans="10:38">
      <c r="J639" s="139" t="s">
        <v>1547</v>
      </c>
      <c r="K639" s="140">
        <f>K638*(1-K635)/K635</f>
        <v>0.2211428571428572</v>
      </c>
      <c r="L639" s="140">
        <f>L638*(1-L635)/L635</f>
        <v>0.2211428571428572</v>
      </c>
      <c r="M639" s="145">
        <f t="shared" si="120"/>
        <v>1</v>
      </c>
      <c r="O639" s="140"/>
      <c r="P639" s="140"/>
      <c r="Q639" s="140"/>
      <c r="R639" s="139" t="s">
        <v>1349</v>
      </c>
      <c r="S639" s="140">
        <f>L652*SIN(S630)-S638</f>
        <v>0</v>
      </c>
      <c r="T639" s="140">
        <f>L652*SIN(T630)-T638</f>
        <v>1.0081392224502176E-14</v>
      </c>
      <c r="U639" s="140">
        <f>L652*SIN(U630)-U638</f>
        <v>0</v>
      </c>
      <c r="V639" s="140">
        <f>L652*SIN(V630)-V638</f>
        <v>1.0081392224502176E-14</v>
      </c>
      <c r="W639" s="163">
        <f>(S632*S639+T632*T639+U632*U639+V632*V639)</f>
        <v>0</v>
      </c>
      <c r="X639" s="147"/>
      <c r="Z639" s="139" t="s">
        <v>1334</v>
      </c>
      <c r="AA639" s="147">
        <f>(2*(AF634*COS(AA628)-AF633*SIN(AA628)))</f>
        <v>0</v>
      </c>
      <c r="AB639" s="147">
        <f>(2*(AF634*COS(AB628)-AF633*SIN(AB628)))</f>
        <v>0</v>
      </c>
      <c r="AC639" s="147">
        <f>(2*(AF634*COS(AC628)-AF633*SIN(AC628)))</f>
        <v>0</v>
      </c>
      <c r="AD639" s="147">
        <f>(2*(AF634*COS(AD628)-AF633*SIN(AD628)))</f>
        <v>0</v>
      </c>
      <c r="AE639" s="159"/>
      <c r="AF639" s="163"/>
      <c r="AG639" s="139" t="s">
        <v>1335</v>
      </c>
      <c r="AH639" s="163">
        <f>P661*AH631+P662*AH632</f>
        <v>0</v>
      </c>
      <c r="AI639" s="163">
        <f>P661*AI631+P662*AI632</f>
        <v>0</v>
      </c>
      <c r="AJ639" s="163">
        <f>P661*AJ631+P662*AJ632</f>
        <v>0</v>
      </c>
      <c r="AK639" s="163">
        <f>P661*AK631+P662*AK632</f>
        <v>0</v>
      </c>
      <c r="AL639" s="163"/>
    </row>
    <row r="640" spans="10:38">
      <c r="J640" s="139" t="s">
        <v>1643</v>
      </c>
      <c r="K640" s="140">
        <f>1/((1+K639)/K630-K639/K637)</f>
        <v>18.686160319541436</v>
      </c>
      <c r="L640" s="140">
        <f>K640*P630^F186</f>
        <v>18.686160319541436</v>
      </c>
      <c r="M640" s="145">
        <f t="shared" si="120"/>
        <v>1</v>
      </c>
      <c r="N640" s="138" t="s">
        <v>176</v>
      </c>
      <c r="O640" s="140"/>
      <c r="P640" s="140"/>
      <c r="Q640" s="140"/>
      <c r="R640" s="139"/>
      <c r="S640" s="143"/>
      <c r="T640" s="143"/>
      <c r="U640" s="143"/>
      <c r="V640" s="139"/>
      <c r="W640" s="143"/>
      <c r="Z640" s="139" t="s">
        <v>671</v>
      </c>
      <c r="AA640" s="164">
        <f>S658*S632</f>
        <v>0</v>
      </c>
      <c r="AB640" s="164">
        <f>T658*T632</f>
        <v>0</v>
      </c>
      <c r="AC640" s="164">
        <f>U658*U632</f>
        <v>0</v>
      </c>
      <c r="AD640" s="164">
        <f>V658*V632</f>
        <v>0</v>
      </c>
      <c r="AE640" s="164">
        <f>W632*(P635+P634*AF636+AF637*P635)-AF636*SUM(AA640:AD640)-AF637*SUM(AA641:AD641)</f>
        <v>0</v>
      </c>
      <c r="AF640" s="164"/>
      <c r="AG640" s="139" t="s">
        <v>1344</v>
      </c>
      <c r="AH640" s="163" t="e">
        <f>AH639/2/AH638</f>
        <v>#DIV/0!</v>
      </c>
      <c r="AI640" s="163" t="e">
        <f>AI639/2/AI638</f>
        <v>#DIV/0!</v>
      </c>
      <c r="AJ640" s="163" t="e">
        <f>AJ639/2/AJ638</f>
        <v>#DIV/0!</v>
      </c>
      <c r="AK640" s="163" t="e">
        <f>AK639/2/AK638</f>
        <v>#DIV/0!</v>
      </c>
      <c r="AL640" s="163"/>
    </row>
    <row r="641" spans="10:38">
      <c r="J641" s="139" t="s">
        <v>295</v>
      </c>
      <c r="K641" s="140">
        <f>E186</f>
        <v>0.316</v>
      </c>
      <c r="L641" s="140">
        <f>K641*P630^G185</f>
        <v>0.316</v>
      </c>
      <c r="M641" s="145">
        <f t="shared" si="120"/>
        <v>1</v>
      </c>
      <c r="N641" s="139" t="s">
        <v>296</v>
      </c>
      <c r="O641" s="144">
        <f>A184</f>
        <v>1500</v>
      </c>
      <c r="P641" s="144">
        <f>P647*L635</f>
        <v>1500</v>
      </c>
      <c r="Q641" s="140">
        <f t="shared" ref="Q641:Q648" si="121">P641/O641</f>
        <v>1</v>
      </c>
      <c r="R641" s="139"/>
      <c r="T641" s="164"/>
      <c r="U641" s="140"/>
      <c r="V641" s="140"/>
      <c r="W641" s="140"/>
      <c r="X641" s="143"/>
      <c r="Y641" s="139"/>
      <c r="Z641" s="139" t="s">
        <v>675</v>
      </c>
      <c r="AA641" s="164">
        <f>S659*S632</f>
        <v>0</v>
      </c>
      <c r="AB641" s="164">
        <f>T659*T632</f>
        <v>0</v>
      </c>
      <c r="AC641" s="164">
        <f>U659*U632</f>
        <v>0</v>
      </c>
      <c r="AD641" s="164">
        <f>V659*V632</f>
        <v>0</v>
      </c>
      <c r="AE641" s="164"/>
      <c r="AF641" s="164"/>
      <c r="AG641" s="139"/>
      <c r="AH641" s="163"/>
      <c r="AI641" s="163"/>
      <c r="AJ641" s="163"/>
      <c r="AK641" s="163"/>
      <c r="AL641" s="163"/>
    </row>
    <row r="642" spans="10:38">
      <c r="J642" s="139" t="s">
        <v>301</v>
      </c>
      <c r="K642" s="140">
        <f>K641*(1-K635)/K635</f>
        <v>0.13542857142857145</v>
      </c>
      <c r="L642" s="140">
        <f>L641*(1-L635)/L635</f>
        <v>0.13542857142857145</v>
      </c>
      <c r="M642" s="145">
        <f t="shared" si="120"/>
        <v>1</v>
      </c>
      <c r="N642" s="139" t="s">
        <v>302</v>
      </c>
      <c r="O642" s="144">
        <f>B184</f>
        <v>1500</v>
      </c>
      <c r="P642" s="144">
        <f>O642*Q641*M632^F187</f>
        <v>1500</v>
      </c>
      <c r="Q642" s="140">
        <f t="shared" si="121"/>
        <v>1</v>
      </c>
      <c r="R642" s="139"/>
      <c r="T642" s="164"/>
      <c r="U642" s="140"/>
      <c r="V642" s="140"/>
      <c r="W642" s="140"/>
      <c r="X642" s="140"/>
      <c r="Y642" s="140"/>
      <c r="Z642" s="139" t="s">
        <v>677</v>
      </c>
      <c r="AA642" s="164">
        <f>S660*S632</f>
        <v>0</v>
      </c>
      <c r="AB642" s="164">
        <f>T660*T632</f>
        <v>0</v>
      </c>
      <c r="AC642" s="164">
        <f>U660*U632</f>
        <v>0</v>
      </c>
      <c r="AD642" s="164">
        <f>V660*V632</f>
        <v>0</v>
      </c>
      <c r="AE642" s="164">
        <f>W632*(P638+P637*AF636+AF637*P638)-AF636*SUM(AA642:AD642)-AF637*SUM(AA643:AD643)</f>
        <v>0</v>
      </c>
      <c r="AF642" s="164"/>
      <c r="AG642" s="139"/>
      <c r="AH642" s="163"/>
      <c r="AI642" s="147"/>
      <c r="AJ642" s="163"/>
      <c r="AK642" s="163"/>
      <c r="AL642" s="163"/>
    </row>
    <row r="643" spans="10:38">
      <c r="J643" s="139" t="s">
        <v>304</v>
      </c>
      <c r="K643" s="140">
        <f>1/((1+K642)/K632-K642*2.7/K637)</f>
        <v>19.680382632972858</v>
      </c>
      <c r="L643" s="140">
        <f>K643*P630^F186</f>
        <v>19.680382632972858</v>
      </c>
      <c r="M643" s="145">
        <f t="shared" si="120"/>
        <v>1</v>
      </c>
      <c r="N643" s="139" t="s">
        <v>305</v>
      </c>
      <c r="O643" s="144">
        <f>C184</f>
        <v>40</v>
      </c>
      <c r="P643" s="144">
        <f>O643*Q648</f>
        <v>40</v>
      </c>
      <c r="Q643" s="140">
        <f t="shared" si="121"/>
        <v>1</v>
      </c>
      <c r="R643" s="139"/>
      <c r="T643" s="164"/>
      <c r="U643" s="140"/>
      <c r="V643" s="140"/>
      <c r="W643" s="140"/>
      <c r="X643" s="140"/>
      <c r="Y643" s="140"/>
      <c r="Z643" s="138" t="s">
        <v>679</v>
      </c>
      <c r="AA643" s="164">
        <f>S661*S632</f>
        <v>0</v>
      </c>
      <c r="AB643" s="164">
        <f>T661*T632</f>
        <v>0</v>
      </c>
      <c r="AC643" s="164">
        <f>U661*U632</f>
        <v>0</v>
      </c>
      <c r="AD643" s="164">
        <f>V661*V632</f>
        <v>0</v>
      </c>
      <c r="AE643" s="164"/>
      <c r="AF643" s="164"/>
      <c r="AG643" s="139"/>
      <c r="AH643" s="163"/>
      <c r="AI643" s="163"/>
      <c r="AJ643" s="163"/>
      <c r="AK643" s="163"/>
      <c r="AL643" s="159" t="s">
        <v>1348</v>
      </c>
    </row>
    <row r="644" spans="10:38">
      <c r="J644" s="139" t="s">
        <v>1581</v>
      </c>
      <c r="K644" s="140">
        <f>F187</f>
        <v>0.5</v>
      </c>
      <c r="L644" s="140">
        <f>K644</f>
        <v>0.5</v>
      </c>
      <c r="M644" s="140">
        <f t="shared" si="120"/>
        <v>1</v>
      </c>
      <c r="N644" s="139" t="s">
        <v>1542</v>
      </c>
      <c r="O644" s="144">
        <f>D184</f>
        <v>246</v>
      </c>
      <c r="P644" s="144">
        <f>O644*Q648</f>
        <v>246</v>
      </c>
      <c r="Q644" s="140">
        <f t="shared" si="121"/>
        <v>1</v>
      </c>
      <c r="R644" s="139"/>
      <c r="T644" s="164"/>
      <c r="U644" s="140"/>
      <c r="V644" s="140"/>
      <c r="W644" s="138"/>
      <c r="X644" s="140"/>
      <c r="Y644" s="140"/>
      <c r="Z644" s="139" t="s">
        <v>682</v>
      </c>
      <c r="AA644" s="164">
        <f>S632*(AA637+S662/1000)</f>
        <v>0</v>
      </c>
      <c r="AB644" s="164">
        <f>T632*(AB637+T662/1000)</f>
        <v>0</v>
      </c>
      <c r="AC644" s="164">
        <f>U632*(AC637+U662/1000)</f>
        <v>0</v>
      </c>
      <c r="AD644" s="164">
        <f>V632*(AD637+V662/1000)</f>
        <v>0</v>
      </c>
      <c r="AE644" s="164">
        <f>W632*((1+AF637)*(P635*P631/1000000+P638*P627)+AF636*(P634*P631/1000000+P637*P627))*1000-AF636*SUM(AA644:AD644)-AF637*SUM(AA645:AD645)</f>
        <v>0</v>
      </c>
      <c r="AF644" s="164"/>
      <c r="AG644" s="139" t="s">
        <v>1351</v>
      </c>
      <c r="AH644" s="147" t="e">
        <f>(AH640^2+1/AH638)^0.5-AH640</f>
        <v>#DIV/0!</v>
      </c>
      <c r="AI644" s="147" t="e">
        <f>(AI640^2+1/AI638)^0.5-AI640</f>
        <v>#DIV/0!</v>
      </c>
      <c r="AJ644" s="147" t="e">
        <f>(AJ640^2+1/AJ638)^0.5-AJ640</f>
        <v>#DIV/0!</v>
      </c>
      <c r="AK644" s="147" t="e">
        <f>(AK640^2+1/AK638)^0.5-AK640</f>
        <v>#DIV/0!</v>
      </c>
      <c r="AL644" s="147">
        <f>MIN(AH645:AK645)</f>
        <v>1000000000</v>
      </c>
    </row>
    <row r="645" spans="10:38">
      <c r="J645" s="138" t="s">
        <v>1507</v>
      </c>
      <c r="N645" s="139" t="s">
        <v>1543</v>
      </c>
      <c r="O645" s="165">
        <f>E184</f>
        <v>68</v>
      </c>
      <c r="P645" s="165">
        <f>O645*Q648</f>
        <v>68</v>
      </c>
      <c r="Q645" s="140">
        <f t="shared" si="121"/>
        <v>1</v>
      </c>
      <c r="R645" s="139"/>
      <c r="T645" s="164"/>
      <c r="U645" s="140"/>
      <c r="V645" s="140"/>
      <c r="W645" s="138"/>
      <c r="X645" s="138"/>
      <c r="Z645" s="139" t="s">
        <v>685</v>
      </c>
      <c r="AA645" s="164">
        <f>S632*(AA638+S663/1000)</f>
        <v>0</v>
      </c>
      <c r="AB645" s="164">
        <f>T632*(AB638+T663/1000)</f>
        <v>0</v>
      </c>
      <c r="AC645" s="164">
        <f>U632*(AC638+U663/1000)</f>
        <v>0</v>
      </c>
      <c r="AD645" s="164">
        <f>V632*(AD638+V663/1000)</f>
        <v>0</v>
      </c>
      <c r="AE645" s="164"/>
      <c r="AF645" s="164"/>
      <c r="AG645" s="139"/>
      <c r="AH645" s="147">
        <f>IF(AH627=0,1000000000,AH644)</f>
        <v>1000000000</v>
      </c>
      <c r="AI645" s="147">
        <f>IF(AI627=0,1000000000,AI644)</f>
        <v>1000000000</v>
      </c>
      <c r="AJ645" s="147">
        <f>IF(AJ627=0,1000000000,AJ644)</f>
        <v>1000000000</v>
      </c>
      <c r="AK645" s="147">
        <f>IF(AK627=0,1000000000,AK644)</f>
        <v>1000000000</v>
      </c>
    </row>
    <row r="646" spans="10:38">
      <c r="J646" s="139" t="s">
        <v>1354</v>
      </c>
      <c r="K646" s="140">
        <f>K629/(1-K631^2*K630/K629)</f>
        <v>181.81113884441791</v>
      </c>
      <c r="L646" s="140">
        <f>L629/(1-L631^2*L630/L629)</f>
        <v>181.81113884441794</v>
      </c>
      <c r="M646" s="145">
        <f>L646/K646</f>
        <v>1.0000000000000002</v>
      </c>
      <c r="N646" s="139" t="s">
        <v>1168</v>
      </c>
      <c r="O646" s="145">
        <f>A185</f>
        <v>-0.5</v>
      </c>
      <c r="P646" s="145">
        <f>O646*I84</f>
        <v>-0.5</v>
      </c>
      <c r="Q646" s="140">
        <f t="shared" si="121"/>
        <v>1</v>
      </c>
      <c r="R646" s="139"/>
      <c r="T646" s="164"/>
      <c r="U646" s="140"/>
      <c r="V646" s="140"/>
      <c r="W646" s="138"/>
      <c r="X646" s="138"/>
      <c r="Z646" s="138" t="s">
        <v>686</v>
      </c>
      <c r="AA646" s="140">
        <f>($AF636*COS(AA629)^2+$AF637*SIN(AA629)^2)*S632</f>
        <v>0</v>
      </c>
      <c r="AB646" s="140">
        <f>($AF636*COS(AB629)^2+$AF637*SIN(AB629)^2)*T632</f>
        <v>0</v>
      </c>
      <c r="AC646" s="140">
        <f>($AF636*COS(AC629)^2+$AF637*SIN(AC629)^2)*U632</f>
        <v>0</v>
      </c>
      <c r="AD646" s="140">
        <f>($AF636*COS(AD629)^2+$AF637*SIN(AD629)^2)*V632</f>
        <v>0</v>
      </c>
      <c r="AE646" s="163">
        <f>SUM(AA646:AD646)</f>
        <v>0</v>
      </c>
      <c r="AF646" s="163"/>
      <c r="AG646" s="138" t="s">
        <v>1360</v>
      </c>
      <c r="AH646" s="147">
        <f>IF(AH627=0,0,AH644)</f>
        <v>0</v>
      </c>
      <c r="AI646" s="147">
        <f>IF(AI627=0,0,AI644)</f>
        <v>0</v>
      </c>
      <c r="AJ646" s="147">
        <f>IF(AJ627=0,0,AJ644)</f>
        <v>0</v>
      </c>
      <c r="AK646" s="147">
        <f>IF(AK627=0,0,AK644)</f>
        <v>0</v>
      </c>
    </row>
    <row r="647" spans="10:38">
      <c r="J647" s="139" t="s">
        <v>1361</v>
      </c>
      <c r="K647" s="140">
        <f>K646*K630/K629</f>
        <v>10.346158729820468</v>
      </c>
      <c r="L647" s="140">
        <f>L646*L630/L629</f>
        <v>10.346158729820468</v>
      </c>
      <c r="M647" s="145">
        <f>L647/K647</f>
        <v>1</v>
      </c>
      <c r="N647" s="139" t="s">
        <v>1175</v>
      </c>
      <c r="O647" s="144">
        <f>O641/K635</f>
        <v>2142.8571428571431</v>
      </c>
      <c r="P647" s="144">
        <f>H84*P630^G186</f>
        <v>2142.8571428571431</v>
      </c>
      <c r="Q647" s="140">
        <f t="shared" si="121"/>
        <v>1</v>
      </c>
      <c r="T647" s="147"/>
      <c r="U647" s="141"/>
      <c r="V647" s="141"/>
      <c r="W647" s="138"/>
      <c r="X647" s="138"/>
      <c r="Z647" s="138" t="s">
        <v>689</v>
      </c>
      <c r="AA647" s="140">
        <f>($AF636*SIN(AA629)^2+$AF637*COS(AA629)^2)*S632</f>
        <v>0</v>
      </c>
      <c r="AB647" s="140">
        <f>($AF636*SIN(AB629)^2+$AF637*COS(AB629)^2)*T632</f>
        <v>0</v>
      </c>
      <c r="AC647" s="140">
        <f>($AF636*SIN(AC629)^2+$AF637*COS(AC629)^2)*U632</f>
        <v>0</v>
      </c>
      <c r="AD647" s="140">
        <f>($AF636*SIN(AD629)^2+$AF637*COS(AD629)^2)*V632</f>
        <v>0</v>
      </c>
      <c r="AE647" s="163">
        <f>SUM(AA647:AD647)</f>
        <v>0</v>
      </c>
      <c r="AF647" s="163"/>
      <c r="AG647" s="139" t="s">
        <v>1364</v>
      </c>
      <c r="AH647" s="138">
        <f>(S662-P634*P631)/1000000-P637*P627</f>
        <v>3.7599999999999944E-4</v>
      </c>
      <c r="AI647" s="138">
        <f>(T662-P634*P631)/1000000-P637*P627</f>
        <v>3.7599999999999965E-4</v>
      </c>
      <c r="AJ647" s="157">
        <f>(U662-P634*P631)/1000000-P637*P627</f>
        <v>3.7599999999999944E-4</v>
      </c>
      <c r="AK647" s="157">
        <f>(V662-P634*P631)/1000000-P637*P627</f>
        <v>3.7599999999999965E-4</v>
      </c>
      <c r="AL647" s="163"/>
    </row>
    <row r="648" spans="10:38">
      <c r="J648" s="139" t="s">
        <v>1365</v>
      </c>
      <c r="K648" s="140">
        <f>K647*K631</f>
        <v>2.8969244443497315</v>
      </c>
      <c r="L648" s="140">
        <f>L647*L631</f>
        <v>2.8969244443497315</v>
      </c>
      <c r="M648" s="145">
        <f>L648/K648</f>
        <v>1</v>
      </c>
      <c r="N648" s="139" t="s">
        <v>1176</v>
      </c>
      <c r="O648" s="144">
        <f>O643</f>
        <v>40</v>
      </c>
      <c r="P648" s="144">
        <f>G84*P630^H185</f>
        <v>40</v>
      </c>
      <c r="Q648" s="140">
        <f t="shared" si="121"/>
        <v>1</v>
      </c>
      <c r="R648" s="137" t="s">
        <v>1185</v>
      </c>
      <c r="U648" s="141"/>
      <c r="W648" s="138"/>
      <c r="X648" s="138"/>
      <c r="AA648" s="140"/>
      <c r="AE648" s="163"/>
      <c r="AF648" s="163"/>
      <c r="AG648" s="139" t="s">
        <v>1367</v>
      </c>
      <c r="AH648" s="138">
        <f>(S663-P635*P631)/1000000-P638*P627</f>
        <v>-3.7600000000000047E-4</v>
      </c>
      <c r="AI648" s="138">
        <f>(T663-P635*P631)/1000000-P638*P627</f>
        <v>-3.7600000000000047E-4</v>
      </c>
      <c r="AJ648" s="157">
        <f>(U663-P635*P631)/1000000-P638*P627</f>
        <v>-3.7600000000000047E-4</v>
      </c>
      <c r="AK648" s="157">
        <f>(V663-P635*P631)/1000000-P638*P627</f>
        <v>-3.7600000000000047E-4</v>
      </c>
      <c r="AL648" s="163"/>
    </row>
    <row r="649" spans="10:38">
      <c r="J649" s="139" t="s">
        <v>1370</v>
      </c>
      <c r="K649" s="140">
        <f>K632</f>
        <v>7.17</v>
      </c>
      <c r="L649" s="140">
        <f>L632</f>
        <v>7.17</v>
      </c>
      <c r="M649" s="145">
        <f>L649/K649</f>
        <v>1</v>
      </c>
      <c r="R649" s="143" t="s">
        <v>695</v>
      </c>
      <c r="S649" s="147">
        <f>S632*COS(S630)</f>
        <v>0</v>
      </c>
      <c r="T649" s="147">
        <f>T632*COS(T630)</f>
        <v>0</v>
      </c>
      <c r="U649" s="147">
        <f>U632*COS(U630)</f>
        <v>0</v>
      </c>
      <c r="V649" s="147">
        <f>V632*COS(V630)</f>
        <v>0</v>
      </c>
      <c r="W649" s="147">
        <f>SUM(S649:V649)</f>
        <v>0</v>
      </c>
      <c r="X649" s="138"/>
      <c r="AF649" s="163"/>
      <c r="AG649" s="139" t="s">
        <v>1372</v>
      </c>
      <c r="AH649" s="138">
        <f>S677/1000000</f>
        <v>0</v>
      </c>
      <c r="AI649" s="138">
        <f>T677/1000000</f>
        <v>0</v>
      </c>
      <c r="AJ649" s="157">
        <f>U677/1000000</f>
        <v>0</v>
      </c>
      <c r="AK649" s="157">
        <f>V677/1000000</f>
        <v>0</v>
      </c>
      <c r="AL649" s="163"/>
    </row>
    <row r="650" spans="10:38">
      <c r="J650" s="138" t="s">
        <v>1510</v>
      </c>
      <c r="K650" s="140"/>
      <c r="L650" s="140"/>
      <c r="N650" s="138" t="s">
        <v>1375</v>
      </c>
      <c r="R650" s="139" t="s">
        <v>696</v>
      </c>
      <c r="S650" s="147">
        <f>S632*SIN(S630)</f>
        <v>0</v>
      </c>
      <c r="T650" s="147">
        <f>T632*SIN(T630)</f>
        <v>0</v>
      </c>
      <c r="U650" s="147">
        <f>U632*SIN(U630)</f>
        <v>0</v>
      </c>
      <c r="V650" s="147">
        <f>V632*SIN(V630)</f>
        <v>0</v>
      </c>
      <c r="W650" s="147">
        <f>SUM(S650:V650)</f>
        <v>0</v>
      </c>
      <c r="X650" s="138"/>
      <c r="AF650" s="163"/>
      <c r="AG650" s="163"/>
      <c r="AH650" s="163"/>
      <c r="AI650" s="163"/>
      <c r="AJ650" s="163"/>
      <c r="AK650" s="163"/>
      <c r="AL650" s="163"/>
    </row>
    <row r="651" spans="10:38">
      <c r="J651" s="139" t="s">
        <v>1380</v>
      </c>
      <c r="K651" s="140">
        <f>(3*K646+3*K647+2*K648+4*K649)/8</f>
        <v>76.368217701426829</v>
      </c>
      <c r="L651" s="140">
        <f>(3*L646+3*L647+2*L648+4*L649)/8</f>
        <v>76.368217701426843</v>
      </c>
      <c r="M651" s="145">
        <f>L651/K651</f>
        <v>1.0000000000000002</v>
      </c>
      <c r="N651" s="139" t="s">
        <v>1381</v>
      </c>
      <c r="O651" s="140">
        <f>1/O641/O642*1000000</f>
        <v>0.44444444444444442</v>
      </c>
      <c r="P651" s="140">
        <f>1/P641/P642*1000000</f>
        <v>0.44444444444444442</v>
      </c>
      <c r="Q651" s="140">
        <f>P651/O651</f>
        <v>1</v>
      </c>
      <c r="R651" s="139"/>
      <c r="S651" s="138" t="s">
        <v>698</v>
      </c>
      <c r="T651" s="137"/>
      <c r="U651" s="143" t="s">
        <v>700</v>
      </c>
      <c r="V651" s="137"/>
      <c r="W651" s="137" t="s">
        <v>702</v>
      </c>
      <c r="X651" s="138"/>
      <c r="Y651" s="137" t="s">
        <v>704</v>
      </c>
      <c r="Z651" s="137" t="s">
        <v>705</v>
      </c>
      <c r="AA651" s="138" t="s">
        <v>706</v>
      </c>
      <c r="AB651" s="139"/>
      <c r="AC651" s="139"/>
      <c r="AF651" s="138"/>
      <c r="AG651" s="159" t="s">
        <v>1383</v>
      </c>
      <c r="AH651" s="166">
        <f>P657*AH647^2+2*P659*AH647*AH648+P658*AH648^2+P660*AH649^2</f>
        <v>4.0749146542514705E-3</v>
      </c>
      <c r="AI651" s="163">
        <f>P657*AI647^2+2*P659*AI647*AI648+P658*AI648^2+P660*AI649^2</f>
        <v>4.0749146542514731E-3</v>
      </c>
      <c r="AJ651" s="163">
        <f>P657*AJ647^2+2*P659*AJ647*AJ648+P658*AJ648^2+P660*AJ649^2</f>
        <v>4.0749146542514705E-3</v>
      </c>
      <c r="AK651" s="163">
        <f>P657*AK647^2+2*P659*AK647*AK648+P658*AK648^2+P660*AK649^2</f>
        <v>4.0749146542514731E-3</v>
      </c>
      <c r="AL651" s="163"/>
    </row>
    <row r="652" spans="10:38">
      <c r="J652" s="139" t="s">
        <v>1384</v>
      </c>
      <c r="K652" s="140">
        <f>(K646-K647)/2</f>
        <v>85.732490057298719</v>
      </c>
      <c r="L652" s="140">
        <f>(L646-L647)/2</f>
        <v>85.732490057298733</v>
      </c>
      <c r="M652" s="145">
        <f>L652/K652</f>
        <v>1.0000000000000002</v>
      </c>
      <c r="N652" s="139" t="s">
        <v>1385</v>
      </c>
      <c r="O652" s="140">
        <f>1/O643/O644*1000000</f>
        <v>101.6260162601626</v>
      </c>
      <c r="P652" s="140">
        <f>1/P643/P644*1000000</f>
        <v>101.6260162601626</v>
      </c>
      <c r="Q652" s="140">
        <f>P652/O652</f>
        <v>1</v>
      </c>
      <c r="R652" s="139">
        <v>1</v>
      </c>
      <c r="S652" s="138">
        <f>(S656*W632+S657*W649)</f>
        <v>0</v>
      </c>
      <c r="T652" s="138"/>
      <c r="U652" s="138">
        <f>(T656*W632+T657*W649)</f>
        <v>0</v>
      </c>
      <c r="V652" s="147"/>
      <c r="W652" s="138">
        <f>S652*P631+U652*P627</f>
        <v>0</v>
      </c>
      <c r="X652" s="147"/>
      <c r="Y652" s="138">
        <f t="shared" ref="Y652:AA654" si="122">Y600</f>
        <v>11.259999999999984</v>
      </c>
      <c r="Z652" s="138">
        <f t="shared" si="122"/>
        <v>0.29999999999999954</v>
      </c>
      <c r="AA652" s="138">
        <f t="shared" si="122"/>
        <v>373.99999999999937</v>
      </c>
      <c r="AB652" s="147"/>
      <c r="AC652" s="147"/>
      <c r="AF652" s="138"/>
      <c r="AG652" s="159" t="s">
        <v>1387</v>
      </c>
      <c r="AH652" s="166">
        <f>P661*AH647+P662*AH648</f>
        <v>-5.8636980773925068E-2</v>
      </c>
      <c r="AI652" s="163">
        <f>P661*AI647+P662*AI648</f>
        <v>-5.8636980773925054E-2</v>
      </c>
      <c r="AJ652" s="163">
        <f>P661*AJ647+P662*AJ648</f>
        <v>-5.8636980773925068E-2</v>
      </c>
      <c r="AK652" s="163">
        <f>P661*AK647+P662*AK648</f>
        <v>-5.8636980773925054E-2</v>
      </c>
      <c r="AL652" s="163"/>
    </row>
    <row r="653" spans="10:38">
      <c r="J653" s="139" t="s">
        <v>1388</v>
      </c>
      <c r="K653" s="140">
        <f>(K646+K647-2*K648-4*K649)/8</f>
        <v>19.710431085692363</v>
      </c>
      <c r="L653" s="140">
        <f>(L646+L647-2*L648-4*L649)/8</f>
        <v>19.710431085692367</v>
      </c>
      <c r="M653" s="145">
        <f>L653/K653</f>
        <v>1.0000000000000002</v>
      </c>
      <c r="N653" s="139" t="s">
        <v>1389</v>
      </c>
      <c r="O653" s="140">
        <f>O646*(O651*O652)^0.5</f>
        <v>-3.3603243272729659</v>
      </c>
      <c r="P653" s="140">
        <f>P646*(P651*P652)^0.5</f>
        <v>-3.3603243272729659</v>
      </c>
      <c r="Q653" s="140">
        <f>P653/O653</f>
        <v>1</v>
      </c>
      <c r="R653" s="139">
        <v>2</v>
      </c>
      <c r="S653" s="138">
        <f>(S656*W632-S657*W649)</f>
        <v>0</v>
      </c>
      <c r="T653" s="138"/>
      <c r="U653" s="138">
        <f>(T656*W632-T657*W649)</f>
        <v>0</v>
      </c>
      <c r="V653" s="147"/>
      <c r="W653" s="138">
        <f>S653*P631+U653*P627</f>
        <v>0</v>
      </c>
      <c r="X653" s="147"/>
      <c r="Y653" s="138">
        <f t="shared" si="122"/>
        <v>11.259999999999993</v>
      </c>
      <c r="Z653" s="138">
        <f t="shared" si="122"/>
        <v>0.29999999999999977</v>
      </c>
      <c r="AA653" s="138">
        <f t="shared" si="122"/>
        <v>373.99999999999966</v>
      </c>
      <c r="AB653" s="147"/>
      <c r="AC653" s="147"/>
      <c r="AF653" s="138"/>
      <c r="AG653" s="159" t="s">
        <v>1390</v>
      </c>
      <c r="AH653" s="166">
        <f>AH651+AH652</f>
        <v>-5.4562066119673597E-2</v>
      </c>
      <c r="AI653" s="163">
        <f>AI651+AI652</f>
        <v>-5.4562066119673583E-2</v>
      </c>
      <c r="AJ653" s="163">
        <f>AJ651+AJ652</f>
        <v>-5.4562066119673597E-2</v>
      </c>
      <c r="AK653" s="163">
        <f>AK651+AK652</f>
        <v>-5.4562066119673583E-2</v>
      </c>
      <c r="AL653" s="163"/>
    </row>
    <row r="654" spans="10:38">
      <c r="J654" s="139" t="s">
        <v>1391</v>
      </c>
      <c r="K654" s="140">
        <f>(K646+K647+6*K648-4*K649)/8</f>
        <v>22.607355530042096</v>
      </c>
      <c r="L654" s="140">
        <f>(L646+L647+6*L648-4*L649)/8</f>
        <v>22.607355530042099</v>
      </c>
      <c r="M654" s="145">
        <f>L654/K654</f>
        <v>1.0000000000000002</v>
      </c>
      <c r="N654" s="139" t="s">
        <v>1392</v>
      </c>
      <c r="O654" s="140">
        <f>1/O645^2*1000000</f>
        <v>216.26297577854672</v>
      </c>
      <c r="P654" s="140">
        <f>1/P645^2*1000000</f>
        <v>216.26297577854672</v>
      </c>
      <c r="Q654" s="140">
        <f>P654/O654</f>
        <v>1</v>
      </c>
      <c r="R654" s="139">
        <v>6</v>
      </c>
      <c r="S654" s="139">
        <f>S657*W650</f>
        <v>0</v>
      </c>
      <c r="T654" s="138"/>
      <c r="U654" s="139">
        <f>T657*W650</f>
        <v>0</v>
      </c>
      <c r="V654" s="147"/>
      <c r="W654" s="138">
        <f>S654*P631+U654*P627</f>
        <v>0</v>
      </c>
      <c r="X654" s="147"/>
      <c r="Y654" s="138">
        <f t="shared" si="122"/>
        <v>-22.479999999999976</v>
      </c>
      <c r="Z654" s="138">
        <f t="shared" si="122"/>
        <v>-0.5999999999999992</v>
      </c>
      <c r="AA654" s="138">
        <f t="shared" si="122"/>
        <v>-397.02012514617672</v>
      </c>
      <c r="AB654" s="147"/>
      <c r="AC654" s="147"/>
      <c r="AF654" s="138"/>
      <c r="AG654" s="159" t="s">
        <v>1395</v>
      </c>
      <c r="AH654" s="166">
        <f>-1+AH653</f>
        <v>-1.0545620661196735</v>
      </c>
      <c r="AI654" s="163">
        <f>-1+AI653</f>
        <v>-1.0545620661196735</v>
      </c>
      <c r="AJ654" s="163">
        <f>-1+AJ653</f>
        <v>-1.0545620661196735</v>
      </c>
      <c r="AK654" s="163">
        <f>-1+AK653</f>
        <v>-1.0545620661196735</v>
      </c>
      <c r="AL654" s="163"/>
    </row>
    <row r="655" spans="10:38">
      <c r="J655" s="139" t="s">
        <v>1396</v>
      </c>
      <c r="K655" s="140">
        <f>(K651-K654)/2</f>
        <v>26.880431085692365</v>
      </c>
      <c r="L655" s="140">
        <f>(L651-L654)/2</f>
        <v>26.880431085692372</v>
      </c>
      <c r="M655" s="145">
        <f>L655/K655</f>
        <v>1.0000000000000002</v>
      </c>
      <c r="N655" s="139" t="s">
        <v>1397</v>
      </c>
      <c r="O655" s="140">
        <f>(1/O641-1/O642)*1000</f>
        <v>0</v>
      </c>
      <c r="P655" s="140">
        <f>(1/P641-1/P642)*1000</f>
        <v>0</v>
      </c>
      <c r="Q655" s="140">
        <f>IF(O655=0,1,P655/O655)</f>
        <v>1</v>
      </c>
      <c r="R655" s="143"/>
      <c r="S655" s="143" t="s">
        <v>709</v>
      </c>
      <c r="T655" s="143" t="s">
        <v>710</v>
      </c>
      <c r="U655" s="143"/>
      <c r="V655" s="141"/>
      <c r="W655" s="138"/>
      <c r="X655" s="139" t="s">
        <v>711</v>
      </c>
      <c r="Y655" s="138">
        <f>(Y652+Y653)/2</f>
        <v>11.259999999999987</v>
      </c>
      <c r="Z655" s="138">
        <f>(Z652+Z653)/2</f>
        <v>0.29999999999999966</v>
      </c>
      <c r="AA655" s="138">
        <f>(AA652+AA653)/2</f>
        <v>373.99999999999955</v>
      </c>
      <c r="AF655" s="138"/>
      <c r="AG655" s="159" t="s">
        <v>1399</v>
      </c>
      <c r="AH655" s="166">
        <f>2*(P657*AH631*AH647+P658*AH632*AH648+P659*(AH631*AH648+AH647*AH632)+P660*AH633*AH649)</f>
        <v>0</v>
      </c>
      <c r="AI655" s="163">
        <f>2*(P657*AI631*AI647+P658*AI632*AI648+P659*(AI631*AI648+AI647*AI632)+P660*AI633*AI649)</f>
        <v>0</v>
      </c>
      <c r="AJ655" s="163">
        <f>2*(P657*AJ631*AJ647+P658*AJ632*AJ648+P659*(AJ631*AJ648+AJ647*AJ632)+P660*AJ633*AJ649)</f>
        <v>0</v>
      </c>
      <c r="AK655" s="163">
        <f>2*(P657*AK631*AK647+P658*AK632*AK648+P659*(AK631*AK648+AK647*AK632)+P660*AK633*AK649)</f>
        <v>0</v>
      </c>
      <c r="AL655" s="163"/>
    </row>
    <row r="656" spans="10:38">
      <c r="J656" s="138" t="s">
        <v>1400</v>
      </c>
      <c r="N656" s="139" t="s">
        <v>1401</v>
      </c>
      <c r="O656" s="140">
        <f>(1/O643-1/O644)*1000</f>
        <v>20.934959349593495</v>
      </c>
      <c r="P656" s="140">
        <f>(1/P643-1/P644)*1000</f>
        <v>20.934959349593495</v>
      </c>
      <c r="Q656" s="140">
        <f t="shared" ref="Q656:Q662" si="123">P656/O656</f>
        <v>1</v>
      </c>
      <c r="R656" s="167" t="s">
        <v>711</v>
      </c>
      <c r="S656" s="138">
        <f>((K646+K648)*P634+(L648+L647)*P635)/2/1000000</f>
        <v>1.5083176634230242E-4</v>
      </c>
      <c r="T656" s="138">
        <f>((L646+L648)*P637+(L648+L647)*P638)/2</f>
        <v>3.9729249522510592</v>
      </c>
      <c r="U656" s="143"/>
      <c r="V656" s="141"/>
      <c r="W656" s="138"/>
      <c r="X656" s="143" t="s">
        <v>712</v>
      </c>
      <c r="Y656" s="164">
        <f>(Y652-Y653)/2</f>
        <v>-4.4408920985006262E-15</v>
      </c>
      <c r="Z656" s="164">
        <f>(Z652-Z653)/2</f>
        <v>-1.1102230246251565E-16</v>
      </c>
      <c r="AA656" s="164">
        <f>(AA652-AA653)/2</f>
        <v>-1.4210854715202004E-13</v>
      </c>
      <c r="AF656" s="138"/>
      <c r="AG656" s="159" t="s">
        <v>1403</v>
      </c>
      <c r="AH656" s="166">
        <f>AH655+AH639</f>
        <v>0</v>
      </c>
      <c r="AI656" s="163">
        <f>AI655+AI639</f>
        <v>0</v>
      </c>
      <c r="AJ656" s="163">
        <f>AJ655+AJ639</f>
        <v>0</v>
      </c>
      <c r="AK656" s="163">
        <f>AK655+AK639</f>
        <v>0</v>
      </c>
      <c r="AL656" s="163"/>
    </row>
    <row r="657" spans="10:38">
      <c r="J657" s="139" t="s">
        <v>1404</v>
      </c>
      <c r="K657" s="140">
        <f>(1-(K654/K651)^2)*K651</f>
        <v>69.675740916648124</v>
      </c>
      <c r="L657" s="140">
        <f>(1-(L654/L651)^2)*L651</f>
        <v>69.675740916648138</v>
      </c>
      <c r="M657" s="140">
        <f>L657/K657</f>
        <v>1.0000000000000002</v>
      </c>
      <c r="N657" s="139" t="s">
        <v>1405</v>
      </c>
      <c r="O657" s="144">
        <f>(O651*K646^2+2*O653*K646*K648+O652*K648^2)</f>
        <v>12004.38353147296</v>
      </c>
      <c r="P657" s="144">
        <f>(P651*L646^2+2*P653*L646*L648+P652*L648^2)</f>
        <v>12004.38353147296</v>
      </c>
      <c r="Q657" s="140">
        <f t="shared" si="123"/>
        <v>1</v>
      </c>
      <c r="R657" s="167" t="s">
        <v>712</v>
      </c>
      <c r="S657" s="138">
        <f>((L646-L648)*P634+(L648-L647)*P635)/2/1000000</f>
        <v>-8.2014743567545106E-5</v>
      </c>
      <c r="T657" s="138">
        <f>((L646-L648)*P637+(L648-L647)*P638)/2</f>
        <v>-2.234770285641221</v>
      </c>
      <c r="U657" s="143"/>
      <c r="V657" s="141"/>
      <c r="W657" s="138"/>
      <c r="X657" s="143" t="s">
        <v>714</v>
      </c>
      <c r="Y657" s="164">
        <f>Y654/2</f>
        <v>-11.239999999999988</v>
      </c>
      <c r="Z657" s="164">
        <f>Z654/2</f>
        <v>-0.2999999999999996</v>
      </c>
      <c r="AA657" s="164">
        <f>AA654/2</f>
        <v>-198.51006257308836</v>
      </c>
      <c r="AG657" s="159" t="s">
        <v>1412</v>
      </c>
      <c r="AH657" s="166" t="e">
        <f>AH656/2/AH638</f>
        <v>#DIV/0!</v>
      </c>
      <c r="AI657" s="163" t="e">
        <f>AI656/2/AI638</f>
        <v>#DIV/0!</v>
      </c>
      <c r="AJ657" s="163" t="e">
        <f>AJ656/2/AJ638</f>
        <v>#DIV/0!</v>
      </c>
      <c r="AK657" s="163" t="e">
        <f>AK656/2/AK638</f>
        <v>#DIV/0!</v>
      </c>
      <c r="AL657" s="163"/>
    </row>
    <row r="658" spans="10:38">
      <c r="J658" s="139" t="s">
        <v>1414</v>
      </c>
      <c r="K658" s="140">
        <f>K654/K651</f>
        <v>0.29603094337527941</v>
      </c>
      <c r="L658" s="140">
        <f>L654/L651</f>
        <v>0.29603094337527941</v>
      </c>
      <c r="M658" s="140">
        <f>L658/K658</f>
        <v>1</v>
      </c>
      <c r="N658" s="139" t="s">
        <v>1415</v>
      </c>
      <c r="O658" s="144">
        <f>(O651*K648^2+2*O653*K648*K647+O652*K647^2)</f>
        <v>10680.652008265077</v>
      </c>
      <c r="P658" s="144">
        <f>(P651*L648^2+2*P653*L648*L647+P652*L647^2)</f>
        <v>10680.652008265077</v>
      </c>
      <c r="Q658" s="140">
        <f t="shared" si="123"/>
        <v>1</v>
      </c>
      <c r="R658" s="139" t="s">
        <v>715</v>
      </c>
      <c r="S658" s="138">
        <f>Y655+Y656*COS(S630)+Y657*SIN(S630)</f>
        <v>11.259999999999984</v>
      </c>
      <c r="T658" s="138">
        <f>Y655+Y656*COS(T630)+Y657*SIN(T630)</f>
        <v>11.259999999999989</v>
      </c>
      <c r="U658" s="138">
        <f>Y655+Y656*COS(U630)+Y657*SIN(U630)</f>
        <v>11.259999999999984</v>
      </c>
      <c r="V658" s="138">
        <f>Y655+Y656*COS(V630)+Y657*SIN(V630)</f>
        <v>11.259999999999989</v>
      </c>
      <c r="W658" s="138"/>
      <c r="Y658" s="164"/>
      <c r="AC658" s="140"/>
      <c r="AG658" s="159"/>
      <c r="AH658" s="147"/>
      <c r="AI658" s="163"/>
      <c r="AJ658" s="163"/>
      <c r="AK658" s="163"/>
      <c r="AL658" s="163"/>
    </row>
    <row r="659" spans="10:38">
      <c r="J659" s="139" t="s">
        <v>716</v>
      </c>
      <c r="K659" s="138">
        <f>(1-L631^2*L630/L629)*L630/(1-L631^2*L630/L629-L644^2-L631^2*L630/L629-2*L631^2*L630/L629*L644)</f>
        <v>13.920484365408951</v>
      </c>
      <c r="N659" s="139" t="s">
        <v>1416</v>
      </c>
      <c r="O659" s="144">
        <f>(O651*K646*K648+O653*(K646*K647+K648^2)+O652*K648*K647)</f>
        <v>-3069.103206291968</v>
      </c>
      <c r="P659" s="144">
        <f>(P651*L646*L648+P653*(L646*L647+L648^2)+P652*L648*L647)</f>
        <v>-3069.1032062919689</v>
      </c>
      <c r="Q659" s="140">
        <f t="shared" si="123"/>
        <v>1.0000000000000002</v>
      </c>
      <c r="R659" s="139" t="s">
        <v>717</v>
      </c>
      <c r="S659" s="138">
        <f>2*Y655-S658</f>
        <v>11.259999999999991</v>
      </c>
      <c r="T659" s="138">
        <f>2*Y655-T658</f>
        <v>11.259999999999986</v>
      </c>
      <c r="U659" s="138">
        <f>2*Y655-U658</f>
        <v>11.259999999999991</v>
      </c>
      <c r="V659" s="138">
        <f>2*Y655-V658</f>
        <v>11.259999999999986</v>
      </c>
      <c r="W659" s="138"/>
      <c r="Y659" s="164"/>
      <c r="AC659" s="140"/>
      <c r="AG659" s="159"/>
      <c r="AH659" s="147"/>
      <c r="AI659" s="163"/>
      <c r="AJ659" s="163"/>
      <c r="AK659" s="163"/>
      <c r="AL659" s="163"/>
    </row>
    <row r="660" spans="10:38">
      <c r="J660" s="139" t="s">
        <v>1193</v>
      </c>
      <c r="K660" s="140">
        <f>D185</f>
        <v>1.6</v>
      </c>
      <c r="L660" s="140">
        <f>L661*(1-L635)+L662*L635</f>
        <v>1.6</v>
      </c>
      <c r="M660" s="140">
        <f>L660/K660</f>
        <v>1</v>
      </c>
      <c r="N660" s="139" t="s">
        <v>1418</v>
      </c>
      <c r="O660" s="144">
        <f>O654*K649^2</f>
        <v>11117.841695501729</v>
      </c>
      <c r="P660" s="144">
        <f>P654*L649^2</f>
        <v>11117.841695501729</v>
      </c>
      <c r="Q660" s="140">
        <f t="shared" si="123"/>
        <v>1</v>
      </c>
      <c r="R660" s="139" t="s">
        <v>124</v>
      </c>
      <c r="S660" s="138">
        <f>Z655+Z656*COS(S630)+Z657*SIN(S630)</f>
        <v>0.29999999999999954</v>
      </c>
      <c r="T660" s="138">
        <f>Z655+Z656*COS(T630)+Z657*SIN(T630)</f>
        <v>0.29999999999999971</v>
      </c>
      <c r="U660" s="138">
        <f>Z655+Z656*COS(U630)+Z657*SIN(U630)</f>
        <v>0.29999999999999954</v>
      </c>
      <c r="V660" s="138">
        <f>Z655+Z656*COS(V630)+Z657*SIN(V630)</f>
        <v>0.29999999999999971</v>
      </c>
      <c r="W660" s="138"/>
      <c r="Y660" s="164"/>
      <c r="AC660" s="140"/>
      <c r="AG660" s="159"/>
      <c r="AH660" s="147"/>
      <c r="AI660" s="163"/>
      <c r="AJ660" s="163"/>
      <c r="AK660" s="163"/>
      <c r="AL660" s="159" t="s">
        <v>1421</v>
      </c>
    </row>
    <row r="661" spans="10:38">
      <c r="J661" s="139" t="s">
        <v>274</v>
      </c>
      <c r="K661" s="140">
        <f>F184</f>
        <v>1.2</v>
      </c>
      <c r="L661" s="140">
        <f>K661</f>
        <v>1.2</v>
      </c>
      <c r="M661" s="140">
        <f>L661/K661</f>
        <v>1</v>
      </c>
      <c r="N661" s="139" t="s">
        <v>1422</v>
      </c>
      <c r="O661" s="144">
        <f>(O655*K646+O656*K648)</f>
        <v>60.646995481305353</v>
      </c>
      <c r="P661" s="144">
        <f>(P655*L646+P656*L648)</f>
        <v>60.646995481305353</v>
      </c>
      <c r="Q661" s="140">
        <f t="shared" si="123"/>
        <v>1</v>
      </c>
      <c r="R661" s="167" t="s">
        <v>125</v>
      </c>
      <c r="S661" s="138">
        <f>2*Z655-S660</f>
        <v>0.29999999999999977</v>
      </c>
      <c r="T661" s="138">
        <f>2*Z655-T660</f>
        <v>0.2999999999999996</v>
      </c>
      <c r="U661" s="138">
        <f>2*Z655-U660</f>
        <v>0.29999999999999977</v>
      </c>
      <c r="V661" s="138">
        <f>2*Z655-V660</f>
        <v>0.2999999999999996</v>
      </c>
      <c r="W661" s="138"/>
      <c r="Y661" s="164"/>
      <c r="Z661" s="164"/>
      <c r="AA661" s="147"/>
      <c r="AB661" s="147"/>
      <c r="AC661" s="147"/>
      <c r="AD661" s="147"/>
      <c r="AG661" s="139" t="s">
        <v>1424</v>
      </c>
      <c r="AH661" s="147" t="e">
        <f>(AH657^2-AH654/AH638)^0.5-AH657</f>
        <v>#DIV/0!</v>
      </c>
      <c r="AI661" s="147" t="e">
        <f>(AI657^2-AI654/AI638)^0.5-AI657</f>
        <v>#DIV/0!</v>
      </c>
      <c r="AJ661" s="147" t="e">
        <f>(AJ657^2-AJ654/AJ638)^0.5-AJ657</f>
        <v>#DIV/0!</v>
      </c>
      <c r="AK661" s="147" t="e">
        <f>(AK657^2-AK654/AK638)^0.5-AK657</f>
        <v>#DIV/0!</v>
      </c>
      <c r="AL661" s="147">
        <f>MIN(AH662:AK662)</f>
        <v>1000000000</v>
      </c>
    </row>
    <row r="662" spans="10:38">
      <c r="J662" s="139" t="s">
        <v>1195</v>
      </c>
      <c r="K662" s="140">
        <f>(K660-K661*(1-K635))/K635</f>
        <v>1.7714285714285716</v>
      </c>
      <c r="L662" s="140">
        <f>K662</f>
        <v>1.7714285714285716</v>
      </c>
      <c r="M662" s="140">
        <f>L662/K662</f>
        <v>1</v>
      </c>
      <c r="N662" s="139" t="s">
        <v>1426</v>
      </c>
      <c r="O662" s="144">
        <f>(O655*K648+O656*K647)</f>
        <v>216.59641243323335</v>
      </c>
      <c r="P662" s="144">
        <f>(P655*L648+P656*L647)</f>
        <v>216.59641243323335</v>
      </c>
      <c r="Q662" s="140">
        <f t="shared" si="123"/>
        <v>1</v>
      </c>
      <c r="R662" s="139" t="s">
        <v>126</v>
      </c>
      <c r="S662" s="138">
        <f>AA655+AA656*COS(S630)+AA657*SIN(S630)</f>
        <v>373.99999999999943</v>
      </c>
      <c r="T662" s="138">
        <f>AA655+AA656*COS(T630)+AA657*SIN(T630)</f>
        <v>373.99999999999966</v>
      </c>
      <c r="U662" s="138">
        <f>AA655+AA656*COS(U630)+AA657*SIN(U630)</f>
        <v>373.99999999999943</v>
      </c>
      <c r="V662" s="138">
        <f>AA655+AA656*COS(V630)+AA657*SIN(V630)</f>
        <v>373.99999999999966</v>
      </c>
      <c r="W662" s="138"/>
      <c r="Y662" s="164"/>
      <c r="Z662" s="164"/>
      <c r="AA662" s="147"/>
      <c r="AB662" s="147"/>
      <c r="AC662" s="147"/>
      <c r="AD662" s="147"/>
      <c r="AG662" s="139" t="s">
        <v>194</v>
      </c>
      <c r="AH662" s="147">
        <f>IF(AH627=0,1000000000,AH661)</f>
        <v>1000000000</v>
      </c>
      <c r="AI662" s="147">
        <f>IF(AI627=0,1000000000,AI661)</f>
        <v>1000000000</v>
      </c>
      <c r="AJ662" s="147">
        <f>IF(AJ627=0,1000000000,AJ661)</f>
        <v>1000000000</v>
      </c>
      <c r="AK662" s="147">
        <f>IF(AK627=0,1000000000,AK661)</f>
        <v>1000000000</v>
      </c>
    </row>
    <row r="663" spans="10:38">
      <c r="L663" s="138" t="s">
        <v>234</v>
      </c>
      <c r="R663" s="139" t="s">
        <v>127</v>
      </c>
      <c r="S663" s="138">
        <f>2*AA655-S662</f>
        <v>373.99999999999966</v>
      </c>
      <c r="T663" s="138">
        <f>2*AA655-T662</f>
        <v>373.99999999999943</v>
      </c>
      <c r="U663" s="138">
        <f>2*AA655-U662</f>
        <v>373.99999999999966</v>
      </c>
      <c r="V663" s="138">
        <f>2*AA655-V662</f>
        <v>373.99999999999943</v>
      </c>
      <c r="W663" s="138"/>
      <c r="Y663" s="164"/>
      <c r="Z663" s="164" t="s">
        <v>129</v>
      </c>
      <c r="AA663" s="147"/>
      <c r="AB663" s="147"/>
      <c r="AC663" s="147"/>
      <c r="AD663" s="147"/>
      <c r="AG663" s="139" t="s">
        <v>194</v>
      </c>
      <c r="AH663" s="147">
        <f>IF(AH627=0,0,AH661)</f>
        <v>0</v>
      </c>
      <c r="AI663" s="147">
        <f>IF(AI627=0,0,AI661)</f>
        <v>0</v>
      </c>
      <c r="AJ663" s="147">
        <f>IF(AJ627=0,0,AJ661)</f>
        <v>0</v>
      </c>
      <c r="AK663" s="147">
        <f>IF(AK627=0,0,AK661)</f>
        <v>0</v>
      </c>
    </row>
    <row r="664" spans="10:38">
      <c r="J664" s="139" t="s">
        <v>134</v>
      </c>
      <c r="K664" s="138">
        <f>(1-L644^2)*O665*L629</f>
        <v>184.28877056365894</v>
      </c>
      <c r="L664" s="139" t="s">
        <v>135</v>
      </c>
      <c r="M664" s="138">
        <f>L631*(1+L644)*O665*L630</f>
        <v>5.8728045779623468</v>
      </c>
      <c r="R664" s="139" t="s">
        <v>136</v>
      </c>
      <c r="S664" s="138">
        <f>4*COS(S630/2)^2*SIN(S630/2)^2*$K669+COS(S630/2)^4*$K664+SIN(S630/2)^4*$K665+2*COS(S630/2)^2*SIN(S630/2)^2*$M664</f>
        <v>184.28877056365894</v>
      </c>
      <c r="T664" s="138">
        <f>4*COS(T630/2)^2*SIN(T630/2)^2*$K669+COS(T630/2)^4*$K664+SIN(T630/2)^4*$K665+2*COS(T630/2)^2*SIN(T630/2)^2*$M664</f>
        <v>13.920484365408953</v>
      </c>
      <c r="U664" s="138">
        <f>4*COS(U630/2)^2*SIN(U630/2)^2*$K669+COS(U630/2)^4*$K664+SIN(U630/2)^4*$K665+2*COS(U630/2)^2*SIN(U630/2)^2*$M664</f>
        <v>184.28877056365894</v>
      </c>
      <c r="V664" s="138">
        <f>4*COS(V630/2)^2*SIN(V630/2)^2*$K669+COS(V630/2)^4*$K664+SIN(V630/2)^4*$K665+2*COS(V630/2)^2*SIN(V630/2)^2*$M664</f>
        <v>13.920484365408953</v>
      </c>
      <c r="W664" s="138" t="s">
        <v>137</v>
      </c>
      <c r="X664" s="147">
        <f>S632/S666+T632/T666+U632/U666+V632/V666</f>
        <v>0</v>
      </c>
      <c r="Y664" s="147">
        <f>S632*S664+T632*T664+U632*U664+V632*V664</f>
        <v>0</v>
      </c>
      <c r="Z664" s="164"/>
      <c r="AA664" s="147"/>
      <c r="AB664" s="147"/>
      <c r="AC664" s="147"/>
      <c r="AD664" s="147"/>
      <c r="AG664" s="139"/>
      <c r="AH664" s="147"/>
      <c r="AI664" s="147"/>
      <c r="AJ664" s="147"/>
      <c r="AK664" s="147"/>
    </row>
    <row r="665" spans="10:38">
      <c r="J665" s="139" t="s">
        <v>138</v>
      </c>
      <c r="K665" s="138">
        <f>(1-L631^2*L630/L629)*O665*L630</f>
        <v>13.920484365408953</v>
      </c>
      <c r="L665" s="139" t="s">
        <v>139</v>
      </c>
      <c r="M665" s="138">
        <f>M664</f>
        <v>5.8728045779623468</v>
      </c>
      <c r="N665" s="139" t="s">
        <v>140</v>
      </c>
      <c r="O665" s="138">
        <f>1/((1+L644)*(1-L644-2*L631^2*L630/L629))</f>
        <v>1.3575600041521836</v>
      </c>
      <c r="R665" s="139" t="s">
        <v>141</v>
      </c>
      <c r="S665" s="138">
        <f>4*COS(S630/2)^2*SIN(S630/2)^2*$K669+SIN(S630/2)^4*$K664+COS(S630/2)^4*$K665+2*COS(S630/2)^2*SIN(S630/2)^2*$M664</f>
        <v>13.920484365408953</v>
      </c>
      <c r="T665" s="138">
        <f>4*COS(T630/2)^2*SIN(T630/2)^2*$K669+SIN(T630/2)^4*$K664+COS(T630/2)^4*$K665+2*COS(T630/2)^2*SIN(T630/2)^2*$M664</f>
        <v>184.28877056365894</v>
      </c>
      <c r="U665" s="138">
        <f>4*COS(U630/2)^2*SIN(U630/2)^2*$K669+SIN(U630/2)^4*$K664+COS(U630/2)^4*$K665+2*COS(U630/2)^2*SIN(U630/2)^2*$M664</f>
        <v>13.920484365408953</v>
      </c>
      <c r="V665" s="138">
        <f>4*COS(V630/2)^2*SIN(V630/2)^2*$K669+SIN(V630/2)^4*$K664+COS(V630/2)^4*$K665+2*COS(V630/2)^2*SIN(V630/2)^2*$M664</f>
        <v>184.28877056365894</v>
      </c>
      <c r="W665" s="138" t="s">
        <v>142</v>
      </c>
      <c r="X665" s="141">
        <f>S632*S671/S666+T632*T671/T666+U632*U671/U666+V632*V671/V666</f>
        <v>0</v>
      </c>
      <c r="Y665" s="147">
        <f>S632*S665+T632*T665+U632*U665+V632*V665</f>
        <v>0</v>
      </c>
      <c r="Z665" s="164"/>
      <c r="AA665" s="147"/>
      <c r="AB665" s="147"/>
      <c r="AC665" s="147"/>
      <c r="AD665" s="147"/>
      <c r="AG665" s="139"/>
      <c r="AH665" s="147"/>
      <c r="AI665" s="147"/>
      <c r="AJ665" s="147"/>
      <c r="AK665" s="147"/>
    </row>
    <row r="666" spans="10:38">
      <c r="J666" s="139" t="s">
        <v>146</v>
      </c>
      <c r="K666" s="138">
        <f>K665</f>
        <v>13.920484365408953</v>
      </c>
      <c r="L666" s="139" t="s">
        <v>147</v>
      </c>
      <c r="M666" s="138">
        <f>(L644+L631^2*L630/L629)*O665*L630</f>
        <v>7.053817698742284</v>
      </c>
      <c r="R666" s="139" t="s">
        <v>716</v>
      </c>
      <c r="S666" s="138">
        <f>$K666</f>
        <v>13.920484365408953</v>
      </c>
      <c r="T666" s="138">
        <f>$K666</f>
        <v>13.920484365408953</v>
      </c>
      <c r="U666" s="138">
        <f>$K666</f>
        <v>13.920484365408953</v>
      </c>
      <c r="V666" s="138">
        <f>$K666</f>
        <v>13.920484365408953</v>
      </c>
      <c r="W666" s="138" t="s">
        <v>148</v>
      </c>
      <c r="X666" s="141">
        <f>S632*S672/S666+T632*T672/T666+U632*U672/U666+V632*V672/V666</f>
        <v>0</v>
      </c>
      <c r="Y666" s="164"/>
      <c r="Z666" s="164"/>
      <c r="AA666" s="147"/>
      <c r="AB666" s="147"/>
      <c r="AC666" s="147"/>
      <c r="AD666" s="147"/>
      <c r="AG666" s="139"/>
      <c r="AH666" s="147"/>
      <c r="AI666" s="147"/>
      <c r="AJ666" s="147"/>
      <c r="AK666" s="147"/>
    </row>
    <row r="667" spans="10:38">
      <c r="J667" s="139" t="s">
        <v>152</v>
      </c>
      <c r="K667" s="138">
        <f>(1-L644-2*L631^2*L630/L629)*O665*L630/2</f>
        <v>3.433333333333334</v>
      </c>
      <c r="R667" s="139" t="s">
        <v>153</v>
      </c>
      <c r="S667" s="138">
        <f>COS(S630/2)^2*$K667+SIN(S630/2)^2*$K668</f>
        <v>3.433333333333334</v>
      </c>
      <c r="T667" s="138">
        <f>COS(T630/2)^2*$K667+SIN(T630/2)^2*$K668</f>
        <v>7.17</v>
      </c>
      <c r="U667" s="138">
        <f>COS(U630/2)^2*$K667+SIN(U630/2)^2*$K668</f>
        <v>3.433333333333334</v>
      </c>
      <c r="V667" s="138">
        <f>COS(V630/2)^2*$K667+SIN(V630/2)^2*$K668</f>
        <v>7.17</v>
      </c>
      <c r="W667" s="138" t="s">
        <v>154</v>
      </c>
      <c r="X667" s="141">
        <f>S632*S676/S666+T632*T676/T666+U632*U676/U666+V632*V676/V666</f>
        <v>0</v>
      </c>
      <c r="Y667" s="164"/>
      <c r="Z667" s="164">
        <f>S632*S667/(S667*S668-S673^2)+T632*T667/(T667*T668-T673^2)+U632*U667/(U667*U668-U673^2)+V632*V667/(V667*V668-V673^2)</f>
        <v>0</v>
      </c>
      <c r="AA667" s="147"/>
      <c r="AB667" s="147"/>
      <c r="AC667" s="147"/>
      <c r="AD667" s="147"/>
      <c r="AG667" s="139"/>
      <c r="AH667" s="147"/>
      <c r="AI667" s="147"/>
      <c r="AJ667" s="147"/>
      <c r="AK667" s="147"/>
    </row>
    <row r="668" spans="10:38">
      <c r="J668" s="139" t="s">
        <v>769</v>
      </c>
      <c r="K668" s="140">
        <f>L632</f>
        <v>7.17</v>
      </c>
      <c r="R668" s="139" t="s">
        <v>770</v>
      </c>
      <c r="S668" s="138">
        <f>SIN(S630/2)^2*$K667+COS(S630/2)^2*$K668</f>
        <v>7.17</v>
      </c>
      <c r="T668" s="138">
        <f>SIN(T630/2)^2*$K667+COS(T630/2)^2*$K668</f>
        <v>3.433333333333334</v>
      </c>
      <c r="U668" s="138">
        <f>SIN(U630/2)^2*$K667+COS(U630/2)^2*$K668</f>
        <v>7.17</v>
      </c>
      <c r="V668" s="138">
        <f>SIN(V630/2)^2*$K667+COS(V630/2)^2*$K668</f>
        <v>3.433333333333334</v>
      </c>
      <c r="W668" s="138" t="s">
        <v>771</v>
      </c>
      <c r="X668" s="141">
        <f>S632*S671^2/S666+T632*T671^2/T666+U632*U671^2/U666+V632*V671^2/V666</f>
        <v>0</v>
      </c>
      <c r="Y668" s="164"/>
      <c r="Z668" s="164">
        <f>S632*S668/(S667*S668-S673^2)+T632*T668/(T667*T668-T673^2)+U632*U668/(U667*U668-U673^2)+V632*V668/(V667*V668-V673^2)</f>
        <v>0</v>
      </c>
      <c r="AA668" s="147"/>
      <c r="AB668" s="147"/>
      <c r="AC668" s="147"/>
      <c r="AD668" s="147"/>
      <c r="AG668" s="139"/>
      <c r="AH668" s="147"/>
      <c r="AI668" s="147"/>
      <c r="AJ668" s="147"/>
      <c r="AK668" s="147"/>
    </row>
    <row r="669" spans="10:38">
      <c r="J669" s="139" t="s">
        <v>773</v>
      </c>
      <c r="K669" s="140">
        <f>K668</f>
        <v>7.17</v>
      </c>
      <c r="P669" s="185"/>
      <c r="Q669" s="185"/>
      <c r="R669" s="186" t="s">
        <v>774</v>
      </c>
      <c r="S669" s="185">
        <f>(COS(S630/2)^2-SIN(S630/2)^2)^2*$K669+COS(S630/2)^2*SIN(S630/2)^2*($K664+$K665-2*$M664)</f>
        <v>7.17</v>
      </c>
      <c r="T669" s="185">
        <f>(COS(T630/2)^2-SIN(T630/2)^2)^2*$K669+COS(T630/2)^2*SIN(T630/2)^2*($K664+$K665-2*$M664)</f>
        <v>7.17</v>
      </c>
      <c r="U669" s="185">
        <f>(COS(U630/2)^2-SIN(U630/2)^2)^2*$K669+COS(U630/2)^2*SIN(U630/2)^2*($K664+$K665-2*$M664)</f>
        <v>7.17</v>
      </c>
      <c r="V669" s="185">
        <f>(COS(V630/2)^2-SIN(V630/2)^2)^2*$K669+COS(V630/2)^2*SIN(V630/2)^2*($K664+$K665-2*$M664)</f>
        <v>7.17</v>
      </c>
      <c r="W669" s="185" t="s">
        <v>775</v>
      </c>
      <c r="X669" s="187">
        <f>S632*S672^2/S666+T632*T672^2/T666+U632*U672^2/U666+V632*V672^2/V666</f>
        <v>0</v>
      </c>
      <c r="Y669" s="147">
        <f>S632*S669+T632*T669+U632*U669+V632*V669</f>
        <v>0</v>
      </c>
      <c r="Z669" s="188"/>
      <c r="AA669" s="147"/>
      <c r="AB669" s="147"/>
      <c r="AC669" s="147"/>
      <c r="AD669" s="147"/>
      <c r="AG669" s="139"/>
      <c r="AH669" s="147"/>
      <c r="AI669" s="147"/>
      <c r="AJ669" s="147"/>
      <c r="AK669" s="147"/>
    </row>
    <row r="670" spans="10:38">
      <c r="J670" s="185"/>
      <c r="K670" s="185"/>
      <c r="L670" s="185"/>
      <c r="M670" s="185"/>
      <c r="N670" s="185"/>
      <c r="O670" s="185"/>
      <c r="R670" s="139" t="s">
        <v>145</v>
      </c>
      <c r="S670" s="138">
        <f>-4*COS(S630/2)^2*SIN(S630/2)^2*$K669+COS(S630/2)^2*SIN(S630/2)^2*($K664+$K665)+(COS(S630/2)^4+SIN(S630/2)^4)*$M664</f>
        <v>5.8728045779623468</v>
      </c>
      <c r="T670" s="138">
        <f>-4*COS(T630/2)^2*SIN(T630/2)^2*$K669+COS(T630/2)^2*SIN(T630/2)^2*($K664+$K665)+(COS(T630/2)^4+SIN(T630/2)^4)*$M664</f>
        <v>5.8728045779623468</v>
      </c>
      <c r="U670" s="138">
        <f>-4*COS(U630/2)^2*SIN(U630/2)^2*$K669+COS(U630/2)^2*SIN(U630/2)^2*($K664+$K665)+(COS(U630/2)^4+SIN(U630/2)^4)*$M664</f>
        <v>5.8728045779623468</v>
      </c>
      <c r="V670" s="138">
        <f>-4*COS(V630/2)^2*SIN(V630/2)^2*$K669+COS(V630/2)^2*SIN(V630/2)^2*($K664+$K665)+(COS(V630/2)^4+SIN(V630/2)^4)*$M664</f>
        <v>5.8728045779623468</v>
      </c>
      <c r="W670" s="138" t="s">
        <v>778</v>
      </c>
      <c r="X670" s="141">
        <f>S632*S671*S672/S666+T632*T671*T672/T666+U632*U671*U672/U666+V632*V671*V672/V666</f>
        <v>0</v>
      </c>
      <c r="Y670" s="147">
        <f>S632*S670+T632*T670+U632*U670+V632*V670</f>
        <v>0</v>
      </c>
      <c r="Z670" s="164"/>
      <c r="AA670" s="147"/>
      <c r="AB670" s="147"/>
      <c r="AC670" s="147"/>
      <c r="AD670" s="147"/>
      <c r="AG670" s="139"/>
      <c r="AH670" s="147"/>
      <c r="AI670" s="147"/>
      <c r="AJ670" s="147"/>
      <c r="AK670" s="147"/>
    </row>
    <row r="671" spans="10:38">
      <c r="R671" s="139" t="s">
        <v>151</v>
      </c>
      <c r="S671" s="138">
        <f>COS(S630/2)^2*$M665+SIN(S630/2)^2*$M666</f>
        <v>5.8728045779623468</v>
      </c>
      <c r="T671" s="138">
        <f>COS(T630/2)^2*$M665+SIN(T630/2)^2*$M666</f>
        <v>7.053817698742284</v>
      </c>
      <c r="U671" s="138">
        <f>COS(U630/2)^2*$M665+SIN(U630/2)^2*$M666</f>
        <v>5.8728045779623468</v>
      </c>
      <c r="V671" s="138">
        <f>COS(V630/2)^2*$M665+SIN(V630/2)^2*$M666</f>
        <v>7.053817698742284</v>
      </c>
      <c r="W671" s="138" t="s">
        <v>782</v>
      </c>
      <c r="X671" s="141">
        <f>S632*S676*S671/S666+T632*T676*T671/T666+U632*U676*U671/U666+V632*V676*V671/V666</f>
        <v>0</v>
      </c>
      <c r="Y671" s="147"/>
      <c r="Z671" s="164"/>
      <c r="AA671" s="147"/>
      <c r="AB671" s="147"/>
      <c r="AC671" s="147"/>
      <c r="AD671" s="147"/>
      <c r="AG671" s="139"/>
      <c r="AH671" s="147"/>
      <c r="AI671" s="147"/>
      <c r="AJ671" s="147"/>
      <c r="AK671" s="147"/>
    </row>
    <row r="672" spans="10:38">
      <c r="R672" s="139" t="s">
        <v>768</v>
      </c>
      <c r="S672" s="138">
        <f>SIN(S630/2)^2*$M665+COS(S630/2)^2*$M666</f>
        <v>7.053817698742284</v>
      </c>
      <c r="T672" s="138">
        <f>SIN(T630/2)^2*$M665+COS(T630/2)^2*$M666</f>
        <v>5.8728045779623468</v>
      </c>
      <c r="U672" s="138">
        <f>SIN(U630/2)^2*$M665+COS(U630/2)^2*$M666</f>
        <v>7.053817698742284</v>
      </c>
      <c r="V672" s="138">
        <f>SIN(V630/2)^2*$M665+COS(V630/2)^2*$M666</f>
        <v>5.8728045779623468</v>
      </c>
      <c r="W672" s="138" t="s">
        <v>785</v>
      </c>
      <c r="X672" s="141">
        <f>S632*S676*S672/S666+T632*T676*T672/T666+U632*U676*U672/U666+V632*V676*V672/V666</f>
        <v>0</v>
      </c>
      <c r="Y672" s="164"/>
      <c r="Z672" s="164"/>
      <c r="AA672" s="147"/>
      <c r="AB672" s="147"/>
      <c r="AC672" s="147"/>
      <c r="AD672" s="147"/>
      <c r="AG672" s="139"/>
      <c r="AH672" s="147"/>
      <c r="AI672" s="147"/>
      <c r="AJ672" s="147"/>
      <c r="AK672" s="147"/>
    </row>
    <row r="673" spans="10:38">
      <c r="R673" s="139" t="s">
        <v>660</v>
      </c>
      <c r="S673" s="138">
        <f>COS(S630/2)*SIN(S630/2)*(-$K667+$K668)</f>
        <v>0</v>
      </c>
      <c r="T673" s="138">
        <f>COS(T630/2)*SIN(T630/2)*(-$K667+$K668)</f>
        <v>2.2889856965876046E-16</v>
      </c>
      <c r="U673" s="138">
        <f>COS(U630/2)*SIN(U630/2)*(-$K667+$K668)</f>
        <v>0</v>
      </c>
      <c r="V673" s="138">
        <f>COS(V630/2)*SIN(V630/2)*(-$K667+$K668)</f>
        <v>2.2889856965876046E-16</v>
      </c>
      <c r="W673" s="138" t="s">
        <v>1048</v>
      </c>
      <c r="X673" s="141">
        <f>S632*S676^2/S666+T632*T676^2/T666+U632*U676^2/U666+V632*V676^2/V666</f>
        <v>0</v>
      </c>
      <c r="Y673" s="164"/>
      <c r="Z673" s="164">
        <f>S632*S673/(S667*S668-S673^2)+T632*T673/(T667*T668-T673^2)+U632*U673/(U667*U668-U673^2)+V632*V673/(V667*V668-V673^2)</f>
        <v>0</v>
      </c>
      <c r="AA673" s="147"/>
      <c r="AB673" s="147"/>
      <c r="AC673" s="147"/>
      <c r="AD673" s="147"/>
      <c r="AG673" s="139"/>
      <c r="AH673" s="147"/>
      <c r="AI673" s="147"/>
      <c r="AJ673" s="147"/>
      <c r="AK673" s="147"/>
    </row>
    <row r="674" spans="10:38">
      <c r="R674" s="139" t="s">
        <v>777</v>
      </c>
      <c r="S674" s="138">
        <f>-2*COS(S630/2)*SIN(S630/2)*(COS(S630/2)^2-SIN(S630/2)^2)*$K669+COS(S630/2)*SIN(S630/2)*(COS(S630/2)^2*$K664+SIN(S630/2)^2*$K665)+COS(S630/2)*SIN(S630/2)*(COS(S630/2)^2+SIN(S630/2)^2)*$M664</f>
        <v>0</v>
      </c>
      <c r="T674" s="138">
        <f>-2*COS(T630/2)*SIN(T630/2)*(COS(T630/2)^2-SIN(T630/2)^2)*$K669+COS(T630/2)*SIN(T630/2)*(COS(T630/2)^2*$K664+SIN(T630/2)^2*$K665)+COS(T630/2)*SIN(T630/2)*(COS(T630/2)^2+SIN(T630/2)^2)*$M664</f>
        <v>2.0909173104960418E-15</v>
      </c>
      <c r="U674" s="138">
        <f>-2*COS(U630/2)*SIN(U630/2)*(COS(U630/2)^2-SIN(U630/2)^2)*$K669+COS(U630/2)*SIN(U630/2)*(COS(U630/2)^2*$K664+SIN(U630/2)^2*$K665)+COS(U630/2)*SIN(U630/2)*(COS(U630/2)^2+SIN(U630/2)^2)*$M664</f>
        <v>0</v>
      </c>
      <c r="V674" s="138">
        <f>-2*COS(V630/2)*SIN(V630/2)*(COS(V630/2)^2-SIN(V630/2)^2)*$K669+COS(V630/2)*SIN(V630/2)*(COS(V630/2)^2*$K664+SIN(V630/2)^2*$K665)+COS(V630/2)*SIN(V630/2)*(COS(V630/2)^2+SIN(V630/2)^2)*$M664</f>
        <v>2.0909173104960418E-15</v>
      </c>
      <c r="W674" s="138"/>
      <c r="Y674" s="147">
        <f>S632*S674+T632*T674+U632*U674+V632*V674</f>
        <v>0</v>
      </c>
      <c r="Z674" s="164"/>
      <c r="AA674" s="147"/>
      <c r="AB674" s="147"/>
      <c r="AC674" s="147"/>
      <c r="AD674" s="147"/>
      <c r="AG674" s="139"/>
      <c r="AH674" s="147"/>
      <c r="AI674" s="147"/>
      <c r="AJ674" s="147"/>
      <c r="AK674" s="147"/>
    </row>
    <row r="675" spans="10:38">
      <c r="R675" s="139" t="s">
        <v>781</v>
      </c>
      <c r="S675" s="138">
        <f>2*COS(S630/2)*SIN(S630/2)*(COS(S630/2)^2-SIN(S630/2)^2)*$K669+COS(S630/2)*SIN(S630/2)*(SIN(S630/2)^2*$K664-COS(S630/2)^2*$K665)+COS(S630/2)*SIN(S630/2)*(COS(S630/2)^2-SIN(S630/2)^2)*$M664</f>
        <v>0</v>
      </c>
      <c r="T675" s="138">
        <f>2*COS(T630/2)*SIN(T630/2)*(COS(T630/2)^2-SIN(T630/2)^2)*$K669+COS(T630/2)*SIN(T630/2)*(SIN(T630/2)^2*$K664-COS(T630/2)^2*$K665)+COS(T630/2)*SIN(T630/2)*(COS(T630/2)^2-SIN(T630/2)^2)*$M664</f>
        <v>1.0050870810750773E-14</v>
      </c>
      <c r="U675" s="138">
        <f>2*COS(U630/2)*SIN(U630/2)*(COS(U630/2)^2-SIN(U630/2)^2)*$K669+COS(U630/2)*SIN(U630/2)*(SIN(U630/2)^2*$K664-COS(U630/2)^2*$K665)+COS(U630/2)*SIN(U630/2)*(COS(U630/2)^2-SIN(U630/2)^2)*$M664</f>
        <v>0</v>
      </c>
      <c r="V675" s="138">
        <f>2*COS(V630/2)*SIN(V630/2)*(COS(V630/2)^2-SIN(V630/2)^2)*$K669+COS(V630/2)*SIN(V630/2)*(SIN(V630/2)^2*$K664-COS(V630/2)^2*$K665)+COS(V630/2)*SIN(V630/2)*(COS(V630/2)^2-SIN(V630/2)^2)*$M664</f>
        <v>1.0050870810750773E-14</v>
      </c>
      <c r="W675" s="138"/>
      <c r="Y675" s="147">
        <f>S632*S675+T632*T675+U632*U675+V632*V675</f>
        <v>0</v>
      </c>
      <c r="Z675" s="164"/>
      <c r="AA675" s="147"/>
      <c r="AB675" s="147"/>
      <c r="AC675" s="147"/>
      <c r="AD675" s="147"/>
      <c r="AG675" s="139"/>
      <c r="AH675" s="147"/>
      <c r="AI675" s="147"/>
      <c r="AJ675" s="147"/>
      <c r="AK675" s="147"/>
    </row>
    <row r="676" spans="10:38">
      <c r="R676" s="139" t="s">
        <v>784</v>
      </c>
      <c r="S676" s="138">
        <f>COS(S630/2)*SIN(S630/2)*($M665-$M666)</f>
        <v>0</v>
      </c>
      <c r="T676" s="138">
        <f>COS(T630/2)*SIN(T630/2)*($M665-$M666)</f>
        <v>-7.2345820007517372E-17</v>
      </c>
      <c r="U676" s="138">
        <f>COS(U630/2)*SIN(U630/2)*($M665-$M666)</f>
        <v>0</v>
      </c>
      <c r="V676" s="138">
        <f>COS(V630/2)*SIN(V630/2)*($M665-$M666)</f>
        <v>-7.2345820007517372E-17</v>
      </c>
      <c r="W676" s="138"/>
      <c r="Y676" s="164"/>
      <c r="Z676" s="164"/>
      <c r="AA676" s="147"/>
      <c r="AB676" s="147"/>
      <c r="AC676" s="147"/>
      <c r="AD676" s="147"/>
      <c r="AG676" s="139"/>
      <c r="AH676" s="147"/>
      <c r="AI676" s="147"/>
      <c r="AJ676" s="147"/>
      <c r="AK676" s="147"/>
    </row>
    <row r="677" spans="10:38">
      <c r="J677" s="137" t="s">
        <v>858</v>
      </c>
      <c r="K677" s="139"/>
      <c r="L677" s="139"/>
      <c r="N677" s="138" t="s">
        <v>1551</v>
      </c>
      <c r="P677" s="140"/>
      <c r="R677" s="138" t="s">
        <v>634</v>
      </c>
      <c r="Y677" s="164"/>
      <c r="Z677" s="138" t="s">
        <v>635</v>
      </c>
      <c r="AG677" s="138" t="s">
        <v>636</v>
      </c>
    </row>
    <row r="678" spans="10:38">
      <c r="J678" s="139" t="str">
        <f>A188</f>
        <v>T3/N52[SI]</v>
      </c>
      <c r="K678" s="137"/>
      <c r="L678" s="139"/>
      <c r="N678" s="139" t="s">
        <v>596</v>
      </c>
      <c r="O678" s="144">
        <f>G189</f>
        <v>22</v>
      </c>
      <c r="P678" s="144">
        <f>B86</f>
        <v>22</v>
      </c>
      <c r="Q678" s="145">
        <f t="shared" ref="Q678:Q683" si="124">P678/O678</f>
        <v>1</v>
      </c>
      <c r="R678" s="137"/>
      <c r="Z678" s="139" t="s">
        <v>531</v>
      </c>
      <c r="AA678" s="146">
        <f t="shared" ref="AA678:AD680" si="125">S680</f>
        <v>0</v>
      </c>
      <c r="AB678" s="146">
        <f t="shared" si="125"/>
        <v>90</v>
      </c>
      <c r="AC678" s="146">
        <f t="shared" si="125"/>
        <v>0</v>
      </c>
      <c r="AD678" s="146">
        <f t="shared" si="125"/>
        <v>90</v>
      </c>
      <c r="AE678" s="139" t="s">
        <v>532</v>
      </c>
      <c r="AF678" s="143" t="s">
        <v>533</v>
      </c>
      <c r="AG678" s="139" t="s">
        <v>531</v>
      </c>
      <c r="AH678" s="146">
        <f t="shared" ref="AH678:AK680" si="126">AA678</f>
        <v>0</v>
      </c>
      <c r="AI678" s="146">
        <f t="shared" si="126"/>
        <v>90</v>
      </c>
      <c r="AJ678" s="146">
        <f t="shared" si="126"/>
        <v>0</v>
      </c>
      <c r="AK678" s="146">
        <f t="shared" si="126"/>
        <v>90</v>
      </c>
    </row>
    <row r="679" spans="10:38">
      <c r="J679" s="139"/>
      <c r="K679" s="139"/>
      <c r="L679" s="139"/>
      <c r="N679" s="139" t="s">
        <v>600</v>
      </c>
      <c r="O679" s="147">
        <f>H189</f>
        <v>5.0000000000000001E-3</v>
      </c>
      <c r="P679" s="147">
        <f>C86</f>
        <v>5.0000000000000001E-3</v>
      </c>
      <c r="Q679" s="145">
        <f t="shared" si="124"/>
        <v>1</v>
      </c>
      <c r="R679" s="139" t="s">
        <v>243</v>
      </c>
      <c r="S679" s="143" t="s">
        <v>1562</v>
      </c>
      <c r="T679" s="143" t="s">
        <v>1563</v>
      </c>
      <c r="U679" s="143" t="s">
        <v>1564</v>
      </c>
      <c r="V679" s="143" t="s">
        <v>1565</v>
      </c>
      <c r="W679" s="143"/>
      <c r="X679" s="143"/>
      <c r="Z679" s="139" t="s">
        <v>536</v>
      </c>
      <c r="AA679" s="146">
        <f t="shared" si="125"/>
        <v>0</v>
      </c>
      <c r="AB679" s="146">
        <f t="shared" si="125"/>
        <v>0</v>
      </c>
      <c r="AC679" s="146">
        <f t="shared" si="125"/>
        <v>0</v>
      </c>
      <c r="AD679" s="146">
        <f t="shared" si="125"/>
        <v>0</v>
      </c>
      <c r="AE679" s="139">
        <f>W681</f>
        <v>1</v>
      </c>
      <c r="AF679" s="146">
        <f>X682</f>
        <v>0</v>
      </c>
      <c r="AG679" s="139" t="s">
        <v>536</v>
      </c>
      <c r="AH679" s="146">
        <f t="shared" si="126"/>
        <v>0</v>
      </c>
      <c r="AI679" s="146">
        <f t="shared" si="126"/>
        <v>0</v>
      </c>
      <c r="AJ679" s="146">
        <f t="shared" si="126"/>
        <v>0</v>
      </c>
      <c r="AK679" s="146">
        <f t="shared" si="126"/>
        <v>0</v>
      </c>
    </row>
    <row r="680" spans="10:38">
      <c r="J680" s="139" t="s">
        <v>1553</v>
      </c>
      <c r="K680" s="139" t="s">
        <v>1554</v>
      </c>
      <c r="L680" s="139" t="s">
        <v>1555</v>
      </c>
      <c r="M680" s="153" t="s">
        <v>1556</v>
      </c>
      <c r="N680" s="139" t="s">
        <v>1557</v>
      </c>
      <c r="O680" s="144">
        <f>G188</f>
        <v>122</v>
      </c>
      <c r="P680" s="144">
        <f>O680</f>
        <v>122</v>
      </c>
      <c r="Q680" s="145">
        <f t="shared" si="124"/>
        <v>1</v>
      </c>
      <c r="R680" s="139" t="s">
        <v>537</v>
      </c>
      <c r="S680" s="154">
        <f>C29+I30</f>
        <v>0</v>
      </c>
      <c r="T680" s="154">
        <f>D29+I30</f>
        <v>90</v>
      </c>
      <c r="U680" s="154">
        <f>E29+I30</f>
        <v>0</v>
      </c>
      <c r="V680" s="154">
        <f>F29+I30</f>
        <v>90</v>
      </c>
      <c r="W680" s="143" t="s">
        <v>538</v>
      </c>
      <c r="X680" s="143"/>
      <c r="Z680" s="139" t="s">
        <v>539</v>
      </c>
      <c r="AA680" s="146">
        <f t="shared" si="125"/>
        <v>0</v>
      </c>
      <c r="AB680" s="146">
        <f t="shared" si="125"/>
        <v>3.1415926535897931</v>
      </c>
      <c r="AC680" s="146">
        <f t="shared" si="125"/>
        <v>0</v>
      </c>
      <c r="AD680" s="146">
        <f t="shared" si="125"/>
        <v>3.1415926535897931</v>
      </c>
      <c r="AE680" s="139" t="s">
        <v>540</v>
      </c>
      <c r="AF680" s="141">
        <f>W688</f>
        <v>0</v>
      </c>
      <c r="AG680" s="139" t="s">
        <v>539</v>
      </c>
      <c r="AH680" s="146">
        <f t="shared" si="126"/>
        <v>0</v>
      </c>
      <c r="AI680" s="146">
        <f t="shared" si="126"/>
        <v>3.1415926535897931</v>
      </c>
      <c r="AJ680" s="146">
        <f t="shared" si="126"/>
        <v>0</v>
      </c>
      <c r="AK680" s="146">
        <f t="shared" si="126"/>
        <v>3.1415926535897931</v>
      </c>
    </row>
    <row r="681" spans="10:38">
      <c r="J681" s="139" t="s">
        <v>298</v>
      </c>
      <c r="K681" s="140">
        <f>B188</f>
        <v>181</v>
      </c>
      <c r="L681" s="140">
        <f>L688*L687</f>
        <v>181.00000000000003</v>
      </c>
      <c r="M681" s="145">
        <f>L681/K681</f>
        <v>1.0000000000000002</v>
      </c>
      <c r="N681" s="139" t="s">
        <v>299</v>
      </c>
      <c r="O681" s="144">
        <f>H188</f>
        <v>160</v>
      </c>
      <c r="P681" s="144">
        <f>O681-H191*(P679)</f>
        <v>150</v>
      </c>
      <c r="Q681" s="145">
        <f t="shared" si="124"/>
        <v>0.9375</v>
      </c>
      <c r="R681" s="139" t="s">
        <v>541</v>
      </c>
      <c r="S681" s="154">
        <f>C30</f>
        <v>0</v>
      </c>
      <c r="T681" s="154">
        <f>D30</f>
        <v>0</v>
      </c>
      <c r="U681" s="154">
        <f>E30</f>
        <v>0</v>
      </c>
      <c r="V681" s="154">
        <f>F30</f>
        <v>0</v>
      </c>
      <c r="W681" s="156">
        <f>G30</f>
        <v>1</v>
      </c>
      <c r="X681" s="143"/>
      <c r="Z681" s="139"/>
      <c r="AA681" s="141">
        <f>AA680/2</f>
        <v>0</v>
      </c>
      <c r="AB681" s="141">
        <f>AB680/2</f>
        <v>1.5707963267948966</v>
      </c>
      <c r="AC681" s="141">
        <f>AC680/2</f>
        <v>0</v>
      </c>
      <c r="AD681" s="141">
        <f>AD680/2</f>
        <v>1.5707963267948966</v>
      </c>
      <c r="AE681" s="143"/>
      <c r="AL681" s="139"/>
    </row>
    <row r="682" spans="10:38">
      <c r="J682" s="139" t="s">
        <v>1579</v>
      </c>
      <c r="K682" s="140">
        <f>C188</f>
        <v>10.3</v>
      </c>
      <c r="L682" s="140">
        <f>(1+L691)/(1/L692+L691/L689)</f>
        <v>10.3</v>
      </c>
      <c r="M682" s="145">
        <f>L682/K682</f>
        <v>1</v>
      </c>
      <c r="N682" s="139" t="s">
        <v>1580</v>
      </c>
      <c r="O682" s="140">
        <f>(O681-O678)/(O681-O678)</f>
        <v>1</v>
      </c>
      <c r="P682" s="140">
        <f>(P681-P678)/(P681-O678)</f>
        <v>1</v>
      </c>
      <c r="Q682" s="145">
        <f t="shared" si="124"/>
        <v>1</v>
      </c>
      <c r="R682" s="139" t="s">
        <v>1295</v>
      </c>
      <c r="S682" s="158">
        <f>S680*PI()/90</f>
        <v>0</v>
      </c>
      <c r="T682" s="158">
        <f>T680*PI()/90</f>
        <v>3.1415926535897931</v>
      </c>
      <c r="U682" s="158">
        <f>U680*PI()/90</f>
        <v>0</v>
      </c>
      <c r="V682" s="158">
        <f>V680*PI()/90</f>
        <v>3.1415926535897931</v>
      </c>
      <c r="W682" s="143" t="s">
        <v>1296</v>
      </c>
      <c r="X682" s="146"/>
      <c r="Z682" s="137" t="s">
        <v>1297</v>
      </c>
      <c r="AA682" s="143"/>
      <c r="AB682" s="143"/>
      <c r="AC682" s="141"/>
      <c r="AD682" s="141"/>
      <c r="AE682" s="141"/>
      <c r="AG682" s="137" t="s">
        <v>1298</v>
      </c>
      <c r="AL682" s="139"/>
    </row>
    <row r="683" spans="10:38">
      <c r="J683" s="139" t="s">
        <v>259</v>
      </c>
      <c r="K683" s="140">
        <f>D188</f>
        <v>0.28000000000000003</v>
      </c>
      <c r="L683" s="140">
        <f>K683*I86</f>
        <v>0.28000000000000003</v>
      </c>
      <c r="M683" s="145">
        <f>L683/K683</f>
        <v>1</v>
      </c>
      <c r="N683" s="139" t="s">
        <v>260</v>
      </c>
      <c r="O683" s="144">
        <f>O678-O680</f>
        <v>-100</v>
      </c>
      <c r="P683" s="144">
        <f>P678-P680</f>
        <v>-100</v>
      </c>
      <c r="Q683" s="145">
        <f t="shared" si="124"/>
        <v>1</v>
      </c>
      <c r="R683" s="139" t="s">
        <v>1300</v>
      </c>
      <c r="S683" s="158">
        <f>2*S682</f>
        <v>0</v>
      </c>
      <c r="T683" s="158">
        <f>2*T682</f>
        <v>6.2831853071795862</v>
      </c>
      <c r="U683" s="158">
        <f>2*U682</f>
        <v>0</v>
      </c>
      <c r="V683" s="158">
        <f>2*V682</f>
        <v>6.2831853071795862</v>
      </c>
      <c r="W683" s="138" t="s">
        <v>651</v>
      </c>
      <c r="X683" s="143" t="s">
        <v>652</v>
      </c>
      <c r="Y683" s="143" t="s">
        <v>646</v>
      </c>
      <c r="Z683" s="139"/>
      <c r="AA683" s="143" t="s">
        <v>1301</v>
      </c>
      <c r="AB683" s="143"/>
      <c r="AC683" s="161" t="s">
        <v>977</v>
      </c>
      <c r="AD683" s="161"/>
      <c r="AE683" s="143" t="s">
        <v>1303</v>
      </c>
      <c r="AF683" s="143" t="s">
        <v>1304</v>
      </c>
      <c r="AG683" s="139" t="s">
        <v>1305</v>
      </c>
      <c r="AH683" s="147">
        <f t="shared" ref="AH683:AK685" si="127">AA689/1000</f>
        <v>0</v>
      </c>
      <c r="AI683" s="147">
        <f t="shared" si="127"/>
        <v>0</v>
      </c>
      <c r="AJ683" s="147">
        <f t="shared" si="127"/>
        <v>0</v>
      </c>
      <c r="AK683" s="147">
        <f t="shared" si="127"/>
        <v>0</v>
      </c>
      <c r="AL683" s="157"/>
    </row>
    <row r="684" spans="10:38">
      <c r="J684" s="139" t="s">
        <v>261</v>
      </c>
      <c r="K684" s="140">
        <f>E188</f>
        <v>7.17</v>
      </c>
      <c r="L684" s="140">
        <f>(1+L694)/(1/L695+L694*2.7/L689)</f>
        <v>7.17</v>
      </c>
      <c r="M684" s="145">
        <f>L684/K684</f>
        <v>1</v>
      </c>
      <c r="N684" s="139"/>
      <c r="O684" s="140"/>
      <c r="P684" s="140"/>
      <c r="Q684" s="140"/>
      <c r="R684" s="139" t="s">
        <v>1321</v>
      </c>
      <c r="S684" s="158">
        <f>2*W681*S681*L685/1000000/Y684</f>
        <v>0</v>
      </c>
      <c r="T684" s="158">
        <f>2*W681*T681*L685/1000000/Y684</f>
        <v>0</v>
      </c>
      <c r="U684" s="158">
        <f>2*W681*U681*L685/1000000/Y684</f>
        <v>0</v>
      </c>
      <c r="V684" s="158">
        <f>2*W681*V681*L685/1000000/Y684</f>
        <v>0</v>
      </c>
      <c r="W684" s="147">
        <f>SUM(S684:V684)</f>
        <v>0</v>
      </c>
      <c r="X684" s="163">
        <f>2*W681*SUM(S681:V681)*L685/1000000</f>
        <v>0</v>
      </c>
      <c r="Y684" s="147">
        <f>Y632</f>
        <v>5.0000000000000001E-4</v>
      </c>
      <c r="Z684" s="139">
        <v>1</v>
      </c>
      <c r="AA684" s="140">
        <f>$B$37</f>
        <v>1</v>
      </c>
      <c r="AB684" s="163"/>
      <c r="AC684" s="140">
        <f>AC632</f>
        <v>119.49416590714854</v>
      </c>
      <c r="AD684" s="163"/>
      <c r="AE684" s="159" t="s">
        <v>1306</v>
      </c>
      <c r="AF684" s="163">
        <f>IF(X684=0,0,(AC684+AC685)/2)</f>
        <v>0</v>
      </c>
      <c r="AG684" s="139" t="s">
        <v>1307</v>
      </c>
      <c r="AH684" s="147">
        <f t="shared" si="127"/>
        <v>0</v>
      </c>
      <c r="AI684" s="147">
        <f t="shared" si="127"/>
        <v>0</v>
      </c>
      <c r="AJ684" s="147">
        <f t="shared" si="127"/>
        <v>0</v>
      </c>
      <c r="AK684" s="147">
        <f t="shared" si="127"/>
        <v>0</v>
      </c>
      <c r="AL684" s="157"/>
    </row>
    <row r="685" spans="10:38">
      <c r="J685" s="139" t="s">
        <v>262</v>
      </c>
      <c r="K685" s="144">
        <f>B190</f>
        <v>125</v>
      </c>
      <c r="L685" s="144">
        <f>K685/M687</f>
        <v>125</v>
      </c>
      <c r="M685" s="145">
        <f>L685/K685</f>
        <v>1</v>
      </c>
      <c r="N685" s="137" t="s">
        <v>1531</v>
      </c>
      <c r="O685" s="140"/>
      <c r="P685" s="140"/>
      <c r="Q685" s="140"/>
      <c r="R685" s="139" t="s">
        <v>1325</v>
      </c>
      <c r="S685" s="143" t="s">
        <v>1326</v>
      </c>
      <c r="T685" s="143" t="s">
        <v>1327</v>
      </c>
      <c r="U685" s="143" t="s">
        <v>1328</v>
      </c>
      <c r="V685" s="143" t="s">
        <v>1329</v>
      </c>
      <c r="W685" s="143" t="s">
        <v>1330</v>
      </c>
      <c r="X685" s="139"/>
      <c r="Z685" s="139">
        <v>2</v>
      </c>
      <c r="AA685" s="140">
        <f>$B$38</f>
        <v>0</v>
      </c>
      <c r="AB685" s="163"/>
      <c r="AC685" s="140">
        <f>AC633</f>
        <v>-19.975848039852647</v>
      </c>
      <c r="AD685" s="163"/>
      <c r="AE685" s="159" t="s">
        <v>1309</v>
      </c>
      <c r="AF685" s="163">
        <f>IF(X684=0,0,(AC684-AC685)/2)</f>
        <v>0</v>
      </c>
      <c r="AG685" s="139" t="s">
        <v>1310</v>
      </c>
      <c r="AH685" s="147">
        <f t="shared" si="127"/>
        <v>0</v>
      </c>
      <c r="AI685" s="147">
        <f t="shared" si="127"/>
        <v>0</v>
      </c>
      <c r="AJ685" s="147">
        <f t="shared" si="127"/>
        <v>0</v>
      </c>
      <c r="AK685" s="147">
        <f t="shared" si="127"/>
        <v>0</v>
      </c>
      <c r="AL685" s="157"/>
    </row>
    <row r="686" spans="10:38">
      <c r="J686" s="137" t="s">
        <v>264</v>
      </c>
      <c r="K686" s="140"/>
      <c r="L686" s="140"/>
      <c r="N686" s="139" t="s">
        <v>265</v>
      </c>
      <c r="O686" s="140">
        <f>A191</f>
        <v>0.02</v>
      </c>
      <c r="P686" s="140">
        <f>O686</f>
        <v>0.02</v>
      </c>
      <c r="Q686" s="140">
        <f>P686/O686</f>
        <v>1</v>
      </c>
      <c r="R686" s="139">
        <v>11</v>
      </c>
      <c r="S686" s="140">
        <f>L703+L704*COS(S682)+L705*COS(S683)</f>
        <v>181.81113884441794</v>
      </c>
      <c r="T686" s="140">
        <f>L703+L704*COS(T682)+L705*COS(T683)</f>
        <v>10.346158729820477</v>
      </c>
      <c r="U686" s="140">
        <f>L703+L704*COS(U682)+L705*COS(U683)</f>
        <v>181.81113884441794</v>
      </c>
      <c r="V686" s="140">
        <f>L703+L704*COS(V682)+L705*COS(V683)</f>
        <v>10.346158729820477</v>
      </c>
      <c r="W686" s="163">
        <f>(S684*S686+T684*T686+U684*U686+V684*V686)</f>
        <v>0</v>
      </c>
      <c r="X686" s="147"/>
      <c r="Z686" s="139">
        <v>6</v>
      </c>
      <c r="AA686" s="140">
        <f>$B$39</f>
        <v>0</v>
      </c>
      <c r="AB686" s="163"/>
      <c r="AC686" s="140">
        <f>AC634</f>
        <v>-91.562516762323497</v>
      </c>
      <c r="AD686" s="163"/>
      <c r="AE686" s="159" t="s">
        <v>1312</v>
      </c>
      <c r="AF686" s="163">
        <f>IF(X684=0,0,AC686/2)</f>
        <v>0</v>
      </c>
      <c r="AG686" s="139"/>
      <c r="AH686" s="163"/>
      <c r="AI686" s="163"/>
      <c r="AJ686" s="163"/>
      <c r="AK686" s="163"/>
      <c r="AL686" s="163"/>
    </row>
    <row r="687" spans="10:38">
      <c r="J687" s="139" t="s">
        <v>1532</v>
      </c>
      <c r="K687" s="140">
        <f>C190</f>
        <v>0.7</v>
      </c>
      <c r="L687" s="140">
        <f>D86</f>
        <v>0.7</v>
      </c>
      <c r="M687" s="145">
        <f t="shared" ref="M687:M696" si="128">L687/K687</f>
        <v>1</v>
      </c>
      <c r="N687" s="139" t="s">
        <v>1533</v>
      </c>
      <c r="O687" s="140">
        <f>B191</f>
        <v>22.5</v>
      </c>
      <c r="P687" s="140">
        <f>O687*(1-L687)/(1-K687)</f>
        <v>22.5</v>
      </c>
      <c r="Q687" s="140">
        <f>P687/O687</f>
        <v>1</v>
      </c>
      <c r="R687" s="139">
        <v>22</v>
      </c>
      <c r="S687" s="140">
        <f>S686-2*L704*COS(S682)</f>
        <v>10.346158729820473</v>
      </c>
      <c r="T687" s="140">
        <f>T686-2*L704*COS(T682)</f>
        <v>181.81113884441794</v>
      </c>
      <c r="U687" s="140">
        <f>U686-2*L704*COS(U682)</f>
        <v>10.346158729820473</v>
      </c>
      <c r="V687" s="140">
        <f>V686-2*L704*COS(V682)</f>
        <v>181.81113884441794</v>
      </c>
      <c r="W687" s="163">
        <f>(S684*S687+T684*T687+U684*U687+V684*V687)</f>
        <v>0</v>
      </c>
      <c r="X687" s="147"/>
      <c r="AA687" s="163"/>
      <c r="AB687" s="163"/>
      <c r="AC687" s="163"/>
      <c r="AD687" s="163"/>
      <c r="AE687" s="159"/>
      <c r="AF687" s="163"/>
      <c r="AG687" s="139"/>
      <c r="AH687" s="163"/>
      <c r="AI687" s="163"/>
      <c r="AJ687" s="163"/>
      <c r="AK687" s="163"/>
      <c r="AL687" s="163"/>
    </row>
    <row r="688" spans="10:38">
      <c r="J688" s="139" t="s">
        <v>1534</v>
      </c>
      <c r="K688" s="144">
        <f>K681/K687</f>
        <v>258.57142857142861</v>
      </c>
      <c r="L688" s="144">
        <f>F86*P682^F191</f>
        <v>258.57142857142861</v>
      </c>
      <c r="M688" s="145">
        <f t="shared" si="128"/>
        <v>1</v>
      </c>
      <c r="N688" s="138" t="s">
        <v>1535</v>
      </c>
      <c r="O688" s="140"/>
      <c r="P688" s="140"/>
      <c r="Q688" s="140"/>
      <c r="R688" s="139" t="s">
        <v>1345</v>
      </c>
      <c r="S688" s="140">
        <f>L706-L705*COS(S683)</f>
        <v>2.8969244443497324</v>
      </c>
      <c r="T688" s="140">
        <f>L706-L705*COS(T683)</f>
        <v>2.8969244443497324</v>
      </c>
      <c r="U688" s="140">
        <f>L706-L705*COS(U683)</f>
        <v>2.8969244443497324</v>
      </c>
      <c r="V688" s="140">
        <f>L706-L705*COS(V683)</f>
        <v>2.8969244443497324</v>
      </c>
      <c r="W688" s="163">
        <f>(S684*S688+T684*T688+U684*U688+V684*V688)</f>
        <v>0</v>
      </c>
      <c r="X688" s="147"/>
      <c r="Z688" s="137" t="s">
        <v>1323</v>
      </c>
      <c r="AA688" s="163"/>
      <c r="AB688" s="163"/>
      <c r="AC688" s="163"/>
      <c r="AD688" s="163"/>
      <c r="AE688" s="159" t="s">
        <v>661</v>
      </c>
      <c r="AF688" s="163">
        <f>L683/L681*L698+L696/L682*L700</f>
        <v>0.42188220063345594</v>
      </c>
      <c r="AG688" s="139"/>
      <c r="AH688" s="163"/>
      <c r="AI688" s="163"/>
      <c r="AJ688" s="163"/>
      <c r="AK688" s="163"/>
      <c r="AL688" s="163"/>
    </row>
    <row r="689" spans="10:38">
      <c r="J689" s="139" t="s">
        <v>1536</v>
      </c>
      <c r="K689" s="140">
        <f>F188</f>
        <v>3.4</v>
      </c>
      <c r="L689" s="140">
        <f>E86*P682^F190*I86</f>
        <v>3.4</v>
      </c>
      <c r="M689" s="145">
        <f t="shared" si="128"/>
        <v>1</v>
      </c>
      <c r="N689" s="139" t="s">
        <v>1537</v>
      </c>
      <c r="O689" s="140">
        <f>C191</f>
        <v>0</v>
      </c>
      <c r="P689" s="140">
        <f>O689</f>
        <v>0</v>
      </c>
      <c r="Q689" s="140">
        <v>1</v>
      </c>
      <c r="R689" s="139">
        <v>66</v>
      </c>
      <c r="S689" s="140">
        <f>S688-L706+L707</f>
        <v>7.1700000000000053</v>
      </c>
      <c r="T689" s="140">
        <f>T688-L706+L707</f>
        <v>7.1700000000000053</v>
      </c>
      <c r="U689" s="140">
        <f>U688-L706+L707</f>
        <v>7.1700000000000053</v>
      </c>
      <c r="V689" s="140">
        <f>V688-L706+L707</f>
        <v>7.1700000000000053</v>
      </c>
      <c r="W689" s="163">
        <f>(S684*S689+T684*T689+U684*U689+V684*V689)</f>
        <v>0</v>
      </c>
      <c r="X689" s="147"/>
      <c r="Z689" s="139" t="s">
        <v>1324</v>
      </c>
      <c r="AA689" s="147">
        <f>(AF684+AF685*COS(AA680)+AF686*SIN(AA680))</f>
        <v>0</v>
      </c>
      <c r="AB689" s="147">
        <f>(AF684+AF685*COS(AB680)+AF686*SIN(AB680))</f>
        <v>0</v>
      </c>
      <c r="AC689" s="147">
        <f>(AF684+AF685*COS(AC680)+AF686*SIN(AC680))</f>
        <v>0</v>
      </c>
      <c r="AD689" s="147">
        <f>(AF684+AF685*COS(AD680)+AF686*SIN(AD680))</f>
        <v>0</v>
      </c>
      <c r="AE689" s="159" t="s">
        <v>664</v>
      </c>
      <c r="AF689" s="163">
        <f>L683/L681*L700+L696/L682*L699</f>
        <v>0.50672214511948566</v>
      </c>
      <c r="AG689" s="137"/>
      <c r="AH689" s="159"/>
      <c r="AI689" s="159"/>
      <c r="AJ689" s="159"/>
      <c r="AK689" s="159"/>
      <c r="AL689" s="163"/>
    </row>
    <row r="690" spans="10:38">
      <c r="J690" s="139" t="s">
        <v>1538</v>
      </c>
      <c r="K690" s="140">
        <f>E190</f>
        <v>0.51600000000000001</v>
      </c>
      <c r="L690" s="140">
        <f>K690*P682^G190</f>
        <v>0.51600000000000001</v>
      </c>
      <c r="M690" s="145">
        <f t="shared" si="128"/>
        <v>1</v>
      </c>
      <c r="N690" s="139" t="s">
        <v>1539</v>
      </c>
      <c r="O690" s="140">
        <f>D191</f>
        <v>0.6</v>
      </c>
      <c r="P690" s="140">
        <f>O690*(1-L687)/(1-K687)</f>
        <v>0.6</v>
      </c>
      <c r="Q690" s="140">
        <f>P690/O690</f>
        <v>1</v>
      </c>
      <c r="R690" s="139" t="s">
        <v>1347</v>
      </c>
      <c r="S690" s="140">
        <f>L704*SIN(S682)/2+L705*SIN(S683)</f>
        <v>0</v>
      </c>
      <c r="T690" s="140">
        <f>L704*SIN(T682)/2+L705*SIN(T683)</f>
        <v>4.221105484146412E-16</v>
      </c>
      <c r="U690" s="140">
        <f>L704*SIN(U682)/2+L705*SIN(U683)</f>
        <v>0</v>
      </c>
      <c r="V690" s="140">
        <f>L704*SIN(V682)/2+L705*SIN(V683)</f>
        <v>4.221105484146412E-16</v>
      </c>
      <c r="W690" s="163">
        <f>(S684*S690+T684*T690+U684*U690+V684*V690)</f>
        <v>0</v>
      </c>
      <c r="X690" s="147"/>
      <c r="Z690" s="139" t="s">
        <v>1332</v>
      </c>
      <c r="AA690" s="147">
        <f>2*AF684-AA689</f>
        <v>0</v>
      </c>
      <c r="AB690" s="147">
        <f>2*AF684-AB689</f>
        <v>0</v>
      </c>
      <c r="AC690" s="147">
        <f>2*AF684-AC689</f>
        <v>0</v>
      </c>
      <c r="AD690" s="147">
        <f>2*AF684-AD689</f>
        <v>0</v>
      </c>
      <c r="AE690" s="159"/>
      <c r="AF690" s="163"/>
      <c r="AG690" s="139" t="s">
        <v>1333</v>
      </c>
      <c r="AH690" s="163">
        <f>P709*AH683^2+2*P711*AH683*AH684+P710*AH684^2+P712*AH685^2</f>
        <v>0</v>
      </c>
      <c r="AI690" s="163">
        <f>P709*AI683^2+2*P711*AI683*AI684+P710*AI684^2+P712*AI685^2</f>
        <v>0</v>
      </c>
      <c r="AJ690" s="163">
        <f>P709*AJ683^2+2*P711*AJ683*AJ684+P710*AJ684^2+P712*AJ685^2</f>
        <v>0</v>
      </c>
      <c r="AK690" s="163">
        <f>P709*AK683^2+2*P711*AK683*AK684+P710*AK684^2+P712*AK685^2</f>
        <v>0</v>
      </c>
      <c r="AL690" s="163"/>
    </row>
    <row r="691" spans="10:38">
      <c r="J691" s="139" t="s">
        <v>1547</v>
      </c>
      <c r="K691" s="140">
        <f>K690*(1-K687)/K687</f>
        <v>0.2211428571428572</v>
      </c>
      <c r="L691" s="140">
        <f>L690*(1-L687)/L687</f>
        <v>0.2211428571428572</v>
      </c>
      <c r="M691" s="145">
        <f t="shared" si="128"/>
        <v>1</v>
      </c>
      <c r="O691" s="140"/>
      <c r="P691" s="140"/>
      <c r="Q691" s="140"/>
      <c r="R691" s="139" t="s">
        <v>1349</v>
      </c>
      <c r="S691" s="140">
        <f>L704*SIN(S682)-S690</f>
        <v>0</v>
      </c>
      <c r="T691" s="140">
        <f>L704*SIN(T682)-T690</f>
        <v>1.0081392224502176E-14</v>
      </c>
      <c r="U691" s="140">
        <f>L704*SIN(U682)-U690</f>
        <v>0</v>
      </c>
      <c r="V691" s="140">
        <f>L704*SIN(V682)-V690</f>
        <v>1.0081392224502176E-14</v>
      </c>
      <c r="W691" s="163">
        <f>(S684*S691+T684*T691+U684*U691+V684*V691)</f>
        <v>0</v>
      </c>
      <c r="X691" s="147"/>
      <c r="Z691" s="139" t="s">
        <v>1334</v>
      </c>
      <c r="AA691" s="147">
        <f>(2*(AF686*COS(AA680)-AF685*SIN(AA680)))</f>
        <v>0</v>
      </c>
      <c r="AB691" s="147">
        <f>(2*(AF686*COS(AB680)-AF685*SIN(AB680)))</f>
        <v>0</v>
      </c>
      <c r="AC691" s="147">
        <f>(2*(AF686*COS(AC680)-AF685*SIN(AC680)))</f>
        <v>0</v>
      </c>
      <c r="AD691" s="147">
        <f>(2*(AF686*COS(AD680)-AF685*SIN(AD680)))</f>
        <v>0</v>
      </c>
      <c r="AE691" s="159"/>
      <c r="AF691" s="163"/>
      <c r="AG691" s="139" t="s">
        <v>1335</v>
      </c>
      <c r="AH691" s="163">
        <f>P713*AH683+P714*AH684</f>
        <v>0</v>
      </c>
      <c r="AI691" s="163">
        <f>P713*AI683+P714*AI684</f>
        <v>0</v>
      </c>
      <c r="AJ691" s="163">
        <f>P713*AJ683+P714*AJ684</f>
        <v>0</v>
      </c>
      <c r="AK691" s="163">
        <f>P713*AK683+P714*AK684</f>
        <v>0</v>
      </c>
      <c r="AL691" s="163"/>
    </row>
    <row r="692" spans="10:38">
      <c r="J692" s="139" t="s">
        <v>1643</v>
      </c>
      <c r="K692" s="140">
        <f>1/((1+K691)/K682-K691/K689)</f>
        <v>18.686160319541436</v>
      </c>
      <c r="L692" s="140">
        <f>K692*P682^F191</f>
        <v>18.686160319541436</v>
      </c>
      <c r="M692" s="145">
        <f t="shared" si="128"/>
        <v>1</v>
      </c>
      <c r="N692" s="138" t="s">
        <v>176</v>
      </c>
      <c r="O692" s="140"/>
      <c r="P692" s="140"/>
      <c r="Q692" s="140"/>
      <c r="R692" s="139"/>
      <c r="S692" s="143"/>
      <c r="T692" s="143"/>
      <c r="U692" s="143"/>
      <c r="V692" s="139"/>
      <c r="W692" s="143"/>
      <c r="Z692" s="139" t="s">
        <v>671</v>
      </c>
      <c r="AA692" s="164">
        <f>S710*S684</f>
        <v>0</v>
      </c>
      <c r="AB692" s="164">
        <f>T710*T684</f>
        <v>0</v>
      </c>
      <c r="AC692" s="164">
        <f>U710*U684</f>
        <v>0</v>
      </c>
      <c r="AD692" s="164">
        <f>V710*V684</f>
        <v>0</v>
      </c>
      <c r="AE692" s="164">
        <f>W684*(P687+P686*AF688+AF689*P687)-AF688*SUM(AA692:AD692)-AF689*SUM(AA693:AD693)</f>
        <v>0</v>
      </c>
      <c r="AF692" s="164"/>
      <c r="AG692" s="139" t="s">
        <v>1344</v>
      </c>
      <c r="AH692" s="163" t="e">
        <f>AH691/2/AH690</f>
        <v>#DIV/0!</v>
      </c>
      <c r="AI692" s="163" t="e">
        <f>AI691/2/AI690</f>
        <v>#DIV/0!</v>
      </c>
      <c r="AJ692" s="163" t="e">
        <f>AJ691/2/AJ690</f>
        <v>#DIV/0!</v>
      </c>
      <c r="AK692" s="163" t="e">
        <f>AK691/2/AK690</f>
        <v>#DIV/0!</v>
      </c>
      <c r="AL692" s="163"/>
    </row>
    <row r="693" spans="10:38">
      <c r="J693" s="139" t="s">
        <v>295</v>
      </c>
      <c r="K693" s="140">
        <f>E191</f>
        <v>0.316</v>
      </c>
      <c r="L693" s="140">
        <f>K693*P682^G190</f>
        <v>0.316</v>
      </c>
      <c r="M693" s="145">
        <f t="shared" si="128"/>
        <v>1</v>
      </c>
      <c r="N693" s="139" t="s">
        <v>296</v>
      </c>
      <c r="O693" s="144">
        <f>A189</f>
        <v>1500</v>
      </c>
      <c r="P693" s="144">
        <f>P699*L687</f>
        <v>1500</v>
      </c>
      <c r="Q693" s="140">
        <f t="shared" ref="Q693:Q700" si="129">P693/O693</f>
        <v>1</v>
      </c>
      <c r="R693" s="139"/>
      <c r="T693" s="164"/>
      <c r="U693" s="140"/>
      <c r="V693" s="140"/>
      <c r="W693" s="140"/>
      <c r="X693" s="143"/>
      <c r="Y693" s="139"/>
      <c r="Z693" s="139" t="s">
        <v>675</v>
      </c>
      <c r="AA693" s="164">
        <f>S711*S684</f>
        <v>0</v>
      </c>
      <c r="AB693" s="164">
        <f>T711*T684</f>
        <v>0</v>
      </c>
      <c r="AC693" s="164">
        <f>U711*U684</f>
        <v>0</v>
      </c>
      <c r="AD693" s="164">
        <f>V711*V684</f>
        <v>0</v>
      </c>
      <c r="AE693" s="164"/>
      <c r="AF693" s="164"/>
      <c r="AG693" s="139"/>
      <c r="AH693" s="163"/>
      <c r="AI693" s="163"/>
      <c r="AJ693" s="163"/>
      <c r="AK693" s="163"/>
      <c r="AL693" s="163"/>
    </row>
    <row r="694" spans="10:38">
      <c r="J694" s="139" t="s">
        <v>301</v>
      </c>
      <c r="K694" s="140">
        <f>K693*(1-K687)/K687</f>
        <v>0.13542857142857145</v>
      </c>
      <c r="L694" s="140">
        <f>L693*(1-L687)/L687</f>
        <v>0.13542857142857145</v>
      </c>
      <c r="M694" s="145">
        <f t="shared" si="128"/>
        <v>1</v>
      </c>
      <c r="N694" s="139" t="s">
        <v>302</v>
      </c>
      <c r="O694" s="144">
        <f>B189</f>
        <v>1500</v>
      </c>
      <c r="P694" s="144">
        <f>O694*Q693*M684^F192</f>
        <v>1500</v>
      </c>
      <c r="Q694" s="140">
        <f t="shared" si="129"/>
        <v>1</v>
      </c>
      <c r="R694" s="139"/>
      <c r="T694" s="164"/>
      <c r="U694" s="140"/>
      <c r="V694" s="140"/>
      <c r="W694" s="140"/>
      <c r="X694" s="140"/>
      <c r="Y694" s="140"/>
      <c r="Z694" s="139" t="s">
        <v>677</v>
      </c>
      <c r="AA694" s="164">
        <f>S712*S684</f>
        <v>0</v>
      </c>
      <c r="AB694" s="164">
        <f>T712*T684</f>
        <v>0</v>
      </c>
      <c r="AC694" s="164">
        <f>U712*U684</f>
        <v>0</v>
      </c>
      <c r="AD694" s="164">
        <f>V712*V684</f>
        <v>0</v>
      </c>
      <c r="AE694" s="164">
        <f>W684*(P690+P689*AF688+AF689*P690)-AF688*SUM(AA694:AD694)-AF689*SUM(AA695:AD695)</f>
        <v>0</v>
      </c>
      <c r="AF694" s="164"/>
      <c r="AG694" s="139"/>
      <c r="AH694" s="163"/>
      <c r="AI694" s="147"/>
      <c r="AJ694" s="163"/>
      <c r="AK694" s="163"/>
      <c r="AL694" s="163"/>
    </row>
    <row r="695" spans="10:38">
      <c r="J695" s="139" t="s">
        <v>304</v>
      </c>
      <c r="K695" s="140">
        <f>1/((1+K694)/K684-K694*2.7/K689)</f>
        <v>19.680382632972858</v>
      </c>
      <c r="L695" s="140">
        <f>K695*P682^F191</f>
        <v>19.680382632972858</v>
      </c>
      <c r="M695" s="145">
        <f t="shared" si="128"/>
        <v>1</v>
      </c>
      <c r="N695" s="139" t="s">
        <v>305</v>
      </c>
      <c r="O695" s="144">
        <f>C189</f>
        <v>40</v>
      </c>
      <c r="P695" s="144">
        <f>O695*Q700</f>
        <v>40</v>
      </c>
      <c r="Q695" s="140">
        <f t="shared" si="129"/>
        <v>1</v>
      </c>
      <c r="R695" s="139"/>
      <c r="T695" s="164"/>
      <c r="U695" s="140"/>
      <c r="V695" s="140"/>
      <c r="W695" s="140"/>
      <c r="X695" s="140"/>
      <c r="Y695" s="140"/>
      <c r="Z695" s="138" t="s">
        <v>679</v>
      </c>
      <c r="AA695" s="164">
        <f>S713*S684</f>
        <v>0</v>
      </c>
      <c r="AB695" s="164">
        <f>T713*T684</f>
        <v>0</v>
      </c>
      <c r="AC695" s="164">
        <f>U713*U684</f>
        <v>0</v>
      </c>
      <c r="AD695" s="164">
        <f>V713*V684</f>
        <v>0</v>
      </c>
      <c r="AE695" s="164"/>
      <c r="AF695" s="164"/>
      <c r="AG695" s="139"/>
      <c r="AH695" s="163"/>
      <c r="AI695" s="163"/>
      <c r="AJ695" s="163"/>
      <c r="AK695" s="163"/>
      <c r="AL695" s="159" t="s">
        <v>1348</v>
      </c>
    </row>
    <row r="696" spans="10:38">
      <c r="J696" s="139" t="s">
        <v>1581</v>
      </c>
      <c r="K696" s="140">
        <f>F192</f>
        <v>0.5</v>
      </c>
      <c r="L696" s="140">
        <f>F192</f>
        <v>0.5</v>
      </c>
      <c r="M696" s="140">
        <f t="shared" si="128"/>
        <v>1</v>
      </c>
      <c r="N696" s="139" t="s">
        <v>1542</v>
      </c>
      <c r="O696" s="144">
        <f>D189</f>
        <v>246</v>
      </c>
      <c r="P696" s="144">
        <f>O696*Q700</f>
        <v>246</v>
      </c>
      <c r="Q696" s="140">
        <f t="shared" si="129"/>
        <v>1</v>
      </c>
      <c r="R696" s="139"/>
      <c r="T696" s="164"/>
      <c r="U696" s="140"/>
      <c r="V696" s="140"/>
      <c r="W696" s="138"/>
      <c r="X696" s="140"/>
      <c r="Y696" s="140"/>
      <c r="Z696" s="139" t="s">
        <v>682</v>
      </c>
      <c r="AA696" s="164">
        <f>S684*(AA689+S714/1000)</f>
        <v>0</v>
      </c>
      <c r="AB696" s="164">
        <f>T684*(AB689+T714/1000)</f>
        <v>0</v>
      </c>
      <c r="AC696" s="164">
        <f>U684*(AC689+U714/1000)</f>
        <v>0</v>
      </c>
      <c r="AD696" s="164">
        <f>V684*(AD689+V714/1000)</f>
        <v>0</v>
      </c>
      <c r="AE696" s="164">
        <f>W684*((1+AF689)*(P687*P683/1000000+P690*P679)+AF688*(P686*P683/1000000+P689*P679))*1000-AF688*SUM(AA696:AD696)-AF689*SUM(AA697:AD697)</f>
        <v>0</v>
      </c>
      <c r="AF696" s="164"/>
      <c r="AG696" s="139" t="s">
        <v>1351</v>
      </c>
      <c r="AH696" s="147" t="e">
        <f>(AH692^2+1/AH690)^0.5-AH692</f>
        <v>#DIV/0!</v>
      </c>
      <c r="AI696" s="147" t="e">
        <f>(AI692^2+1/AI690)^0.5-AI692</f>
        <v>#DIV/0!</v>
      </c>
      <c r="AJ696" s="147" t="e">
        <f>(AJ692^2+1/AJ690)^0.5-AJ692</f>
        <v>#DIV/0!</v>
      </c>
      <c r="AK696" s="147" t="e">
        <f>(AK692^2+1/AK690)^0.5-AK692</f>
        <v>#DIV/0!</v>
      </c>
      <c r="AL696" s="147">
        <f>MIN(AH697:AK697)</f>
        <v>1000000000</v>
      </c>
    </row>
    <row r="697" spans="10:38">
      <c r="J697" s="138" t="s">
        <v>1507</v>
      </c>
      <c r="N697" s="139" t="s">
        <v>1543</v>
      </c>
      <c r="O697" s="165">
        <f>E189</f>
        <v>68</v>
      </c>
      <c r="P697" s="165">
        <f>O697*Q700</f>
        <v>68</v>
      </c>
      <c r="Q697" s="140">
        <f t="shared" si="129"/>
        <v>1</v>
      </c>
      <c r="R697" s="139"/>
      <c r="T697" s="164"/>
      <c r="U697" s="140"/>
      <c r="V697" s="140"/>
      <c r="W697" s="138"/>
      <c r="X697" s="138"/>
      <c r="Z697" s="139" t="s">
        <v>685</v>
      </c>
      <c r="AA697" s="164">
        <f>S684*(AA690+S715/1000)</f>
        <v>0</v>
      </c>
      <c r="AB697" s="164">
        <f>T684*(AB690+T715/1000)</f>
        <v>0</v>
      </c>
      <c r="AC697" s="164">
        <f>U684*(AC690+U715/1000)</f>
        <v>0</v>
      </c>
      <c r="AD697" s="164">
        <f>V684*(AD690+V715/1000)</f>
        <v>0</v>
      </c>
      <c r="AE697" s="164"/>
      <c r="AF697" s="164"/>
      <c r="AG697" s="139"/>
      <c r="AH697" s="147">
        <f>IF(AH679=0,1000000000,AH696)</f>
        <v>1000000000</v>
      </c>
      <c r="AI697" s="147">
        <f>IF(AI679=0,1000000000,AI696)</f>
        <v>1000000000</v>
      </c>
      <c r="AJ697" s="147">
        <f>IF(AJ679=0,1000000000,AJ696)</f>
        <v>1000000000</v>
      </c>
      <c r="AK697" s="147">
        <f>IF(AK679=0,1000000000,AK696)</f>
        <v>1000000000</v>
      </c>
    </row>
    <row r="698" spans="10:38">
      <c r="J698" s="139" t="s">
        <v>1354</v>
      </c>
      <c r="K698" s="140">
        <f>K681/(1-K683^2*K682/K681)</f>
        <v>181.81113884441791</v>
      </c>
      <c r="L698" s="140">
        <f>L681/(1-L683^2*L682/L681)</f>
        <v>181.81113884441794</v>
      </c>
      <c r="M698" s="145">
        <f>L698/K698</f>
        <v>1.0000000000000002</v>
      </c>
      <c r="N698" s="139" t="s">
        <v>1168</v>
      </c>
      <c r="O698" s="145">
        <f>A190</f>
        <v>-0.5</v>
      </c>
      <c r="P698" s="145">
        <f>O698*I86</f>
        <v>-0.5</v>
      </c>
      <c r="Q698" s="140">
        <f t="shared" si="129"/>
        <v>1</v>
      </c>
      <c r="R698" s="139"/>
      <c r="T698" s="164"/>
      <c r="U698" s="140"/>
      <c r="V698" s="140"/>
      <c r="W698" s="138"/>
      <c r="X698" s="138"/>
      <c r="Z698" s="138" t="s">
        <v>686</v>
      </c>
      <c r="AA698" s="140">
        <f>($AF688*COS(AA681)^2+$AF689*SIN(AA681)^2)*S684</f>
        <v>0</v>
      </c>
      <c r="AB698" s="140">
        <f>($AF688*COS(AB681)^2+$AF689*SIN(AB681)^2)*T684</f>
        <v>0</v>
      </c>
      <c r="AC698" s="140">
        <f>($AF688*COS(AC681)^2+$AF689*SIN(AC681)^2)*U684</f>
        <v>0</v>
      </c>
      <c r="AD698" s="140">
        <f>($AF688*COS(AD681)^2+$AF689*SIN(AD681)^2)*V684</f>
        <v>0</v>
      </c>
      <c r="AE698" s="163">
        <f>SUM(AA698:AD698)</f>
        <v>0</v>
      </c>
      <c r="AF698" s="163"/>
      <c r="AG698" s="138" t="s">
        <v>1360</v>
      </c>
      <c r="AH698" s="147">
        <f>IF(AH679=0,0,AH696)</f>
        <v>0</v>
      </c>
      <c r="AI698" s="147">
        <f>IF(AI679=0,0,AI696)</f>
        <v>0</v>
      </c>
      <c r="AJ698" s="147">
        <f>IF(AJ679=0,0,AJ696)</f>
        <v>0</v>
      </c>
      <c r="AK698" s="147">
        <f>IF(AK679=0,0,AK696)</f>
        <v>0</v>
      </c>
    </row>
    <row r="699" spans="10:38">
      <c r="J699" s="139" t="s">
        <v>1361</v>
      </c>
      <c r="K699" s="140">
        <f>K698*K682/K681</f>
        <v>10.346158729820468</v>
      </c>
      <c r="L699" s="140">
        <f>L698*L682/L681</f>
        <v>10.346158729820468</v>
      </c>
      <c r="M699" s="145">
        <f>L699/K699</f>
        <v>1</v>
      </c>
      <c r="N699" s="139" t="s">
        <v>1175</v>
      </c>
      <c r="O699" s="144">
        <f>O693/K687</f>
        <v>2142.8571428571431</v>
      </c>
      <c r="P699" s="144">
        <f>H86*P682^G191</f>
        <v>2142.8571428571431</v>
      </c>
      <c r="Q699" s="140">
        <f t="shared" si="129"/>
        <v>1</v>
      </c>
      <c r="T699" s="147"/>
      <c r="U699" s="141"/>
      <c r="V699" s="141"/>
      <c r="W699" s="138"/>
      <c r="X699" s="138"/>
      <c r="Z699" s="138" t="s">
        <v>689</v>
      </c>
      <c r="AA699" s="140">
        <f>($AF688*SIN(AA681)^2+$AF689*COS(AA681)^2)*S684</f>
        <v>0</v>
      </c>
      <c r="AB699" s="140">
        <f>($AF688*SIN(AB681)^2+$AF689*COS(AB681)^2)*T684</f>
        <v>0</v>
      </c>
      <c r="AC699" s="140">
        <f>($AF688*SIN(AC681)^2+$AF689*COS(AC681)^2)*U684</f>
        <v>0</v>
      </c>
      <c r="AD699" s="140">
        <f>($AF688*SIN(AD681)^2+$AF689*COS(AD681)^2)*V684</f>
        <v>0</v>
      </c>
      <c r="AE699" s="163">
        <f>SUM(AA699:AD699)</f>
        <v>0</v>
      </c>
      <c r="AF699" s="163"/>
      <c r="AG699" s="139" t="s">
        <v>1364</v>
      </c>
      <c r="AH699" s="138">
        <f>(S714-P686*P683)/1000000-P689*P679</f>
        <v>3.7599999999999944E-4</v>
      </c>
      <c r="AI699" s="138">
        <f>(T714-P686*P683)/1000000-P689*P679</f>
        <v>3.7599999999999965E-4</v>
      </c>
      <c r="AJ699" s="157">
        <f>(U714-P686*P683)/1000000-P689*P679</f>
        <v>3.7599999999999944E-4</v>
      </c>
      <c r="AK699" s="157">
        <f>(V714-P686*P683)/1000000-P689*P679</f>
        <v>3.7599999999999965E-4</v>
      </c>
      <c r="AL699" s="163"/>
    </row>
    <row r="700" spans="10:38">
      <c r="J700" s="139" t="s">
        <v>1365</v>
      </c>
      <c r="K700" s="140">
        <f>K699*K683</f>
        <v>2.8969244443497315</v>
      </c>
      <c r="L700" s="140">
        <f>L699*L683</f>
        <v>2.8969244443497315</v>
      </c>
      <c r="M700" s="145">
        <f>L700/K700</f>
        <v>1</v>
      </c>
      <c r="N700" s="139" t="s">
        <v>1176</v>
      </c>
      <c r="O700" s="144">
        <f>O695</f>
        <v>40</v>
      </c>
      <c r="P700" s="144">
        <f>G86*P682^H190</f>
        <v>40</v>
      </c>
      <c r="Q700" s="140">
        <f t="shared" si="129"/>
        <v>1</v>
      </c>
      <c r="R700" s="137" t="s">
        <v>1185</v>
      </c>
      <c r="U700" s="141"/>
      <c r="W700" s="138"/>
      <c r="X700" s="138"/>
      <c r="AA700" s="140"/>
      <c r="AE700" s="163"/>
      <c r="AF700" s="163"/>
      <c r="AG700" s="139" t="s">
        <v>1367</v>
      </c>
      <c r="AH700" s="138">
        <f>(S715-P687*P683)/1000000-P690*P679</f>
        <v>-3.7600000000000047E-4</v>
      </c>
      <c r="AI700" s="138">
        <f>(T715-P687*P683)/1000000-P690*P679</f>
        <v>-3.7600000000000047E-4</v>
      </c>
      <c r="AJ700" s="157">
        <f>(U715-P687*P683)/1000000-P690*P679</f>
        <v>-3.7600000000000047E-4</v>
      </c>
      <c r="AK700" s="157">
        <f>(V715-P687*P683)/1000000-P690*P679</f>
        <v>-3.7600000000000047E-4</v>
      </c>
      <c r="AL700" s="163"/>
    </row>
    <row r="701" spans="10:38">
      <c r="J701" s="139" t="s">
        <v>1370</v>
      </c>
      <c r="K701" s="140">
        <f>K684</f>
        <v>7.17</v>
      </c>
      <c r="L701" s="140">
        <f>L684</f>
        <v>7.17</v>
      </c>
      <c r="M701" s="145">
        <f>L701/K701</f>
        <v>1</v>
      </c>
      <c r="R701" s="143" t="s">
        <v>695</v>
      </c>
      <c r="S701" s="147">
        <f>S684*COS(S682)</f>
        <v>0</v>
      </c>
      <c r="T701" s="147">
        <f>T684*COS(T682)</f>
        <v>0</v>
      </c>
      <c r="U701" s="147">
        <f>U684*COS(U682)</f>
        <v>0</v>
      </c>
      <c r="V701" s="147">
        <f>V684*COS(V682)</f>
        <v>0</v>
      </c>
      <c r="W701" s="147">
        <f>SUM(S701:V701)</f>
        <v>0</v>
      </c>
      <c r="X701" s="138"/>
      <c r="AF701" s="163"/>
      <c r="AG701" s="139" t="s">
        <v>1372</v>
      </c>
      <c r="AH701" s="138">
        <f>S729/1000000</f>
        <v>0</v>
      </c>
      <c r="AI701" s="138">
        <f>T729/1000000</f>
        <v>0</v>
      </c>
      <c r="AJ701" s="157">
        <f>U729/1000000</f>
        <v>0</v>
      </c>
      <c r="AK701" s="157">
        <f>V729/1000000</f>
        <v>0</v>
      </c>
      <c r="AL701" s="163"/>
    </row>
    <row r="702" spans="10:38">
      <c r="J702" s="138" t="s">
        <v>1510</v>
      </c>
      <c r="K702" s="140"/>
      <c r="L702" s="140"/>
      <c r="N702" s="138" t="s">
        <v>1375</v>
      </c>
      <c r="R702" s="139" t="s">
        <v>696</v>
      </c>
      <c r="S702" s="147">
        <f>S684*SIN(S682)</f>
        <v>0</v>
      </c>
      <c r="T702" s="147">
        <f>T684*SIN(T682)</f>
        <v>0</v>
      </c>
      <c r="U702" s="147">
        <f>U684*SIN(U682)</f>
        <v>0</v>
      </c>
      <c r="V702" s="147">
        <f>V684*SIN(V682)</f>
        <v>0</v>
      </c>
      <c r="W702" s="147">
        <f>SUM(S702:V702)</f>
        <v>0</v>
      </c>
      <c r="X702" s="138"/>
      <c r="AF702" s="163"/>
      <c r="AG702" s="163"/>
      <c r="AH702" s="163"/>
      <c r="AI702" s="163"/>
      <c r="AJ702" s="163"/>
      <c r="AK702" s="163"/>
      <c r="AL702" s="163"/>
    </row>
    <row r="703" spans="10:38">
      <c r="J703" s="139" t="s">
        <v>1380</v>
      </c>
      <c r="K703" s="140">
        <f>(3*K698+3*K699+2*K700+4*K701)/8</f>
        <v>76.368217701426829</v>
      </c>
      <c r="L703" s="140">
        <f>(3*L698+3*L699+2*L700+4*L701)/8</f>
        <v>76.368217701426843</v>
      </c>
      <c r="M703" s="145">
        <f>L703/K703</f>
        <v>1.0000000000000002</v>
      </c>
      <c r="N703" s="139" t="s">
        <v>1381</v>
      </c>
      <c r="O703" s="140">
        <f>1/O693/O694*1000000</f>
        <v>0.44444444444444442</v>
      </c>
      <c r="P703" s="140">
        <f>1/P693/P694*1000000</f>
        <v>0.44444444444444442</v>
      </c>
      <c r="Q703" s="140">
        <f>P703/O703</f>
        <v>1</v>
      </c>
      <c r="R703" s="139"/>
      <c r="S703" s="138" t="s">
        <v>698</v>
      </c>
      <c r="T703" s="137"/>
      <c r="U703" s="143" t="s">
        <v>700</v>
      </c>
      <c r="V703" s="137"/>
      <c r="W703" s="137" t="s">
        <v>702</v>
      </c>
      <c r="X703" s="138"/>
      <c r="Y703" s="137" t="s">
        <v>704</v>
      </c>
      <c r="Z703" s="137" t="s">
        <v>705</v>
      </c>
      <c r="AA703" s="138" t="s">
        <v>706</v>
      </c>
      <c r="AB703" s="139"/>
      <c r="AC703" s="139"/>
      <c r="AF703" s="138"/>
      <c r="AG703" s="159" t="s">
        <v>1383</v>
      </c>
      <c r="AH703" s="166">
        <f>P709*AH699^2+2*P711*AH699*AH700+P710*AH700^2+P712*AH701^2</f>
        <v>4.0749146542514705E-3</v>
      </c>
      <c r="AI703" s="163">
        <f>P709*AI699^2+2*P711*AI699*AI700+P710*AI700^2+P712*AI701^2</f>
        <v>4.0749146542514731E-3</v>
      </c>
      <c r="AJ703" s="163">
        <f>P709*AJ699^2+2*P711*AJ699*AJ700+P710*AJ700^2+P712*AJ701^2</f>
        <v>4.0749146542514705E-3</v>
      </c>
      <c r="AK703" s="163">
        <f>P709*AK699^2+2*P711*AK699*AK700+P710*AK700^2+P712*AK701^2</f>
        <v>4.0749146542514731E-3</v>
      </c>
      <c r="AL703" s="163"/>
    </row>
    <row r="704" spans="10:38">
      <c r="J704" s="139" t="s">
        <v>1384</v>
      </c>
      <c r="K704" s="140">
        <f>(K698-K699)/2</f>
        <v>85.732490057298719</v>
      </c>
      <c r="L704" s="140">
        <f>(L698-L699)/2</f>
        <v>85.732490057298733</v>
      </c>
      <c r="M704" s="145">
        <f>L704/K704</f>
        <v>1.0000000000000002</v>
      </c>
      <c r="N704" s="139" t="s">
        <v>1385</v>
      </c>
      <c r="O704" s="140">
        <f>1/O695/O696*1000000</f>
        <v>101.6260162601626</v>
      </c>
      <c r="P704" s="140">
        <f>1/P695/P696*1000000</f>
        <v>101.6260162601626</v>
      </c>
      <c r="Q704" s="140">
        <f>P704/O704</f>
        <v>1</v>
      </c>
      <c r="R704" s="139">
        <v>1</v>
      </c>
      <c r="S704" s="138">
        <f>(S708*W684+S709*W701)</f>
        <v>0</v>
      </c>
      <c r="T704" s="138"/>
      <c r="U704" s="138">
        <f>(T708*W684+T709*W701)</f>
        <v>0</v>
      </c>
      <c r="V704" s="147"/>
      <c r="W704" s="138">
        <f>S704*P683+U704*P679</f>
        <v>0</v>
      </c>
      <c r="X704" s="147"/>
      <c r="Y704" s="138">
        <f t="shared" ref="Y704:AA706" si="130">Y652</f>
        <v>11.259999999999984</v>
      </c>
      <c r="Z704" s="138">
        <f t="shared" si="130"/>
        <v>0.29999999999999954</v>
      </c>
      <c r="AA704" s="138">
        <f t="shared" si="130"/>
        <v>373.99999999999937</v>
      </c>
      <c r="AB704" s="147"/>
      <c r="AC704" s="147"/>
      <c r="AF704" s="138"/>
      <c r="AG704" s="159" t="s">
        <v>1387</v>
      </c>
      <c r="AH704" s="166">
        <f>P713*AH699+P714*AH700</f>
        <v>-5.8636980773925068E-2</v>
      </c>
      <c r="AI704" s="163">
        <f>P713*AI699+P714*AI700</f>
        <v>-5.8636980773925054E-2</v>
      </c>
      <c r="AJ704" s="163">
        <f>P713*AJ699+P714*AJ700</f>
        <v>-5.8636980773925068E-2</v>
      </c>
      <c r="AK704" s="163">
        <f>P713*AK699+P714*AK700</f>
        <v>-5.8636980773925054E-2</v>
      </c>
      <c r="AL704" s="163"/>
    </row>
    <row r="705" spans="10:38">
      <c r="J705" s="139" t="s">
        <v>1388</v>
      </c>
      <c r="K705" s="140">
        <f>(K698+K699-2*K700-4*K701)/8</f>
        <v>19.710431085692363</v>
      </c>
      <c r="L705" s="140">
        <f>(L698+L699-2*L700-4*L701)/8</f>
        <v>19.710431085692367</v>
      </c>
      <c r="M705" s="145">
        <f>L705/K705</f>
        <v>1.0000000000000002</v>
      </c>
      <c r="N705" s="139" t="s">
        <v>1389</v>
      </c>
      <c r="O705" s="140">
        <f>O698*(O703*O704)^0.5</f>
        <v>-3.3603243272729659</v>
      </c>
      <c r="P705" s="140">
        <f>P698*(P703*P704)^0.5</f>
        <v>-3.3603243272729659</v>
      </c>
      <c r="Q705" s="140">
        <f>P705/O705</f>
        <v>1</v>
      </c>
      <c r="R705" s="139">
        <v>2</v>
      </c>
      <c r="S705" s="138">
        <f>(S708*W684-S709*W701)</f>
        <v>0</v>
      </c>
      <c r="T705" s="138"/>
      <c r="U705" s="138">
        <f>(T708*W684-T709*W701)</f>
        <v>0</v>
      </c>
      <c r="V705" s="147"/>
      <c r="W705" s="138">
        <f>S705*P683+U705*P679</f>
        <v>0</v>
      </c>
      <c r="X705" s="147"/>
      <c r="Y705" s="138">
        <f t="shared" si="130"/>
        <v>11.259999999999993</v>
      </c>
      <c r="Z705" s="138">
        <f t="shared" si="130"/>
        <v>0.29999999999999977</v>
      </c>
      <c r="AA705" s="138">
        <f t="shared" si="130"/>
        <v>373.99999999999966</v>
      </c>
      <c r="AB705" s="147"/>
      <c r="AC705" s="147"/>
      <c r="AF705" s="138"/>
      <c r="AG705" s="159" t="s">
        <v>1390</v>
      </c>
      <c r="AH705" s="166">
        <f>AH703+AH704</f>
        <v>-5.4562066119673597E-2</v>
      </c>
      <c r="AI705" s="163">
        <f>AI703+AI704</f>
        <v>-5.4562066119673583E-2</v>
      </c>
      <c r="AJ705" s="163">
        <f>AJ703+AJ704</f>
        <v>-5.4562066119673597E-2</v>
      </c>
      <c r="AK705" s="163">
        <f>AK703+AK704</f>
        <v>-5.4562066119673583E-2</v>
      </c>
      <c r="AL705" s="163"/>
    </row>
    <row r="706" spans="10:38">
      <c r="J706" s="139" t="s">
        <v>1391</v>
      </c>
      <c r="K706" s="140">
        <f>(K698+K699+6*K700-4*K701)/8</f>
        <v>22.607355530042096</v>
      </c>
      <c r="L706" s="140">
        <f>(L698+L699+6*L700-4*L701)/8</f>
        <v>22.607355530042099</v>
      </c>
      <c r="M706" s="145">
        <f>L706/K706</f>
        <v>1.0000000000000002</v>
      </c>
      <c r="N706" s="139" t="s">
        <v>1392</v>
      </c>
      <c r="O706" s="140">
        <f>1/O697^2*1000000</f>
        <v>216.26297577854672</v>
      </c>
      <c r="P706" s="140">
        <f>1/P697^2*1000000</f>
        <v>216.26297577854672</v>
      </c>
      <c r="Q706" s="140">
        <f>P706/O706</f>
        <v>1</v>
      </c>
      <c r="R706" s="139">
        <v>6</v>
      </c>
      <c r="S706" s="139">
        <f>S709*W702</f>
        <v>0</v>
      </c>
      <c r="T706" s="138"/>
      <c r="U706" s="139">
        <f>T709*W702</f>
        <v>0</v>
      </c>
      <c r="V706" s="147"/>
      <c r="W706" s="138">
        <f>S706*P683+U706*P679</f>
        <v>0</v>
      </c>
      <c r="X706" s="147"/>
      <c r="Y706" s="138">
        <f t="shared" si="130"/>
        <v>-22.479999999999976</v>
      </c>
      <c r="Z706" s="138">
        <f t="shared" si="130"/>
        <v>-0.5999999999999992</v>
      </c>
      <c r="AA706" s="138">
        <f t="shared" si="130"/>
        <v>-397.02012514617672</v>
      </c>
      <c r="AB706" s="147"/>
      <c r="AC706" s="147"/>
      <c r="AF706" s="138"/>
      <c r="AG706" s="159" t="s">
        <v>1395</v>
      </c>
      <c r="AH706" s="166">
        <f>-1+AH705</f>
        <v>-1.0545620661196735</v>
      </c>
      <c r="AI706" s="163">
        <f>-1+AI705</f>
        <v>-1.0545620661196735</v>
      </c>
      <c r="AJ706" s="163">
        <f>-1+AJ705</f>
        <v>-1.0545620661196735</v>
      </c>
      <c r="AK706" s="163">
        <f>-1+AK705</f>
        <v>-1.0545620661196735</v>
      </c>
      <c r="AL706" s="163"/>
    </row>
    <row r="707" spans="10:38">
      <c r="J707" s="139" t="s">
        <v>1396</v>
      </c>
      <c r="K707" s="140">
        <f>(K703-K706)/2</f>
        <v>26.880431085692365</v>
      </c>
      <c r="L707" s="140">
        <f>(L703-L706)/2</f>
        <v>26.880431085692372</v>
      </c>
      <c r="M707" s="145">
        <f>L707/K707</f>
        <v>1.0000000000000002</v>
      </c>
      <c r="N707" s="139" t="s">
        <v>1397</v>
      </c>
      <c r="O707" s="140">
        <f>(1/O693-1/O694)*1000</f>
        <v>0</v>
      </c>
      <c r="P707" s="140">
        <f>(1/P693-1/P694)*1000</f>
        <v>0</v>
      </c>
      <c r="Q707" s="140">
        <f>IF(O707=0,1,P707/O707)</f>
        <v>1</v>
      </c>
      <c r="R707" s="143"/>
      <c r="S707" s="143" t="s">
        <v>709</v>
      </c>
      <c r="T707" s="143" t="s">
        <v>710</v>
      </c>
      <c r="U707" s="143"/>
      <c r="V707" s="141"/>
      <c r="W707" s="138"/>
      <c r="X707" s="139" t="s">
        <v>711</v>
      </c>
      <c r="Y707" s="138">
        <f>(Y704+Y705)/2</f>
        <v>11.259999999999987</v>
      </c>
      <c r="Z707" s="138">
        <f>(Z704+Z705)/2</f>
        <v>0.29999999999999966</v>
      </c>
      <c r="AA707" s="138">
        <f>(AA704+AA705)/2</f>
        <v>373.99999999999955</v>
      </c>
      <c r="AF707" s="138"/>
      <c r="AG707" s="159" t="s">
        <v>1399</v>
      </c>
      <c r="AH707" s="166">
        <f>2*(P709*AH683*AH699+P710*AH684*AH700+P711*(AH683*AH700+AH699*AH684)+P712*AH685*AH701)</f>
        <v>0</v>
      </c>
      <c r="AI707" s="163">
        <f>2*(P709*AI683*AI699+P710*AI684*AI700+P711*(AI683*AI700+AI699*AI684)+P712*AI685*AI701)</f>
        <v>0</v>
      </c>
      <c r="AJ707" s="163">
        <f>2*(P709*AJ683*AJ699+P710*AJ684*AJ700+P711*(AJ683*AJ700+AJ699*AJ684)+P712*AJ685*AJ701)</f>
        <v>0</v>
      </c>
      <c r="AK707" s="163">
        <f>2*(P709*AK683*AK699+P710*AK684*AK700+P711*(AK683*AK700+AK699*AK684)+P712*AK685*AK701)</f>
        <v>0</v>
      </c>
      <c r="AL707" s="163"/>
    </row>
    <row r="708" spans="10:38">
      <c r="J708" s="138" t="s">
        <v>1400</v>
      </c>
      <c r="N708" s="139" t="s">
        <v>1401</v>
      </c>
      <c r="O708" s="140">
        <f>(1/O695-1/O696)*1000</f>
        <v>20.934959349593495</v>
      </c>
      <c r="P708" s="140">
        <f>(1/P695-1/P696)*1000</f>
        <v>20.934959349593495</v>
      </c>
      <c r="Q708" s="140">
        <f t="shared" ref="Q708:Q714" si="131">P708/O708</f>
        <v>1</v>
      </c>
      <c r="R708" s="167" t="s">
        <v>711</v>
      </c>
      <c r="S708" s="138">
        <f>((K698+K700)*P686+(L700+L699)*P687)/2/1000000</f>
        <v>1.5083176634230242E-4</v>
      </c>
      <c r="T708" s="138">
        <f>((L698+L700)*P689+(L700+L699)*P690)/2</f>
        <v>3.9729249522510592</v>
      </c>
      <c r="U708" s="143"/>
      <c r="V708" s="141"/>
      <c r="W708" s="138"/>
      <c r="X708" s="143" t="s">
        <v>712</v>
      </c>
      <c r="Y708" s="164">
        <f>(Y704-Y705)/2</f>
        <v>-4.4408920985006262E-15</v>
      </c>
      <c r="Z708" s="164">
        <f>(Z704-Z705)/2</f>
        <v>-1.1102230246251565E-16</v>
      </c>
      <c r="AA708" s="164">
        <f>(AA704-AA705)/2</f>
        <v>-1.4210854715202004E-13</v>
      </c>
      <c r="AF708" s="138"/>
      <c r="AG708" s="159" t="s">
        <v>1403</v>
      </c>
      <c r="AH708" s="166">
        <f>AH707+AH691</f>
        <v>0</v>
      </c>
      <c r="AI708" s="163">
        <f>AI707+AI691</f>
        <v>0</v>
      </c>
      <c r="AJ708" s="163">
        <f>AJ707+AJ691</f>
        <v>0</v>
      </c>
      <c r="AK708" s="163">
        <f>AK707+AK691</f>
        <v>0</v>
      </c>
      <c r="AL708" s="163"/>
    </row>
    <row r="709" spans="10:38">
      <c r="J709" s="139" t="s">
        <v>1404</v>
      </c>
      <c r="K709" s="140">
        <f>(1-(K706/K703)^2)*K703</f>
        <v>69.675740916648124</v>
      </c>
      <c r="L709" s="140">
        <f>(1-(L706/L703)^2)*L703</f>
        <v>69.675740916648138</v>
      </c>
      <c r="M709" s="140">
        <f>L709/K709</f>
        <v>1.0000000000000002</v>
      </c>
      <c r="N709" s="139" t="s">
        <v>1405</v>
      </c>
      <c r="O709" s="144">
        <f>(O703*K698^2+2*O705*K698*K700+O704*K700^2)</f>
        <v>12004.38353147296</v>
      </c>
      <c r="P709" s="144">
        <f>(P703*L698^2+2*P705*L698*L700+P704*L700^2)</f>
        <v>12004.38353147296</v>
      </c>
      <c r="Q709" s="140">
        <f t="shared" si="131"/>
        <v>1</v>
      </c>
      <c r="R709" s="167" t="s">
        <v>712</v>
      </c>
      <c r="S709" s="138">
        <f>((L698-L700)*P686+(L700-L699)*P687)/2/1000000</f>
        <v>-8.2014743567545106E-5</v>
      </c>
      <c r="T709" s="138">
        <f>((L698-L700)*P689+(L700-L699)*P690)/2</f>
        <v>-2.234770285641221</v>
      </c>
      <c r="U709" s="143"/>
      <c r="V709" s="141"/>
      <c r="W709" s="138"/>
      <c r="X709" s="143" t="s">
        <v>714</v>
      </c>
      <c r="Y709" s="164">
        <f>Y706/2</f>
        <v>-11.239999999999988</v>
      </c>
      <c r="Z709" s="164">
        <f>Z706/2</f>
        <v>-0.2999999999999996</v>
      </c>
      <c r="AA709" s="164">
        <f>AA706/2</f>
        <v>-198.51006257308836</v>
      </c>
      <c r="AG709" s="159" t="s">
        <v>1412</v>
      </c>
      <c r="AH709" s="166" t="e">
        <f>AH708/2/AH690</f>
        <v>#DIV/0!</v>
      </c>
      <c r="AI709" s="163" t="e">
        <f>AI708/2/AI690</f>
        <v>#DIV/0!</v>
      </c>
      <c r="AJ709" s="163" t="e">
        <f>AJ708/2/AJ690</f>
        <v>#DIV/0!</v>
      </c>
      <c r="AK709" s="163" t="e">
        <f>AK708/2/AK690</f>
        <v>#DIV/0!</v>
      </c>
      <c r="AL709" s="163"/>
    </row>
    <row r="710" spans="10:38">
      <c r="J710" s="139" t="s">
        <v>1414</v>
      </c>
      <c r="K710" s="140">
        <f>K706/K703</f>
        <v>0.29603094337527941</v>
      </c>
      <c r="L710" s="140">
        <f>L706/L703</f>
        <v>0.29603094337527941</v>
      </c>
      <c r="M710" s="140">
        <f>L710/K710</f>
        <v>1</v>
      </c>
      <c r="N710" s="139" t="s">
        <v>1415</v>
      </c>
      <c r="O710" s="144">
        <f>(O703*K700^2+2*O705*K700*K699+O704*K699^2)</f>
        <v>10680.652008265077</v>
      </c>
      <c r="P710" s="144">
        <f>(P703*L700^2+2*P705*L700*L699+P704*L699^2)</f>
        <v>10680.652008265077</v>
      </c>
      <c r="Q710" s="140">
        <f t="shared" si="131"/>
        <v>1</v>
      </c>
      <c r="R710" s="139" t="s">
        <v>715</v>
      </c>
      <c r="S710" s="138">
        <f>Y707+Y708*COS(S682)+Y709*SIN(S682)</f>
        <v>11.259999999999984</v>
      </c>
      <c r="T710" s="138">
        <f>Y707+Y708*COS(T682)+Y709*SIN(T682)</f>
        <v>11.259999999999989</v>
      </c>
      <c r="U710" s="138">
        <f>Y707+Y708*COS(U682)+Y709*SIN(U682)</f>
        <v>11.259999999999984</v>
      </c>
      <c r="V710" s="138">
        <f>Y707+Y708*COS(V682)+Y709*SIN(V682)</f>
        <v>11.259999999999989</v>
      </c>
      <c r="W710" s="138"/>
      <c r="Y710" s="164"/>
      <c r="AC710" s="140"/>
      <c r="AG710" s="159"/>
      <c r="AH710" s="147"/>
      <c r="AI710" s="163"/>
      <c r="AJ710" s="163"/>
      <c r="AK710" s="163"/>
      <c r="AL710" s="163"/>
    </row>
    <row r="711" spans="10:38">
      <c r="J711" s="139" t="s">
        <v>716</v>
      </c>
      <c r="K711" s="138">
        <f>(1-L683^2*L682/L681)*L682/(1-L683^2*L682/L681-L696^2-L683^2*L682/L681-2*L683^2*L682/L681*L696)</f>
        <v>13.920484365408951</v>
      </c>
      <c r="N711" s="139" t="s">
        <v>1416</v>
      </c>
      <c r="O711" s="144">
        <f>(O703*K698*K700+O705*(K698*K699+K700^2)+O704*K700*K699)</f>
        <v>-3069.103206291968</v>
      </c>
      <c r="P711" s="144">
        <f>(P703*L698*L700+P705*(L698*L699+L700^2)+P704*L700*L699)</f>
        <v>-3069.1032062919689</v>
      </c>
      <c r="Q711" s="140">
        <f t="shared" si="131"/>
        <v>1.0000000000000002</v>
      </c>
      <c r="R711" s="139" t="s">
        <v>717</v>
      </c>
      <c r="S711" s="138">
        <f>2*Y707-S710</f>
        <v>11.259999999999991</v>
      </c>
      <c r="T711" s="138">
        <f>2*Y707-T710</f>
        <v>11.259999999999986</v>
      </c>
      <c r="U711" s="138">
        <f>2*Y707-U710</f>
        <v>11.259999999999991</v>
      </c>
      <c r="V711" s="138">
        <f>2*Y707-V710</f>
        <v>11.259999999999986</v>
      </c>
      <c r="W711" s="138"/>
      <c r="Y711" s="164"/>
      <c r="AC711" s="140"/>
      <c r="AG711" s="159"/>
      <c r="AH711" s="147"/>
      <c r="AI711" s="163"/>
      <c r="AJ711" s="163"/>
      <c r="AK711" s="163"/>
      <c r="AL711" s="163"/>
    </row>
    <row r="712" spans="10:38">
      <c r="J712" s="139" t="s">
        <v>1193</v>
      </c>
      <c r="K712" s="140">
        <f>D190</f>
        <v>1.6</v>
      </c>
      <c r="L712" s="140">
        <f>L713*(1-L687)+L714*L687</f>
        <v>1.6</v>
      </c>
      <c r="M712" s="140">
        <f>L712/K712</f>
        <v>1</v>
      </c>
      <c r="N712" s="139" t="s">
        <v>1418</v>
      </c>
      <c r="O712" s="144">
        <f>O706*K701^2</f>
        <v>11117.841695501729</v>
      </c>
      <c r="P712" s="144">
        <f>P706*L701^2</f>
        <v>11117.841695501729</v>
      </c>
      <c r="Q712" s="140">
        <f t="shared" si="131"/>
        <v>1</v>
      </c>
      <c r="R712" s="139" t="s">
        <v>124</v>
      </c>
      <c r="S712" s="138">
        <f>Z707+Z708*COS(S682)+Z709*SIN(S682)</f>
        <v>0.29999999999999954</v>
      </c>
      <c r="T712" s="138">
        <f>Z707+Z708*COS(T682)+Z709*SIN(T682)</f>
        <v>0.29999999999999971</v>
      </c>
      <c r="U712" s="138">
        <f>Z707+Z708*COS(U682)+Z709*SIN(U682)</f>
        <v>0.29999999999999954</v>
      </c>
      <c r="V712" s="138">
        <f>Z707+Z708*COS(V682)+Z709*SIN(V682)</f>
        <v>0.29999999999999971</v>
      </c>
      <c r="W712" s="138"/>
      <c r="Y712" s="164"/>
      <c r="AC712" s="140"/>
      <c r="AG712" s="159"/>
      <c r="AH712" s="147"/>
      <c r="AI712" s="163"/>
      <c r="AJ712" s="163"/>
      <c r="AK712" s="163"/>
      <c r="AL712" s="159" t="s">
        <v>1421</v>
      </c>
    </row>
    <row r="713" spans="10:38">
      <c r="J713" s="139" t="s">
        <v>274</v>
      </c>
      <c r="K713" s="140">
        <f>F189</f>
        <v>1.2</v>
      </c>
      <c r="L713" s="140">
        <f>K713</f>
        <v>1.2</v>
      </c>
      <c r="M713" s="140">
        <f>L713/K713</f>
        <v>1</v>
      </c>
      <c r="N713" s="139" t="s">
        <v>1422</v>
      </c>
      <c r="O713" s="144">
        <f>(O707*K698+O708*K700)</f>
        <v>60.646995481305353</v>
      </c>
      <c r="P713" s="144">
        <f>(P707*L698+P708*L700)</f>
        <v>60.646995481305353</v>
      </c>
      <c r="Q713" s="140">
        <f t="shared" si="131"/>
        <v>1</v>
      </c>
      <c r="R713" s="167" t="s">
        <v>125</v>
      </c>
      <c r="S713" s="138">
        <f>2*Z707-S712</f>
        <v>0.29999999999999977</v>
      </c>
      <c r="T713" s="138">
        <f>2*Z707-T712</f>
        <v>0.2999999999999996</v>
      </c>
      <c r="U713" s="138">
        <f>2*Z707-U712</f>
        <v>0.29999999999999977</v>
      </c>
      <c r="V713" s="138">
        <f>2*Z707-V712</f>
        <v>0.2999999999999996</v>
      </c>
      <c r="W713" s="138"/>
      <c r="Y713" s="164"/>
      <c r="Z713" s="164"/>
      <c r="AA713" s="147"/>
      <c r="AB713" s="147"/>
      <c r="AC713" s="147"/>
      <c r="AD713" s="147"/>
      <c r="AG713" s="139" t="s">
        <v>1424</v>
      </c>
      <c r="AH713" s="147" t="e">
        <f>(AH709^2-AH706/AH690)^0.5-AH709</f>
        <v>#DIV/0!</v>
      </c>
      <c r="AI713" s="147" t="e">
        <f>(AI709^2-AI706/AI690)^0.5-AI709</f>
        <v>#DIV/0!</v>
      </c>
      <c r="AJ713" s="147" t="e">
        <f>(AJ709^2-AJ706/AJ690)^0.5-AJ709</f>
        <v>#DIV/0!</v>
      </c>
      <c r="AK713" s="147" t="e">
        <f>(AK709^2-AK706/AK690)^0.5-AK709</f>
        <v>#DIV/0!</v>
      </c>
      <c r="AL713" s="147">
        <f>MIN(AH714:AK714)</f>
        <v>1000000000</v>
      </c>
    </row>
    <row r="714" spans="10:38">
      <c r="J714" s="139" t="s">
        <v>1195</v>
      </c>
      <c r="K714" s="140">
        <f>(K712-K713*(1-K687))/K687</f>
        <v>1.7714285714285716</v>
      </c>
      <c r="L714" s="140">
        <f>K714</f>
        <v>1.7714285714285716</v>
      </c>
      <c r="M714" s="140">
        <f>L714/K714</f>
        <v>1</v>
      </c>
      <c r="N714" s="139" t="s">
        <v>1426</v>
      </c>
      <c r="O714" s="144">
        <f>(O707*K700+O708*K699)</f>
        <v>216.59641243323335</v>
      </c>
      <c r="P714" s="144">
        <f>(P707*L700+P708*L699)</f>
        <v>216.59641243323335</v>
      </c>
      <c r="Q714" s="140">
        <f t="shared" si="131"/>
        <v>1</v>
      </c>
      <c r="R714" s="139" t="s">
        <v>126</v>
      </c>
      <c r="S714" s="138">
        <f>AA707+AA708*COS(S682)+AA709*SIN(S682)</f>
        <v>373.99999999999943</v>
      </c>
      <c r="T714" s="138">
        <f>AA707+AA708*COS(T682)+AA709*SIN(T682)</f>
        <v>373.99999999999966</v>
      </c>
      <c r="U714" s="138">
        <f>AA707+AA708*COS(U682)+AA709*SIN(U682)</f>
        <v>373.99999999999943</v>
      </c>
      <c r="V714" s="138">
        <f>AA707+AA708*COS(V682)+AA709*SIN(V682)</f>
        <v>373.99999999999966</v>
      </c>
      <c r="W714" s="138"/>
      <c r="Y714" s="164"/>
      <c r="Z714" s="164"/>
      <c r="AA714" s="147"/>
      <c r="AB714" s="147"/>
      <c r="AC714" s="147"/>
      <c r="AD714" s="147"/>
      <c r="AG714" s="139" t="s">
        <v>194</v>
      </c>
      <c r="AH714" s="147">
        <f>IF(AH679=0,1000000000,AH713)</f>
        <v>1000000000</v>
      </c>
      <c r="AI714" s="147">
        <f>IF(AI679=0,1000000000,AI713)</f>
        <v>1000000000</v>
      </c>
      <c r="AJ714" s="147">
        <f>IF(AJ679=0,1000000000,AJ713)</f>
        <v>1000000000</v>
      </c>
      <c r="AK714" s="147">
        <f>IF(AK679=0,1000000000,AK713)</f>
        <v>1000000000</v>
      </c>
    </row>
    <row r="715" spans="10:38">
      <c r="L715" s="138" t="s">
        <v>234</v>
      </c>
      <c r="R715" s="139" t="s">
        <v>127</v>
      </c>
      <c r="S715" s="138">
        <f>2*AA707-S714</f>
        <v>373.99999999999966</v>
      </c>
      <c r="T715" s="138">
        <f>2*AA707-T714</f>
        <v>373.99999999999943</v>
      </c>
      <c r="U715" s="138">
        <f>2*AA707-U714</f>
        <v>373.99999999999966</v>
      </c>
      <c r="V715" s="138">
        <f>2*AA707-V714</f>
        <v>373.99999999999943</v>
      </c>
      <c r="W715" s="138"/>
      <c r="Y715" s="164"/>
      <c r="Z715" s="164" t="s">
        <v>129</v>
      </c>
      <c r="AA715" s="147"/>
      <c r="AB715" s="147"/>
      <c r="AC715" s="147"/>
      <c r="AD715" s="147"/>
      <c r="AG715" s="139" t="s">
        <v>194</v>
      </c>
      <c r="AH715" s="147">
        <f>IF(AH679=0,0,AH713)</f>
        <v>0</v>
      </c>
      <c r="AI715" s="147">
        <f>IF(AI679=0,0,AI713)</f>
        <v>0</v>
      </c>
      <c r="AJ715" s="147">
        <f>IF(AJ679=0,0,AJ713)</f>
        <v>0</v>
      </c>
      <c r="AK715" s="147">
        <f>IF(AK679=0,0,AK713)</f>
        <v>0</v>
      </c>
    </row>
    <row r="716" spans="10:38">
      <c r="J716" s="139" t="s">
        <v>134</v>
      </c>
      <c r="K716" s="138">
        <f>(1-L696^2)*O717*L681</f>
        <v>184.28877056365894</v>
      </c>
      <c r="L716" s="139" t="s">
        <v>135</v>
      </c>
      <c r="M716" s="138">
        <f>L683*(1+L696)*O717*L682</f>
        <v>5.8728045779623468</v>
      </c>
      <c r="R716" s="139" t="s">
        <v>136</v>
      </c>
      <c r="S716" s="138">
        <f>4*COS(S682/2)^2*SIN(S682/2)^2*$K721+COS(S682/2)^4*$K716+SIN(S682/2)^4*$K717+2*COS(S682/2)^2*SIN(S682/2)^2*$M716</f>
        <v>184.28877056365894</v>
      </c>
      <c r="T716" s="138">
        <f>4*COS(T682/2)^2*SIN(T682/2)^2*$K721+COS(T682/2)^4*$K716+SIN(T682/2)^4*$K717+2*COS(T682/2)^2*SIN(T682/2)^2*$M716</f>
        <v>13.920484365408953</v>
      </c>
      <c r="U716" s="138">
        <f>4*COS(U682/2)^2*SIN(U682/2)^2*$K721+COS(U682/2)^4*$K716+SIN(U682/2)^4*$K717+2*COS(U682/2)^2*SIN(U682/2)^2*$M716</f>
        <v>184.28877056365894</v>
      </c>
      <c r="V716" s="138">
        <f>4*COS(V682/2)^2*SIN(V682/2)^2*$K721+COS(V682/2)^4*$K716+SIN(V682/2)^4*$K717+2*COS(V682/2)^2*SIN(V682/2)^2*$M716</f>
        <v>13.920484365408953</v>
      </c>
      <c r="W716" s="138" t="s">
        <v>137</v>
      </c>
      <c r="X716" s="147">
        <f>S684/S718+T684/T718+U684/U718+V684/V718</f>
        <v>0</v>
      </c>
      <c r="Y716" s="147">
        <f>S684*S716+T684*T716+U684*U716+V684*V716</f>
        <v>0</v>
      </c>
      <c r="Z716" s="164"/>
      <c r="AA716" s="147"/>
      <c r="AB716" s="147"/>
      <c r="AC716" s="147"/>
      <c r="AD716" s="147"/>
      <c r="AG716" s="139"/>
      <c r="AH716" s="147"/>
      <c r="AI716" s="147"/>
      <c r="AJ716" s="147"/>
      <c r="AK716" s="147"/>
    </row>
    <row r="717" spans="10:38">
      <c r="J717" s="139" t="s">
        <v>138</v>
      </c>
      <c r="K717" s="138">
        <f>(1-L683^2*L682/L681)*O717*L682</f>
        <v>13.920484365408953</v>
      </c>
      <c r="L717" s="139" t="s">
        <v>139</v>
      </c>
      <c r="M717" s="138">
        <f>M716</f>
        <v>5.8728045779623468</v>
      </c>
      <c r="N717" s="139" t="s">
        <v>140</v>
      </c>
      <c r="O717" s="138">
        <f>1/((1+L696)*(1-L696-2*L683^2*L682/L681))</f>
        <v>1.3575600041521836</v>
      </c>
      <c r="R717" s="139" t="s">
        <v>141</v>
      </c>
      <c r="S717" s="138">
        <f>4*COS(S682/2)^2*SIN(S682/2)^2*$K721+SIN(S682/2)^4*$K716+COS(S682/2)^4*$K717+2*COS(S682/2)^2*SIN(S682/2)^2*$M716</f>
        <v>13.920484365408953</v>
      </c>
      <c r="T717" s="138">
        <f>4*COS(T682/2)^2*SIN(T682/2)^2*$K721+SIN(T682/2)^4*$K716+COS(T682/2)^4*$K717+2*COS(T682/2)^2*SIN(T682/2)^2*$M716</f>
        <v>184.28877056365894</v>
      </c>
      <c r="U717" s="138">
        <f>4*COS(U682/2)^2*SIN(U682/2)^2*$K721+SIN(U682/2)^4*$K716+COS(U682/2)^4*$K717+2*COS(U682/2)^2*SIN(U682/2)^2*$M716</f>
        <v>13.920484365408953</v>
      </c>
      <c r="V717" s="138">
        <f>4*COS(V682/2)^2*SIN(V682/2)^2*$K721+SIN(V682/2)^4*$K716+COS(V682/2)^4*$K717+2*COS(V682/2)^2*SIN(V682/2)^2*$M716</f>
        <v>184.28877056365894</v>
      </c>
      <c r="W717" s="138" t="s">
        <v>142</v>
      </c>
      <c r="X717" s="141">
        <f>S684*S723/S718+T684*T723/T718+U684*U723/U718+V684*V723/V718</f>
        <v>0</v>
      </c>
      <c r="Y717" s="147">
        <f>S684*S717+T684*T717+U684*U717+V684*V717</f>
        <v>0</v>
      </c>
      <c r="Z717" s="164"/>
      <c r="AA717" s="147"/>
      <c r="AB717" s="147"/>
      <c r="AC717" s="147"/>
      <c r="AD717" s="147"/>
      <c r="AG717" s="139"/>
      <c r="AH717" s="147"/>
      <c r="AI717" s="147"/>
      <c r="AJ717" s="147"/>
      <c r="AK717" s="147"/>
    </row>
    <row r="718" spans="10:38">
      <c r="J718" s="139" t="s">
        <v>146</v>
      </c>
      <c r="K718" s="138">
        <f>K717</f>
        <v>13.920484365408953</v>
      </c>
      <c r="L718" s="139" t="s">
        <v>147</v>
      </c>
      <c r="M718" s="138">
        <f>(L696+L683^2*L682/L681)*O717*L682</f>
        <v>7.053817698742284</v>
      </c>
      <c r="R718" s="139" t="s">
        <v>716</v>
      </c>
      <c r="S718" s="138">
        <f>$K718</f>
        <v>13.920484365408953</v>
      </c>
      <c r="T718" s="138">
        <f>$K718</f>
        <v>13.920484365408953</v>
      </c>
      <c r="U718" s="138">
        <f>$K718</f>
        <v>13.920484365408953</v>
      </c>
      <c r="V718" s="138">
        <f>$K718</f>
        <v>13.920484365408953</v>
      </c>
      <c r="W718" s="138" t="s">
        <v>148</v>
      </c>
      <c r="X718" s="141">
        <f>S684*S724/S718+T684*T724/T718+U684*U724/U718+V684*V724/V718</f>
        <v>0</v>
      </c>
      <c r="Y718" s="164"/>
      <c r="Z718" s="164"/>
      <c r="AA718" s="147"/>
      <c r="AB718" s="147"/>
      <c r="AC718" s="147"/>
      <c r="AD718" s="147"/>
      <c r="AG718" s="139"/>
      <c r="AH718" s="147"/>
      <c r="AI718" s="147"/>
      <c r="AJ718" s="147"/>
      <c r="AK718" s="147"/>
    </row>
    <row r="719" spans="10:38">
      <c r="J719" s="139" t="s">
        <v>152</v>
      </c>
      <c r="K719" s="138">
        <f>(1-L696-2*L683^2*L682/L681)*O717*L682/2</f>
        <v>3.433333333333334</v>
      </c>
      <c r="R719" s="139" t="s">
        <v>153</v>
      </c>
      <c r="S719" s="138">
        <f>COS(S682/2)^2*$K719+SIN(S682/2)^2*$K720</f>
        <v>3.433333333333334</v>
      </c>
      <c r="T719" s="138">
        <f>COS(T682/2)^2*$K719+SIN(T682/2)^2*$K720</f>
        <v>7.17</v>
      </c>
      <c r="U719" s="138">
        <f>COS(U682/2)^2*$K719+SIN(U682/2)^2*$K720</f>
        <v>3.433333333333334</v>
      </c>
      <c r="V719" s="138">
        <f>COS(V682/2)^2*$K719+SIN(V682/2)^2*$K720</f>
        <v>7.17</v>
      </c>
      <c r="W719" s="138" t="s">
        <v>154</v>
      </c>
      <c r="X719" s="141">
        <f>S684*S728/S718+T684*T728/T718+U684*U728/U718+V684*V728/V718</f>
        <v>0</v>
      </c>
      <c r="Y719" s="164"/>
      <c r="Z719" s="164">
        <f>S684*S719/(S719*S720-S725^2)+T684*T719/(T719*T720-T725^2)+U684*U719/(U719*U720-U725^2)+V684*V719/(V719*V720-V725^2)</f>
        <v>0</v>
      </c>
      <c r="AA719" s="147"/>
      <c r="AB719" s="147"/>
      <c r="AC719" s="147"/>
      <c r="AD719" s="147"/>
      <c r="AG719" s="139"/>
      <c r="AH719" s="147"/>
      <c r="AI719" s="147"/>
      <c r="AJ719" s="147"/>
      <c r="AK719" s="147"/>
    </row>
    <row r="720" spans="10:38">
      <c r="J720" s="139" t="s">
        <v>769</v>
      </c>
      <c r="K720" s="140">
        <f>L684</f>
        <v>7.17</v>
      </c>
      <c r="R720" s="139" t="s">
        <v>770</v>
      </c>
      <c r="S720" s="138">
        <f>SIN(S682/2)^2*$K719+COS(S682/2)^2*$K720</f>
        <v>7.17</v>
      </c>
      <c r="T720" s="138">
        <f>SIN(T682/2)^2*$K719+COS(T682/2)^2*$K720</f>
        <v>3.433333333333334</v>
      </c>
      <c r="U720" s="138">
        <f>SIN(U682/2)^2*$K719+COS(U682/2)^2*$K720</f>
        <v>7.17</v>
      </c>
      <c r="V720" s="138">
        <f>SIN(V682/2)^2*$K719+COS(V682/2)^2*$K720</f>
        <v>3.433333333333334</v>
      </c>
      <c r="W720" s="138" t="s">
        <v>771</v>
      </c>
      <c r="X720" s="141">
        <f>S684*S723^2/S718+T684*T723^2/T718+U684*U723^2/U718+V684*V723^2/V718</f>
        <v>0</v>
      </c>
      <c r="Y720" s="164"/>
      <c r="Z720" s="164">
        <f>S684*S720/(S719*S720-S725^2)+T684*T720/(T719*T720-T725^2)+U684*U720/(U719*U720-U725^2)+V684*V720/(V719*V720-V725^2)</f>
        <v>0</v>
      </c>
      <c r="AA720" s="147"/>
      <c r="AB720" s="147"/>
      <c r="AC720" s="147"/>
      <c r="AD720" s="147"/>
      <c r="AG720" s="139"/>
      <c r="AH720" s="147"/>
      <c r="AI720" s="147"/>
      <c r="AJ720" s="147"/>
      <c r="AK720" s="147"/>
    </row>
    <row r="721" spans="10:38">
      <c r="J721" s="139" t="s">
        <v>773</v>
      </c>
      <c r="K721" s="140">
        <f>K720</f>
        <v>7.17</v>
      </c>
      <c r="P721" s="185"/>
      <c r="Q721" s="185"/>
      <c r="R721" s="186" t="s">
        <v>774</v>
      </c>
      <c r="S721" s="185">
        <f>(COS(S682/2)^2-SIN(S682/2)^2)^2*$K721+COS(S682/2)^2*SIN(S682/2)^2*($K716+$K717-2*$M716)</f>
        <v>7.17</v>
      </c>
      <c r="T721" s="185">
        <f>(COS(T682/2)^2-SIN(T682/2)^2)^2*$K721+COS(T682/2)^2*SIN(T682/2)^2*($K716+$K717-2*$M716)</f>
        <v>7.17</v>
      </c>
      <c r="U721" s="185">
        <f>(COS(U682/2)^2-SIN(U682/2)^2)^2*$K721+COS(U682/2)^2*SIN(U682/2)^2*($K716+$K717-2*$M716)</f>
        <v>7.17</v>
      </c>
      <c r="V721" s="185">
        <f>(COS(V682/2)^2-SIN(V682/2)^2)^2*$K721+COS(V682/2)^2*SIN(V682/2)^2*($K716+$K717-2*$M716)</f>
        <v>7.17</v>
      </c>
      <c r="W721" s="185" t="s">
        <v>775</v>
      </c>
      <c r="X721" s="187">
        <f>S684*S724^2/S718+T684*T724^2/T718+U684*U724^2/U718+V684*V724^2/V718</f>
        <v>0</v>
      </c>
      <c r="Y721" s="147">
        <f>S684*S721+T684*T721+U684*U721+V684*V721</f>
        <v>0</v>
      </c>
      <c r="Z721" s="188"/>
      <c r="AA721" s="190"/>
      <c r="AB721" s="190"/>
      <c r="AC721" s="190"/>
      <c r="AD721" s="190"/>
      <c r="AE721" s="185"/>
      <c r="AF721" s="187"/>
      <c r="AG721" s="186"/>
      <c r="AH721" s="190"/>
      <c r="AI721" s="190"/>
      <c r="AJ721" s="190"/>
      <c r="AK721" s="190"/>
      <c r="AL721" s="185"/>
    </row>
    <row r="722" spans="10:38">
      <c r="J722" s="185"/>
      <c r="K722" s="185"/>
      <c r="L722" s="185"/>
      <c r="M722" s="185"/>
      <c r="N722" s="185"/>
      <c r="O722" s="185"/>
      <c r="R722" s="139" t="s">
        <v>145</v>
      </c>
      <c r="S722" s="138">
        <f>-4*COS(S682/2)^2*SIN(S682/2)^2*$K721+COS(S682/2)^2*SIN(S682/2)^2*($K716+$K717)+(COS(S682/2)^4+SIN(S682/2)^4)*$M716</f>
        <v>5.8728045779623468</v>
      </c>
      <c r="T722" s="138">
        <f>-4*COS(T682/2)^2*SIN(T682/2)^2*$K721+COS(T682/2)^2*SIN(T682/2)^2*($K716+$K717)+(COS(T682/2)^4+SIN(T682/2)^4)*$M716</f>
        <v>5.8728045779623468</v>
      </c>
      <c r="U722" s="138">
        <f>-4*COS(U682/2)^2*SIN(U682/2)^2*$K721+COS(U682/2)^2*SIN(U682/2)^2*($K716+$K717)+(COS(U682/2)^4+SIN(U682/2)^4)*$M716</f>
        <v>5.8728045779623468</v>
      </c>
      <c r="V722" s="138">
        <f>-4*COS(V682/2)^2*SIN(V682/2)^2*$K721+COS(V682/2)^2*SIN(V682/2)^2*($K716+$K717)+(COS(V682/2)^4+SIN(V682/2)^4)*$M716</f>
        <v>5.8728045779623468</v>
      </c>
      <c r="W722" s="138" t="s">
        <v>778</v>
      </c>
      <c r="X722" s="141">
        <f>S684*S723*S724/S718+T684*T723*T724/T718+U684*U723*U724/U718+V684*V723*V724/V718</f>
        <v>0</v>
      </c>
      <c r="Y722" s="147">
        <f>S684*S722+T684*T722+U684*U722+V684*V722</f>
        <v>0</v>
      </c>
      <c r="Z722" s="164"/>
      <c r="AA722" s="147"/>
      <c r="AB722" s="147"/>
      <c r="AC722" s="147"/>
      <c r="AD722" s="147"/>
      <c r="AG722" s="139"/>
      <c r="AH722" s="147"/>
      <c r="AI722" s="147"/>
      <c r="AJ722" s="147"/>
      <c r="AK722" s="147"/>
    </row>
    <row r="723" spans="10:38">
      <c r="R723" s="139" t="s">
        <v>151</v>
      </c>
      <c r="S723" s="138">
        <f>COS(S682/2)^2*$M717+SIN(S682/2)^2*$M718</f>
        <v>5.8728045779623468</v>
      </c>
      <c r="T723" s="138">
        <f>COS(T682/2)^2*$M717+SIN(T682/2)^2*$M718</f>
        <v>7.053817698742284</v>
      </c>
      <c r="U723" s="138">
        <f>COS(U682/2)^2*$M717+SIN(U682/2)^2*$M718</f>
        <v>5.8728045779623468</v>
      </c>
      <c r="V723" s="138">
        <f>COS(V682/2)^2*$M717+SIN(V682/2)^2*$M718</f>
        <v>7.053817698742284</v>
      </c>
      <c r="W723" s="138" t="s">
        <v>782</v>
      </c>
      <c r="X723" s="141">
        <f>S684*S728*S723/S718+T684*T728*T723/T718+U684*U728*U723/U718+V684*V728*V723/V718</f>
        <v>0</v>
      </c>
      <c r="Y723" s="147"/>
      <c r="Z723" s="164"/>
      <c r="AA723" s="147"/>
      <c r="AB723" s="147"/>
      <c r="AC723" s="147"/>
      <c r="AD723" s="147"/>
      <c r="AG723" s="139"/>
      <c r="AH723" s="147"/>
      <c r="AI723" s="147"/>
      <c r="AJ723" s="147"/>
      <c r="AK723" s="147"/>
    </row>
    <row r="724" spans="10:38">
      <c r="R724" s="139" t="s">
        <v>768</v>
      </c>
      <c r="S724" s="138">
        <f>SIN(S682/2)^2*$M717+COS(S682/2)^2*$M718</f>
        <v>7.053817698742284</v>
      </c>
      <c r="T724" s="138">
        <f>SIN(T682/2)^2*$M717+COS(T682/2)^2*$M718</f>
        <v>5.8728045779623468</v>
      </c>
      <c r="U724" s="138">
        <f>SIN(U682/2)^2*$M717+COS(U682/2)^2*$M718</f>
        <v>7.053817698742284</v>
      </c>
      <c r="V724" s="138">
        <f>SIN(V682/2)^2*$M717+COS(V682/2)^2*$M718</f>
        <v>5.8728045779623468</v>
      </c>
      <c r="W724" s="138" t="s">
        <v>785</v>
      </c>
      <c r="X724" s="141">
        <f>S684*S728*S724/S718+T684*T728*T724/T718+U684*U728*U724/U718+V684*V728*V724/V718</f>
        <v>0</v>
      </c>
      <c r="Y724" s="164"/>
      <c r="Z724" s="164"/>
      <c r="AA724" s="147"/>
      <c r="AB724" s="147"/>
      <c r="AC724" s="147"/>
      <c r="AD724" s="147"/>
      <c r="AG724" s="139"/>
      <c r="AH724" s="147"/>
      <c r="AI724" s="147"/>
      <c r="AJ724" s="147"/>
      <c r="AK724" s="147"/>
    </row>
    <row r="725" spans="10:38">
      <c r="R725" s="139" t="s">
        <v>660</v>
      </c>
      <c r="S725" s="138">
        <f>COS(S682/2)*SIN(S682/2)*(-$K719+$K720)</f>
        <v>0</v>
      </c>
      <c r="T725" s="138">
        <f>COS(T682/2)*SIN(T682/2)*(-$K719+$K720)</f>
        <v>2.2889856965876046E-16</v>
      </c>
      <c r="U725" s="138">
        <f>COS(U682/2)*SIN(U682/2)*(-$K719+$K720)</f>
        <v>0</v>
      </c>
      <c r="V725" s="138">
        <f>COS(V682/2)*SIN(V682/2)*(-$K719+$K720)</f>
        <v>2.2889856965876046E-16</v>
      </c>
      <c r="W725" s="138" t="s">
        <v>1048</v>
      </c>
      <c r="X725" s="141">
        <f>S684*S728^2/S718+T684*T728^2/T718+U684*U728^2/U718+V684*V728^2/V718</f>
        <v>0</v>
      </c>
      <c r="Y725" s="164"/>
      <c r="Z725" s="164">
        <f>S684*S725/(S719*S720-S725^2)+T684*T725/(T719*T720-T725^2)+U684*U725/(U719*U720-U725^2)+V684*V725/(V719*V720-V725^2)</f>
        <v>0</v>
      </c>
      <c r="AA725" s="147"/>
      <c r="AB725" s="147"/>
      <c r="AC725" s="147"/>
      <c r="AD725" s="147"/>
      <c r="AG725" s="139"/>
      <c r="AH725" s="147"/>
      <c r="AI725" s="147"/>
      <c r="AJ725" s="147"/>
      <c r="AK725" s="147"/>
    </row>
    <row r="726" spans="10:38">
      <c r="R726" s="139" t="s">
        <v>777</v>
      </c>
      <c r="S726" s="138">
        <f>-2*COS(S682/2)*SIN(S682/2)*(COS(S682/2)^2-SIN(S682/2)^2)*$K721+COS(S682/2)*SIN(S682/2)*(COS(S682/2)^2*$K716+SIN(S682/2)^2*$K717)+COS(S682/2)*SIN(S682/2)*(COS(S682/2)^2+SIN(S682/2)^2)*$M716</f>
        <v>0</v>
      </c>
      <c r="T726" s="138">
        <f>-2*COS(T682/2)*SIN(T682/2)*(COS(T682/2)^2-SIN(T682/2)^2)*$K721+COS(T682/2)*SIN(T682/2)*(COS(T682/2)^2*$K716+SIN(T682/2)^2*$K717)+COS(T682/2)*SIN(T682/2)*(COS(T682/2)^2+SIN(T682/2)^2)*$M716</f>
        <v>2.0909173104960418E-15</v>
      </c>
      <c r="U726" s="138">
        <f>-2*COS(U682/2)*SIN(U682/2)*(COS(U682/2)^2-SIN(U682/2)^2)*$K721+COS(U682/2)*SIN(U682/2)*(COS(U682/2)^2*$K716+SIN(U682/2)^2*$K717)+COS(U682/2)*SIN(U682/2)*(COS(U682/2)^2+SIN(U682/2)^2)*$M716</f>
        <v>0</v>
      </c>
      <c r="V726" s="138">
        <f>-2*COS(V682/2)*SIN(V682/2)*(COS(V682/2)^2-SIN(V682/2)^2)*$K721+COS(V682/2)*SIN(V682/2)*(COS(V682/2)^2*$K716+SIN(V682/2)^2*$K717)+COS(V682/2)*SIN(V682/2)*(COS(V682/2)^2+SIN(V682/2)^2)*$M716</f>
        <v>2.0909173104960418E-15</v>
      </c>
      <c r="W726" s="138"/>
      <c r="Y726" s="147">
        <f>S684*S726+T684*T726+U684*U726+V684*V726</f>
        <v>0</v>
      </c>
      <c r="Z726" s="164"/>
      <c r="AA726" s="147"/>
      <c r="AB726" s="147"/>
      <c r="AC726" s="147"/>
      <c r="AD726" s="147"/>
      <c r="AG726" s="139"/>
      <c r="AH726" s="147"/>
      <c r="AI726" s="147"/>
      <c r="AJ726" s="147"/>
      <c r="AK726" s="147"/>
    </row>
    <row r="727" spans="10:38">
      <c r="R727" s="139" t="s">
        <v>781</v>
      </c>
      <c r="S727" s="138">
        <f>2*COS(S682/2)*SIN(S682/2)*(COS(S682/2)^2-SIN(S682/2)^2)*$K721+COS(S682/2)*SIN(S682/2)*(SIN(S682/2)^2*$K716-COS(S682/2)^2*$K717)+COS(S682/2)*SIN(S682/2)*(COS(S682/2)^2-SIN(S682/2)^2)*$M716</f>
        <v>0</v>
      </c>
      <c r="T727" s="138">
        <f>2*COS(T682/2)*SIN(T682/2)*(COS(T682/2)^2-SIN(T682/2)^2)*$K721+COS(T682/2)*SIN(T682/2)*(SIN(T682/2)^2*$K716-COS(T682/2)^2*$K717)+COS(T682/2)*SIN(T682/2)*(COS(T682/2)^2-SIN(T682/2)^2)*$M716</f>
        <v>1.0050870810750773E-14</v>
      </c>
      <c r="U727" s="138">
        <f>2*COS(U682/2)*SIN(U682/2)*(COS(U682/2)^2-SIN(U682/2)^2)*$K721+COS(U682/2)*SIN(U682/2)*(SIN(U682/2)^2*$K716-COS(U682/2)^2*$K717)+COS(U682/2)*SIN(U682/2)*(COS(U682/2)^2-SIN(U682/2)^2)*$M716</f>
        <v>0</v>
      </c>
      <c r="V727" s="138">
        <f>2*COS(V682/2)*SIN(V682/2)*(COS(V682/2)^2-SIN(V682/2)^2)*$K721+COS(V682/2)*SIN(V682/2)*(SIN(V682/2)^2*$K716-COS(V682/2)^2*$K717)+COS(V682/2)*SIN(V682/2)*(COS(V682/2)^2-SIN(V682/2)^2)*$M716</f>
        <v>1.0050870810750773E-14</v>
      </c>
      <c r="W727" s="138"/>
      <c r="Y727" s="147">
        <f>S684*S727+T684*T727+U684*U727+V684*V727</f>
        <v>0</v>
      </c>
      <c r="Z727" s="164"/>
      <c r="AA727" s="147"/>
      <c r="AB727" s="147"/>
      <c r="AC727" s="147"/>
      <c r="AD727" s="147"/>
      <c r="AG727" s="139"/>
      <c r="AH727" s="147"/>
      <c r="AI727" s="147"/>
      <c r="AJ727" s="147"/>
      <c r="AK727" s="147"/>
    </row>
    <row r="728" spans="10:38">
      <c r="R728" s="139" t="s">
        <v>784</v>
      </c>
      <c r="S728" s="138">
        <f>COS(S682/2)*SIN(S682/2)*($M717-$M718)</f>
        <v>0</v>
      </c>
      <c r="T728" s="138">
        <f>COS(T682/2)*SIN(T682/2)*($M717-$M718)</f>
        <v>-7.2345820007517372E-17</v>
      </c>
      <c r="U728" s="138">
        <f>COS(U682/2)*SIN(U682/2)*($M717-$M718)</f>
        <v>0</v>
      </c>
      <c r="V728" s="138">
        <f>COS(V682/2)*SIN(V682/2)*($M717-$M718)</f>
        <v>-7.2345820007517372E-17</v>
      </c>
      <c r="W728" s="138"/>
      <c r="Y728" s="164"/>
      <c r="Z728" s="164"/>
      <c r="AA728" s="147"/>
      <c r="AB728" s="147"/>
      <c r="AC728" s="147"/>
      <c r="AD728" s="147"/>
      <c r="AG728" s="139"/>
      <c r="AH728" s="147"/>
      <c r="AI728" s="147"/>
      <c r="AJ728" s="147"/>
      <c r="AK728" s="147"/>
    </row>
    <row r="729" spans="10:38">
      <c r="J729" s="137" t="s">
        <v>859</v>
      </c>
      <c r="K729" s="139"/>
      <c r="L729" s="139"/>
      <c r="N729" s="138" t="s">
        <v>1551</v>
      </c>
      <c r="P729" s="140"/>
      <c r="R729" s="138" t="s">
        <v>634</v>
      </c>
      <c r="Y729" s="164"/>
      <c r="Z729" s="138" t="s">
        <v>635</v>
      </c>
      <c r="AG729" s="138" t="s">
        <v>636</v>
      </c>
    </row>
    <row r="730" spans="10:38">
      <c r="J730" s="137" t="str">
        <f>A195</f>
        <v>T3/N52[SI]</v>
      </c>
      <c r="K730" s="137"/>
      <c r="L730" s="139"/>
      <c r="N730" s="139" t="s">
        <v>596</v>
      </c>
      <c r="O730" s="144">
        <f>G196</f>
        <v>22</v>
      </c>
      <c r="P730" s="144">
        <f>B88</f>
        <v>22</v>
      </c>
      <c r="Q730" s="145">
        <f t="shared" ref="Q730:Q735" si="132">P730/O730</f>
        <v>1</v>
      </c>
      <c r="R730" s="137"/>
      <c r="Z730" s="139" t="s">
        <v>531</v>
      </c>
      <c r="AA730" s="146">
        <f t="shared" ref="AA730:AD732" si="133">S732</f>
        <v>0</v>
      </c>
      <c r="AB730" s="146">
        <f t="shared" si="133"/>
        <v>90</v>
      </c>
      <c r="AC730" s="146">
        <f t="shared" si="133"/>
        <v>0</v>
      </c>
      <c r="AD730" s="146">
        <f t="shared" si="133"/>
        <v>90</v>
      </c>
      <c r="AE730" s="139" t="s">
        <v>532</v>
      </c>
      <c r="AF730" s="143" t="s">
        <v>533</v>
      </c>
      <c r="AG730" s="139" t="s">
        <v>531</v>
      </c>
      <c r="AH730" s="146">
        <f t="shared" ref="AH730:AK732" si="134">AA730</f>
        <v>0</v>
      </c>
      <c r="AI730" s="146">
        <f t="shared" si="134"/>
        <v>90</v>
      </c>
      <c r="AJ730" s="146">
        <f t="shared" si="134"/>
        <v>0</v>
      </c>
      <c r="AK730" s="146">
        <f t="shared" si="134"/>
        <v>90</v>
      </c>
    </row>
    <row r="731" spans="10:38">
      <c r="J731" s="139"/>
      <c r="K731" s="139"/>
      <c r="L731" s="139"/>
      <c r="N731" s="139" t="s">
        <v>600</v>
      </c>
      <c r="O731" s="147">
        <f>H196</f>
        <v>5.0000000000000001E-3</v>
      </c>
      <c r="P731" s="147">
        <f>C88</f>
        <v>5.0000000000000001E-3</v>
      </c>
      <c r="Q731" s="145">
        <f t="shared" si="132"/>
        <v>1</v>
      </c>
      <c r="R731" s="139" t="s">
        <v>243</v>
      </c>
      <c r="S731" s="143" t="s">
        <v>1562</v>
      </c>
      <c r="T731" s="143" t="s">
        <v>1563</v>
      </c>
      <c r="U731" s="143" t="s">
        <v>1564</v>
      </c>
      <c r="V731" s="143" t="s">
        <v>1565</v>
      </c>
      <c r="W731" s="143"/>
      <c r="X731" s="143"/>
      <c r="Z731" s="139" t="s">
        <v>536</v>
      </c>
      <c r="AA731" s="146">
        <f t="shared" si="133"/>
        <v>0</v>
      </c>
      <c r="AB731" s="146">
        <f t="shared" si="133"/>
        <v>0</v>
      </c>
      <c r="AC731" s="146">
        <f t="shared" si="133"/>
        <v>0</v>
      </c>
      <c r="AD731" s="146">
        <f t="shared" si="133"/>
        <v>0</v>
      </c>
      <c r="AE731" s="139">
        <f>W733</f>
        <v>1</v>
      </c>
      <c r="AF731" s="146">
        <f>X734</f>
        <v>0</v>
      </c>
      <c r="AG731" s="139" t="s">
        <v>536</v>
      </c>
      <c r="AH731" s="146">
        <f t="shared" si="134"/>
        <v>0</v>
      </c>
      <c r="AI731" s="146">
        <f t="shared" si="134"/>
        <v>0</v>
      </c>
      <c r="AJ731" s="146">
        <f t="shared" si="134"/>
        <v>0</v>
      </c>
      <c r="AK731" s="146">
        <f t="shared" si="134"/>
        <v>0</v>
      </c>
    </row>
    <row r="732" spans="10:38">
      <c r="J732" s="139" t="s">
        <v>1553</v>
      </c>
      <c r="K732" s="139" t="s">
        <v>1554</v>
      </c>
      <c r="L732" s="139" t="s">
        <v>1555</v>
      </c>
      <c r="M732" s="153" t="s">
        <v>1556</v>
      </c>
      <c r="N732" s="139" t="s">
        <v>1557</v>
      </c>
      <c r="O732" s="144">
        <f>G195</f>
        <v>122</v>
      </c>
      <c r="P732" s="144">
        <f>O732</f>
        <v>122</v>
      </c>
      <c r="Q732" s="145">
        <f t="shared" si="132"/>
        <v>1</v>
      </c>
      <c r="R732" s="139" t="s">
        <v>537</v>
      </c>
      <c r="S732" s="154">
        <f>C31+I32</f>
        <v>0</v>
      </c>
      <c r="T732" s="154">
        <f>D31+I32</f>
        <v>90</v>
      </c>
      <c r="U732" s="154">
        <f>E31+I32</f>
        <v>0</v>
      </c>
      <c r="V732" s="154">
        <f>F31+I32</f>
        <v>90</v>
      </c>
      <c r="W732" s="143" t="s">
        <v>538</v>
      </c>
      <c r="X732" s="143"/>
      <c r="Z732" s="139" t="s">
        <v>539</v>
      </c>
      <c r="AA732" s="146">
        <f t="shared" si="133"/>
        <v>0</v>
      </c>
      <c r="AB732" s="146">
        <f t="shared" si="133"/>
        <v>3.1415926535897931</v>
      </c>
      <c r="AC732" s="146">
        <f t="shared" si="133"/>
        <v>0</v>
      </c>
      <c r="AD732" s="146">
        <f t="shared" si="133"/>
        <v>3.1415926535897931</v>
      </c>
      <c r="AE732" s="139" t="s">
        <v>540</v>
      </c>
      <c r="AF732" s="141">
        <f>W740</f>
        <v>0</v>
      </c>
      <c r="AG732" s="139" t="s">
        <v>539</v>
      </c>
      <c r="AH732" s="146">
        <f t="shared" si="134"/>
        <v>0</v>
      </c>
      <c r="AI732" s="146">
        <f t="shared" si="134"/>
        <v>3.1415926535897931</v>
      </c>
      <c r="AJ732" s="146">
        <f t="shared" si="134"/>
        <v>0</v>
      </c>
      <c r="AK732" s="146">
        <f t="shared" si="134"/>
        <v>3.1415926535897931</v>
      </c>
    </row>
    <row r="733" spans="10:38">
      <c r="J733" s="139" t="s">
        <v>298</v>
      </c>
      <c r="K733" s="140">
        <f>B195</f>
        <v>181</v>
      </c>
      <c r="L733" s="140">
        <f>L740*L739</f>
        <v>181.00000000000003</v>
      </c>
      <c r="M733" s="145">
        <f>L733/K733</f>
        <v>1.0000000000000002</v>
      </c>
      <c r="N733" s="139" t="s">
        <v>299</v>
      </c>
      <c r="O733" s="144">
        <f>H195</f>
        <v>160</v>
      </c>
      <c r="P733" s="144">
        <f>O733-H198*(P731)</f>
        <v>150</v>
      </c>
      <c r="Q733" s="145">
        <f t="shared" si="132"/>
        <v>0.9375</v>
      </c>
      <c r="R733" s="139" t="s">
        <v>541</v>
      </c>
      <c r="S733" s="154">
        <f>C32</f>
        <v>0</v>
      </c>
      <c r="T733" s="154">
        <f>D32</f>
        <v>0</v>
      </c>
      <c r="U733" s="154">
        <f>E32</f>
        <v>0</v>
      </c>
      <c r="V733" s="154">
        <f>F32</f>
        <v>0</v>
      </c>
      <c r="W733" s="156">
        <f>G32</f>
        <v>1</v>
      </c>
      <c r="X733" s="143"/>
      <c r="Z733" s="139"/>
      <c r="AA733" s="141">
        <f>AA732/2</f>
        <v>0</v>
      </c>
      <c r="AB733" s="141">
        <f>AB732/2</f>
        <v>1.5707963267948966</v>
      </c>
      <c r="AC733" s="141">
        <f>AC732/2</f>
        <v>0</v>
      </c>
      <c r="AD733" s="141">
        <f>AD732/2</f>
        <v>1.5707963267948966</v>
      </c>
      <c r="AE733" s="143"/>
      <c r="AL733" s="139"/>
    </row>
    <row r="734" spans="10:38">
      <c r="J734" s="139" t="s">
        <v>1579</v>
      </c>
      <c r="K734" s="140">
        <f>C195</f>
        <v>10.3</v>
      </c>
      <c r="L734" s="140">
        <f>(1+L743)/(1/L744+L743/L741)</f>
        <v>10.3</v>
      </c>
      <c r="M734" s="145">
        <f>L734/K734</f>
        <v>1</v>
      </c>
      <c r="N734" s="139" t="s">
        <v>1580</v>
      </c>
      <c r="O734" s="140">
        <f>(O733-O730)/(O733-O730)</f>
        <v>1</v>
      </c>
      <c r="P734" s="140">
        <f>(P733-P730)/(P733-O730)</f>
        <v>1</v>
      </c>
      <c r="Q734" s="145">
        <f t="shared" si="132"/>
        <v>1</v>
      </c>
      <c r="R734" s="139" t="s">
        <v>1295</v>
      </c>
      <c r="S734" s="158">
        <f>S732*PI()/90</f>
        <v>0</v>
      </c>
      <c r="T734" s="158">
        <f>T732*PI()/90</f>
        <v>3.1415926535897931</v>
      </c>
      <c r="U734" s="158">
        <f>U732*PI()/90</f>
        <v>0</v>
      </c>
      <c r="V734" s="158">
        <f>V732*PI()/90</f>
        <v>3.1415926535897931</v>
      </c>
      <c r="W734" s="143" t="s">
        <v>1296</v>
      </c>
      <c r="X734" s="146"/>
      <c r="Z734" s="137" t="s">
        <v>1297</v>
      </c>
      <c r="AA734" s="143"/>
      <c r="AB734" s="143"/>
      <c r="AC734" s="141"/>
      <c r="AD734" s="141"/>
      <c r="AE734" s="141"/>
      <c r="AG734" s="137" t="s">
        <v>1298</v>
      </c>
      <c r="AL734" s="139"/>
    </row>
    <row r="735" spans="10:38">
      <c r="J735" s="139" t="s">
        <v>259</v>
      </c>
      <c r="K735" s="140">
        <f>D195</f>
        <v>0.28000000000000003</v>
      </c>
      <c r="L735" s="140">
        <f>K735*I88</f>
        <v>0.28000000000000003</v>
      </c>
      <c r="M735" s="145">
        <f>L735/K735</f>
        <v>1</v>
      </c>
      <c r="N735" s="139" t="s">
        <v>260</v>
      </c>
      <c r="O735" s="144">
        <f>O730-O732</f>
        <v>-100</v>
      </c>
      <c r="P735" s="144">
        <f>P730-P732</f>
        <v>-100</v>
      </c>
      <c r="Q735" s="145">
        <f t="shared" si="132"/>
        <v>1</v>
      </c>
      <c r="R735" s="139" t="s">
        <v>1300</v>
      </c>
      <c r="S735" s="158">
        <f>2*S734</f>
        <v>0</v>
      </c>
      <c r="T735" s="158">
        <f>2*T734</f>
        <v>6.2831853071795862</v>
      </c>
      <c r="U735" s="158">
        <f>2*U734</f>
        <v>0</v>
      </c>
      <c r="V735" s="158">
        <f>2*V734</f>
        <v>6.2831853071795862</v>
      </c>
      <c r="W735" s="138" t="s">
        <v>651</v>
      </c>
      <c r="X735" s="143" t="s">
        <v>652</v>
      </c>
      <c r="Y735" s="143" t="s">
        <v>646</v>
      </c>
      <c r="Z735" s="139"/>
      <c r="AA735" s="143" t="s">
        <v>1301</v>
      </c>
      <c r="AB735" s="143"/>
      <c r="AC735" s="161" t="s">
        <v>977</v>
      </c>
      <c r="AD735" s="161"/>
      <c r="AE735" s="143" t="s">
        <v>1303</v>
      </c>
      <c r="AF735" s="143" t="s">
        <v>1304</v>
      </c>
      <c r="AG735" s="139" t="s">
        <v>1305</v>
      </c>
      <c r="AH735" s="147">
        <f t="shared" ref="AH735:AK737" si="135">AA741/1000</f>
        <v>0</v>
      </c>
      <c r="AI735" s="147">
        <f t="shared" si="135"/>
        <v>0</v>
      </c>
      <c r="AJ735" s="147">
        <f t="shared" si="135"/>
        <v>0</v>
      </c>
      <c r="AK735" s="147">
        <f t="shared" si="135"/>
        <v>0</v>
      </c>
      <c r="AL735" s="157"/>
    </row>
    <row r="736" spans="10:38">
      <c r="J736" s="139" t="s">
        <v>261</v>
      </c>
      <c r="K736" s="140">
        <f>E195</f>
        <v>7.17</v>
      </c>
      <c r="L736" s="140">
        <f>(1+L746)/(1/L747+L746*2.7/L741)</f>
        <v>7.17</v>
      </c>
      <c r="M736" s="145">
        <f>L736/K736</f>
        <v>1</v>
      </c>
      <c r="N736" s="139"/>
      <c r="O736" s="140"/>
      <c r="P736" s="140"/>
      <c r="Q736" s="140"/>
      <c r="R736" s="139" t="s">
        <v>1321</v>
      </c>
      <c r="S736" s="158">
        <f>2*W733*S733*L737/1000000/Y736</f>
        <v>0</v>
      </c>
      <c r="T736" s="158">
        <f>2*W733*T733*L737/1000000/Y736</f>
        <v>0</v>
      </c>
      <c r="U736" s="158">
        <f>2*W733*U733*L737/1000000/Y736</f>
        <v>0</v>
      </c>
      <c r="V736" s="158">
        <f>2*W733*V733*L737/1000000/Y736</f>
        <v>0</v>
      </c>
      <c r="W736" s="147">
        <f>SUM(S736:V736)</f>
        <v>0</v>
      </c>
      <c r="X736" s="163">
        <f>2*W733*SUM(S733:V733)*L737/1000000</f>
        <v>0</v>
      </c>
      <c r="Y736" s="147">
        <f>Y684</f>
        <v>5.0000000000000001E-4</v>
      </c>
      <c r="Z736" s="139">
        <v>1</v>
      </c>
      <c r="AA736" s="140">
        <f>$B$37</f>
        <v>1</v>
      </c>
      <c r="AB736" s="163"/>
      <c r="AC736" s="140">
        <f>AC684</f>
        <v>119.49416590714854</v>
      </c>
      <c r="AD736" s="163"/>
      <c r="AE736" s="159" t="s">
        <v>1306</v>
      </c>
      <c r="AF736" s="163">
        <f>IF(X736=0,0,(AC736+AC737)/2)</f>
        <v>0</v>
      </c>
      <c r="AG736" s="139" t="s">
        <v>1307</v>
      </c>
      <c r="AH736" s="147">
        <f t="shared" si="135"/>
        <v>0</v>
      </c>
      <c r="AI736" s="147">
        <f t="shared" si="135"/>
        <v>0</v>
      </c>
      <c r="AJ736" s="147">
        <f t="shared" si="135"/>
        <v>0</v>
      </c>
      <c r="AK736" s="147">
        <f t="shared" si="135"/>
        <v>0</v>
      </c>
      <c r="AL736" s="157"/>
    </row>
    <row r="737" spans="10:38">
      <c r="J737" s="139" t="s">
        <v>262</v>
      </c>
      <c r="K737" s="144">
        <f>B197</f>
        <v>125</v>
      </c>
      <c r="L737" s="144">
        <f>K737/M739</f>
        <v>125</v>
      </c>
      <c r="M737" s="145">
        <f>L737/K737</f>
        <v>1</v>
      </c>
      <c r="N737" s="137" t="s">
        <v>1531</v>
      </c>
      <c r="O737" s="140"/>
      <c r="P737" s="140"/>
      <c r="Q737" s="140"/>
      <c r="R737" s="139" t="s">
        <v>1325</v>
      </c>
      <c r="S737" s="143" t="s">
        <v>1326</v>
      </c>
      <c r="T737" s="143" t="s">
        <v>1327</v>
      </c>
      <c r="U737" s="143" t="s">
        <v>1328</v>
      </c>
      <c r="V737" s="143" t="s">
        <v>1329</v>
      </c>
      <c r="W737" s="143" t="s">
        <v>1330</v>
      </c>
      <c r="X737" s="139"/>
      <c r="Z737" s="139">
        <v>2</v>
      </c>
      <c r="AA737" s="140">
        <f>$B$38</f>
        <v>0</v>
      </c>
      <c r="AB737" s="163"/>
      <c r="AC737" s="140">
        <f>AC685</f>
        <v>-19.975848039852647</v>
      </c>
      <c r="AD737" s="163"/>
      <c r="AE737" s="159" t="s">
        <v>1309</v>
      </c>
      <c r="AF737" s="163">
        <f>IF(X736=0,0,(AC736-AC737)/2)</f>
        <v>0</v>
      </c>
      <c r="AG737" s="139" t="s">
        <v>1310</v>
      </c>
      <c r="AH737" s="147">
        <f t="shared" si="135"/>
        <v>0</v>
      </c>
      <c r="AI737" s="147">
        <f t="shared" si="135"/>
        <v>0</v>
      </c>
      <c r="AJ737" s="147">
        <f t="shared" si="135"/>
        <v>0</v>
      </c>
      <c r="AK737" s="147">
        <f t="shared" si="135"/>
        <v>0</v>
      </c>
      <c r="AL737" s="157"/>
    </row>
    <row r="738" spans="10:38">
      <c r="J738" s="137" t="s">
        <v>264</v>
      </c>
      <c r="K738" s="140"/>
      <c r="L738" s="140"/>
      <c r="N738" s="139" t="s">
        <v>265</v>
      </c>
      <c r="O738" s="140">
        <f>A198</f>
        <v>0.02</v>
      </c>
      <c r="P738" s="140">
        <f>O738</f>
        <v>0.02</v>
      </c>
      <c r="Q738" s="140">
        <f>P738/O738</f>
        <v>1</v>
      </c>
      <c r="R738" s="139">
        <v>11</v>
      </c>
      <c r="S738" s="140">
        <f>L755+L756*COS(S734)+L757*COS(S735)</f>
        <v>181.81113884441794</v>
      </c>
      <c r="T738" s="140">
        <f>L755+L756*COS(T734)+L757*COS(T735)</f>
        <v>10.346158729820477</v>
      </c>
      <c r="U738" s="140">
        <f>L755+L756*COS(U734)+L757*COS(U735)</f>
        <v>181.81113884441794</v>
      </c>
      <c r="V738" s="140">
        <f>L755+L756*COS(V734)+L757*COS(V735)</f>
        <v>10.346158729820477</v>
      </c>
      <c r="W738" s="163">
        <f>(S736*S738+T736*T738+U736*U738+V736*V738)</f>
        <v>0</v>
      </c>
      <c r="X738" s="147"/>
      <c r="Z738" s="139">
        <v>6</v>
      </c>
      <c r="AA738" s="140">
        <f>$B$39</f>
        <v>0</v>
      </c>
      <c r="AB738" s="163"/>
      <c r="AC738" s="140">
        <f>AC686</f>
        <v>-91.562516762323497</v>
      </c>
      <c r="AD738" s="163"/>
      <c r="AE738" s="159" t="s">
        <v>1312</v>
      </c>
      <c r="AF738" s="163">
        <f>IF(X736=0,0,AC738/2)</f>
        <v>0</v>
      </c>
      <c r="AG738" s="139"/>
      <c r="AH738" s="163"/>
      <c r="AI738" s="163"/>
      <c r="AJ738" s="163"/>
      <c r="AK738" s="163"/>
      <c r="AL738" s="163"/>
    </row>
    <row r="739" spans="10:38">
      <c r="J739" s="139" t="s">
        <v>1532</v>
      </c>
      <c r="K739" s="140">
        <f>C197</f>
        <v>0.7</v>
      </c>
      <c r="L739" s="140">
        <f>D88</f>
        <v>0.7</v>
      </c>
      <c r="M739" s="145">
        <f t="shared" ref="M739:M748" si="136">L739/K739</f>
        <v>1</v>
      </c>
      <c r="N739" s="139" t="s">
        <v>1533</v>
      </c>
      <c r="O739" s="140">
        <f>B198</f>
        <v>22.5</v>
      </c>
      <c r="P739" s="140">
        <f>O739*(1-L739)/(1-K739)</f>
        <v>22.5</v>
      </c>
      <c r="Q739" s="140">
        <f>P739/O739</f>
        <v>1</v>
      </c>
      <c r="R739" s="139">
        <v>22</v>
      </c>
      <c r="S739" s="140">
        <f>S738-2*L756*COS(S734)</f>
        <v>10.346158729820473</v>
      </c>
      <c r="T739" s="140">
        <f>T738-2*L756*COS(T734)</f>
        <v>181.81113884441794</v>
      </c>
      <c r="U739" s="140">
        <f>U738-2*L756*COS(U734)</f>
        <v>10.346158729820473</v>
      </c>
      <c r="V739" s="140">
        <f>V738-2*L756*COS(V734)</f>
        <v>181.81113884441794</v>
      </c>
      <c r="W739" s="163">
        <f>(S736*S739+T736*T739+U736*U739+V736*V739)</f>
        <v>0</v>
      </c>
      <c r="X739" s="147"/>
      <c r="AA739" s="163"/>
      <c r="AB739" s="163"/>
      <c r="AC739" s="163"/>
      <c r="AD739" s="163"/>
      <c r="AE739" s="159"/>
      <c r="AF739" s="163"/>
      <c r="AG739" s="139"/>
      <c r="AH739" s="163"/>
      <c r="AI739" s="163"/>
      <c r="AJ739" s="163"/>
      <c r="AK739" s="163"/>
      <c r="AL739" s="163"/>
    </row>
    <row r="740" spans="10:38">
      <c r="J740" s="139" t="s">
        <v>1534</v>
      </c>
      <c r="K740" s="144">
        <f>K733/K739</f>
        <v>258.57142857142861</v>
      </c>
      <c r="L740" s="144">
        <f>F88*P734^F198</f>
        <v>258.57142857142861</v>
      </c>
      <c r="M740" s="145">
        <f t="shared" si="136"/>
        <v>1</v>
      </c>
      <c r="N740" s="138" t="s">
        <v>1535</v>
      </c>
      <c r="O740" s="140"/>
      <c r="P740" s="140"/>
      <c r="Q740" s="140"/>
      <c r="R740" s="139" t="s">
        <v>1345</v>
      </c>
      <c r="S740" s="140">
        <f>L758-L757*COS(S735)</f>
        <v>2.8969244443497324</v>
      </c>
      <c r="T740" s="140">
        <f>L758-L757*COS(T735)</f>
        <v>2.8969244443497324</v>
      </c>
      <c r="U740" s="140">
        <f>L758-L757*COS(U735)</f>
        <v>2.8969244443497324</v>
      </c>
      <c r="V740" s="140">
        <f>L758-L757*COS(V735)</f>
        <v>2.8969244443497324</v>
      </c>
      <c r="W740" s="163">
        <f>(S736*S740+T736*T740+U736*U740+V736*V740)</f>
        <v>0</v>
      </c>
      <c r="X740" s="147"/>
      <c r="Z740" s="137" t="s">
        <v>1323</v>
      </c>
      <c r="AA740" s="163"/>
      <c r="AB740" s="163"/>
      <c r="AC740" s="163"/>
      <c r="AD740" s="163"/>
      <c r="AE740" s="159" t="s">
        <v>661</v>
      </c>
      <c r="AF740" s="163">
        <f>L735/L733*L750+L748/L734*L752</f>
        <v>0.42188220063345594</v>
      </c>
      <c r="AG740" s="139"/>
      <c r="AH740" s="163"/>
      <c r="AI740" s="163"/>
      <c r="AJ740" s="163"/>
      <c r="AK740" s="163"/>
      <c r="AL740" s="163"/>
    </row>
    <row r="741" spans="10:38">
      <c r="J741" s="139" t="s">
        <v>1536</v>
      </c>
      <c r="K741" s="140">
        <f>F195</f>
        <v>3.4</v>
      </c>
      <c r="L741" s="140">
        <f>E88*P734^F197*I88</f>
        <v>3.4</v>
      </c>
      <c r="M741" s="145">
        <f t="shared" si="136"/>
        <v>1</v>
      </c>
      <c r="N741" s="139" t="s">
        <v>1537</v>
      </c>
      <c r="O741" s="140">
        <f>C198</f>
        <v>0</v>
      </c>
      <c r="P741" s="140">
        <f>O741</f>
        <v>0</v>
      </c>
      <c r="Q741" s="140">
        <v>1</v>
      </c>
      <c r="R741" s="139">
        <v>66</v>
      </c>
      <c r="S741" s="140">
        <f>S740-L758+L759</f>
        <v>7.1700000000000053</v>
      </c>
      <c r="T741" s="140">
        <f>T740-L758+L759</f>
        <v>7.1700000000000053</v>
      </c>
      <c r="U741" s="140">
        <f>U740-L758+L759</f>
        <v>7.1700000000000053</v>
      </c>
      <c r="V741" s="140">
        <f>V740-L758+L759</f>
        <v>7.1700000000000053</v>
      </c>
      <c r="W741" s="163">
        <f>(S736*S741+T736*T741+U736*U741+V736*V741)</f>
        <v>0</v>
      </c>
      <c r="X741" s="147"/>
      <c r="Z741" s="139" t="s">
        <v>1324</v>
      </c>
      <c r="AA741" s="147">
        <f>(AF736+AF737*COS(AA732)+AF738*SIN(AA732))</f>
        <v>0</v>
      </c>
      <c r="AB741" s="147">
        <f>(AF736+AF737*COS(AB732)+AF738*SIN(AB732))</f>
        <v>0</v>
      </c>
      <c r="AC741" s="147">
        <f>(AF736+AF737*COS(AC732)+AF738*SIN(AC732))</f>
        <v>0</v>
      </c>
      <c r="AD741" s="147">
        <f>(AF736+AF737*COS(AD732)+AF738*SIN(AD732))</f>
        <v>0</v>
      </c>
      <c r="AE741" s="159" t="s">
        <v>664</v>
      </c>
      <c r="AF741" s="163">
        <f>L735/L733*L752+L748/L734*L751</f>
        <v>0.50672214511948566</v>
      </c>
      <c r="AG741" s="137"/>
      <c r="AH741" s="159"/>
      <c r="AI741" s="159"/>
      <c r="AJ741" s="159"/>
      <c r="AK741" s="159"/>
      <c r="AL741" s="163"/>
    </row>
    <row r="742" spans="10:38">
      <c r="J742" s="139" t="s">
        <v>1538</v>
      </c>
      <c r="K742" s="140">
        <f>E197</f>
        <v>0.51600000000000001</v>
      </c>
      <c r="L742" s="140">
        <f>K742*P734^G197</f>
        <v>0.51600000000000001</v>
      </c>
      <c r="M742" s="145">
        <f t="shared" si="136"/>
        <v>1</v>
      </c>
      <c r="N742" s="139" t="s">
        <v>1539</v>
      </c>
      <c r="O742" s="140">
        <f>D198</f>
        <v>0.6</v>
      </c>
      <c r="P742" s="140">
        <f>O742*(1-L739)/(1-K739)</f>
        <v>0.6</v>
      </c>
      <c r="Q742" s="140">
        <f>P742/O742</f>
        <v>1</v>
      </c>
      <c r="R742" s="139" t="s">
        <v>1347</v>
      </c>
      <c r="S742" s="140">
        <f>L756*SIN(S734)/2+L757*SIN(S735)</f>
        <v>0</v>
      </c>
      <c r="T742" s="140">
        <f>L756*SIN(T734)/2+L757*SIN(T735)</f>
        <v>4.221105484146412E-16</v>
      </c>
      <c r="U742" s="140">
        <f>L756*SIN(U734)/2+L757*SIN(U735)</f>
        <v>0</v>
      </c>
      <c r="V742" s="140">
        <f>L756*SIN(V734)/2+L757*SIN(V735)</f>
        <v>4.221105484146412E-16</v>
      </c>
      <c r="W742" s="163">
        <f>(S736*S742+T736*T742+U736*U742+V736*V742)</f>
        <v>0</v>
      </c>
      <c r="X742" s="147"/>
      <c r="Z742" s="139" t="s">
        <v>1332</v>
      </c>
      <c r="AA742" s="147">
        <f>2*AF736-AA741</f>
        <v>0</v>
      </c>
      <c r="AB742" s="147">
        <f>2*AF736-AB741</f>
        <v>0</v>
      </c>
      <c r="AC742" s="147">
        <f>2*AF736-AC741</f>
        <v>0</v>
      </c>
      <c r="AD742" s="147">
        <f>2*AF736-AD741</f>
        <v>0</v>
      </c>
      <c r="AE742" s="159"/>
      <c r="AF742" s="163"/>
      <c r="AG742" s="139" t="s">
        <v>1333</v>
      </c>
      <c r="AH742" s="163">
        <f>P761*AH735^2+2*P763*AH735*AH736+P762*AH736^2+P764*AH737^2</f>
        <v>0</v>
      </c>
      <c r="AI742" s="163">
        <f>P761*AI735^2+2*P763*AI735*AI736+P762*AI736^2+P764*AI737^2</f>
        <v>0</v>
      </c>
      <c r="AJ742" s="163">
        <f>P761*AJ735^2+2*P763*AJ735*AJ736+P762*AJ736^2+P764*AJ737^2</f>
        <v>0</v>
      </c>
      <c r="AK742" s="163">
        <f>P761*AK735^2+2*P763*AK735*AK736+P762*AK736^2+P764*AK737^2</f>
        <v>0</v>
      </c>
      <c r="AL742" s="163"/>
    </row>
    <row r="743" spans="10:38">
      <c r="J743" s="139" t="s">
        <v>1547</v>
      </c>
      <c r="K743" s="140">
        <f>K742*(1-K739)/K739</f>
        <v>0.2211428571428572</v>
      </c>
      <c r="L743" s="140">
        <f>L742*(1-L739)/L739</f>
        <v>0.2211428571428572</v>
      </c>
      <c r="M743" s="145">
        <f t="shared" si="136"/>
        <v>1</v>
      </c>
      <c r="O743" s="140"/>
      <c r="P743" s="140"/>
      <c r="Q743" s="140"/>
      <c r="R743" s="139" t="s">
        <v>1349</v>
      </c>
      <c r="S743" s="140">
        <f>L756*SIN(S734)-S742</f>
        <v>0</v>
      </c>
      <c r="T743" s="140">
        <f>L756*SIN(T734)-T742</f>
        <v>1.0081392224502176E-14</v>
      </c>
      <c r="U743" s="140">
        <f>L756*SIN(U734)-U742</f>
        <v>0</v>
      </c>
      <c r="V743" s="140">
        <f>L756*SIN(V734)-V742</f>
        <v>1.0081392224502176E-14</v>
      </c>
      <c r="W743" s="163">
        <f>(S736*S743+T736*T743+U736*U743+V736*V743)</f>
        <v>0</v>
      </c>
      <c r="X743" s="147"/>
      <c r="Z743" s="139" t="s">
        <v>1334</v>
      </c>
      <c r="AA743" s="147">
        <f>(2*(AF738*COS(AA732)-AF737*SIN(AA732)))</f>
        <v>0</v>
      </c>
      <c r="AB743" s="147">
        <f>(2*(AF738*COS(AB732)-AF737*SIN(AB732)))</f>
        <v>0</v>
      </c>
      <c r="AC743" s="147">
        <f>(2*(AF738*COS(AC732)-AF737*SIN(AC732)))</f>
        <v>0</v>
      </c>
      <c r="AD743" s="147">
        <f>(2*(AF738*COS(AD732)-AF737*SIN(AD732)))</f>
        <v>0</v>
      </c>
      <c r="AE743" s="159"/>
      <c r="AF743" s="163"/>
      <c r="AG743" s="139" t="s">
        <v>1335</v>
      </c>
      <c r="AH743" s="163">
        <f>P765*AH735+P766*AH736</f>
        <v>0</v>
      </c>
      <c r="AI743" s="163">
        <f>P765*AI735+P766*AI736</f>
        <v>0</v>
      </c>
      <c r="AJ743" s="163">
        <f>P765*AJ735+P766*AJ736</f>
        <v>0</v>
      </c>
      <c r="AK743" s="163">
        <f>P765*AK735+P766*AK736</f>
        <v>0</v>
      </c>
      <c r="AL743" s="163"/>
    </row>
    <row r="744" spans="10:38">
      <c r="J744" s="139" t="s">
        <v>1643</v>
      </c>
      <c r="K744" s="140">
        <f>1/((1+K743)/K734-K743/K741)</f>
        <v>18.686160319541436</v>
      </c>
      <c r="L744" s="140">
        <f>K744*P734^F198</f>
        <v>18.686160319541436</v>
      </c>
      <c r="M744" s="145">
        <f t="shared" si="136"/>
        <v>1</v>
      </c>
      <c r="N744" s="138" t="s">
        <v>176</v>
      </c>
      <c r="O744" s="140"/>
      <c r="P744" s="140"/>
      <c r="Q744" s="140"/>
      <c r="R744" s="139"/>
      <c r="S744" s="143"/>
      <c r="T744" s="143"/>
      <c r="U744" s="143"/>
      <c r="V744" s="139"/>
      <c r="W744" s="143"/>
      <c r="Z744" s="139" t="s">
        <v>671</v>
      </c>
      <c r="AA744" s="164">
        <f>S762*S736</f>
        <v>0</v>
      </c>
      <c r="AB744" s="164">
        <f>T762*T736</f>
        <v>0</v>
      </c>
      <c r="AC744" s="164">
        <f>U762*U736</f>
        <v>0</v>
      </c>
      <c r="AD744" s="164">
        <f>V762*V736</f>
        <v>0</v>
      </c>
      <c r="AE744" s="164">
        <f>W736*(P739+P738*AF740+AF741*P739)-AF740*SUM(AA744:AD744)-AF741*SUM(AA745:AD745)</f>
        <v>0</v>
      </c>
      <c r="AF744" s="164"/>
      <c r="AG744" s="139" t="s">
        <v>1344</v>
      </c>
      <c r="AH744" s="163" t="e">
        <f>AH743/2/AH742</f>
        <v>#DIV/0!</v>
      </c>
      <c r="AI744" s="163" t="e">
        <f>AI743/2/AI742</f>
        <v>#DIV/0!</v>
      </c>
      <c r="AJ744" s="163" t="e">
        <f>AJ743/2/AJ742</f>
        <v>#DIV/0!</v>
      </c>
      <c r="AK744" s="163" t="e">
        <f>AK743/2/AK742</f>
        <v>#DIV/0!</v>
      </c>
      <c r="AL744" s="163"/>
    </row>
    <row r="745" spans="10:38">
      <c r="J745" s="139" t="s">
        <v>295</v>
      </c>
      <c r="K745" s="140">
        <f>E198</f>
        <v>0.316</v>
      </c>
      <c r="L745" s="140">
        <f>K745*P734^G197</f>
        <v>0.316</v>
      </c>
      <c r="M745" s="145">
        <f t="shared" si="136"/>
        <v>1</v>
      </c>
      <c r="N745" s="139" t="s">
        <v>296</v>
      </c>
      <c r="O745" s="144">
        <f>A196</f>
        <v>1500</v>
      </c>
      <c r="P745" s="144">
        <f>P751*L739</f>
        <v>1500</v>
      </c>
      <c r="Q745" s="140">
        <f t="shared" ref="Q745:Q752" si="137">P745/O745</f>
        <v>1</v>
      </c>
      <c r="R745" s="139"/>
      <c r="T745" s="164"/>
      <c r="U745" s="140"/>
      <c r="V745" s="140"/>
      <c r="W745" s="140"/>
      <c r="X745" s="143"/>
      <c r="Y745" s="139"/>
      <c r="Z745" s="139" t="s">
        <v>675</v>
      </c>
      <c r="AA745" s="164">
        <f>S763*S736</f>
        <v>0</v>
      </c>
      <c r="AB745" s="164">
        <f>T763*T736</f>
        <v>0</v>
      </c>
      <c r="AC745" s="164">
        <f>U763*U736</f>
        <v>0</v>
      </c>
      <c r="AD745" s="164">
        <f>V763*V736</f>
        <v>0</v>
      </c>
      <c r="AE745" s="164"/>
      <c r="AF745" s="164"/>
      <c r="AG745" s="139"/>
      <c r="AH745" s="163"/>
      <c r="AI745" s="163"/>
      <c r="AJ745" s="163"/>
      <c r="AK745" s="163"/>
      <c r="AL745" s="163"/>
    </row>
    <row r="746" spans="10:38">
      <c r="J746" s="139" t="s">
        <v>301</v>
      </c>
      <c r="K746" s="140">
        <f>K745*(1-K739)/K739</f>
        <v>0.13542857142857145</v>
      </c>
      <c r="L746" s="140">
        <f>L745*(1-L739)/L739</f>
        <v>0.13542857142857145</v>
      </c>
      <c r="M746" s="145">
        <f t="shared" si="136"/>
        <v>1</v>
      </c>
      <c r="N746" s="139" t="s">
        <v>302</v>
      </c>
      <c r="O746" s="144">
        <f>B196</f>
        <v>1500</v>
      </c>
      <c r="P746" s="144">
        <f>O746*Q745*M736^F199</f>
        <v>1500</v>
      </c>
      <c r="Q746" s="140">
        <f t="shared" si="137"/>
        <v>1</v>
      </c>
      <c r="R746" s="139"/>
      <c r="T746" s="164"/>
      <c r="U746" s="140"/>
      <c r="V746" s="140"/>
      <c r="W746" s="140"/>
      <c r="X746" s="140"/>
      <c r="Y746" s="140"/>
      <c r="Z746" s="139" t="s">
        <v>677</v>
      </c>
      <c r="AA746" s="164">
        <f>S764*S736</f>
        <v>0</v>
      </c>
      <c r="AB746" s="164">
        <f>T764*T736</f>
        <v>0</v>
      </c>
      <c r="AC746" s="164">
        <f>U764*U736</f>
        <v>0</v>
      </c>
      <c r="AD746" s="164">
        <f>V764*V736</f>
        <v>0</v>
      </c>
      <c r="AE746" s="164">
        <f>W736*(P742+P741*AF740+AF741*P742)-AF740*SUM(AA746:AD746)-AF741*SUM(AA747:AD747)</f>
        <v>0</v>
      </c>
      <c r="AF746" s="164"/>
      <c r="AG746" s="139"/>
      <c r="AH746" s="163"/>
      <c r="AI746" s="147"/>
      <c r="AJ746" s="163"/>
      <c r="AK746" s="163"/>
      <c r="AL746" s="163"/>
    </row>
    <row r="747" spans="10:38">
      <c r="J747" s="139" t="s">
        <v>304</v>
      </c>
      <c r="K747" s="140">
        <f>1/((1+K746)/K736-K746*2.7/K741)</f>
        <v>19.680382632972858</v>
      </c>
      <c r="L747" s="140">
        <f>K747*P734^F198</f>
        <v>19.680382632972858</v>
      </c>
      <c r="M747" s="145">
        <f t="shared" si="136"/>
        <v>1</v>
      </c>
      <c r="N747" s="139" t="s">
        <v>305</v>
      </c>
      <c r="O747" s="144">
        <f>C196</f>
        <v>40</v>
      </c>
      <c r="P747" s="144">
        <f>O747*Q752</f>
        <v>40</v>
      </c>
      <c r="Q747" s="140">
        <f t="shared" si="137"/>
        <v>1</v>
      </c>
      <c r="R747" s="139"/>
      <c r="T747" s="164"/>
      <c r="U747" s="140"/>
      <c r="V747" s="140"/>
      <c r="W747" s="140"/>
      <c r="X747" s="140"/>
      <c r="Y747" s="140"/>
      <c r="Z747" s="138" t="s">
        <v>679</v>
      </c>
      <c r="AA747" s="164">
        <f>S765*S736</f>
        <v>0</v>
      </c>
      <c r="AB747" s="164">
        <f>T765*T736</f>
        <v>0</v>
      </c>
      <c r="AC747" s="164">
        <f>U765*U736</f>
        <v>0</v>
      </c>
      <c r="AD747" s="164">
        <f>V765*V736</f>
        <v>0</v>
      </c>
      <c r="AE747" s="164"/>
      <c r="AF747" s="164"/>
      <c r="AG747" s="139"/>
      <c r="AH747" s="163"/>
      <c r="AI747" s="163"/>
      <c r="AJ747" s="163"/>
      <c r="AK747" s="163"/>
      <c r="AL747" s="159" t="s">
        <v>1348</v>
      </c>
    </row>
    <row r="748" spans="10:38">
      <c r="J748" s="139" t="s">
        <v>1581</v>
      </c>
      <c r="K748" s="140">
        <f>F199</f>
        <v>0.5</v>
      </c>
      <c r="L748" s="140">
        <f>K748</f>
        <v>0.5</v>
      </c>
      <c r="M748" s="140">
        <f t="shared" si="136"/>
        <v>1</v>
      </c>
      <c r="N748" s="139" t="s">
        <v>1542</v>
      </c>
      <c r="O748" s="144">
        <f>D196</f>
        <v>246</v>
      </c>
      <c r="P748" s="144">
        <f>O748*Q752</f>
        <v>246</v>
      </c>
      <c r="Q748" s="140">
        <f t="shared" si="137"/>
        <v>1</v>
      </c>
      <c r="R748" s="139"/>
      <c r="T748" s="164"/>
      <c r="U748" s="140"/>
      <c r="V748" s="140"/>
      <c r="W748" s="138"/>
      <c r="X748" s="140"/>
      <c r="Y748" s="140"/>
      <c r="Z748" s="139" t="s">
        <v>682</v>
      </c>
      <c r="AA748" s="164">
        <f>S736*(AA741+S766/1000)</f>
        <v>0</v>
      </c>
      <c r="AB748" s="164">
        <f>T736*(AB741+T766/1000)</f>
        <v>0</v>
      </c>
      <c r="AC748" s="164">
        <f>U736*(AC741+U766/1000)</f>
        <v>0</v>
      </c>
      <c r="AD748" s="164">
        <f>V736*(AD741+V766/1000)</f>
        <v>0</v>
      </c>
      <c r="AE748" s="164">
        <f>W736*((1+AF741)*(P739*P735/1000000+P742*P731)+AF740*(P738*P735/1000000+P741*P731))*1000-AF740*SUM(AA748:AD748)-AF741*SUM(AA749:AD749)</f>
        <v>0</v>
      </c>
      <c r="AF748" s="164"/>
      <c r="AG748" s="139" t="s">
        <v>1351</v>
      </c>
      <c r="AH748" s="147" t="e">
        <f>(AH744^2+1/AH742)^0.5-AH744</f>
        <v>#DIV/0!</v>
      </c>
      <c r="AI748" s="147" t="e">
        <f>(AI744^2+1/AI742)^0.5-AI744</f>
        <v>#DIV/0!</v>
      </c>
      <c r="AJ748" s="147" t="e">
        <f>(AJ744^2+1/AJ742)^0.5-AJ744</f>
        <v>#DIV/0!</v>
      </c>
      <c r="AK748" s="147" t="e">
        <f>(AK744^2+1/AK742)^0.5-AK744</f>
        <v>#DIV/0!</v>
      </c>
      <c r="AL748" s="147">
        <f>MIN(AH749:AK749)</f>
        <v>1000000000</v>
      </c>
    </row>
    <row r="749" spans="10:38">
      <c r="J749" s="138" t="s">
        <v>1507</v>
      </c>
      <c r="N749" s="139" t="s">
        <v>1543</v>
      </c>
      <c r="O749" s="165">
        <f>E196</f>
        <v>68</v>
      </c>
      <c r="P749" s="165">
        <f>O749*Q752</f>
        <v>68</v>
      </c>
      <c r="Q749" s="140">
        <f t="shared" si="137"/>
        <v>1</v>
      </c>
      <c r="R749" s="139"/>
      <c r="T749" s="164"/>
      <c r="U749" s="140"/>
      <c r="V749" s="140"/>
      <c r="W749" s="138"/>
      <c r="X749" s="138"/>
      <c r="Z749" s="139" t="s">
        <v>685</v>
      </c>
      <c r="AA749" s="164">
        <f>S736*(AA742+S767/1000)</f>
        <v>0</v>
      </c>
      <c r="AB749" s="164">
        <f>T736*(AB742+T767/1000)</f>
        <v>0</v>
      </c>
      <c r="AC749" s="164">
        <f>U736*(AC742+U767/1000)</f>
        <v>0</v>
      </c>
      <c r="AD749" s="164">
        <f>V736*(AD742+V767/1000)</f>
        <v>0</v>
      </c>
      <c r="AE749" s="164"/>
      <c r="AF749" s="164"/>
      <c r="AG749" s="139"/>
      <c r="AH749" s="147">
        <f>IF(AH731=0,1000000000,AH748)</f>
        <v>1000000000</v>
      </c>
      <c r="AI749" s="147">
        <f>IF(AI731=0,1000000000,AI748)</f>
        <v>1000000000</v>
      </c>
      <c r="AJ749" s="147">
        <f>IF(AJ731=0,1000000000,AJ748)</f>
        <v>1000000000</v>
      </c>
      <c r="AK749" s="147">
        <f>IF(AK731=0,1000000000,AK748)</f>
        <v>1000000000</v>
      </c>
    </row>
    <row r="750" spans="10:38">
      <c r="J750" s="139" t="s">
        <v>1354</v>
      </c>
      <c r="K750" s="140">
        <f>K733/(1-K735^2*K734/K733)</f>
        <v>181.81113884441791</v>
      </c>
      <c r="L750" s="140">
        <f>L733/(1-L735^2*L734/L733)</f>
        <v>181.81113884441794</v>
      </c>
      <c r="M750" s="145">
        <f>L750/K750</f>
        <v>1.0000000000000002</v>
      </c>
      <c r="N750" s="139" t="s">
        <v>1168</v>
      </c>
      <c r="O750" s="145">
        <f>A197</f>
        <v>-0.5</v>
      </c>
      <c r="P750" s="145">
        <f>O750*I88</f>
        <v>-0.5</v>
      </c>
      <c r="Q750" s="140">
        <f t="shared" si="137"/>
        <v>1</v>
      </c>
      <c r="R750" s="139"/>
      <c r="T750" s="164"/>
      <c r="U750" s="140"/>
      <c r="V750" s="140"/>
      <c r="W750" s="138"/>
      <c r="X750" s="138"/>
      <c r="Z750" s="138" t="s">
        <v>686</v>
      </c>
      <c r="AA750" s="140">
        <f>($AF740*COS(AA733)^2+$AF741*SIN(AA733)^2)*S736</f>
        <v>0</v>
      </c>
      <c r="AB750" s="140">
        <f>($AF740*COS(AB733)^2+$AF741*SIN(AB733)^2)*T736</f>
        <v>0</v>
      </c>
      <c r="AC750" s="140">
        <f>($AF740*COS(AC733)^2+$AF741*SIN(AC733)^2)*U736</f>
        <v>0</v>
      </c>
      <c r="AD750" s="140">
        <f>($AF740*COS(AD733)^2+$AF741*SIN(AD733)^2)*V736</f>
        <v>0</v>
      </c>
      <c r="AE750" s="163">
        <f>SUM(AA750:AD750)</f>
        <v>0</v>
      </c>
      <c r="AF750" s="163"/>
      <c r="AG750" s="138" t="s">
        <v>1360</v>
      </c>
      <c r="AH750" s="147">
        <f>IF(AH731=0,0,AH748)</f>
        <v>0</v>
      </c>
      <c r="AI750" s="147">
        <f>IF(AI731=0,0,AI748)</f>
        <v>0</v>
      </c>
      <c r="AJ750" s="147">
        <f>IF(AJ731=0,0,AJ748)</f>
        <v>0</v>
      </c>
      <c r="AK750" s="147">
        <f>IF(AK731=0,0,AK748)</f>
        <v>0</v>
      </c>
    </row>
    <row r="751" spans="10:38">
      <c r="J751" s="139" t="s">
        <v>1361</v>
      </c>
      <c r="K751" s="140">
        <f>K750*K734/K733</f>
        <v>10.346158729820468</v>
      </c>
      <c r="L751" s="140">
        <f>L750*L734/L733</f>
        <v>10.346158729820468</v>
      </c>
      <c r="M751" s="145">
        <f>L751/K751</f>
        <v>1</v>
      </c>
      <c r="N751" s="139" t="s">
        <v>1175</v>
      </c>
      <c r="O751" s="144">
        <f>O745/K739</f>
        <v>2142.8571428571431</v>
      </c>
      <c r="P751" s="144">
        <f>H88*P734^G198</f>
        <v>2142.8571428571431</v>
      </c>
      <c r="Q751" s="140">
        <f t="shared" si="137"/>
        <v>1</v>
      </c>
      <c r="T751" s="147"/>
      <c r="U751" s="141"/>
      <c r="V751" s="141"/>
      <c r="W751" s="138"/>
      <c r="X751" s="138"/>
      <c r="Z751" s="138" t="s">
        <v>689</v>
      </c>
      <c r="AA751" s="140">
        <f>($AF740*SIN(AA733)^2+$AF741*COS(AA733)^2)*S736</f>
        <v>0</v>
      </c>
      <c r="AB751" s="140">
        <f>($AF740*SIN(AB733)^2+$AF741*COS(AB733)^2)*T736</f>
        <v>0</v>
      </c>
      <c r="AC751" s="140">
        <f>($AF740*SIN(AC733)^2+$AF741*COS(AC733)^2)*U736</f>
        <v>0</v>
      </c>
      <c r="AD751" s="140">
        <f>($AF740*SIN(AD733)^2+$AF741*COS(AD733)^2)*V736</f>
        <v>0</v>
      </c>
      <c r="AE751" s="163">
        <f>SUM(AA751:AD751)</f>
        <v>0</v>
      </c>
      <c r="AF751" s="163"/>
      <c r="AG751" s="139" t="s">
        <v>1364</v>
      </c>
      <c r="AH751" s="138">
        <f>(S766-P738*P735)/1000000-P741*P731</f>
        <v>3.7599999999999944E-4</v>
      </c>
      <c r="AI751" s="138">
        <f>(T766-P738*P735)/1000000-P741*P731</f>
        <v>3.7599999999999965E-4</v>
      </c>
      <c r="AJ751" s="157">
        <f>(U766-P738*P735)/1000000-P741*P731</f>
        <v>3.7599999999999944E-4</v>
      </c>
      <c r="AK751" s="157">
        <f>(V766-P738*P735)/1000000-P741*P731</f>
        <v>3.7599999999999965E-4</v>
      </c>
      <c r="AL751" s="163"/>
    </row>
    <row r="752" spans="10:38">
      <c r="J752" s="139" t="s">
        <v>1365</v>
      </c>
      <c r="K752" s="140">
        <f>K751*K735</f>
        <v>2.8969244443497315</v>
      </c>
      <c r="L752" s="140">
        <f>L751*L735</f>
        <v>2.8969244443497315</v>
      </c>
      <c r="M752" s="145">
        <f>L752/K752</f>
        <v>1</v>
      </c>
      <c r="N752" s="139" t="s">
        <v>1176</v>
      </c>
      <c r="O752" s="144">
        <f>O747</f>
        <v>40</v>
      </c>
      <c r="P752" s="144">
        <f>G88*P734^H197</f>
        <v>40</v>
      </c>
      <c r="Q752" s="140">
        <f t="shared" si="137"/>
        <v>1</v>
      </c>
      <c r="R752" s="137" t="s">
        <v>1185</v>
      </c>
      <c r="U752" s="141"/>
      <c r="W752" s="138"/>
      <c r="X752" s="138"/>
      <c r="AA752" s="140"/>
      <c r="AE752" s="163"/>
      <c r="AF752" s="163"/>
      <c r="AG752" s="139" t="s">
        <v>1367</v>
      </c>
      <c r="AH752" s="138">
        <f>(S767-P739*P735)/1000000-P742*P731</f>
        <v>-3.7600000000000047E-4</v>
      </c>
      <c r="AI752" s="138">
        <f>(T767-P739*P735)/1000000-P742*P731</f>
        <v>-3.7600000000000047E-4</v>
      </c>
      <c r="AJ752" s="157">
        <f>(U767-P739*P735)/1000000-P742*P731</f>
        <v>-3.7600000000000047E-4</v>
      </c>
      <c r="AK752" s="157">
        <f>(V767-P739*P735)/1000000-P742*P731</f>
        <v>-3.7600000000000047E-4</v>
      </c>
      <c r="AL752" s="163"/>
    </row>
    <row r="753" spans="10:38">
      <c r="J753" s="139" t="s">
        <v>1370</v>
      </c>
      <c r="K753" s="140">
        <f>K736</f>
        <v>7.17</v>
      </c>
      <c r="L753" s="140">
        <f>L736</f>
        <v>7.17</v>
      </c>
      <c r="M753" s="145">
        <f>L753/K753</f>
        <v>1</v>
      </c>
      <c r="R753" s="143" t="s">
        <v>695</v>
      </c>
      <c r="S753" s="147">
        <f>S736*COS(S734)</f>
        <v>0</v>
      </c>
      <c r="T753" s="147">
        <f>T736*COS(T734)</f>
        <v>0</v>
      </c>
      <c r="U753" s="147">
        <f>U736*COS(U734)</f>
        <v>0</v>
      </c>
      <c r="V753" s="147">
        <f>V736*COS(V734)</f>
        <v>0</v>
      </c>
      <c r="W753" s="147">
        <f>SUM(S753:V753)</f>
        <v>0</v>
      </c>
      <c r="X753" s="138"/>
      <c r="AF753" s="163"/>
      <c r="AG753" s="139" t="s">
        <v>1372</v>
      </c>
      <c r="AH753" s="138">
        <f>S781/1000000</f>
        <v>0</v>
      </c>
      <c r="AI753" s="138">
        <f>T781/1000000</f>
        <v>0</v>
      </c>
      <c r="AJ753" s="157">
        <f>U781/1000000</f>
        <v>0</v>
      </c>
      <c r="AK753" s="157">
        <f>V781/1000000</f>
        <v>0</v>
      </c>
      <c r="AL753" s="163"/>
    </row>
    <row r="754" spans="10:38">
      <c r="J754" s="138" t="s">
        <v>1510</v>
      </c>
      <c r="K754" s="140"/>
      <c r="L754" s="140"/>
      <c r="N754" s="138" t="s">
        <v>1375</v>
      </c>
      <c r="R754" s="139" t="s">
        <v>696</v>
      </c>
      <c r="S754" s="147">
        <f>S736*SIN(S734)</f>
        <v>0</v>
      </c>
      <c r="T754" s="147">
        <f>T736*SIN(T734)</f>
        <v>0</v>
      </c>
      <c r="U754" s="147">
        <f>U736*SIN(U734)</f>
        <v>0</v>
      </c>
      <c r="V754" s="147">
        <f>V736*SIN(V734)</f>
        <v>0</v>
      </c>
      <c r="W754" s="147">
        <f>SUM(S754:V754)</f>
        <v>0</v>
      </c>
      <c r="X754" s="138"/>
      <c r="AF754" s="163"/>
      <c r="AG754" s="163"/>
      <c r="AH754" s="163"/>
      <c r="AI754" s="163"/>
      <c r="AJ754" s="163"/>
      <c r="AK754" s="163"/>
      <c r="AL754" s="163"/>
    </row>
    <row r="755" spans="10:38">
      <c r="J755" s="139" t="s">
        <v>1380</v>
      </c>
      <c r="K755" s="140">
        <f>(3*K750+3*K751+2*K752+4*K753)/8</f>
        <v>76.368217701426829</v>
      </c>
      <c r="L755" s="140">
        <f>(3*L750+3*L751+2*L752+4*L753)/8</f>
        <v>76.368217701426843</v>
      </c>
      <c r="M755" s="145">
        <f>L755/K755</f>
        <v>1.0000000000000002</v>
      </c>
      <c r="N755" s="139" t="s">
        <v>1381</v>
      </c>
      <c r="O755" s="140">
        <f>1/O745/O746*1000000</f>
        <v>0.44444444444444442</v>
      </c>
      <c r="P755" s="140">
        <f>1/P745/P746*1000000</f>
        <v>0.44444444444444442</v>
      </c>
      <c r="Q755" s="140">
        <f>P755/O755</f>
        <v>1</v>
      </c>
      <c r="R755" s="139"/>
      <c r="S755" s="138" t="s">
        <v>698</v>
      </c>
      <c r="T755" s="137"/>
      <c r="U755" s="143" t="s">
        <v>700</v>
      </c>
      <c r="V755" s="137"/>
      <c r="W755" s="137" t="s">
        <v>702</v>
      </c>
      <c r="X755" s="138"/>
      <c r="Y755" s="137" t="s">
        <v>704</v>
      </c>
      <c r="Z755" s="137" t="s">
        <v>705</v>
      </c>
      <c r="AA755" s="138" t="s">
        <v>706</v>
      </c>
      <c r="AB755" s="139"/>
      <c r="AC755" s="139"/>
      <c r="AF755" s="138"/>
      <c r="AG755" s="159" t="s">
        <v>1383</v>
      </c>
      <c r="AH755" s="166">
        <f>P761*AH751^2+2*P763*AH751*AH752+P762*AH752^2+P764*AH753^2</f>
        <v>4.0749146542514705E-3</v>
      </c>
      <c r="AI755" s="163">
        <f>P761*AI751^2+2*P763*AI751*AI752+P762*AI752^2+P764*AI753^2</f>
        <v>4.0749146542514731E-3</v>
      </c>
      <c r="AJ755" s="163">
        <f>P761*AJ751^2+2*P763*AJ751*AJ752+P762*AJ752^2+P764*AJ753^2</f>
        <v>4.0749146542514705E-3</v>
      </c>
      <c r="AK755" s="163">
        <f>P761*AK751^2+2*P763*AK751*AK752+P762*AK752^2+P764*AK753^2</f>
        <v>4.0749146542514731E-3</v>
      </c>
      <c r="AL755" s="163"/>
    </row>
    <row r="756" spans="10:38">
      <c r="J756" s="139" t="s">
        <v>1384</v>
      </c>
      <c r="K756" s="140">
        <f>(K750-K751)/2</f>
        <v>85.732490057298719</v>
      </c>
      <c r="L756" s="140">
        <f>(L750-L751)/2</f>
        <v>85.732490057298733</v>
      </c>
      <c r="M756" s="145">
        <f>L756/K756</f>
        <v>1.0000000000000002</v>
      </c>
      <c r="N756" s="139" t="s">
        <v>1385</v>
      </c>
      <c r="O756" s="140">
        <f>1/O747/O748*1000000</f>
        <v>101.6260162601626</v>
      </c>
      <c r="P756" s="140">
        <f>1/P747/P748*1000000</f>
        <v>101.6260162601626</v>
      </c>
      <c r="Q756" s="140">
        <f>P756/O756</f>
        <v>1</v>
      </c>
      <c r="R756" s="139">
        <v>1</v>
      </c>
      <c r="S756" s="138">
        <f>(S760*W736+S761*W753)</f>
        <v>0</v>
      </c>
      <c r="T756" s="138"/>
      <c r="U756" s="138">
        <f>(T760*W736+T761*W753)</f>
        <v>0</v>
      </c>
      <c r="V756" s="147"/>
      <c r="W756" s="138">
        <f>S756*P735+U756*P731</f>
        <v>0</v>
      </c>
      <c r="X756" s="147"/>
      <c r="Y756" s="138">
        <f t="shared" ref="Y756:AA758" si="138">Y704</f>
        <v>11.259999999999984</v>
      </c>
      <c r="Z756" s="138">
        <f t="shared" si="138"/>
        <v>0.29999999999999954</v>
      </c>
      <c r="AA756" s="138">
        <f t="shared" si="138"/>
        <v>373.99999999999937</v>
      </c>
      <c r="AB756" s="147"/>
      <c r="AC756" s="147"/>
      <c r="AF756" s="138"/>
      <c r="AG756" s="159" t="s">
        <v>1387</v>
      </c>
      <c r="AH756" s="166">
        <f>P765*AH751+P766*AH752</f>
        <v>-5.8636980773925068E-2</v>
      </c>
      <c r="AI756" s="163">
        <f>P765*AI751+P766*AI752</f>
        <v>-5.8636980773925054E-2</v>
      </c>
      <c r="AJ756" s="163">
        <f>P765*AJ751+P766*AJ752</f>
        <v>-5.8636980773925068E-2</v>
      </c>
      <c r="AK756" s="163">
        <f>P765*AK751+P766*AK752</f>
        <v>-5.8636980773925054E-2</v>
      </c>
      <c r="AL756" s="163"/>
    </row>
    <row r="757" spans="10:38">
      <c r="J757" s="139" t="s">
        <v>1388</v>
      </c>
      <c r="K757" s="140">
        <f>(K750+K751-2*K752-4*K753)/8</f>
        <v>19.710431085692363</v>
      </c>
      <c r="L757" s="140">
        <f>(L750+L751-2*L752-4*L753)/8</f>
        <v>19.710431085692367</v>
      </c>
      <c r="M757" s="145">
        <f>L757/K757</f>
        <v>1.0000000000000002</v>
      </c>
      <c r="N757" s="139" t="s">
        <v>1389</v>
      </c>
      <c r="O757" s="140">
        <f>O750*(O755*O756)^0.5</f>
        <v>-3.3603243272729659</v>
      </c>
      <c r="P757" s="140">
        <f>P750*(P755*P756)^0.5</f>
        <v>-3.3603243272729659</v>
      </c>
      <c r="Q757" s="140">
        <f>P757/O757</f>
        <v>1</v>
      </c>
      <c r="R757" s="139">
        <v>2</v>
      </c>
      <c r="S757" s="138">
        <f>(S760*W736-S761*W753)</f>
        <v>0</v>
      </c>
      <c r="T757" s="138"/>
      <c r="U757" s="138">
        <f>(T760*W736-T761*W753)</f>
        <v>0</v>
      </c>
      <c r="V757" s="147"/>
      <c r="W757" s="138">
        <f>S757*P735+U757*P731</f>
        <v>0</v>
      </c>
      <c r="X757" s="147"/>
      <c r="Y757" s="138">
        <f t="shared" si="138"/>
        <v>11.259999999999993</v>
      </c>
      <c r="Z757" s="138">
        <f t="shared" si="138"/>
        <v>0.29999999999999977</v>
      </c>
      <c r="AA757" s="138">
        <f t="shared" si="138"/>
        <v>373.99999999999966</v>
      </c>
      <c r="AB757" s="147"/>
      <c r="AC757" s="147"/>
      <c r="AF757" s="138"/>
      <c r="AG757" s="159" t="s">
        <v>1390</v>
      </c>
      <c r="AH757" s="166">
        <f>AH755+AH756</f>
        <v>-5.4562066119673597E-2</v>
      </c>
      <c r="AI757" s="163">
        <f>AI755+AI756</f>
        <v>-5.4562066119673583E-2</v>
      </c>
      <c r="AJ757" s="163">
        <f>AJ755+AJ756</f>
        <v>-5.4562066119673597E-2</v>
      </c>
      <c r="AK757" s="163">
        <f>AK755+AK756</f>
        <v>-5.4562066119673583E-2</v>
      </c>
      <c r="AL757" s="163"/>
    </row>
    <row r="758" spans="10:38">
      <c r="J758" s="139" t="s">
        <v>1391</v>
      </c>
      <c r="K758" s="140">
        <f>(K750+K751+6*K752-4*K753)/8</f>
        <v>22.607355530042096</v>
      </c>
      <c r="L758" s="140">
        <f>(L750+L751+6*L752-4*L753)/8</f>
        <v>22.607355530042099</v>
      </c>
      <c r="M758" s="145">
        <f>L758/K758</f>
        <v>1.0000000000000002</v>
      </c>
      <c r="N758" s="139" t="s">
        <v>1392</v>
      </c>
      <c r="O758" s="140">
        <f>1/O749^2*1000000</f>
        <v>216.26297577854672</v>
      </c>
      <c r="P758" s="140">
        <f>1/P749^2*1000000</f>
        <v>216.26297577854672</v>
      </c>
      <c r="Q758" s="140">
        <f>P758/O758</f>
        <v>1</v>
      </c>
      <c r="R758" s="139">
        <v>6</v>
      </c>
      <c r="S758" s="139">
        <f>S761*W754</f>
        <v>0</v>
      </c>
      <c r="T758" s="138"/>
      <c r="U758" s="139">
        <f>T761*W754</f>
        <v>0</v>
      </c>
      <c r="V758" s="147"/>
      <c r="W758" s="138">
        <f>S758*P735+U758*P731</f>
        <v>0</v>
      </c>
      <c r="X758" s="147"/>
      <c r="Y758" s="138">
        <f t="shared" si="138"/>
        <v>-22.479999999999976</v>
      </c>
      <c r="Z758" s="138">
        <f t="shared" si="138"/>
        <v>-0.5999999999999992</v>
      </c>
      <c r="AA758" s="138">
        <f t="shared" si="138"/>
        <v>-397.02012514617672</v>
      </c>
      <c r="AB758" s="147"/>
      <c r="AC758" s="147"/>
      <c r="AF758" s="138"/>
      <c r="AG758" s="159" t="s">
        <v>1395</v>
      </c>
      <c r="AH758" s="166">
        <f>-1+AH757</f>
        <v>-1.0545620661196735</v>
      </c>
      <c r="AI758" s="163">
        <f>-1+AI757</f>
        <v>-1.0545620661196735</v>
      </c>
      <c r="AJ758" s="163">
        <f>-1+AJ757</f>
        <v>-1.0545620661196735</v>
      </c>
      <c r="AK758" s="163">
        <f>-1+AK757</f>
        <v>-1.0545620661196735</v>
      </c>
      <c r="AL758" s="163"/>
    </row>
    <row r="759" spans="10:38">
      <c r="J759" s="139" t="s">
        <v>1396</v>
      </c>
      <c r="K759" s="140">
        <f>(K755-K758)/2</f>
        <v>26.880431085692365</v>
      </c>
      <c r="L759" s="140">
        <f>(L755-L758)/2</f>
        <v>26.880431085692372</v>
      </c>
      <c r="M759" s="145">
        <f>L759/K759</f>
        <v>1.0000000000000002</v>
      </c>
      <c r="N759" s="139" t="s">
        <v>1397</v>
      </c>
      <c r="O759" s="140">
        <f>(1/O745-1/O746)*1000</f>
        <v>0</v>
      </c>
      <c r="P759" s="140">
        <f>(1/P745-1/P746)*1000</f>
        <v>0</v>
      </c>
      <c r="Q759" s="140">
        <f>IF(O759=0,1,P759/O759)</f>
        <v>1</v>
      </c>
      <c r="R759" s="143"/>
      <c r="S759" s="143" t="s">
        <v>709</v>
      </c>
      <c r="T759" s="143" t="s">
        <v>710</v>
      </c>
      <c r="U759" s="143"/>
      <c r="V759" s="141"/>
      <c r="W759" s="138"/>
      <c r="X759" s="139" t="s">
        <v>711</v>
      </c>
      <c r="Y759" s="138">
        <f>(Y756+Y757)/2</f>
        <v>11.259999999999987</v>
      </c>
      <c r="Z759" s="138">
        <f>(Z756+Z757)/2</f>
        <v>0.29999999999999966</v>
      </c>
      <c r="AA759" s="138">
        <f>(AA756+AA757)/2</f>
        <v>373.99999999999955</v>
      </c>
      <c r="AF759" s="138"/>
      <c r="AG759" s="159" t="s">
        <v>1399</v>
      </c>
      <c r="AH759" s="166">
        <f>2*(P761*AH735*AH751+P762*AH736*AH752+P763*(AH735*AH752+AH751*AH736)+P764*AH737*AH753)</f>
        <v>0</v>
      </c>
      <c r="AI759" s="163">
        <f>2*(P761*AI735*AI751+P762*AI736*AI752+P763*(AI735*AI752+AI751*AI736)+P764*AI737*AI753)</f>
        <v>0</v>
      </c>
      <c r="AJ759" s="163">
        <f>2*(P761*AJ735*AJ751+P762*AJ736*AJ752+P763*(AJ735*AJ752+AJ751*AJ736)+P764*AJ737*AJ753)</f>
        <v>0</v>
      </c>
      <c r="AK759" s="163">
        <f>2*(P761*AK735*AK751+P762*AK736*AK752+P763*(AK735*AK752+AK751*AK736)+P764*AK737*AK753)</f>
        <v>0</v>
      </c>
      <c r="AL759" s="163"/>
    </row>
    <row r="760" spans="10:38">
      <c r="J760" s="138" t="s">
        <v>1400</v>
      </c>
      <c r="N760" s="139" t="s">
        <v>1401</v>
      </c>
      <c r="O760" s="140">
        <f>(1/O747-1/O748)*1000</f>
        <v>20.934959349593495</v>
      </c>
      <c r="P760" s="140">
        <f>(1/P747-1/P748)*1000</f>
        <v>20.934959349593495</v>
      </c>
      <c r="Q760" s="140">
        <f t="shared" ref="Q760:Q766" si="139">P760/O760</f>
        <v>1</v>
      </c>
      <c r="R760" s="167" t="s">
        <v>711</v>
      </c>
      <c r="S760" s="138">
        <f>((K750+K752)*P738+(L752+L751)*P739)/2/1000000</f>
        <v>1.5083176634230242E-4</v>
      </c>
      <c r="T760" s="138">
        <f>((L750+L752)*P741+(L752+L751)*P742)/2</f>
        <v>3.9729249522510592</v>
      </c>
      <c r="U760" s="143"/>
      <c r="V760" s="141"/>
      <c r="W760" s="138"/>
      <c r="X760" s="143" t="s">
        <v>712</v>
      </c>
      <c r="Y760" s="164">
        <f>(Y756-Y757)/2</f>
        <v>-4.4408920985006262E-15</v>
      </c>
      <c r="Z760" s="164">
        <f>(Z756-Z757)/2</f>
        <v>-1.1102230246251565E-16</v>
      </c>
      <c r="AA760" s="164">
        <f>(AA756-AA757)/2</f>
        <v>-1.4210854715202004E-13</v>
      </c>
      <c r="AF760" s="138"/>
      <c r="AG760" s="159" t="s">
        <v>1403</v>
      </c>
      <c r="AH760" s="166">
        <f>AH759+AH743</f>
        <v>0</v>
      </c>
      <c r="AI760" s="163">
        <f>AI759+AI743</f>
        <v>0</v>
      </c>
      <c r="AJ760" s="163">
        <f>AJ759+AJ743</f>
        <v>0</v>
      </c>
      <c r="AK760" s="163">
        <f>AK759+AK743</f>
        <v>0</v>
      </c>
      <c r="AL760" s="163"/>
    </row>
    <row r="761" spans="10:38">
      <c r="J761" s="139" t="s">
        <v>1404</v>
      </c>
      <c r="K761" s="140">
        <f>(1-(K758/K755)^2)*K755</f>
        <v>69.675740916648124</v>
      </c>
      <c r="L761" s="140">
        <f>(1-(L758/L755)^2)*L755</f>
        <v>69.675740916648138</v>
      </c>
      <c r="M761" s="140">
        <f>L761/K761</f>
        <v>1.0000000000000002</v>
      </c>
      <c r="N761" s="139" t="s">
        <v>1405</v>
      </c>
      <c r="O761" s="144">
        <f>(O755*K750^2+2*O757*K750*K752+O756*K752^2)</f>
        <v>12004.38353147296</v>
      </c>
      <c r="P761" s="144">
        <f>(P755*L750^2+2*P757*L750*L752+P756*L752^2)</f>
        <v>12004.38353147296</v>
      </c>
      <c r="Q761" s="140">
        <f t="shared" si="139"/>
        <v>1</v>
      </c>
      <c r="R761" s="167" t="s">
        <v>712</v>
      </c>
      <c r="S761" s="138">
        <f>((L750-L752)*P738+(L752-L751)*P739)/2/1000000</f>
        <v>-8.2014743567545106E-5</v>
      </c>
      <c r="T761" s="138">
        <f>((L750-L752)*P741+(L752-L751)*P742)/2</f>
        <v>-2.234770285641221</v>
      </c>
      <c r="U761" s="143"/>
      <c r="V761" s="141"/>
      <c r="W761" s="138"/>
      <c r="X761" s="143" t="s">
        <v>714</v>
      </c>
      <c r="Y761" s="164">
        <f>Y758/2</f>
        <v>-11.239999999999988</v>
      </c>
      <c r="Z761" s="164">
        <f>Z758/2</f>
        <v>-0.2999999999999996</v>
      </c>
      <c r="AA761" s="164">
        <f>AA758/2</f>
        <v>-198.51006257308836</v>
      </c>
      <c r="AG761" s="159" t="s">
        <v>1412</v>
      </c>
      <c r="AH761" s="166" t="e">
        <f>AH760/2/AH742</f>
        <v>#DIV/0!</v>
      </c>
      <c r="AI761" s="163" t="e">
        <f>AI760/2/AI742</f>
        <v>#DIV/0!</v>
      </c>
      <c r="AJ761" s="163" t="e">
        <f>AJ760/2/AJ742</f>
        <v>#DIV/0!</v>
      </c>
      <c r="AK761" s="163" t="e">
        <f>AK760/2/AK742</f>
        <v>#DIV/0!</v>
      </c>
      <c r="AL761" s="163"/>
    </row>
    <row r="762" spans="10:38">
      <c r="J762" s="139" t="s">
        <v>1414</v>
      </c>
      <c r="K762" s="140">
        <f>K758/K755</f>
        <v>0.29603094337527941</v>
      </c>
      <c r="L762" s="140">
        <f>L758/L755</f>
        <v>0.29603094337527941</v>
      </c>
      <c r="M762" s="140">
        <f>L762/K762</f>
        <v>1</v>
      </c>
      <c r="N762" s="139" t="s">
        <v>1415</v>
      </c>
      <c r="O762" s="144">
        <f>(O755*K752^2+2*O757*K752*K751+O756*K751^2)</f>
        <v>10680.652008265077</v>
      </c>
      <c r="P762" s="144">
        <f>(P755*L752^2+2*P757*L752*L751+P756*L751^2)</f>
        <v>10680.652008265077</v>
      </c>
      <c r="Q762" s="140">
        <f t="shared" si="139"/>
        <v>1</v>
      </c>
      <c r="R762" s="139" t="s">
        <v>715</v>
      </c>
      <c r="S762" s="138">
        <f>Y759+Y760*COS(S734)+Y761*SIN(S734)</f>
        <v>11.259999999999984</v>
      </c>
      <c r="T762" s="138">
        <f>Y759+Y760*COS(T734)+Y761*SIN(T734)</f>
        <v>11.259999999999989</v>
      </c>
      <c r="U762" s="138">
        <f>Y759+Y760*COS(U734)+Y761*SIN(U734)</f>
        <v>11.259999999999984</v>
      </c>
      <c r="V762" s="138">
        <f>Y759+Y760*COS(V734)+Y761*SIN(V734)</f>
        <v>11.259999999999989</v>
      </c>
      <c r="W762" s="138"/>
      <c r="Y762" s="164"/>
      <c r="AC762" s="140"/>
      <c r="AG762" s="159"/>
      <c r="AH762" s="147"/>
      <c r="AI762" s="163"/>
      <c r="AJ762" s="163"/>
      <c r="AK762" s="163"/>
      <c r="AL762" s="163"/>
    </row>
    <row r="763" spans="10:38">
      <c r="J763" s="139" t="s">
        <v>716</v>
      </c>
      <c r="K763" s="138">
        <f>(1-L735^2*L734/L733)*L734/(1-L735^2*L734/L733-L748^2-L735^2*L734/L733-2*L735^2*L734/L733*L748)</f>
        <v>13.920484365408951</v>
      </c>
      <c r="N763" s="139" t="s">
        <v>1416</v>
      </c>
      <c r="O763" s="144">
        <f>(O755*K750*K752+O757*(K750*K751+K752^2)+O756*K752*K751)</f>
        <v>-3069.103206291968</v>
      </c>
      <c r="P763" s="144">
        <f>(P755*L750*L752+P757*(L750*L751+L752^2)+P756*L752*L751)</f>
        <v>-3069.1032062919689</v>
      </c>
      <c r="Q763" s="140">
        <f t="shared" si="139"/>
        <v>1.0000000000000002</v>
      </c>
      <c r="R763" s="139" t="s">
        <v>717</v>
      </c>
      <c r="S763" s="138">
        <f>2*Y759-S762</f>
        <v>11.259999999999991</v>
      </c>
      <c r="T763" s="138">
        <f>2*Y759-T762</f>
        <v>11.259999999999986</v>
      </c>
      <c r="U763" s="138">
        <f>2*Y759-U762</f>
        <v>11.259999999999991</v>
      </c>
      <c r="V763" s="138">
        <f>2*Y759-V762</f>
        <v>11.259999999999986</v>
      </c>
      <c r="W763" s="138"/>
      <c r="Y763" s="164"/>
      <c r="AC763" s="140"/>
      <c r="AG763" s="159"/>
      <c r="AH763" s="147"/>
      <c r="AI763" s="163"/>
      <c r="AJ763" s="163"/>
      <c r="AK763" s="163"/>
      <c r="AL763" s="163"/>
    </row>
    <row r="764" spans="10:38">
      <c r="J764" s="139" t="s">
        <v>1193</v>
      </c>
      <c r="K764" s="140">
        <f>D197</f>
        <v>1.6</v>
      </c>
      <c r="L764" s="140">
        <f>L765*(1-L739)+L766*L739</f>
        <v>1.6</v>
      </c>
      <c r="M764" s="140">
        <f>L764/K764</f>
        <v>1</v>
      </c>
      <c r="N764" s="139" t="s">
        <v>1418</v>
      </c>
      <c r="O764" s="144">
        <f>O758*K753^2</f>
        <v>11117.841695501729</v>
      </c>
      <c r="P764" s="144">
        <f>P758*L753^2</f>
        <v>11117.841695501729</v>
      </c>
      <c r="Q764" s="140">
        <f t="shared" si="139"/>
        <v>1</v>
      </c>
      <c r="R764" s="139" t="s">
        <v>124</v>
      </c>
      <c r="S764" s="138">
        <f>Z759+Z760*COS(S734)+Z761*SIN(S734)</f>
        <v>0.29999999999999954</v>
      </c>
      <c r="T764" s="138">
        <f>Z759+Z760*COS(T734)+Z761*SIN(T734)</f>
        <v>0.29999999999999971</v>
      </c>
      <c r="U764" s="138">
        <f>Z759+Z760*COS(U734)+Z761*SIN(U734)</f>
        <v>0.29999999999999954</v>
      </c>
      <c r="V764" s="138">
        <f>Z759+Z760*COS(V734)+Z761*SIN(V734)</f>
        <v>0.29999999999999971</v>
      </c>
      <c r="W764" s="138"/>
      <c r="Y764" s="164"/>
      <c r="AC764" s="140"/>
      <c r="AG764" s="159"/>
      <c r="AH764" s="147"/>
      <c r="AI764" s="163"/>
      <c r="AJ764" s="163"/>
      <c r="AK764" s="163"/>
      <c r="AL764" s="159" t="s">
        <v>1421</v>
      </c>
    </row>
    <row r="765" spans="10:38">
      <c r="J765" s="139" t="s">
        <v>274</v>
      </c>
      <c r="K765" s="140">
        <f>F196</f>
        <v>1.2</v>
      </c>
      <c r="L765" s="140">
        <f>K765</f>
        <v>1.2</v>
      </c>
      <c r="M765" s="140">
        <f>L765/K765</f>
        <v>1</v>
      </c>
      <c r="N765" s="139" t="s">
        <v>1422</v>
      </c>
      <c r="O765" s="144">
        <f>(O759*K750+O760*K752)</f>
        <v>60.646995481305353</v>
      </c>
      <c r="P765" s="144">
        <f>(P759*L750+P760*L752)</f>
        <v>60.646995481305353</v>
      </c>
      <c r="Q765" s="140">
        <f t="shared" si="139"/>
        <v>1</v>
      </c>
      <c r="R765" s="167" t="s">
        <v>125</v>
      </c>
      <c r="S765" s="138">
        <f>2*Z759-S764</f>
        <v>0.29999999999999977</v>
      </c>
      <c r="T765" s="138">
        <f>2*Z759-T764</f>
        <v>0.2999999999999996</v>
      </c>
      <c r="U765" s="138">
        <f>2*Z759-U764</f>
        <v>0.29999999999999977</v>
      </c>
      <c r="V765" s="138">
        <f>2*Z759-V764</f>
        <v>0.2999999999999996</v>
      </c>
      <c r="W765" s="138"/>
      <c r="Y765" s="164"/>
      <c r="Z765" s="164"/>
      <c r="AA765" s="147"/>
      <c r="AB765" s="147"/>
      <c r="AC765" s="147"/>
      <c r="AD765" s="147"/>
      <c r="AG765" s="139" t="s">
        <v>1424</v>
      </c>
      <c r="AH765" s="147" t="e">
        <f>(AH761^2-AH758/AH742)^0.5-AH761</f>
        <v>#DIV/0!</v>
      </c>
      <c r="AI765" s="147" t="e">
        <f>(AI761^2-AI758/AI742)^0.5-AI761</f>
        <v>#DIV/0!</v>
      </c>
      <c r="AJ765" s="147" t="e">
        <f>(AJ761^2-AJ758/AJ742)^0.5-AJ761</f>
        <v>#DIV/0!</v>
      </c>
      <c r="AK765" s="147" t="e">
        <f>(AK761^2-AK758/AK742)^0.5-AK761</f>
        <v>#DIV/0!</v>
      </c>
      <c r="AL765" s="147">
        <f>MIN(AH766:AK766)</f>
        <v>1000000000</v>
      </c>
    </row>
    <row r="766" spans="10:38">
      <c r="J766" s="139" t="s">
        <v>1195</v>
      </c>
      <c r="K766" s="140">
        <f>(K764-K765*(1-K739))/K739</f>
        <v>1.7714285714285716</v>
      </c>
      <c r="L766" s="140">
        <f>K766</f>
        <v>1.7714285714285716</v>
      </c>
      <c r="M766" s="140">
        <f>L766/K766</f>
        <v>1</v>
      </c>
      <c r="N766" s="139" t="s">
        <v>1426</v>
      </c>
      <c r="O766" s="144">
        <f>(O759*K752+O760*K751)</f>
        <v>216.59641243323335</v>
      </c>
      <c r="P766" s="144">
        <f>(P759*L752+P760*L751)</f>
        <v>216.59641243323335</v>
      </c>
      <c r="Q766" s="140">
        <f t="shared" si="139"/>
        <v>1</v>
      </c>
      <c r="R766" s="139" t="s">
        <v>126</v>
      </c>
      <c r="S766" s="138">
        <f>AA759+AA760*COS(S734)+AA761*SIN(S734)</f>
        <v>373.99999999999943</v>
      </c>
      <c r="T766" s="138">
        <f>AA759+AA760*COS(T734)+AA761*SIN(T734)</f>
        <v>373.99999999999966</v>
      </c>
      <c r="U766" s="138">
        <f>AA759+AA760*COS(U734)+AA761*SIN(U734)</f>
        <v>373.99999999999943</v>
      </c>
      <c r="V766" s="138">
        <f>AA759+AA760*COS(V734)+AA761*SIN(V734)</f>
        <v>373.99999999999966</v>
      </c>
      <c r="W766" s="138"/>
      <c r="Y766" s="164"/>
      <c r="Z766" s="164"/>
      <c r="AA766" s="147"/>
      <c r="AB766" s="147"/>
      <c r="AC766" s="147"/>
      <c r="AD766" s="147"/>
      <c r="AG766" s="139" t="s">
        <v>194</v>
      </c>
      <c r="AH766" s="147">
        <f>IF(AH731=0,1000000000,AH765)</f>
        <v>1000000000</v>
      </c>
      <c r="AI766" s="147">
        <f>IF(AI731=0,1000000000,AI765)</f>
        <v>1000000000</v>
      </c>
      <c r="AJ766" s="147">
        <f>IF(AJ731=0,1000000000,AJ765)</f>
        <v>1000000000</v>
      </c>
      <c r="AK766" s="147">
        <f>IF(AK731=0,1000000000,AK765)</f>
        <v>1000000000</v>
      </c>
    </row>
    <row r="767" spans="10:38">
      <c r="L767" s="138" t="s">
        <v>234</v>
      </c>
      <c r="R767" s="139" t="s">
        <v>127</v>
      </c>
      <c r="S767" s="138">
        <f>2*AA759-S766</f>
        <v>373.99999999999966</v>
      </c>
      <c r="T767" s="138">
        <f>2*AA759-T766</f>
        <v>373.99999999999943</v>
      </c>
      <c r="U767" s="138">
        <f>2*AA759-U766</f>
        <v>373.99999999999966</v>
      </c>
      <c r="V767" s="138">
        <f>2*AA759-V766</f>
        <v>373.99999999999943</v>
      </c>
      <c r="W767" s="138"/>
      <c r="Y767" s="164"/>
      <c r="Z767" s="164" t="s">
        <v>129</v>
      </c>
      <c r="AA767" s="147"/>
      <c r="AB767" s="147"/>
      <c r="AC767" s="147"/>
      <c r="AD767" s="147"/>
      <c r="AG767" s="139" t="s">
        <v>194</v>
      </c>
      <c r="AH767" s="147">
        <f>IF(AH731=0,0,AH765)</f>
        <v>0</v>
      </c>
      <c r="AI767" s="147">
        <f>IF(AI731=0,0,AI765)</f>
        <v>0</v>
      </c>
      <c r="AJ767" s="147">
        <f>IF(AJ731=0,0,AJ765)</f>
        <v>0</v>
      </c>
      <c r="AK767" s="147">
        <f>IF(AK731=0,0,AK765)</f>
        <v>0</v>
      </c>
    </row>
    <row r="768" spans="10:38">
      <c r="J768" s="139" t="s">
        <v>134</v>
      </c>
      <c r="K768" s="138">
        <f>(1-L748^2)*O769*L733</f>
        <v>184.28877056365894</v>
      </c>
      <c r="L768" s="139" t="s">
        <v>135</v>
      </c>
      <c r="M768" s="138">
        <f>L735*(1+L748)*O769*L734</f>
        <v>5.8728045779623468</v>
      </c>
      <c r="R768" s="139" t="s">
        <v>136</v>
      </c>
      <c r="S768" s="138">
        <f>4*COS(S734/2)^2*SIN(S734/2)^2*$K773+COS(S734/2)^4*$K768+SIN(S734/2)^4*$K769+2*COS(S734/2)^2*SIN(S734/2)^2*$M768</f>
        <v>184.28877056365894</v>
      </c>
      <c r="T768" s="138">
        <f>4*COS(T734/2)^2*SIN(T734/2)^2*$K773+COS(T734/2)^4*$K768+SIN(T734/2)^4*$K769+2*COS(T734/2)^2*SIN(T734/2)^2*$M768</f>
        <v>13.920484365408953</v>
      </c>
      <c r="U768" s="138">
        <f>4*COS(U734/2)^2*SIN(U734/2)^2*$K773+COS(U734/2)^4*$K768+SIN(U734/2)^4*$K769+2*COS(U734/2)^2*SIN(U734/2)^2*$M768</f>
        <v>184.28877056365894</v>
      </c>
      <c r="V768" s="138">
        <f>4*COS(V734/2)^2*SIN(V734/2)^2*$K773+COS(V734/2)^4*$K768+SIN(V734/2)^4*$K769+2*COS(V734/2)^2*SIN(V734/2)^2*$M768</f>
        <v>13.920484365408953</v>
      </c>
      <c r="W768" s="138" t="s">
        <v>137</v>
      </c>
      <c r="X768" s="147">
        <f>S736/S770+T736/T770+U736/U770+V736/V770</f>
        <v>0</v>
      </c>
      <c r="Y768" s="147">
        <f>S736*S768+T736*T768+U736*U768+V736*V768</f>
        <v>0</v>
      </c>
      <c r="Z768" s="164"/>
      <c r="AA768" s="147"/>
      <c r="AB768" s="147"/>
      <c r="AC768" s="147"/>
      <c r="AD768" s="147"/>
      <c r="AG768" s="139"/>
      <c r="AH768" s="147"/>
      <c r="AI768" s="147"/>
      <c r="AJ768" s="147"/>
      <c r="AK768" s="147"/>
    </row>
    <row r="769" spans="10:38">
      <c r="J769" s="139" t="s">
        <v>138</v>
      </c>
      <c r="K769" s="138">
        <f>(1-L735^2*L734/L733)*O769*L734</f>
        <v>13.920484365408953</v>
      </c>
      <c r="L769" s="139" t="s">
        <v>139</v>
      </c>
      <c r="M769" s="138">
        <f>M768</f>
        <v>5.8728045779623468</v>
      </c>
      <c r="N769" s="139" t="s">
        <v>140</v>
      </c>
      <c r="O769" s="138">
        <f>1/((1+L748)*(1-L748-2*L735^2*L734/L733))</f>
        <v>1.3575600041521836</v>
      </c>
      <c r="R769" s="139" t="s">
        <v>141</v>
      </c>
      <c r="S769" s="138">
        <f>4*COS(S734/2)^2*SIN(S734/2)^2*$K773+SIN(S734/2)^4*$K768+COS(S734/2)^4*$K769+2*COS(S734/2)^2*SIN(S734/2)^2*$M768</f>
        <v>13.920484365408953</v>
      </c>
      <c r="T769" s="138">
        <f>4*COS(T734/2)^2*SIN(T734/2)^2*$K773+SIN(T734/2)^4*$K768+COS(T734/2)^4*$K769+2*COS(T734/2)^2*SIN(T734/2)^2*$M768</f>
        <v>184.28877056365894</v>
      </c>
      <c r="U769" s="138">
        <f>4*COS(U734/2)^2*SIN(U734/2)^2*$K773+SIN(U734/2)^4*$K768+COS(U734/2)^4*$K769+2*COS(U734/2)^2*SIN(U734/2)^2*$M768</f>
        <v>13.920484365408953</v>
      </c>
      <c r="V769" s="138">
        <f>4*COS(V734/2)^2*SIN(V734/2)^2*$K773+SIN(V734/2)^4*$K768+COS(V734/2)^4*$K769+2*COS(V734/2)^2*SIN(V734/2)^2*$M768</f>
        <v>184.28877056365894</v>
      </c>
      <c r="W769" s="138" t="s">
        <v>142</v>
      </c>
      <c r="X769" s="141">
        <f>S736*S775/S770+T736*T775/T770+U736*U775/U770+V736*V775/V770</f>
        <v>0</v>
      </c>
      <c r="Y769" s="147">
        <f>S736*S769+T736*T769+U736*U769+V736*V769</f>
        <v>0</v>
      </c>
      <c r="Z769" s="164"/>
      <c r="AA769" s="147"/>
      <c r="AB769" s="147"/>
      <c r="AC769" s="147"/>
      <c r="AD769" s="147"/>
      <c r="AG769" s="139"/>
      <c r="AH769" s="147"/>
      <c r="AI769" s="147"/>
      <c r="AJ769" s="147"/>
      <c r="AK769" s="147"/>
    </row>
    <row r="770" spans="10:38">
      <c r="J770" s="139" t="s">
        <v>146</v>
      </c>
      <c r="K770" s="138">
        <f>K769</f>
        <v>13.920484365408953</v>
      </c>
      <c r="L770" s="139" t="s">
        <v>147</v>
      </c>
      <c r="M770" s="138">
        <f>(L748+L735^2*L734/L733)*O769*L734</f>
        <v>7.053817698742284</v>
      </c>
      <c r="R770" s="139" t="s">
        <v>716</v>
      </c>
      <c r="S770" s="138">
        <f>$K770</f>
        <v>13.920484365408953</v>
      </c>
      <c r="T770" s="138">
        <f>$K770</f>
        <v>13.920484365408953</v>
      </c>
      <c r="U770" s="138">
        <f>$K770</f>
        <v>13.920484365408953</v>
      </c>
      <c r="V770" s="138">
        <f>$K770</f>
        <v>13.920484365408953</v>
      </c>
      <c r="W770" s="138" t="s">
        <v>148</v>
      </c>
      <c r="X770" s="141">
        <f>S736*S776/S770+T736*T776/T770+U736*U776/U770+V736*V776/V770</f>
        <v>0</v>
      </c>
      <c r="Y770" s="164"/>
      <c r="Z770" s="164"/>
      <c r="AA770" s="147"/>
      <c r="AB770" s="147"/>
      <c r="AC770" s="147"/>
      <c r="AD770" s="147"/>
      <c r="AG770" s="139"/>
      <c r="AH770" s="147"/>
      <c r="AI770" s="147"/>
      <c r="AJ770" s="147"/>
      <c r="AK770" s="147"/>
    </row>
    <row r="771" spans="10:38">
      <c r="J771" s="139" t="s">
        <v>152</v>
      </c>
      <c r="K771" s="138">
        <f>(1-L748-2*L735^2*L734/L733)*O769*L734/2</f>
        <v>3.433333333333334</v>
      </c>
      <c r="R771" s="139" t="s">
        <v>153</v>
      </c>
      <c r="S771" s="138">
        <f>COS(S734/2)^2*$K771+SIN(S734/2)^2*$K772</f>
        <v>3.433333333333334</v>
      </c>
      <c r="T771" s="138">
        <f>COS(T734/2)^2*$K771+SIN(T734/2)^2*$K772</f>
        <v>7.17</v>
      </c>
      <c r="U771" s="138">
        <f>COS(U734/2)^2*$K771+SIN(U734/2)^2*$K772</f>
        <v>3.433333333333334</v>
      </c>
      <c r="V771" s="138">
        <f>COS(V734/2)^2*$K771+SIN(V734/2)^2*$K772</f>
        <v>7.17</v>
      </c>
      <c r="W771" s="138" t="s">
        <v>154</v>
      </c>
      <c r="X771" s="141">
        <f>S736*S780/S770+T736*T780/T770+U736*U780/U770+V736*V780/V770</f>
        <v>0</v>
      </c>
      <c r="Y771" s="164"/>
      <c r="Z771" s="164">
        <f>S736*S771/(S771*S772-S777^2)+T736*T771/(T771*T772-T777^2)+U736*U771/(U771*U772-U777^2)+V736*V771/(V771*V772-V777^2)</f>
        <v>0</v>
      </c>
      <c r="AA771" s="147"/>
      <c r="AB771" s="147"/>
      <c r="AC771" s="147"/>
      <c r="AD771" s="147"/>
      <c r="AG771" s="139"/>
      <c r="AH771" s="147"/>
      <c r="AI771" s="147"/>
      <c r="AJ771" s="147"/>
      <c r="AK771" s="147"/>
    </row>
    <row r="772" spans="10:38">
      <c r="J772" s="139" t="s">
        <v>769</v>
      </c>
      <c r="K772" s="140">
        <f>L736</f>
        <v>7.17</v>
      </c>
      <c r="R772" s="139" t="s">
        <v>770</v>
      </c>
      <c r="S772" s="138">
        <f>SIN(S734/2)^2*$K771+COS(S734/2)^2*$K772</f>
        <v>7.17</v>
      </c>
      <c r="T772" s="138">
        <f>SIN(T734/2)^2*$K771+COS(T734/2)^2*$K772</f>
        <v>3.433333333333334</v>
      </c>
      <c r="U772" s="138">
        <f>SIN(U734/2)^2*$K771+COS(U734/2)^2*$K772</f>
        <v>7.17</v>
      </c>
      <c r="V772" s="138">
        <f>SIN(V734/2)^2*$K771+COS(V734/2)^2*$K772</f>
        <v>3.433333333333334</v>
      </c>
      <c r="W772" s="138" t="s">
        <v>771</v>
      </c>
      <c r="X772" s="141">
        <f>S736*S775^2/S770+T736*T775^2/T770+U736*U775^2/U770+V736*V775^2/V770</f>
        <v>0</v>
      </c>
      <c r="Y772" s="164"/>
      <c r="Z772" s="164">
        <f>S736*S772/(S771*S772-S777^2)+T736*T772/(T771*T772-T777^2)+U736*U772/(U771*U772-U777^2)+V736*V772/(V771*V772-V777^2)</f>
        <v>0</v>
      </c>
      <c r="AA772" s="147"/>
      <c r="AB772" s="147"/>
      <c r="AC772" s="147"/>
      <c r="AD772" s="147"/>
      <c r="AG772" s="139"/>
      <c r="AH772" s="147"/>
      <c r="AI772" s="147"/>
      <c r="AJ772" s="147"/>
      <c r="AK772" s="147"/>
    </row>
    <row r="773" spans="10:38">
      <c r="J773" s="139" t="s">
        <v>773</v>
      </c>
      <c r="K773" s="140">
        <f>K772</f>
        <v>7.17</v>
      </c>
      <c r="P773" s="185"/>
      <c r="Q773" s="185"/>
      <c r="R773" s="186" t="s">
        <v>774</v>
      </c>
      <c r="S773" s="185">
        <f>(COS(S734/2)^2-SIN(S734/2)^2)^2*$K773+COS(S734/2)^2*SIN(S734/2)^2*($K768+$K769-2*$M768)</f>
        <v>7.17</v>
      </c>
      <c r="T773" s="185">
        <f>(COS(T734/2)^2-SIN(T734/2)^2)^2*$K773+COS(T734/2)^2*SIN(T734/2)^2*($K768+$K769-2*$M768)</f>
        <v>7.17</v>
      </c>
      <c r="U773" s="185">
        <f>(COS(U734/2)^2-SIN(U734/2)^2)^2*$K773+COS(U734/2)^2*SIN(U734/2)^2*($K768+$K769-2*$M768)</f>
        <v>7.17</v>
      </c>
      <c r="V773" s="185">
        <f>(COS(V734/2)^2-SIN(V734/2)^2)^2*$K773+COS(V734/2)^2*SIN(V734/2)^2*($K768+$K769-2*$M768)</f>
        <v>7.17</v>
      </c>
      <c r="W773" s="185" t="s">
        <v>775</v>
      </c>
      <c r="X773" s="187">
        <f>S736*S776^2/S770+T736*T776^2/T770+U736*U776^2/U770+V736*V776^2/V770</f>
        <v>0</v>
      </c>
      <c r="Y773" s="147">
        <f>S736*S773+T736*T773+U736*U773+V736*V773</f>
        <v>0</v>
      </c>
      <c r="Z773" s="188"/>
      <c r="AA773" s="190"/>
      <c r="AB773" s="190"/>
      <c r="AC773" s="190"/>
      <c r="AD773" s="190"/>
      <c r="AE773" s="185"/>
      <c r="AF773" s="187"/>
      <c r="AG773" s="186"/>
      <c r="AH773" s="190"/>
      <c r="AI773" s="190"/>
      <c r="AJ773" s="190"/>
      <c r="AK773" s="190"/>
      <c r="AL773" s="185"/>
    </row>
    <row r="774" spans="10:38">
      <c r="J774" s="185"/>
      <c r="K774" s="185"/>
      <c r="L774" s="185"/>
      <c r="M774" s="185"/>
      <c r="N774" s="185"/>
      <c r="O774" s="185"/>
      <c r="R774" s="139" t="s">
        <v>145</v>
      </c>
      <c r="S774" s="138">
        <f>-4*COS(S734/2)^2*SIN(S734/2)^2*$K773+COS(S734/2)^2*SIN(S734/2)^2*($K768+$K769)+(COS(S734/2)^4+SIN(S734/2)^4)*$M768</f>
        <v>5.8728045779623468</v>
      </c>
      <c r="T774" s="138">
        <f>-4*COS(T734/2)^2*SIN(T734/2)^2*$K773+COS(T734/2)^2*SIN(T734/2)^2*($K768+$K769)+(COS(T734/2)^4+SIN(T734/2)^4)*$M768</f>
        <v>5.8728045779623468</v>
      </c>
      <c r="U774" s="138">
        <f>-4*COS(U734/2)^2*SIN(U734/2)^2*$K773+COS(U734/2)^2*SIN(U734/2)^2*($K768+$K769)+(COS(U734/2)^4+SIN(U734/2)^4)*$M768</f>
        <v>5.8728045779623468</v>
      </c>
      <c r="V774" s="138">
        <f>-4*COS(V734/2)^2*SIN(V734/2)^2*$K773+COS(V734/2)^2*SIN(V734/2)^2*($K768+$K769)+(COS(V734/2)^4+SIN(V734/2)^4)*$M768</f>
        <v>5.8728045779623468</v>
      </c>
      <c r="W774" s="138" t="s">
        <v>778</v>
      </c>
      <c r="X774" s="141">
        <f>S736*S775*S776/S770+T736*T775*T776/T770+U736*U775*U776/U770+V736*V775*V776/V770</f>
        <v>0</v>
      </c>
      <c r="Y774" s="147">
        <f>S736*S774+T736*T774+U736*U774+V736*V774</f>
        <v>0</v>
      </c>
      <c r="Z774" s="164"/>
      <c r="AA774" s="147"/>
      <c r="AB774" s="147"/>
      <c r="AC774" s="147"/>
      <c r="AD774" s="147"/>
      <c r="AG774" s="139"/>
      <c r="AH774" s="147"/>
      <c r="AI774" s="147"/>
      <c r="AJ774" s="147"/>
      <c r="AK774" s="147"/>
    </row>
    <row r="775" spans="10:38">
      <c r="R775" s="139" t="s">
        <v>151</v>
      </c>
      <c r="S775" s="138">
        <f>COS(S734/2)^2*$M769+SIN(S734/2)^2*$M770</f>
        <v>5.8728045779623468</v>
      </c>
      <c r="T775" s="138">
        <f>COS(T734/2)^2*$M769+SIN(T734/2)^2*$M770</f>
        <v>7.053817698742284</v>
      </c>
      <c r="U775" s="138">
        <f>COS(U734/2)^2*$M769+SIN(U734/2)^2*$M770</f>
        <v>5.8728045779623468</v>
      </c>
      <c r="V775" s="138">
        <f>COS(V734/2)^2*$M769+SIN(V734/2)^2*$M770</f>
        <v>7.053817698742284</v>
      </c>
      <c r="W775" s="138" t="s">
        <v>782</v>
      </c>
      <c r="X775" s="141">
        <f>S736*S780*S775/S770+T736*T780*T775/T770+U736*U780*U775/U770+V736*V780*V775/V770</f>
        <v>0</v>
      </c>
      <c r="Y775" s="147"/>
      <c r="Z775" s="164"/>
      <c r="AA775" s="147"/>
      <c r="AB775" s="147"/>
      <c r="AC775" s="147"/>
      <c r="AD775" s="147"/>
      <c r="AG775" s="139"/>
      <c r="AH775" s="147"/>
      <c r="AI775" s="147"/>
      <c r="AJ775" s="147"/>
      <c r="AK775" s="147"/>
    </row>
    <row r="776" spans="10:38">
      <c r="R776" s="139" t="s">
        <v>768</v>
      </c>
      <c r="S776" s="138">
        <f>SIN(S734/2)^2*$M769+COS(S734/2)^2*$M770</f>
        <v>7.053817698742284</v>
      </c>
      <c r="T776" s="138">
        <f>SIN(T734/2)^2*$M769+COS(T734/2)^2*$M770</f>
        <v>5.8728045779623468</v>
      </c>
      <c r="U776" s="138">
        <f>SIN(U734/2)^2*$M769+COS(U734/2)^2*$M770</f>
        <v>7.053817698742284</v>
      </c>
      <c r="V776" s="138">
        <f>SIN(V734/2)^2*$M769+COS(V734/2)^2*$M770</f>
        <v>5.8728045779623468</v>
      </c>
      <c r="W776" s="138" t="s">
        <v>785</v>
      </c>
      <c r="X776" s="141">
        <f>S736*S780*S776/S770+T736*T780*T776/T770+U736*U780*U776/U770+V736*V780*V776/V770</f>
        <v>0</v>
      </c>
      <c r="Y776" s="164"/>
      <c r="Z776" s="164"/>
      <c r="AA776" s="147"/>
      <c r="AB776" s="147"/>
      <c r="AC776" s="147"/>
      <c r="AD776" s="147"/>
      <c r="AG776" s="139"/>
      <c r="AH776" s="147"/>
      <c r="AI776" s="147"/>
      <c r="AJ776" s="147"/>
      <c r="AK776" s="147"/>
    </row>
    <row r="777" spans="10:38">
      <c r="R777" s="139" t="s">
        <v>660</v>
      </c>
      <c r="S777" s="138">
        <f>COS(S734/2)*SIN(S734/2)*(-$K771+$K772)</f>
        <v>0</v>
      </c>
      <c r="T777" s="138">
        <f>COS(T734/2)*SIN(T734/2)*(-$K771+$K772)</f>
        <v>2.2889856965876046E-16</v>
      </c>
      <c r="U777" s="138">
        <f>COS(U734/2)*SIN(U734/2)*(-$K771+$K772)</f>
        <v>0</v>
      </c>
      <c r="V777" s="138">
        <f>COS(V734/2)*SIN(V734/2)*(-$K771+$K772)</f>
        <v>2.2889856965876046E-16</v>
      </c>
      <c r="W777" s="138" t="s">
        <v>1048</v>
      </c>
      <c r="X777" s="141">
        <f>S736*S780^2/S770+T736*T780^2/T770+U736*U780^2/U770+V736*V780^2/V770</f>
        <v>0</v>
      </c>
      <c r="Y777" s="164"/>
      <c r="Z777" s="164">
        <f>S736*S777/(S771*S772-S777^2)+T736*T777/(T771*T772-T777^2)+U736*U777/(U771*U772-U777^2)+V736*V777/(V771*V772-V777^2)</f>
        <v>0</v>
      </c>
      <c r="AA777" s="147"/>
      <c r="AB777" s="147"/>
      <c r="AC777" s="147"/>
      <c r="AD777" s="147"/>
      <c r="AG777" s="139"/>
      <c r="AH777" s="147"/>
      <c r="AI777" s="147"/>
      <c r="AJ777" s="147"/>
      <c r="AK777" s="147"/>
    </row>
    <row r="778" spans="10:38">
      <c r="R778" s="139" t="s">
        <v>777</v>
      </c>
      <c r="S778" s="138">
        <f>-2*COS(S734/2)*SIN(S734/2)*(COS(S734/2)^2-SIN(S734/2)^2)*$K773+COS(S734/2)*SIN(S734/2)*(COS(S734/2)^2*$K768+SIN(S734/2)^2*$K769)+COS(S734/2)*SIN(S734/2)*(COS(S734/2)^2+SIN(S734/2)^2)*$M768</f>
        <v>0</v>
      </c>
      <c r="T778" s="138">
        <f>-2*COS(T734/2)*SIN(T734/2)*(COS(T734/2)^2-SIN(T734/2)^2)*$K773+COS(T734/2)*SIN(T734/2)*(COS(T734/2)^2*$K768+SIN(T734/2)^2*$K769)+COS(T734/2)*SIN(T734/2)*(COS(T734/2)^2+SIN(T734/2)^2)*$M768</f>
        <v>2.0909173104960418E-15</v>
      </c>
      <c r="U778" s="138">
        <f>-2*COS(U734/2)*SIN(U734/2)*(COS(U734/2)^2-SIN(U734/2)^2)*$K773+COS(U734/2)*SIN(U734/2)*(COS(U734/2)^2*$K768+SIN(U734/2)^2*$K769)+COS(U734/2)*SIN(U734/2)*(COS(U734/2)^2+SIN(U734/2)^2)*$M768</f>
        <v>0</v>
      </c>
      <c r="V778" s="138">
        <f>-2*COS(V734/2)*SIN(V734/2)*(COS(V734/2)^2-SIN(V734/2)^2)*$K773+COS(V734/2)*SIN(V734/2)*(COS(V734/2)^2*$K768+SIN(V734/2)^2*$K769)+COS(V734/2)*SIN(V734/2)*(COS(V734/2)^2+SIN(V734/2)^2)*$M768</f>
        <v>2.0909173104960418E-15</v>
      </c>
      <c r="W778" s="138"/>
      <c r="Y778" s="147">
        <f>S736*S778+T736*T778+U736*U778+V736*V778</f>
        <v>0</v>
      </c>
      <c r="Z778" s="164"/>
      <c r="AA778" s="147"/>
      <c r="AB778" s="147"/>
      <c r="AC778" s="147"/>
      <c r="AD778" s="147"/>
      <c r="AG778" s="139"/>
      <c r="AH778" s="147"/>
      <c r="AI778" s="147"/>
      <c r="AJ778" s="147"/>
      <c r="AK778" s="147"/>
    </row>
    <row r="779" spans="10:38">
      <c r="R779" s="139" t="s">
        <v>781</v>
      </c>
      <c r="S779" s="138">
        <f>2*COS(S734/2)*SIN(S734/2)*(COS(S734/2)^2-SIN(S734/2)^2)*$K773+COS(S734/2)*SIN(S734/2)*(SIN(S734/2)^2*$K768-COS(S734/2)^2*$K769)+COS(S734/2)*SIN(S734/2)*(COS(S734/2)^2-SIN(S734/2)^2)*$M768</f>
        <v>0</v>
      </c>
      <c r="T779" s="138">
        <f>2*COS(T734/2)*SIN(T734/2)*(COS(T734/2)^2-SIN(T734/2)^2)*$K773+COS(T734/2)*SIN(T734/2)*(SIN(T734/2)^2*$K768-COS(T734/2)^2*$K769)+COS(T734/2)*SIN(T734/2)*(COS(T734/2)^2-SIN(T734/2)^2)*$M768</f>
        <v>1.0050870810750773E-14</v>
      </c>
      <c r="U779" s="138">
        <f>2*COS(U734/2)*SIN(U734/2)*(COS(U734/2)^2-SIN(U734/2)^2)*$K773+COS(U734/2)*SIN(U734/2)*(SIN(U734/2)^2*$K768-COS(U734/2)^2*$K769)+COS(U734/2)*SIN(U734/2)*(COS(U734/2)^2-SIN(U734/2)^2)*$M768</f>
        <v>0</v>
      </c>
      <c r="V779" s="138">
        <f>2*COS(V734/2)*SIN(V734/2)*(COS(V734/2)^2-SIN(V734/2)^2)*$K773+COS(V734/2)*SIN(V734/2)*(SIN(V734/2)^2*$K768-COS(V734/2)^2*$K769)+COS(V734/2)*SIN(V734/2)*(COS(V734/2)^2-SIN(V734/2)^2)*$M768</f>
        <v>1.0050870810750773E-14</v>
      </c>
      <c r="W779" s="138"/>
      <c r="Y779" s="147">
        <f>S736*S779+T736*T779+U736*U779+V736*V779</f>
        <v>0</v>
      </c>
      <c r="Z779" s="164"/>
      <c r="AA779" s="147"/>
      <c r="AB779" s="147"/>
      <c r="AC779" s="147"/>
      <c r="AD779" s="147"/>
      <c r="AG779" s="139"/>
      <c r="AH779" s="147"/>
      <c r="AI779" s="147"/>
      <c r="AJ779" s="147"/>
      <c r="AK779" s="147"/>
    </row>
    <row r="780" spans="10:38">
      <c r="R780" s="139" t="s">
        <v>784</v>
      </c>
      <c r="S780" s="138">
        <f>COS(S734/2)*SIN(S734/2)*($M769-$M770)</f>
        <v>0</v>
      </c>
      <c r="T780" s="138">
        <f>COS(T734/2)*SIN(T734/2)*($M769-$M770)</f>
        <v>-7.2345820007517372E-17</v>
      </c>
      <c r="U780" s="138">
        <f>COS(U734/2)*SIN(U734/2)*($M769-$M770)</f>
        <v>0</v>
      </c>
      <c r="V780" s="138">
        <f>COS(V734/2)*SIN(V734/2)*($M769-$M770)</f>
        <v>-7.2345820007517372E-17</v>
      </c>
      <c r="W780" s="138"/>
      <c r="Y780" s="164"/>
      <c r="Z780" s="164"/>
      <c r="AA780" s="147"/>
      <c r="AB780" s="147"/>
      <c r="AC780" s="147"/>
      <c r="AD780" s="147"/>
      <c r="AG780" s="139"/>
      <c r="AH780" s="147"/>
      <c r="AI780" s="147"/>
      <c r="AJ780" s="147"/>
      <c r="AK780" s="147"/>
    </row>
    <row r="781" spans="10:38">
      <c r="J781" s="137" t="s">
        <v>860</v>
      </c>
      <c r="K781" s="139"/>
      <c r="L781" s="139"/>
      <c r="N781" s="138" t="s">
        <v>1551</v>
      </c>
      <c r="P781" s="140"/>
      <c r="R781" s="138" t="s">
        <v>634</v>
      </c>
      <c r="Y781" s="164"/>
      <c r="Z781" s="138" t="s">
        <v>635</v>
      </c>
      <c r="AG781" s="138" t="s">
        <v>636</v>
      </c>
    </row>
    <row r="782" spans="10:38">
      <c r="J782" s="137" t="str">
        <f>A200</f>
        <v>T3/N52[SI]</v>
      </c>
      <c r="K782" s="137"/>
      <c r="L782" s="139"/>
      <c r="N782" s="139" t="s">
        <v>596</v>
      </c>
      <c r="O782" s="144">
        <f>G201</f>
        <v>22</v>
      </c>
      <c r="P782" s="144">
        <f>B90</f>
        <v>22</v>
      </c>
      <c r="Q782" s="145">
        <f t="shared" ref="Q782:Q787" si="140">P782/O782</f>
        <v>1</v>
      </c>
      <c r="R782" s="137"/>
      <c r="Z782" s="139" t="s">
        <v>531</v>
      </c>
      <c r="AA782" s="146">
        <f t="shared" ref="AA782:AD784" si="141">S784</f>
        <v>0</v>
      </c>
      <c r="AB782" s="146">
        <f t="shared" si="141"/>
        <v>90</v>
      </c>
      <c r="AC782" s="146">
        <f t="shared" si="141"/>
        <v>0</v>
      </c>
      <c r="AD782" s="146">
        <f t="shared" si="141"/>
        <v>90</v>
      </c>
      <c r="AE782" s="139" t="s">
        <v>532</v>
      </c>
      <c r="AF782" s="143" t="s">
        <v>533</v>
      </c>
      <c r="AG782" s="139" t="s">
        <v>531</v>
      </c>
      <c r="AH782" s="146">
        <f t="shared" ref="AH782:AK784" si="142">AA782</f>
        <v>0</v>
      </c>
      <c r="AI782" s="146">
        <f t="shared" si="142"/>
        <v>90</v>
      </c>
      <c r="AJ782" s="146">
        <f t="shared" si="142"/>
        <v>0</v>
      </c>
      <c r="AK782" s="146">
        <f t="shared" si="142"/>
        <v>90</v>
      </c>
    </row>
    <row r="783" spans="10:38">
      <c r="J783" s="139"/>
      <c r="K783" s="139"/>
      <c r="L783" s="139"/>
      <c r="N783" s="139" t="s">
        <v>600</v>
      </c>
      <c r="O783" s="147">
        <f>H201</f>
        <v>5.0000000000000001E-3</v>
      </c>
      <c r="P783" s="147">
        <f>C90</f>
        <v>5.0000000000000001E-3</v>
      </c>
      <c r="Q783" s="145">
        <f t="shared" si="140"/>
        <v>1</v>
      </c>
      <c r="R783" s="139" t="s">
        <v>243</v>
      </c>
      <c r="S783" s="143" t="s">
        <v>1562</v>
      </c>
      <c r="T783" s="143" t="s">
        <v>1563</v>
      </c>
      <c r="U783" s="143" t="s">
        <v>1564</v>
      </c>
      <c r="V783" s="143" t="s">
        <v>1565</v>
      </c>
      <c r="W783" s="143"/>
      <c r="X783" s="143"/>
      <c r="Z783" s="139" t="s">
        <v>536</v>
      </c>
      <c r="AA783" s="146">
        <f t="shared" si="141"/>
        <v>0</v>
      </c>
      <c r="AB783" s="146">
        <f t="shared" si="141"/>
        <v>0</v>
      </c>
      <c r="AC783" s="146">
        <f t="shared" si="141"/>
        <v>0</v>
      </c>
      <c r="AD783" s="146">
        <f t="shared" si="141"/>
        <v>0</v>
      </c>
      <c r="AE783" s="139">
        <f>W785</f>
        <v>1</v>
      </c>
      <c r="AF783" s="146">
        <f>X786</f>
        <v>0</v>
      </c>
      <c r="AG783" s="139" t="s">
        <v>536</v>
      </c>
      <c r="AH783" s="146">
        <f t="shared" si="142"/>
        <v>0</v>
      </c>
      <c r="AI783" s="146">
        <f t="shared" si="142"/>
        <v>0</v>
      </c>
      <c r="AJ783" s="146">
        <f t="shared" si="142"/>
        <v>0</v>
      </c>
      <c r="AK783" s="146">
        <f t="shared" si="142"/>
        <v>0</v>
      </c>
    </row>
    <row r="784" spans="10:38">
      <c r="J784" s="139" t="s">
        <v>1553</v>
      </c>
      <c r="K784" s="139" t="s">
        <v>1554</v>
      </c>
      <c r="L784" s="139" t="s">
        <v>1555</v>
      </c>
      <c r="M784" s="153" t="s">
        <v>1556</v>
      </c>
      <c r="N784" s="139" t="s">
        <v>1557</v>
      </c>
      <c r="O784" s="144">
        <f>G200</f>
        <v>122</v>
      </c>
      <c r="P784" s="144">
        <f>O784</f>
        <v>122</v>
      </c>
      <c r="Q784" s="145">
        <f t="shared" si="140"/>
        <v>1</v>
      </c>
      <c r="R784" s="139" t="s">
        <v>537</v>
      </c>
      <c r="S784" s="154">
        <f>C33+I34</f>
        <v>0</v>
      </c>
      <c r="T784" s="154">
        <f>D33+I34</f>
        <v>90</v>
      </c>
      <c r="U784" s="154">
        <f>E33+I34</f>
        <v>0</v>
      </c>
      <c r="V784" s="154">
        <f>F33+I34</f>
        <v>90</v>
      </c>
      <c r="W784" s="143" t="s">
        <v>538</v>
      </c>
      <c r="X784" s="143"/>
      <c r="Z784" s="139" t="s">
        <v>539</v>
      </c>
      <c r="AA784" s="146">
        <f t="shared" si="141"/>
        <v>0</v>
      </c>
      <c r="AB784" s="146">
        <f t="shared" si="141"/>
        <v>3.1415926535897931</v>
      </c>
      <c r="AC784" s="146">
        <f t="shared" si="141"/>
        <v>0</v>
      </c>
      <c r="AD784" s="146">
        <f t="shared" si="141"/>
        <v>3.1415926535897931</v>
      </c>
      <c r="AE784" s="139" t="s">
        <v>540</v>
      </c>
      <c r="AF784" s="141">
        <f>W792</f>
        <v>0</v>
      </c>
      <c r="AG784" s="139" t="s">
        <v>539</v>
      </c>
      <c r="AH784" s="146">
        <f t="shared" si="142"/>
        <v>0</v>
      </c>
      <c r="AI784" s="146">
        <f t="shared" si="142"/>
        <v>3.1415926535897931</v>
      </c>
      <c r="AJ784" s="146">
        <f t="shared" si="142"/>
        <v>0</v>
      </c>
      <c r="AK784" s="146">
        <f t="shared" si="142"/>
        <v>3.1415926535897931</v>
      </c>
    </row>
    <row r="785" spans="10:38">
      <c r="J785" s="139" t="s">
        <v>298</v>
      </c>
      <c r="K785" s="140">
        <f>B200</f>
        <v>181</v>
      </c>
      <c r="L785" s="140">
        <f>L792*L791</f>
        <v>181.00000000000003</v>
      </c>
      <c r="M785" s="145">
        <f>L785/K785</f>
        <v>1.0000000000000002</v>
      </c>
      <c r="N785" s="139" t="s">
        <v>299</v>
      </c>
      <c r="O785" s="144">
        <f>H200</f>
        <v>160</v>
      </c>
      <c r="P785" s="144">
        <f>O785-H203*(P783)</f>
        <v>150</v>
      </c>
      <c r="Q785" s="145">
        <f t="shared" si="140"/>
        <v>0.9375</v>
      </c>
      <c r="R785" s="139" t="s">
        <v>541</v>
      </c>
      <c r="S785" s="154">
        <f>C34</f>
        <v>0</v>
      </c>
      <c r="T785" s="154">
        <f>D34</f>
        <v>0</v>
      </c>
      <c r="U785" s="154">
        <f>E34</f>
        <v>0</v>
      </c>
      <c r="V785" s="154">
        <f>F34</f>
        <v>0</v>
      </c>
      <c r="W785" s="156">
        <f>G34</f>
        <v>1</v>
      </c>
      <c r="X785" s="143"/>
      <c r="Z785" s="139"/>
      <c r="AA785" s="141">
        <f>AA784/2</f>
        <v>0</v>
      </c>
      <c r="AB785" s="141">
        <f>AB784/2</f>
        <v>1.5707963267948966</v>
      </c>
      <c r="AC785" s="141">
        <f>AC784/2</f>
        <v>0</v>
      </c>
      <c r="AD785" s="141">
        <f>AD784/2</f>
        <v>1.5707963267948966</v>
      </c>
      <c r="AE785" s="143"/>
      <c r="AL785" s="139"/>
    </row>
    <row r="786" spans="10:38">
      <c r="J786" s="139" t="s">
        <v>1579</v>
      </c>
      <c r="K786" s="140">
        <f>C200</f>
        <v>10.3</v>
      </c>
      <c r="L786" s="140">
        <f>(1+L795)/(1/L796+L795/L793)</f>
        <v>10.3</v>
      </c>
      <c r="M786" s="145">
        <f>L786/K786</f>
        <v>1</v>
      </c>
      <c r="N786" s="139" t="s">
        <v>1580</v>
      </c>
      <c r="O786" s="140">
        <f>(O785-O782)/(O785-O782)</f>
        <v>1</v>
      </c>
      <c r="P786" s="140">
        <f>(P785-P782)/(P785-O782)</f>
        <v>1</v>
      </c>
      <c r="Q786" s="145">
        <f t="shared" si="140"/>
        <v>1</v>
      </c>
      <c r="R786" s="139" t="s">
        <v>1295</v>
      </c>
      <c r="S786" s="158">
        <f>S784*PI()/90</f>
        <v>0</v>
      </c>
      <c r="T786" s="158">
        <f>T784*PI()/90</f>
        <v>3.1415926535897931</v>
      </c>
      <c r="U786" s="158">
        <f>U784*PI()/90</f>
        <v>0</v>
      </c>
      <c r="V786" s="158">
        <f>V784*PI()/90</f>
        <v>3.1415926535897931</v>
      </c>
      <c r="W786" s="143" t="s">
        <v>1296</v>
      </c>
      <c r="X786" s="146"/>
      <c r="Z786" s="137" t="s">
        <v>1297</v>
      </c>
      <c r="AA786" s="143"/>
      <c r="AB786" s="143"/>
      <c r="AC786" s="141"/>
      <c r="AD786" s="141"/>
      <c r="AE786" s="141"/>
      <c r="AG786" s="137" t="s">
        <v>1298</v>
      </c>
      <c r="AL786" s="139"/>
    </row>
    <row r="787" spans="10:38">
      <c r="J787" s="139" t="s">
        <v>259</v>
      </c>
      <c r="K787" s="140">
        <f>D200</f>
        <v>0.28000000000000003</v>
      </c>
      <c r="L787" s="140">
        <f>K787*I90</f>
        <v>0.28000000000000003</v>
      </c>
      <c r="M787" s="145">
        <f>L787/K787</f>
        <v>1</v>
      </c>
      <c r="N787" s="139" t="s">
        <v>260</v>
      </c>
      <c r="O787" s="144">
        <f>O782-O784</f>
        <v>-100</v>
      </c>
      <c r="P787" s="144">
        <f>P782-P784</f>
        <v>-100</v>
      </c>
      <c r="Q787" s="145">
        <f t="shared" si="140"/>
        <v>1</v>
      </c>
      <c r="R787" s="139" t="s">
        <v>1300</v>
      </c>
      <c r="S787" s="158">
        <f>2*S786</f>
        <v>0</v>
      </c>
      <c r="T787" s="158">
        <f>2*T786</f>
        <v>6.2831853071795862</v>
      </c>
      <c r="U787" s="158">
        <f>2*U786</f>
        <v>0</v>
      </c>
      <c r="V787" s="158">
        <f>2*V786</f>
        <v>6.2831853071795862</v>
      </c>
      <c r="W787" s="138" t="s">
        <v>651</v>
      </c>
      <c r="X787" s="143" t="s">
        <v>652</v>
      </c>
      <c r="Y787" s="143" t="s">
        <v>646</v>
      </c>
      <c r="Z787" s="139"/>
      <c r="AA787" s="143" t="s">
        <v>1301</v>
      </c>
      <c r="AB787" s="143"/>
      <c r="AC787" s="161" t="s">
        <v>977</v>
      </c>
      <c r="AD787" s="161"/>
      <c r="AE787" s="143" t="s">
        <v>1303</v>
      </c>
      <c r="AF787" s="143" t="s">
        <v>1304</v>
      </c>
      <c r="AG787" s="139" t="s">
        <v>1305</v>
      </c>
      <c r="AH787" s="147">
        <f t="shared" ref="AH787:AK789" si="143">AA793/1000</f>
        <v>0</v>
      </c>
      <c r="AI787" s="147">
        <f t="shared" si="143"/>
        <v>0</v>
      </c>
      <c r="AJ787" s="147">
        <f t="shared" si="143"/>
        <v>0</v>
      </c>
      <c r="AK787" s="147">
        <f t="shared" si="143"/>
        <v>0</v>
      </c>
      <c r="AL787" s="157"/>
    </row>
    <row r="788" spans="10:38">
      <c r="J788" s="139" t="s">
        <v>261</v>
      </c>
      <c r="K788" s="140">
        <f>E200</f>
        <v>7.17</v>
      </c>
      <c r="L788" s="140">
        <f>(1+L798)/(1/L799+L798*2.7/L793)</f>
        <v>7.17</v>
      </c>
      <c r="M788" s="145">
        <f>L788/K788</f>
        <v>1</v>
      </c>
      <c r="N788" s="139"/>
      <c r="O788" s="140"/>
      <c r="P788" s="140"/>
      <c r="Q788" s="140"/>
      <c r="R788" s="139" t="s">
        <v>1321</v>
      </c>
      <c r="S788" s="158">
        <f>2*W785*S785*L789/1000000/Y788</f>
        <v>0</v>
      </c>
      <c r="T788" s="158">
        <f>2*W785*T785*L789/1000000/Y788</f>
        <v>0</v>
      </c>
      <c r="U788" s="158">
        <f>2*W785*U785*L789/1000000/Y788</f>
        <v>0</v>
      </c>
      <c r="V788" s="158">
        <f>2*W785*V785*L789/1000000/Y788</f>
        <v>0</v>
      </c>
      <c r="W788" s="147">
        <f>SUM(S788:V788)</f>
        <v>0</v>
      </c>
      <c r="X788" s="163">
        <f>2*W785*SUM(S785:V785)*L789/1000000</f>
        <v>0</v>
      </c>
      <c r="Y788" s="147">
        <f>Y736</f>
        <v>5.0000000000000001E-4</v>
      </c>
      <c r="Z788" s="139">
        <v>1</v>
      </c>
      <c r="AA788" s="140">
        <f>$B$37</f>
        <v>1</v>
      </c>
      <c r="AB788" s="163"/>
      <c r="AC788" s="140">
        <f>AC736</f>
        <v>119.49416590714854</v>
      </c>
      <c r="AD788" s="163"/>
      <c r="AE788" s="159" t="s">
        <v>1306</v>
      </c>
      <c r="AF788" s="163">
        <f>IF(X788=0,0,(AC788+AC789)/2)</f>
        <v>0</v>
      </c>
      <c r="AG788" s="139" t="s">
        <v>1307</v>
      </c>
      <c r="AH788" s="147">
        <f t="shared" si="143"/>
        <v>0</v>
      </c>
      <c r="AI788" s="147">
        <f t="shared" si="143"/>
        <v>0</v>
      </c>
      <c r="AJ788" s="147">
        <f t="shared" si="143"/>
        <v>0</v>
      </c>
      <c r="AK788" s="147">
        <f t="shared" si="143"/>
        <v>0</v>
      </c>
      <c r="AL788" s="157"/>
    </row>
    <row r="789" spans="10:38">
      <c r="J789" s="139" t="s">
        <v>262</v>
      </c>
      <c r="K789" s="144">
        <f>B202</f>
        <v>125</v>
      </c>
      <c r="L789" s="144">
        <f>K789/M791</f>
        <v>125</v>
      </c>
      <c r="M789" s="145">
        <f>L789/K789</f>
        <v>1</v>
      </c>
      <c r="N789" s="137" t="s">
        <v>1531</v>
      </c>
      <c r="O789" s="140"/>
      <c r="P789" s="140"/>
      <c r="Q789" s="140"/>
      <c r="R789" s="139" t="s">
        <v>1325</v>
      </c>
      <c r="S789" s="143" t="s">
        <v>1326</v>
      </c>
      <c r="T789" s="143" t="s">
        <v>1327</v>
      </c>
      <c r="U789" s="143" t="s">
        <v>1328</v>
      </c>
      <c r="V789" s="143" t="s">
        <v>1329</v>
      </c>
      <c r="W789" s="143" t="s">
        <v>1330</v>
      </c>
      <c r="X789" s="139"/>
      <c r="Z789" s="139">
        <v>2</v>
      </c>
      <c r="AA789" s="140">
        <f>$B$38</f>
        <v>0</v>
      </c>
      <c r="AB789" s="163"/>
      <c r="AC789" s="140">
        <f>AC737</f>
        <v>-19.975848039852647</v>
      </c>
      <c r="AD789" s="163"/>
      <c r="AE789" s="159" t="s">
        <v>1309</v>
      </c>
      <c r="AF789" s="163">
        <f>IF(X788=0,0,(AC788-AC789)/2)</f>
        <v>0</v>
      </c>
      <c r="AG789" s="139" t="s">
        <v>1310</v>
      </c>
      <c r="AH789" s="147">
        <f t="shared" si="143"/>
        <v>0</v>
      </c>
      <c r="AI789" s="147">
        <f t="shared" si="143"/>
        <v>0</v>
      </c>
      <c r="AJ789" s="147">
        <f t="shared" si="143"/>
        <v>0</v>
      </c>
      <c r="AK789" s="147">
        <f t="shared" si="143"/>
        <v>0</v>
      </c>
      <c r="AL789" s="157"/>
    </row>
    <row r="790" spans="10:38">
      <c r="J790" s="137" t="s">
        <v>264</v>
      </c>
      <c r="K790" s="140"/>
      <c r="L790" s="140"/>
      <c r="N790" s="139" t="s">
        <v>265</v>
      </c>
      <c r="O790" s="140">
        <f>A203</f>
        <v>0.02</v>
      </c>
      <c r="P790" s="140">
        <f>O790</f>
        <v>0.02</v>
      </c>
      <c r="Q790" s="140">
        <f>P790/O790</f>
        <v>1</v>
      </c>
      <c r="R790" s="139">
        <v>11</v>
      </c>
      <c r="S790" s="140">
        <f>L807+L808*COS(S786)+L809*COS(S787)</f>
        <v>181.81113884441794</v>
      </c>
      <c r="T790" s="140">
        <f>L807+L808*COS(T786)+L809*COS(T787)</f>
        <v>10.346158729820477</v>
      </c>
      <c r="U790" s="140">
        <f>L807+L808*COS(U786)+L809*COS(U787)</f>
        <v>181.81113884441794</v>
      </c>
      <c r="V790" s="140">
        <f>L807+L808*COS(V786)+L809*COS(V787)</f>
        <v>10.346158729820477</v>
      </c>
      <c r="W790" s="163">
        <f>(S788*S790+T788*T790+U788*U790+V788*V790)</f>
        <v>0</v>
      </c>
      <c r="X790" s="147"/>
      <c r="Z790" s="139">
        <v>6</v>
      </c>
      <c r="AA790" s="140">
        <f>$B$39</f>
        <v>0</v>
      </c>
      <c r="AB790" s="163"/>
      <c r="AC790" s="140">
        <f>AC738</f>
        <v>-91.562516762323497</v>
      </c>
      <c r="AD790" s="163"/>
      <c r="AE790" s="159" t="s">
        <v>1312</v>
      </c>
      <c r="AF790" s="163">
        <f>IF(X788=0,0,AC790/2)</f>
        <v>0</v>
      </c>
      <c r="AG790" s="139"/>
      <c r="AH790" s="163"/>
      <c r="AI790" s="163"/>
      <c r="AJ790" s="163"/>
      <c r="AK790" s="163"/>
      <c r="AL790" s="163"/>
    </row>
    <row r="791" spans="10:38">
      <c r="J791" s="139" t="s">
        <v>1532</v>
      </c>
      <c r="K791" s="140">
        <f>C202</f>
        <v>0.7</v>
      </c>
      <c r="L791" s="140">
        <f>D90</f>
        <v>0.7</v>
      </c>
      <c r="M791" s="145">
        <f t="shared" ref="M791:M800" si="144">L791/K791</f>
        <v>1</v>
      </c>
      <c r="N791" s="139" t="s">
        <v>1533</v>
      </c>
      <c r="O791" s="140">
        <f>B203</f>
        <v>22.5</v>
      </c>
      <c r="P791" s="140">
        <f>O791*(1-L791)/(1-K791)</f>
        <v>22.5</v>
      </c>
      <c r="Q791" s="140">
        <f>P791/O791</f>
        <v>1</v>
      </c>
      <c r="R791" s="139">
        <v>22</v>
      </c>
      <c r="S791" s="140">
        <f>S790-2*L808*COS(S786)</f>
        <v>10.346158729820473</v>
      </c>
      <c r="T791" s="140">
        <f>T790-2*L808*COS(T786)</f>
        <v>181.81113884441794</v>
      </c>
      <c r="U791" s="140">
        <f>U790-2*L808*COS(U786)</f>
        <v>10.346158729820473</v>
      </c>
      <c r="V791" s="140">
        <f>V790-2*L808*COS(V786)</f>
        <v>181.81113884441794</v>
      </c>
      <c r="W791" s="163">
        <f>(S788*S791+T788*T791+U788*U791+V788*V791)</f>
        <v>0</v>
      </c>
      <c r="X791" s="147"/>
      <c r="AA791" s="163"/>
      <c r="AB791" s="163"/>
      <c r="AC791" s="163"/>
      <c r="AD791" s="163"/>
      <c r="AE791" s="159"/>
      <c r="AF791" s="163"/>
      <c r="AG791" s="139"/>
      <c r="AH791" s="163"/>
      <c r="AI791" s="163"/>
      <c r="AJ791" s="163"/>
      <c r="AK791" s="163"/>
      <c r="AL791" s="163"/>
    </row>
    <row r="792" spans="10:38">
      <c r="J792" s="139" t="s">
        <v>1534</v>
      </c>
      <c r="K792" s="144">
        <f>K785/K791</f>
        <v>258.57142857142861</v>
      </c>
      <c r="L792" s="144">
        <f>F90*P786^F203</f>
        <v>258.57142857142861</v>
      </c>
      <c r="M792" s="145">
        <f t="shared" si="144"/>
        <v>1</v>
      </c>
      <c r="N792" s="138" t="s">
        <v>1535</v>
      </c>
      <c r="O792" s="140"/>
      <c r="P792" s="140"/>
      <c r="Q792" s="140"/>
      <c r="R792" s="139" t="s">
        <v>1345</v>
      </c>
      <c r="S792" s="140">
        <f>L810-L809*COS(S787)</f>
        <v>2.8969244443497324</v>
      </c>
      <c r="T792" s="140">
        <f>L810-L809*COS(T787)</f>
        <v>2.8969244443497324</v>
      </c>
      <c r="U792" s="140">
        <f>L810-L809*COS(U787)</f>
        <v>2.8969244443497324</v>
      </c>
      <c r="V792" s="140">
        <f>L810-L809*COS(V787)</f>
        <v>2.8969244443497324</v>
      </c>
      <c r="W792" s="163">
        <f>(S788*S792+T788*T792+U788*U792+V788*V792)</f>
        <v>0</v>
      </c>
      <c r="X792" s="147"/>
      <c r="Z792" s="137" t="s">
        <v>1323</v>
      </c>
      <c r="AA792" s="163"/>
      <c r="AB792" s="163"/>
      <c r="AC792" s="163"/>
      <c r="AD792" s="163"/>
      <c r="AE792" s="159" t="s">
        <v>661</v>
      </c>
      <c r="AF792" s="163">
        <f>L787/L785*L802+L800/L786*L804</f>
        <v>0.42188220063345594</v>
      </c>
      <c r="AG792" s="139"/>
      <c r="AH792" s="163"/>
      <c r="AI792" s="163"/>
      <c r="AJ792" s="163"/>
      <c r="AK792" s="163"/>
      <c r="AL792" s="163"/>
    </row>
    <row r="793" spans="10:38">
      <c r="J793" s="139" t="s">
        <v>1536</v>
      </c>
      <c r="K793" s="140">
        <f>F200</f>
        <v>3.4</v>
      </c>
      <c r="L793" s="140">
        <f>E90*P786^F202*I90</f>
        <v>3.4</v>
      </c>
      <c r="M793" s="145">
        <f t="shared" si="144"/>
        <v>1</v>
      </c>
      <c r="N793" s="139" t="s">
        <v>1537</v>
      </c>
      <c r="O793" s="140">
        <f>C203</f>
        <v>0</v>
      </c>
      <c r="P793" s="140">
        <f>O793</f>
        <v>0</v>
      </c>
      <c r="Q793" s="140">
        <v>1</v>
      </c>
      <c r="R793" s="139">
        <v>66</v>
      </c>
      <c r="S793" s="140">
        <f>S792-L810+L811</f>
        <v>7.1700000000000053</v>
      </c>
      <c r="T793" s="140">
        <f>T792-L810+L811</f>
        <v>7.1700000000000053</v>
      </c>
      <c r="U793" s="140">
        <f>U792-L810+L811</f>
        <v>7.1700000000000053</v>
      </c>
      <c r="V793" s="140">
        <f>V792-L810+L811</f>
        <v>7.1700000000000053</v>
      </c>
      <c r="W793" s="163">
        <f>(S788*S793+T788*T793+U788*U793+V788*V793)</f>
        <v>0</v>
      </c>
      <c r="X793" s="147"/>
      <c r="Z793" s="139" t="s">
        <v>1324</v>
      </c>
      <c r="AA793" s="147">
        <f>(AF788+AF789*COS(AA784)+AF790*SIN(AA784))</f>
        <v>0</v>
      </c>
      <c r="AB793" s="147">
        <f>(AF788+AF789*COS(AB784)+AF790*SIN(AB784))</f>
        <v>0</v>
      </c>
      <c r="AC793" s="147">
        <f>(AF788+AF789*COS(AC784)+AF790*SIN(AC784))</f>
        <v>0</v>
      </c>
      <c r="AD793" s="147">
        <f>(AF788+AF789*COS(AD784)+AF790*SIN(AD784))</f>
        <v>0</v>
      </c>
      <c r="AE793" s="159" t="s">
        <v>664</v>
      </c>
      <c r="AF793" s="163">
        <f>L787/L785*L804+L800/L786*L803</f>
        <v>0.50672214511948566</v>
      </c>
      <c r="AG793" s="137"/>
      <c r="AH793" s="159"/>
      <c r="AI793" s="159"/>
      <c r="AJ793" s="159"/>
      <c r="AK793" s="159"/>
      <c r="AL793" s="163"/>
    </row>
    <row r="794" spans="10:38">
      <c r="J794" s="139" t="s">
        <v>1538</v>
      </c>
      <c r="K794" s="140">
        <f>E202</f>
        <v>0.51600000000000001</v>
      </c>
      <c r="L794" s="140">
        <f>K794*P786^G202</f>
        <v>0.51600000000000001</v>
      </c>
      <c r="M794" s="145">
        <f t="shared" si="144"/>
        <v>1</v>
      </c>
      <c r="N794" s="139" t="s">
        <v>1539</v>
      </c>
      <c r="O794" s="140">
        <f>D203</f>
        <v>0.6</v>
      </c>
      <c r="P794" s="140">
        <f>O794*(1-L791)/(1-K791)</f>
        <v>0.6</v>
      </c>
      <c r="Q794" s="140">
        <f>P794/O794</f>
        <v>1</v>
      </c>
      <c r="R794" s="139" t="s">
        <v>1347</v>
      </c>
      <c r="S794" s="140">
        <f>L808*SIN(S786)/2+L809*SIN(S787)</f>
        <v>0</v>
      </c>
      <c r="T794" s="140">
        <f>L808*SIN(T786)/2+L809*SIN(T787)</f>
        <v>4.221105484146412E-16</v>
      </c>
      <c r="U794" s="140">
        <f>L808*SIN(U786)/2+L809*SIN(U787)</f>
        <v>0</v>
      </c>
      <c r="V794" s="140">
        <f>L808*SIN(V786)/2+L809*SIN(V787)</f>
        <v>4.221105484146412E-16</v>
      </c>
      <c r="W794" s="163">
        <f>(S788*S794+T788*T794+U788*U794+V788*V794)</f>
        <v>0</v>
      </c>
      <c r="X794" s="147"/>
      <c r="Z794" s="139" t="s">
        <v>1332</v>
      </c>
      <c r="AA794" s="147">
        <f>2*AF788-AA793</f>
        <v>0</v>
      </c>
      <c r="AB794" s="147">
        <f>2*AF788-AB793</f>
        <v>0</v>
      </c>
      <c r="AC794" s="147">
        <f>2*AF788-AC793</f>
        <v>0</v>
      </c>
      <c r="AD794" s="147">
        <f>2*AF788-AD793</f>
        <v>0</v>
      </c>
      <c r="AE794" s="159"/>
      <c r="AF794" s="163"/>
      <c r="AG794" s="139" t="s">
        <v>1333</v>
      </c>
      <c r="AH794" s="163">
        <f>P813*AH787^2+2*P815*AH787*AH788+P814*AH788^2+P816*AH789^2</f>
        <v>0</v>
      </c>
      <c r="AI794" s="163">
        <f>P813*AI787^2+2*P815*AI787*AI788+P814*AI788^2+P816*AI789^2</f>
        <v>0</v>
      </c>
      <c r="AJ794" s="163">
        <f>P813*AJ787^2+2*P815*AJ787*AJ788+P814*AJ788^2+P816*AJ789^2</f>
        <v>0</v>
      </c>
      <c r="AK794" s="163">
        <f>P813*AK787^2+2*P815*AK787*AK788+P814*AK788^2+P816*AK789^2</f>
        <v>0</v>
      </c>
      <c r="AL794" s="163"/>
    </row>
    <row r="795" spans="10:38">
      <c r="J795" s="139" t="s">
        <v>1547</v>
      </c>
      <c r="K795" s="140">
        <f>K794*(1-K791)/K791</f>
        <v>0.2211428571428572</v>
      </c>
      <c r="L795" s="140">
        <f>L794*(1-L791)/L791</f>
        <v>0.2211428571428572</v>
      </c>
      <c r="M795" s="145">
        <f t="shared" si="144"/>
        <v>1</v>
      </c>
      <c r="O795" s="140"/>
      <c r="P795" s="140"/>
      <c r="Q795" s="140"/>
      <c r="R795" s="139" t="s">
        <v>1349</v>
      </c>
      <c r="S795" s="140">
        <f>L808*SIN(S786)-S794</f>
        <v>0</v>
      </c>
      <c r="T795" s="140">
        <f>L808*SIN(T786)-T794</f>
        <v>1.0081392224502176E-14</v>
      </c>
      <c r="U795" s="140">
        <f>L808*SIN(U786)-U794</f>
        <v>0</v>
      </c>
      <c r="V795" s="140">
        <f>L808*SIN(V786)-V794</f>
        <v>1.0081392224502176E-14</v>
      </c>
      <c r="W795" s="163">
        <f>(S788*S795+T788*T795+U788*U795+V788*V795)</f>
        <v>0</v>
      </c>
      <c r="X795" s="147"/>
      <c r="Z795" s="139" t="s">
        <v>1334</v>
      </c>
      <c r="AA795" s="147">
        <f>(2*(AF790*COS(AA784)-AF789*SIN(AA784)))</f>
        <v>0</v>
      </c>
      <c r="AB795" s="147">
        <f>(2*(AF790*COS(AB784)-AF789*SIN(AB784)))</f>
        <v>0</v>
      </c>
      <c r="AC795" s="147">
        <f>(2*(AF790*COS(AC784)-AF789*SIN(AC784)))</f>
        <v>0</v>
      </c>
      <c r="AD795" s="147">
        <f>(2*(AF790*COS(AD784)-AF789*SIN(AD784)))</f>
        <v>0</v>
      </c>
      <c r="AE795" s="159"/>
      <c r="AF795" s="163"/>
      <c r="AG795" s="139" t="s">
        <v>1335</v>
      </c>
      <c r="AH795" s="163">
        <f>P817*AH787+P818*AH788</f>
        <v>0</v>
      </c>
      <c r="AI795" s="163">
        <f>P817*AI787+P818*AI788</f>
        <v>0</v>
      </c>
      <c r="AJ795" s="163">
        <f>P817*AJ787+P818*AJ788</f>
        <v>0</v>
      </c>
      <c r="AK795" s="163">
        <f>P817*AK787+P818*AK788</f>
        <v>0</v>
      </c>
      <c r="AL795" s="163"/>
    </row>
    <row r="796" spans="10:38">
      <c r="J796" s="139" t="s">
        <v>1643</v>
      </c>
      <c r="K796" s="140">
        <f>1/((1+K795)/K786-K795/K793)</f>
        <v>18.686160319541436</v>
      </c>
      <c r="L796" s="140">
        <f>K796*P786^F203</f>
        <v>18.686160319541436</v>
      </c>
      <c r="M796" s="145">
        <f t="shared" si="144"/>
        <v>1</v>
      </c>
      <c r="N796" s="138" t="s">
        <v>176</v>
      </c>
      <c r="O796" s="140"/>
      <c r="P796" s="140"/>
      <c r="Q796" s="140"/>
      <c r="R796" s="139"/>
      <c r="S796" s="143"/>
      <c r="T796" s="143"/>
      <c r="U796" s="143"/>
      <c r="V796" s="139"/>
      <c r="W796" s="143"/>
      <c r="Z796" s="139" t="s">
        <v>671</v>
      </c>
      <c r="AA796" s="164">
        <f>S814*S788</f>
        <v>0</v>
      </c>
      <c r="AB796" s="164">
        <f>T814*T788</f>
        <v>0</v>
      </c>
      <c r="AC796" s="164">
        <f>U814*U788</f>
        <v>0</v>
      </c>
      <c r="AD796" s="164">
        <f>V814*V788</f>
        <v>0</v>
      </c>
      <c r="AE796" s="164">
        <f>W788*(P791+P790*AF792+AF793*P791)-AF792*SUM(AA796:AD796)-AF793*SUM(AA797:AD797)</f>
        <v>0</v>
      </c>
      <c r="AF796" s="164"/>
      <c r="AG796" s="139" t="s">
        <v>1344</v>
      </c>
      <c r="AH796" s="163" t="e">
        <f>AH795/2/AH794</f>
        <v>#DIV/0!</v>
      </c>
      <c r="AI796" s="163" t="e">
        <f>AI795/2/AI794</f>
        <v>#DIV/0!</v>
      </c>
      <c r="AJ796" s="163" t="e">
        <f>AJ795/2/AJ794</f>
        <v>#DIV/0!</v>
      </c>
      <c r="AK796" s="163" t="e">
        <f>AK795/2/AK794</f>
        <v>#DIV/0!</v>
      </c>
      <c r="AL796" s="163"/>
    </row>
    <row r="797" spans="10:38">
      <c r="J797" s="139" t="s">
        <v>295</v>
      </c>
      <c r="K797" s="140">
        <f>E203</f>
        <v>0.316</v>
      </c>
      <c r="L797" s="140">
        <f>K797*P786^G202</f>
        <v>0.316</v>
      </c>
      <c r="M797" s="145">
        <f t="shared" si="144"/>
        <v>1</v>
      </c>
      <c r="N797" s="139" t="s">
        <v>296</v>
      </c>
      <c r="O797" s="144">
        <f>A201</f>
        <v>1500</v>
      </c>
      <c r="P797" s="144">
        <f>P803*L791</f>
        <v>1500</v>
      </c>
      <c r="Q797" s="140">
        <f t="shared" ref="Q797:Q804" si="145">P797/O797</f>
        <v>1</v>
      </c>
      <c r="R797" s="139"/>
      <c r="T797" s="164"/>
      <c r="U797" s="140"/>
      <c r="V797" s="140"/>
      <c r="W797" s="140"/>
      <c r="X797" s="143"/>
      <c r="Y797" s="139"/>
      <c r="Z797" s="139" t="s">
        <v>675</v>
      </c>
      <c r="AA797" s="164">
        <f>S815*S788</f>
        <v>0</v>
      </c>
      <c r="AB797" s="164">
        <f>T815*T788</f>
        <v>0</v>
      </c>
      <c r="AC797" s="164">
        <f>U815*U788</f>
        <v>0</v>
      </c>
      <c r="AD797" s="164">
        <f>V815*V788</f>
        <v>0</v>
      </c>
      <c r="AE797" s="164"/>
      <c r="AF797" s="164"/>
      <c r="AG797" s="139"/>
      <c r="AH797" s="163"/>
      <c r="AI797" s="163"/>
      <c r="AJ797" s="163"/>
      <c r="AK797" s="163"/>
      <c r="AL797" s="163"/>
    </row>
    <row r="798" spans="10:38">
      <c r="J798" s="139" t="s">
        <v>301</v>
      </c>
      <c r="K798" s="140">
        <f>K797*(1-K791)/K791</f>
        <v>0.13542857142857145</v>
      </c>
      <c r="L798" s="140">
        <f>L797*(1-L791)/L791</f>
        <v>0.13542857142857145</v>
      </c>
      <c r="M798" s="145">
        <f t="shared" si="144"/>
        <v>1</v>
      </c>
      <c r="N798" s="139" t="s">
        <v>302</v>
      </c>
      <c r="O798" s="144">
        <f>B201</f>
        <v>1500</v>
      </c>
      <c r="P798" s="144">
        <f>O798*Q797*M788^F204</f>
        <v>1500</v>
      </c>
      <c r="Q798" s="140">
        <f t="shared" si="145"/>
        <v>1</v>
      </c>
      <c r="R798" s="139"/>
      <c r="T798" s="164"/>
      <c r="U798" s="140"/>
      <c r="V798" s="140"/>
      <c r="W798" s="140"/>
      <c r="X798" s="140"/>
      <c r="Y798" s="140"/>
      <c r="Z798" s="139" t="s">
        <v>677</v>
      </c>
      <c r="AA798" s="164">
        <f>S816*S788</f>
        <v>0</v>
      </c>
      <c r="AB798" s="164">
        <f>T816*T788</f>
        <v>0</v>
      </c>
      <c r="AC798" s="164">
        <f>U816*U788</f>
        <v>0</v>
      </c>
      <c r="AD798" s="164">
        <f>V816*V788</f>
        <v>0</v>
      </c>
      <c r="AE798" s="164">
        <f>W788*(P794+P793*AF792+AF793*P794)-AF792*SUM(AA798:AD798)-AF793*SUM(AA799:AD799)</f>
        <v>0</v>
      </c>
      <c r="AF798" s="164"/>
      <c r="AG798" s="139"/>
      <c r="AH798" s="163"/>
      <c r="AI798" s="147"/>
      <c r="AJ798" s="163"/>
      <c r="AK798" s="163"/>
      <c r="AL798" s="163"/>
    </row>
    <row r="799" spans="10:38">
      <c r="J799" s="139" t="s">
        <v>304</v>
      </c>
      <c r="K799" s="140">
        <f>1/((1+K798)/K788-K798*2.7/K793)</f>
        <v>19.680382632972858</v>
      </c>
      <c r="L799" s="140">
        <f>K799*P786^F203</f>
        <v>19.680382632972858</v>
      </c>
      <c r="M799" s="145">
        <f t="shared" si="144"/>
        <v>1</v>
      </c>
      <c r="N799" s="139" t="s">
        <v>305</v>
      </c>
      <c r="O799" s="144">
        <f>C201</f>
        <v>40</v>
      </c>
      <c r="P799" s="144">
        <f>O799*Q804</f>
        <v>40</v>
      </c>
      <c r="Q799" s="140">
        <f t="shared" si="145"/>
        <v>1</v>
      </c>
      <c r="R799" s="139"/>
      <c r="T799" s="164"/>
      <c r="U799" s="140"/>
      <c r="V799" s="140"/>
      <c r="W799" s="140"/>
      <c r="X799" s="140"/>
      <c r="Y799" s="140"/>
      <c r="Z799" s="138" t="s">
        <v>679</v>
      </c>
      <c r="AA799" s="164">
        <f>S817*S788</f>
        <v>0</v>
      </c>
      <c r="AB799" s="164">
        <f>T817*T788</f>
        <v>0</v>
      </c>
      <c r="AC799" s="164">
        <f>U817*U788</f>
        <v>0</v>
      </c>
      <c r="AD799" s="164">
        <f>V817*V788</f>
        <v>0</v>
      </c>
      <c r="AE799" s="164"/>
      <c r="AF799" s="164"/>
      <c r="AG799" s="139"/>
      <c r="AH799" s="163"/>
      <c r="AI799" s="163"/>
      <c r="AJ799" s="163"/>
      <c r="AK799" s="163"/>
      <c r="AL799" s="159" t="s">
        <v>1348</v>
      </c>
    </row>
    <row r="800" spans="10:38">
      <c r="J800" s="139" t="s">
        <v>1581</v>
      </c>
      <c r="K800" s="140">
        <f>F204</f>
        <v>0.5</v>
      </c>
      <c r="L800" s="140">
        <f>K800</f>
        <v>0.5</v>
      </c>
      <c r="M800" s="140">
        <f t="shared" si="144"/>
        <v>1</v>
      </c>
      <c r="N800" s="139" t="s">
        <v>1542</v>
      </c>
      <c r="O800" s="144">
        <f>D201</f>
        <v>246</v>
      </c>
      <c r="P800" s="144">
        <f>O800*Q804</f>
        <v>246</v>
      </c>
      <c r="Q800" s="140">
        <f t="shared" si="145"/>
        <v>1</v>
      </c>
      <c r="R800" s="139"/>
      <c r="T800" s="164"/>
      <c r="U800" s="140"/>
      <c r="V800" s="140"/>
      <c r="W800" s="138"/>
      <c r="X800" s="140"/>
      <c r="Y800" s="140"/>
      <c r="Z800" s="139" t="s">
        <v>682</v>
      </c>
      <c r="AA800" s="164">
        <f>S788*(AA793+S818/1000)</f>
        <v>0</v>
      </c>
      <c r="AB800" s="164">
        <f>T788*(AB793+T818/1000)</f>
        <v>0</v>
      </c>
      <c r="AC800" s="164">
        <f>U788*(AC793+U818/1000)</f>
        <v>0</v>
      </c>
      <c r="AD800" s="164">
        <f>V788*(AD793+V818/1000)</f>
        <v>0</v>
      </c>
      <c r="AE800" s="164">
        <f>W788*((1+AF793)*(P791*P787/1000000+P794*P783)+AF792*(P790*P787/1000000+P793*P783))*1000-AF792*SUM(AA800:AD800)-AF793*SUM(AA801:AD801)</f>
        <v>0</v>
      </c>
      <c r="AF800" s="164"/>
      <c r="AG800" s="139" t="s">
        <v>1351</v>
      </c>
      <c r="AH800" s="147" t="e">
        <f>(AH796^2+1/AH794)^0.5-AH796</f>
        <v>#DIV/0!</v>
      </c>
      <c r="AI800" s="147" t="e">
        <f>(AI796^2+1/AI794)^0.5-AI796</f>
        <v>#DIV/0!</v>
      </c>
      <c r="AJ800" s="147" t="e">
        <f>(AJ796^2+1/AJ794)^0.5-AJ796</f>
        <v>#DIV/0!</v>
      </c>
      <c r="AK800" s="147" t="e">
        <f>(AK796^2+1/AK794)^0.5-AK796</f>
        <v>#DIV/0!</v>
      </c>
      <c r="AL800" s="147">
        <f>MIN(AH801:AK801)</f>
        <v>1000000000</v>
      </c>
    </row>
    <row r="801" spans="10:38">
      <c r="J801" s="138" t="s">
        <v>1507</v>
      </c>
      <c r="N801" s="139" t="s">
        <v>1543</v>
      </c>
      <c r="O801" s="165">
        <f>E201</f>
        <v>68</v>
      </c>
      <c r="P801" s="165">
        <f>O801*Q804</f>
        <v>68</v>
      </c>
      <c r="Q801" s="140">
        <f t="shared" si="145"/>
        <v>1</v>
      </c>
      <c r="R801" s="139"/>
      <c r="T801" s="164"/>
      <c r="U801" s="140"/>
      <c r="V801" s="140"/>
      <c r="W801" s="138"/>
      <c r="X801" s="138"/>
      <c r="Z801" s="139" t="s">
        <v>685</v>
      </c>
      <c r="AA801" s="164">
        <f>S788*(AA794+S819/1000)</f>
        <v>0</v>
      </c>
      <c r="AB801" s="164">
        <f>T788*(AB794+T819/1000)</f>
        <v>0</v>
      </c>
      <c r="AC801" s="164">
        <f>U788*(AC794+U819/1000)</f>
        <v>0</v>
      </c>
      <c r="AD801" s="164">
        <f>V788*(AD794+V819/1000)</f>
        <v>0</v>
      </c>
      <c r="AE801" s="164"/>
      <c r="AF801" s="164"/>
      <c r="AG801" s="139"/>
      <c r="AH801" s="147">
        <f>IF(AH783=0,1000000000,AH800)</f>
        <v>1000000000</v>
      </c>
      <c r="AI801" s="147">
        <f>IF(AI783=0,1000000000,AI800)</f>
        <v>1000000000</v>
      </c>
      <c r="AJ801" s="147">
        <f>IF(AJ783=0,1000000000,AJ800)</f>
        <v>1000000000</v>
      </c>
      <c r="AK801" s="147">
        <f>IF(AK783=0,1000000000,AK800)</f>
        <v>1000000000</v>
      </c>
    </row>
    <row r="802" spans="10:38">
      <c r="J802" s="139" t="s">
        <v>1354</v>
      </c>
      <c r="K802" s="140">
        <f>K785/(1-K787^2*K786/K785)</f>
        <v>181.81113884441791</v>
      </c>
      <c r="L802" s="140">
        <f>L785/(1-L787^2*L786/L785)</f>
        <v>181.81113884441794</v>
      </c>
      <c r="M802" s="145">
        <f>L802/K802</f>
        <v>1.0000000000000002</v>
      </c>
      <c r="N802" s="139" t="s">
        <v>1168</v>
      </c>
      <c r="O802" s="145">
        <f>A202</f>
        <v>-0.5</v>
      </c>
      <c r="P802" s="145">
        <f>O802*I90</f>
        <v>-0.5</v>
      </c>
      <c r="Q802" s="140">
        <f t="shared" si="145"/>
        <v>1</v>
      </c>
      <c r="R802" s="139"/>
      <c r="T802" s="164"/>
      <c r="U802" s="140"/>
      <c r="V802" s="140"/>
      <c r="W802" s="138"/>
      <c r="X802" s="138"/>
      <c r="Z802" s="138" t="s">
        <v>686</v>
      </c>
      <c r="AA802" s="140">
        <f>($AF792*COS(AA785)^2+$AF793*SIN(AA785)^2)*S788</f>
        <v>0</v>
      </c>
      <c r="AB802" s="140">
        <f>($AF792*COS(AB785)^2+$AF793*SIN(AB785)^2)*T788</f>
        <v>0</v>
      </c>
      <c r="AC802" s="140">
        <f>($AF792*COS(AC785)^2+$AF793*SIN(AC785)^2)*U788</f>
        <v>0</v>
      </c>
      <c r="AD802" s="140">
        <f>($AF792*COS(AD785)^2+$AF793*SIN(AD785)^2)*V788</f>
        <v>0</v>
      </c>
      <c r="AE802" s="163">
        <f>SUM(AA802:AD802)</f>
        <v>0</v>
      </c>
      <c r="AF802" s="163"/>
      <c r="AG802" s="138" t="s">
        <v>1360</v>
      </c>
      <c r="AH802" s="147">
        <f>IF(AH783=0,0,AH800)</f>
        <v>0</v>
      </c>
      <c r="AI802" s="147">
        <f>IF(AI783=0,0,AI800)</f>
        <v>0</v>
      </c>
      <c r="AJ802" s="147">
        <f>IF(AJ783=0,0,AJ800)</f>
        <v>0</v>
      </c>
      <c r="AK802" s="147">
        <f>IF(AK783=0,0,AK800)</f>
        <v>0</v>
      </c>
    </row>
    <row r="803" spans="10:38">
      <c r="J803" s="139" t="s">
        <v>1361</v>
      </c>
      <c r="K803" s="140">
        <f>K802*K786/K785</f>
        <v>10.346158729820468</v>
      </c>
      <c r="L803" s="140">
        <f>L802*L786/L785</f>
        <v>10.346158729820468</v>
      </c>
      <c r="M803" s="145">
        <f>L803/K803</f>
        <v>1</v>
      </c>
      <c r="N803" s="139" t="s">
        <v>1175</v>
      </c>
      <c r="O803" s="144">
        <f>O797/K791</f>
        <v>2142.8571428571431</v>
      </c>
      <c r="P803" s="144">
        <f>H90*P786^G203</f>
        <v>2142.8571428571431</v>
      </c>
      <c r="Q803" s="140">
        <f t="shared" si="145"/>
        <v>1</v>
      </c>
      <c r="T803" s="147"/>
      <c r="U803" s="141"/>
      <c r="V803" s="141"/>
      <c r="W803" s="138"/>
      <c r="X803" s="138"/>
      <c r="Z803" s="138" t="s">
        <v>689</v>
      </c>
      <c r="AA803" s="140">
        <f>($AF792*SIN(AA785)^2+$AF793*COS(AA785)^2)*S788</f>
        <v>0</v>
      </c>
      <c r="AB803" s="140">
        <f>($AF792*SIN(AB785)^2+$AF793*COS(AB785)^2)*T788</f>
        <v>0</v>
      </c>
      <c r="AC803" s="140">
        <f>($AF792*SIN(AC785)^2+$AF793*COS(AC785)^2)*U788</f>
        <v>0</v>
      </c>
      <c r="AD803" s="140">
        <f>($AF792*SIN(AD785)^2+$AF793*COS(AD785)^2)*V788</f>
        <v>0</v>
      </c>
      <c r="AE803" s="163">
        <f>SUM(AA803:AD803)</f>
        <v>0</v>
      </c>
      <c r="AF803" s="163"/>
      <c r="AG803" s="139" t="s">
        <v>1364</v>
      </c>
      <c r="AH803" s="138">
        <f>(S818-P790*P787)/1000000-P793*P783</f>
        <v>3.7599999999999944E-4</v>
      </c>
      <c r="AI803" s="138">
        <f>(T818-P790*P787)/1000000-P793*P783</f>
        <v>3.7599999999999965E-4</v>
      </c>
      <c r="AJ803" s="157">
        <f>(U818-P790*P787)/1000000-P793*P783</f>
        <v>3.7599999999999944E-4</v>
      </c>
      <c r="AK803" s="157">
        <f>(V818-P790*P787)/1000000-P793*P783</f>
        <v>3.7599999999999965E-4</v>
      </c>
      <c r="AL803" s="163"/>
    </row>
    <row r="804" spans="10:38">
      <c r="J804" s="139" t="s">
        <v>1365</v>
      </c>
      <c r="K804" s="140">
        <f>K803*K787</f>
        <v>2.8969244443497315</v>
      </c>
      <c r="L804" s="140">
        <f>L803*L787</f>
        <v>2.8969244443497315</v>
      </c>
      <c r="M804" s="145">
        <f>L804/K804</f>
        <v>1</v>
      </c>
      <c r="N804" s="139" t="s">
        <v>1176</v>
      </c>
      <c r="O804" s="144">
        <f>O799</f>
        <v>40</v>
      </c>
      <c r="P804" s="144">
        <f>G90*P786^H202</f>
        <v>40</v>
      </c>
      <c r="Q804" s="140">
        <f t="shared" si="145"/>
        <v>1</v>
      </c>
      <c r="R804" s="137" t="s">
        <v>1185</v>
      </c>
      <c r="U804" s="141"/>
      <c r="W804" s="138"/>
      <c r="X804" s="138"/>
      <c r="AA804" s="140"/>
      <c r="AE804" s="163"/>
      <c r="AF804" s="163"/>
      <c r="AG804" s="139" t="s">
        <v>1367</v>
      </c>
      <c r="AH804" s="138">
        <f>(S819-P791*P787)/1000000-P794*P783</f>
        <v>-3.7600000000000047E-4</v>
      </c>
      <c r="AI804" s="138">
        <f>(T819-P791*P787)/1000000-P794*P783</f>
        <v>-3.7600000000000047E-4</v>
      </c>
      <c r="AJ804" s="157">
        <f>(U819-P791*P787)/1000000-P794*P783</f>
        <v>-3.7600000000000047E-4</v>
      </c>
      <c r="AK804" s="157">
        <f>(V819-P791*P787)/1000000-P794*P783</f>
        <v>-3.7600000000000047E-4</v>
      </c>
      <c r="AL804" s="163"/>
    </row>
    <row r="805" spans="10:38">
      <c r="J805" s="139" t="s">
        <v>1370</v>
      </c>
      <c r="K805" s="140">
        <f>K788</f>
        <v>7.17</v>
      </c>
      <c r="L805" s="140">
        <f>L788</f>
        <v>7.17</v>
      </c>
      <c r="M805" s="145">
        <f>L805/K805</f>
        <v>1</v>
      </c>
      <c r="R805" s="143" t="s">
        <v>695</v>
      </c>
      <c r="S805" s="147">
        <f>S788*COS(S786)</f>
        <v>0</v>
      </c>
      <c r="T805" s="147">
        <f>T788*COS(T786)</f>
        <v>0</v>
      </c>
      <c r="U805" s="147">
        <f>U788*COS(U786)</f>
        <v>0</v>
      </c>
      <c r="V805" s="147">
        <f>V788*COS(V786)</f>
        <v>0</v>
      </c>
      <c r="W805" s="147">
        <f>SUM(S805:V805)</f>
        <v>0</v>
      </c>
      <c r="X805" s="138"/>
      <c r="AF805" s="163"/>
      <c r="AG805" s="139" t="s">
        <v>1372</v>
      </c>
      <c r="AH805" s="138">
        <f>S820/1000000</f>
        <v>1.8428877056365895E-4</v>
      </c>
      <c r="AI805" s="138">
        <f>T820/1000000</f>
        <v>1.3920484365408952E-5</v>
      </c>
      <c r="AJ805" s="157">
        <f>U820/1000000</f>
        <v>1.8428877056365895E-4</v>
      </c>
      <c r="AK805" s="157">
        <f>V820/1000000</f>
        <v>1.3920484365408952E-5</v>
      </c>
      <c r="AL805" s="163"/>
    </row>
    <row r="806" spans="10:38">
      <c r="J806" s="138" t="s">
        <v>1510</v>
      </c>
      <c r="K806" s="140"/>
      <c r="L806" s="140"/>
      <c r="N806" s="138" t="s">
        <v>1375</v>
      </c>
      <c r="R806" s="139" t="s">
        <v>696</v>
      </c>
      <c r="S806" s="147">
        <f>S788*SIN(S786)</f>
        <v>0</v>
      </c>
      <c r="T806" s="147">
        <f>T788*SIN(T786)</f>
        <v>0</v>
      </c>
      <c r="U806" s="147">
        <f>U788*SIN(U786)</f>
        <v>0</v>
      </c>
      <c r="V806" s="147">
        <f>V788*SIN(V786)</f>
        <v>0</v>
      </c>
      <c r="W806" s="147">
        <f>SUM(S806:V806)</f>
        <v>0</v>
      </c>
      <c r="X806" s="138"/>
      <c r="AF806" s="163"/>
      <c r="AG806" s="163"/>
      <c r="AH806" s="163"/>
      <c r="AI806" s="163"/>
      <c r="AJ806" s="163"/>
      <c r="AK806" s="163"/>
      <c r="AL806" s="163"/>
    </row>
    <row r="807" spans="10:38">
      <c r="J807" s="139" t="s">
        <v>1380</v>
      </c>
      <c r="K807" s="140">
        <f>(3*K802+3*K803+2*K804+4*K805)/8</f>
        <v>76.368217701426829</v>
      </c>
      <c r="L807" s="140">
        <f>(3*L802+3*L803+2*L804+4*L805)/8</f>
        <v>76.368217701426843</v>
      </c>
      <c r="M807" s="145">
        <f>L807/K807</f>
        <v>1.0000000000000002</v>
      </c>
      <c r="N807" s="139" t="s">
        <v>1381</v>
      </c>
      <c r="O807" s="140">
        <f>1/O797/O798*1000000</f>
        <v>0.44444444444444442</v>
      </c>
      <c r="P807" s="140">
        <f>1/P797/P798*1000000</f>
        <v>0.44444444444444442</v>
      </c>
      <c r="Q807" s="140">
        <f>P807/O807</f>
        <v>1</v>
      </c>
      <c r="R807" s="139"/>
      <c r="S807" s="138" t="s">
        <v>698</v>
      </c>
      <c r="T807" s="137"/>
      <c r="U807" s="143" t="s">
        <v>700</v>
      </c>
      <c r="V807" s="137"/>
      <c r="W807" s="137" t="s">
        <v>702</v>
      </c>
      <c r="X807" s="138"/>
      <c r="Y807" s="137" t="s">
        <v>704</v>
      </c>
      <c r="Z807" s="137" t="s">
        <v>705</v>
      </c>
      <c r="AA807" s="138" t="s">
        <v>706</v>
      </c>
      <c r="AB807" s="139"/>
      <c r="AC807" s="139"/>
      <c r="AF807" s="138"/>
      <c r="AG807" s="159" t="s">
        <v>1383</v>
      </c>
      <c r="AH807" s="166">
        <f>P813*AH803^2+2*P815*AH803*AH804+P814*AH804^2+P816*AH805^2</f>
        <v>4.4525026957858488E-3</v>
      </c>
      <c r="AI807" s="163">
        <f>P813*AI803^2+2*P815*AI803*AI804+P814*AI804^2+P816*AI805^2</f>
        <v>4.0770690683363158E-3</v>
      </c>
      <c r="AJ807" s="163">
        <f>P813*AJ803^2+2*P815*AJ803*AJ804+P814*AJ804^2+P816*AJ805^2</f>
        <v>4.4525026957858488E-3</v>
      </c>
      <c r="AK807" s="163">
        <f>P813*AK803^2+2*P815*AK803*AK804+P814*AK804^2+P816*AK805^2</f>
        <v>4.0770690683363158E-3</v>
      </c>
      <c r="AL807" s="163"/>
    </row>
    <row r="808" spans="10:38">
      <c r="J808" s="139" t="s">
        <v>1384</v>
      </c>
      <c r="K808" s="140">
        <f>(K802-K803)/2</f>
        <v>85.732490057298719</v>
      </c>
      <c r="L808" s="140">
        <f>(L802-L803)/2</f>
        <v>85.732490057298733</v>
      </c>
      <c r="M808" s="145">
        <f>L808/K808</f>
        <v>1.0000000000000002</v>
      </c>
      <c r="N808" s="139" t="s">
        <v>1385</v>
      </c>
      <c r="O808" s="140">
        <f>1/O799/O800*1000000</f>
        <v>101.6260162601626</v>
      </c>
      <c r="P808" s="140">
        <f>1/P799/P800*1000000</f>
        <v>101.6260162601626</v>
      </c>
      <c r="Q808" s="140">
        <f>P808/O808</f>
        <v>1</v>
      </c>
      <c r="R808" s="139">
        <v>1</v>
      </c>
      <c r="S808" s="138">
        <f>(S812*W788+S813*W805)</f>
        <v>0</v>
      </c>
      <c r="T808" s="138"/>
      <c r="U808" s="138">
        <f>(T812*W788+T813*W805)</f>
        <v>0</v>
      </c>
      <c r="V808" s="147"/>
      <c r="W808" s="138">
        <f>S808*P787+U808*P783</f>
        <v>0</v>
      </c>
      <c r="X808" s="147"/>
      <c r="Y808" s="138">
        <f t="shared" ref="Y808:AA810" si="146">Y756</f>
        <v>11.259999999999984</v>
      </c>
      <c r="Z808" s="138">
        <f t="shared" si="146"/>
        <v>0.29999999999999954</v>
      </c>
      <c r="AA808" s="138">
        <f t="shared" si="146"/>
        <v>373.99999999999937</v>
      </c>
      <c r="AB808" s="147"/>
      <c r="AC808" s="147"/>
      <c r="AF808" s="138"/>
      <c r="AG808" s="159" t="s">
        <v>1387</v>
      </c>
      <c r="AH808" s="166">
        <f>P817*AH803+P818*AH804</f>
        <v>-5.8636980773925068E-2</v>
      </c>
      <c r="AI808" s="163">
        <f>P817*AI803+P818*AI804</f>
        <v>-5.8636980773925054E-2</v>
      </c>
      <c r="AJ808" s="163">
        <f>P817*AJ803+P818*AJ804</f>
        <v>-5.8636980773925068E-2</v>
      </c>
      <c r="AK808" s="163">
        <f>P817*AK803+P818*AK804</f>
        <v>-5.8636980773925054E-2</v>
      </c>
      <c r="AL808" s="163"/>
    </row>
    <row r="809" spans="10:38">
      <c r="J809" s="139" t="s">
        <v>1388</v>
      </c>
      <c r="K809" s="140">
        <f>(K802+K803-2*K804-4*K805)/8</f>
        <v>19.710431085692363</v>
      </c>
      <c r="L809" s="140">
        <f>(L802+L803-2*L804-4*L805)/8</f>
        <v>19.710431085692367</v>
      </c>
      <c r="M809" s="145">
        <f>L809/K809</f>
        <v>1.0000000000000002</v>
      </c>
      <c r="N809" s="139" t="s">
        <v>1389</v>
      </c>
      <c r="O809" s="140">
        <f>O802*(O807*O808)^0.5</f>
        <v>-3.3603243272729659</v>
      </c>
      <c r="P809" s="140">
        <f>P802*(P807*P808)^0.5</f>
        <v>-3.3603243272729659</v>
      </c>
      <c r="Q809" s="140">
        <f>P809/O809</f>
        <v>1</v>
      </c>
      <c r="R809" s="139">
        <v>2</v>
      </c>
      <c r="S809" s="138">
        <f>(S812*W788-S813*W805)</f>
        <v>0</v>
      </c>
      <c r="T809" s="138"/>
      <c r="U809" s="138">
        <f>(T812*W788-T813*W805)</f>
        <v>0</v>
      </c>
      <c r="V809" s="147"/>
      <c r="W809" s="138">
        <f>S809*P787+U809*P783</f>
        <v>0</v>
      </c>
      <c r="X809" s="147"/>
      <c r="Y809" s="138">
        <f t="shared" si="146"/>
        <v>11.259999999999993</v>
      </c>
      <c r="Z809" s="138">
        <f t="shared" si="146"/>
        <v>0.29999999999999977</v>
      </c>
      <c r="AA809" s="138">
        <f t="shared" si="146"/>
        <v>373.99999999999966</v>
      </c>
      <c r="AB809" s="147"/>
      <c r="AC809" s="147"/>
      <c r="AF809" s="138"/>
      <c r="AG809" s="159" t="s">
        <v>1390</v>
      </c>
      <c r="AH809" s="166">
        <f>AH807+AH808</f>
        <v>-5.4184478078139219E-2</v>
      </c>
      <c r="AI809" s="163">
        <f>AI807+AI808</f>
        <v>-5.4559911705588736E-2</v>
      </c>
      <c r="AJ809" s="163">
        <f>AJ807+AJ808</f>
        <v>-5.4184478078139219E-2</v>
      </c>
      <c r="AK809" s="163">
        <f>AK807+AK808</f>
        <v>-5.4559911705588736E-2</v>
      </c>
      <c r="AL809" s="163"/>
    </row>
    <row r="810" spans="10:38">
      <c r="J810" s="139" t="s">
        <v>1391</v>
      </c>
      <c r="K810" s="140">
        <f>(K802+K803+6*K804-4*K805)/8</f>
        <v>22.607355530042096</v>
      </c>
      <c r="L810" s="140">
        <f>(L802+L803+6*L804-4*L805)/8</f>
        <v>22.607355530042099</v>
      </c>
      <c r="M810" s="145">
        <f>L810/K810</f>
        <v>1.0000000000000002</v>
      </c>
      <c r="N810" s="139" t="s">
        <v>1392</v>
      </c>
      <c r="O810" s="140">
        <f>1/O801^2*1000000</f>
        <v>216.26297577854672</v>
      </c>
      <c r="P810" s="140">
        <f>1/P801^2*1000000</f>
        <v>216.26297577854672</v>
      </c>
      <c r="Q810" s="140">
        <f>P810/O810</f>
        <v>1</v>
      </c>
      <c r="R810" s="139">
        <v>6</v>
      </c>
      <c r="S810" s="139">
        <f>S813*W806</f>
        <v>0</v>
      </c>
      <c r="T810" s="138"/>
      <c r="U810" s="139">
        <f>T813*W806</f>
        <v>0</v>
      </c>
      <c r="V810" s="147"/>
      <c r="W810" s="138">
        <f>S810*P787+U810*P783</f>
        <v>0</v>
      </c>
      <c r="X810" s="147"/>
      <c r="Y810" s="138">
        <f t="shared" si="146"/>
        <v>-22.479999999999976</v>
      </c>
      <c r="Z810" s="138">
        <f t="shared" si="146"/>
        <v>-0.5999999999999992</v>
      </c>
      <c r="AA810" s="138">
        <f t="shared" si="146"/>
        <v>-397.02012514617672</v>
      </c>
      <c r="AB810" s="147"/>
      <c r="AC810" s="147"/>
      <c r="AF810" s="138"/>
      <c r="AG810" s="159" t="s">
        <v>1395</v>
      </c>
      <c r="AH810" s="166">
        <f>-1+AH809</f>
        <v>-1.0541844780781393</v>
      </c>
      <c r="AI810" s="163">
        <f>-1+AI809</f>
        <v>-1.0545599117055888</v>
      </c>
      <c r="AJ810" s="163">
        <f>-1+AJ809</f>
        <v>-1.0541844780781393</v>
      </c>
      <c r="AK810" s="163">
        <f>-1+AK809</f>
        <v>-1.0545599117055888</v>
      </c>
      <c r="AL810" s="163"/>
    </row>
    <row r="811" spans="10:38">
      <c r="J811" s="139" t="s">
        <v>1396</v>
      </c>
      <c r="K811" s="140">
        <f>(K807-K810)/2</f>
        <v>26.880431085692365</v>
      </c>
      <c r="L811" s="140">
        <f>(L807-L810)/2</f>
        <v>26.880431085692372</v>
      </c>
      <c r="M811" s="145">
        <f>L811/K811</f>
        <v>1.0000000000000002</v>
      </c>
      <c r="N811" s="139" t="s">
        <v>1397</v>
      </c>
      <c r="O811" s="140">
        <f>(1/O797-1/O798)*1000</f>
        <v>0</v>
      </c>
      <c r="P811" s="140">
        <f>(1/P797-1/P798)*1000</f>
        <v>0</v>
      </c>
      <c r="Q811" s="140">
        <f>IF(O811=0,1,P811/O811)</f>
        <v>1</v>
      </c>
      <c r="R811" s="143"/>
      <c r="S811" s="143" t="s">
        <v>709</v>
      </c>
      <c r="T811" s="143" t="s">
        <v>710</v>
      </c>
      <c r="U811" s="143"/>
      <c r="V811" s="141"/>
      <c r="W811" s="138"/>
      <c r="X811" s="139" t="s">
        <v>711</v>
      </c>
      <c r="Y811" s="138">
        <f>(Y808+Y809)/2</f>
        <v>11.259999999999987</v>
      </c>
      <c r="Z811" s="138">
        <f>(Z808+Z809)/2</f>
        <v>0.29999999999999966</v>
      </c>
      <c r="AA811" s="138">
        <f>(AA808+AA809)/2</f>
        <v>373.99999999999955</v>
      </c>
      <c r="AF811" s="138"/>
      <c r="AG811" s="159" t="s">
        <v>1399</v>
      </c>
      <c r="AH811" s="166">
        <f>2*(P813*AH787*AH803+P814*AH788*AH804+P815*(AH787*AH804+AH803*AH788)+P816*AH789*AH805)</f>
        <v>0</v>
      </c>
      <c r="AI811" s="163">
        <f>2*(P813*AI787*AI803+P814*AI788*AI804+P815*(AI787*AI804+AI803*AI788)+P816*AI789*AI805)</f>
        <v>0</v>
      </c>
      <c r="AJ811" s="163">
        <f>2*(P813*AJ787*AJ803+P814*AJ788*AJ804+P815*(AJ787*AJ804+AJ803*AJ788)+P816*AJ789*AJ805)</f>
        <v>0</v>
      </c>
      <c r="AK811" s="163">
        <f>2*(P813*AK787*AK803+P814*AK788*AK804+P815*(AK787*AK804+AK803*AK788)+P816*AK789*AK805)</f>
        <v>0</v>
      </c>
      <c r="AL811" s="163"/>
    </row>
    <row r="812" spans="10:38">
      <c r="J812" s="138" t="s">
        <v>1400</v>
      </c>
      <c r="N812" s="139" t="s">
        <v>1401</v>
      </c>
      <c r="O812" s="140">
        <f>(1/O799-1/O800)*1000</f>
        <v>20.934959349593495</v>
      </c>
      <c r="P812" s="140">
        <f>(1/P799-1/P800)*1000</f>
        <v>20.934959349593495</v>
      </c>
      <c r="Q812" s="140">
        <f t="shared" ref="Q812:Q818" si="147">P812/O812</f>
        <v>1</v>
      </c>
      <c r="R812" s="167" t="s">
        <v>711</v>
      </c>
      <c r="S812" s="138">
        <f>((K802+K804)*P790+(L804+L803)*P791)/2/1000000</f>
        <v>1.5083176634230242E-4</v>
      </c>
      <c r="T812" s="138">
        <f>((L802+L804)*P793+(L804+L803)*P794)/2</f>
        <v>3.9729249522510592</v>
      </c>
      <c r="U812" s="143"/>
      <c r="V812" s="141"/>
      <c r="W812" s="138"/>
      <c r="X812" s="143" t="s">
        <v>712</v>
      </c>
      <c r="Y812" s="164">
        <f>(Y808-Y809)/2</f>
        <v>-4.4408920985006262E-15</v>
      </c>
      <c r="Z812" s="164">
        <f>(Z808-Z809)/2</f>
        <v>-1.1102230246251565E-16</v>
      </c>
      <c r="AA812" s="164">
        <f>(AA808-AA809)/2</f>
        <v>-1.4210854715202004E-13</v>
      </c>
      <c r="AF812" s="138"/>
      <c r="AG812" s="159" t="s">
        <v>1403</v>
      </c>
      <c r="AH812" s="166">
        <f>AH811+AH795</f>
        <v>0</v>
      </c>
      <c r="AI812" s="163">
        <f>AI811+AI795</f>
        <v>0</v>
      </c>
      <c r="AJ812" s="163">
        <f>AJ811+AJ795</f>
        <v>0</v>
      </c>
      <c r="AK812" s="163">
        <f>AK811+AK795</f>
        <v>0</v>
      </c>
      <c r="AL812" s="163"/>
    </row>
    <row r="813" spans="10:38">
      <c r="J813" s="139" t="s">
        <v>1404</v>
      </c>
      <c r="K813" s="140">
        <f>(1-(K810/K807)^2)*K807</f>
        <v>69.675740916648124</v>
      </c>
      <c r="L813" s="140">
        <f>(1-(L810/L807)^2)*L807</f>
        <v>69.675740916648138</v>
      </c>
      <c r="M813" s="140">
        <f>L813/K813</f>
        <v>1.0000000000000002</v>
      </c>
      <c r="N813" s="139" t="s">
        <v>1405</v>
      </c>
      <c r="O813" s="144">
        <f>(O807*K802^2+2*O809*K802*K804+O808*K804^2)</f>
        <v>12004.38353147296</v>
      </c>
      <c r="P813" s="144">
        <f>(P807*L802^2+2*P809*L802*L804+P808*L804^2)</f>
        <v>12004.38353147296</v>
      </c>
      <c r="Q813" s="140">
        <f t="shared" si="147"/>
        <v>1</v>
      </c>
      <c r="R813" s="167" t="s">
        <v>712</v>
      </c>
      <c r="S813" s="138">
        <f>((L802-L804)*P790+(L804-L803)*P791)/2/1000000</f>
        <v>-8.2014743567545106E-5</v>
      </c>
      <c r="T813" s="138">
        <f>((L802-L804)*P793+(L804-L803)*P794)/2</f>
        <v>-2.234770285641221</v>
      </c>
      <c r="U813" s="143"/>
      <c r="V813" s="141"/>
      <c r="W813" s="138"/>
      <c r="X813" s="143" t="s">
        <v>714</v>
      </c>
      <c r="Y813" s="164">
        <f>Y810/2</f>
        <v>-11.239999999999988</v>
      </c>
      <c r="Z813" s="164">
        <f>Z810/2</f>
        <v>-0.2999999999999996</v>
      </c>
      <c r="AA813" s="164">
        <f>AA810/2</f>
        <v>-198.51006257308836</v>
      </c>
      <c r="AG813" s="159" t="s">
        <v>1412</v>
      </c>
      <c r="AH813" s="166" t="e">
        <f>AH812/2/AH794</f>
        <v>#DIV/0!</v>
      </c>
      <c r="AI813" s="163" t="e">
        <f>AI812/2/AI794</f>
        <v>#DIV/0!</v>
      </c>
      <c r="AJ813" s="163" t="e">
        <f>AJ812/2/AJ794</f>
        <v>#DIV/0!</v>
      </c>
      <c r="AK813" s="163" t="e">
        <f>AK812/2/AK794</f>
        <v>#DIV/0!</v>
      </c>
      <c r="AL813" s="163"/>
    </row>
    <row r="814" spans="10:38">
      <c r="J814" s="139" t="s">
        <v>1414</v>
      </c>
      <c r="K814" s="140">
        <f>K810/K807</f>
        <v>0.29603094337527941</v>
      </c>
      <c r="L814" s="140">
        <f>L810/L807</f>
        <v>0.29603094337527941</v>
      </c>
      <c r="M814" s="140">
        <f>L814/K814</f>
        <v>1</v>
      </c>
      <c r="N814" s="139" t="s">
        <v>1415</v>
      </c>
      <c r="O814" s="144">
        <f>(O807*K804^2+2*O809*K804*K803+O808*K803^2)</f>
        <v>10680.652008265077</v>
      </c>
      <c r="P814" s="144">
        <f>(P807*L804^2+2*P809*L804*L803+P808*L803^2)</f>
        <v>10680.652008265077</v>
      </c>
      <c r="Q814" s="140">
        <f t="shared" si="147"/>
        <v>1</v>
      </c>
      <c r="R814" s="139" t="s">
        <v>715</v>
      </c>
      <c r="S814" s="138">
        <f>Y811+Y812*COS(S786)+Y813*SIN(S786)</f>
        <v>11.259999999999984</v>
      </c>
      <c r="T814" s="138">
        <f>Y811+Y812*COS(T786)+Y813*SIN(T786)</f>
        <v>11.259999999999989</v>
      </c>
      <c r="U814" s="138">
        <f>Y811+Y812*COS(U786)+Y813*SIN(U786)</f>
        <v>11.259999999999984</v>
      </c>
      <c r="V814" s="138">
        <f>Y811+Y812*COS(V786)+Y813*SIN(V786)</f>
        <v>11.259999999999989</v>
      </c>
      <c r="W814" s="138"/>
      <c r="Y814" s="164"/>
      <c r="AC814" s="140"/>
      <c r="AG814" s="159"/>
      <c r="AH814" s="147"/>
      <c r="AI814" s="163"/>
      <c r="AJ814" s="163"/>
      <c r="AK814" s="163"/>
      <c r="AL814" s="163"/>
    </row>
    <row r="815" spans="10:38">
      <c r="J815" s="139" t="s">
        <v>716</v>
      </c>
      <c r="K815" s="138">
        <f>(1-L787^2*L786/L785)*L786/(1-L787^2*L786/L785-L800^2-L787^2*L786/L785-2*L787^2*L786/L785*L800)</f>
        <v>13.920484365408951</v>
      </c>
      <c r="N815" s="139" t="s">
        <v>1416</v>
      </c>
      <c r="O815" s="144">
        <f>(O807*K802*K804+O809*(K802*K803+K804^2)+O808*K804*K803)</f>
        <v>-3069.103206291968</v>
      </c>
      <c r="P815" s="144">
        <f>(P807*L802*L804+P809*(L802*L803+L804^2)+P808*L804*L803)</f>
        <v>-3069.1032062919689</v>
      </c>
      <c r="Q815" s="140">
        <f t="shared" si="147"/>
        <v>1.0000000000000002</v>
      </c>
      <c r="R815" s="139" t="s">
        <v>717</v>
      </c>
      <c r="S815" s="138">
        <f>2*Y811-S814</f>
        <v>11.259999999999991</v>
      </c>
      <c r="T815" s="138">
        <f>2*Y811-T814</f>
        <v>11.259999999999986</v>
      </c>
      <c r="U815" s="138">
        <f>2*Y811-U814</f>
        <v>11.259999999999991</v>
      </c>
      <c r="V815" s="138">
        <f>2*Y811-V814</f>
        <v>11.259999999999986</v>
      </c>
      <c r="W815" s="138"/>
      <c r="Y815" s="164"/>
      <c r="AC815" s="140"/>
      <c r="AG815" s="159"/>
      <c r="AH815" s="147"/>
      <c r="AI815" s="163"/>
      <c r="AJ815" s="163"/>
      <c r="AK815" s="163"/>
      <c r="AL815" s="163"/>
    </row>
    <row r="816" spans="10:38">
      <c r="J816" s="139" t="s">
        <v>1193</v>
      </c>
      <c r="K816" s="140">
        <f>D202</f>
        <v>1.6</v>
      </c>
      <c r="L816" s="140">
        <f>L817*(1-L791)+L818*L791</f>
        <v>1.6</v>
      </c>
      <c r="M816" s="140">
        <f>L816/K816</f>
        <v>1</v>
      </c>
      <c r="N816" s="139" t="s">
        <v>1418</v>
      </c>
      <c r="O816" s="144">
        <f>O810*K805^2</f>
        <v>11117.841695501729</v>
      </c>
      <c r="P816" s="144">
        <f>P810*L805^2</f>
        <v>11117.841695501729</v>
      </c>
      <c r="Q816" s="140">
        <f t="shared" si="147"/>
        <v>1</v>
      </c>
      <c r="R816" s="139" t="s">
        <v>124</v>
      </c>
      <c r="S816" s="138">
        <f>Z811+Z812*COS(S786)+Z813*SIN(S786)</f>
        <v>0.29999999999999954</v>
      </c>
      <c r="T816" s="138">
        <f>Z811+Z812*COS(T786)+Z813*SIN(T786)</f>
        <v>0.29999999999999971</v>
      </c>
      <c r="U816" s="138">
        <f>Z811+Z812*COS(U786)+Z813*SIN(U786)</f>
        <v>0.29999999999999954</v>
      </c>
      <c r="V816" s="138">
        <f>Z811+Z812*COS(V786)+Z813*SIN(V786)</f>
        <v>0.29999999999999971</v>
      </c>
      <c r="W816" s="138"/>
      <c r="Y816" s="164"/>
      <c r="AC816" s="140"/>
      <c r="AG816" s="159"/>
      <c r="AH816" s="147"/>
      <c r="AI816" s="163"/>
      <c r="AJ816" s="163"/>
      <c r="AK816" s="163"/>
      <c r="AL816" s="159" t="s">
        <v>1421</v>
      </c>
    </row>
    <row r="817" spans="10:38">
      <c r="J817" s="139" t="s">
        <v>274</v>
      </c>
      <c r="K817" s="140">
        <f>F201</f>
        <v>1.2</v>
      </c>
      <c r="L817" s="140">
        <f>K817</f>
        <v>1.2</v>
      </c>
      <c r="M817" s="140">
        <f>L817/K817</f>
        <v>1</v>
      </c>
      <c r="N817" s="139" t="s">
        <v>1422</v>
      </c>
      <c r="O817" s="144">
        <f>(O811*K802+O812*K804)</f>
        <v>60.646995481305353</v>
      </c>
      <c r="P817" s="144">
        <f>(P811*L802+P812*L804)</f>
        <v>60.646995481305353</v>
      </c>
      <c r="Q817" s="140">
        <f t="shared" si="147"/>
        <v>1</v>
      </c>
      <c r="R817" s="167" t="s">
        <v>125</v>
      </c>
      <c r="S817" s="138">
        <f>2*Z811-S816</f>
        <v>0.29999999999999977</v>
      </c>
      <c r="T817" s="138">
        <f>2*Z811-T816</f>
        <v>0.2999999999999996</v>
      </c>
      <c r="U817" s="138">
        <f>2*Z811-U816</f>
        <v>0.29999999999999977</v>
      </c>
      <c r="V817" s="138">
        <f>2*Z811-V816</f>
        <v>0.2999999999999996</v>
      </c>
      <c r="W817" s="138"/>
      <c r="Y817" s="164"/>
      <c r="Z817" s="164"/>
      <c r="AA817" s="147"/>
      <c r="AB817" s="147"/>
      <c r="AC817" s="147"/>
      <c r="AD817" s="147"/>
      <c r="AG817" s="139" t="s">
        <v>1424</v>
      </c>
      <c r="AH817" s="147" t="e">
        <f>(AH813^2-AH810/AH794)^0.5-AH813</f>
        <v>#DIV/0!</v>
      </c>
      <c r="AI817" s="147" t="e">
        <f>(AI813^2-AI810/AI794)^0.5-AI813</f>
        <v>#DIV/0!</v>
      </c>
      <c r="AJ817" s="147" t="e">
        <f>(AJ813^2-AJ810/AJ794)^0.5-AJ813</f>
        <v>#DIV/0!</v>
      </c>
      <c r="AK817" s="147" t="e">
        <f>(AK813^2-AK810/AK794)^0.5-AK813</f>
        <v>#DIV/0!</v>
      </c>
      <c r="AL817" s="147">
        <f>MIN(AH818:AK818)</f>
        <v>1000000000</v>
      </c>
    </row>
    <row r="818" spans="10:38">
      <c r="J818" s="139" t="s">
        <v>1195</v>
      </c>
      <c r="K818" s="140">
        <f>(K816-K817*(1-K791))/K791</f>
        <v>1.7714285714285716</v>
      </c>
      <c r="L818" s="140">
        <f>K818</f>
        <v>1.7714285714285716</v>
      </c>
      <c r="M818" s="140">
        <f>L818/K818</f>
        <v>1</v>
      </c>
      <c r="N818" s="139" t="s">
        <v>1426</v>
      </c>
      <c r="O818" s="144">
        <f>(O811*K804+O812*K803)</f>
        <v>216.59641243323335</v>
      </c>
      <c r="P818" s="144">
        <f>(P811*L804+P812*L803)</f>
        <v>216.59641243323335</v>
      </c>
      <c r="Q818" s="140">
        <f t="shared" si="147"/>
        <v>1</v>
      </c>
      <c r="R818" s="139" t="s">
        <v>126</v>
      </c>
      <c r="S818" s="138">
        <f>AA811+AA812*COS(S786)+AA813*SIN(S786)</f>
        <v>373.99999999999943</v>
      </c>
      <c r="T818" s="138">
        <f>AA811+AA812*COS(T786)+AA813*SIN(T786)</f>
        <v>373.99999999999966</v>
      </c>
      <c r="U818" s="138">
        <f>AA811+AA812*COS(U786)+AA813*SIN(U786)</f>
        <v>373.99999999999943</v>
      </c>
      <c r="V818" s="138">
        <f>AA811+AA812*COS(V786)+AA813*SIN(V786)</f>
        <v>373.99999999999966</v>
      </c>
      <c r="W818" s="138"/>
      <c r="Y818" s="164"/>
      <c r="Z818" s="164"/>
      <c r="AA818" s="147"/>
      <c r="AB818" s="147"/>
      <c r="AC818" s="147"/>
      <c r="AD818" s="147"/>
      <c r="AG818" s="139" t="s">
        <v>194</v>
      </c>
      <c r="AH818" s="147">
        <f>IF(AH783=0,1000000000,AH817)</f>
        <v>1000000000</v>
      </c>
      <c r="AI818" s="147">
        <f>IF(AI783=0,1000000000,AI817)</f>
        <v>1000000000</v>
      </c>
      <c r="AJ818" s="147">
        <f>IF(AJ783=0,1000000000,AJ817)</f>
        <v>1000000000</v>
      </c>
      <c r="AK818" s="147">
        <f>IF(AK783=0,1000000000,AK817)</f>
        <v>1000000000</v>
      </c>
    </row>
    <row r="819" spans="10:38">
      <c r="L819" s="138" t="s">
        <v>234</v>
      </c>
      <c r="R819" s="139" t="s">
        <v>127</v>
      </c>
      <c r="S819" s="138">
        <f>2*AA811-S818</f>
        <v>373.99999999999966</v>
      </c>
      <c r="T819" s="138">
        <f>2*AA811-T818</f>
        <v>373.99999999999943</v>
      </c>
      <c r="U819" s="138">
        <f>2*AA811-U818</f>
        <v>373.99999999999966</v>
      </c>
      <c r="V819" s="138">
        <f>2*AA811-V818</f>
        <v>373.99999999999943</v>
      </c>
      <c r="W819" s="138"/>
      <c r="Y819" s="164"/>
      <c r="Z819" s="164" t="s">
        <v>129</v>
      </c>
      <c r="AA819" s="147"/>
      <c r="AB819" s="147"/>
      <c r="AC819" s="147"/>
      <c r="AD819" s="147"/>
      <c r="AG819" s="139" t="s">
        <v>194</v>
      </c>
      <c r="AH819" s="147">
        <f>IF(AH783=0,0,AH817)</f>
        <v>0</v>
      </c>
      <c r="AI819" s="147">
        <f>IF(AI783=0,0,AI817)</f>
        <v>0</v>
      </c>
      <c r="AJ819" s="147">
        <f>IF(AJ783=0,0,AJ817)</f>
        <v>0</v>
      </c>
      <c r="AK819" s="147">
        <f>IF(AK783=0,0,AK817)</f>
        <v>0</v>
      </c>
    </row>
    <row r="820" spans="10:38">
      <c r="J820" s="139" t="s">
        <v>134</v>
      </c>
      <c r="K820" s="138">
        <f>(1-L800^2)*O821*L785</f>
        <v>184.28877056365894</v>
      </c>
      <c r="L820" s="139" t="s">
        <v>135</v>
      </c>
      <c r="M820" s="138">
        <f>L787*(1+L800)*O821*L786</f>
        <v>5.8728045779623468</v>
      </c>
      <c r="R820" s="139" t="s">
        <v>136</v>
      </c>
      <c r="S820" s="138">
        <f>4*COS(S786/2)^2*SIN(S786/2)^2*$K825+COS(S786/2)^4*$K820+SIN(S786/2)^4*$K821+2*COS(S786/2)^2*SIN(S786/2)^2*$M820</f>
        <v>184.28877056365894</v>
      </c>
      <c r="T820" s="138">
        <f>4*COS(T786/2)^2*SIN(T786/2)^2*$K825+COS(T786/2)^4*$K820+SIN(T786/2)^4*$K821+2*COS(T786/2)^2*SIN(T786/2)^2*$M820</f>
        <v>13.920484365408953</v>
      </c>
      <c r="U820" s="138">
        <f>4*COS(U786/2)^2*SIN(U786/2)^2*$K825+COS(U786/2)^4*$K820+SIN(U786/2)^4*$K821+2*COS(U786/2)^2*SIN(U786/2)^2*$M820</f>
        <v>184.28877056365894</v>
      </c>
      <c r="V820" s="138">
        <f>4*COS(V786/2)^2*SIN(V786/2)^2*$K825+COS(V786/2)^4*$K820+SIN(V786/2)^4*$K821+2*COS(V786/2)^2*SIN(V786/2)^2*$M820</f>
        <v>13.920484365408953</v>
      </c>
      <c r="W820" s="138" t="s">
        <v>137</v>
      </c>
      <c r="X820" s="147">
        <f>S788/S822+T788/T822+U788/U822+V788/V822</f>
        <v>0</v>
      </c>
      <c r="Y820" s="147">
        <f>S788*S820+T788*T820+U788*U820+V788*V820</f>
        <v>0</v>
      </c>
      <c r="Z820" s="164"/>
      <c r="AF820" s="138"/>
    </row>
    <row r="821" spans="10:38">
      <c r="J821" s="139" t="s">
        <v>138</v>
      </c>
      <c r="K821" s="138">
        <f>(1-L787^2*L786/L785)*O821*L786</f>
        <v>13.920484365408953</v>
      </c>
      <c r="L821" s="139" t="s">
        <v>139</v>
      </c>
      <c r="M821" s="138">
        <f>M820</f>
        <v>5.8728045779623468</v>
      </c>
      <c r="N821" s="139" t="s">
        <v>140</v>
      </c>
      <c r="O821" s="138">
        <f>1/((1+L800)*(1-L800-2*L787^2*L786/L785))</f>
        <v>1.3575600041521836</v>
      </c>
      <c r="R821" s="139" t="s">
        <v>141</v>
      </c>
      <c r="S821" s="138">
        <f>4*COS(S786/2)^2*SIN(S786/2)^2*$K825+SIN(S786/2)^4*$K820+COS(S786/2)^4*$K821+2*COS(S786/2)^2*SIN(S786/2)^2*$M820</f>
        <v>13.920484365408953</v>
      </c>
      <c r="T821" s="138">
        <f>4*COS(T786/2)^2*SIN(T786/2)^2*$K825+SIN(T786/2)^4*$K820+COS(T786/2)^4*$K821+2*COS(T786/2)^2*SIN(T786/2)^2*$M820</f>
        <v>184.28877056365894</v>
      </c>
      <c r="U821" s="138">
        <f>4*COS(U786/2)^2*SIN(U786/2)^2*$K825+SIN(U786/2)^4*$K820+COS(U786/2)^4*$K821+2*COS(U786/2)^2*SIN(U786/2)^2*$M820</f>
        <v>13.920484365408953</v>
      </c>
      <c r="V821" s="138">
        <f>4*COS(V786/2)^2*SIN(V786/2)^2*$K825+SIN(V786/2)^4*$K820+COS(V786/2)^4*$K821+2*COS(V786/2)^2*SIN(V786/2)^2*$M820</f>
        <v>184.28877056365894</v>
      </c>
      <c r="W821" s="138" t="s">
        <v>142</v>
      </c>
      <c r="X821" s="141">
        <f>S788*S827/S822+T788*T827/T822+U788*U827/U822+V788*V827/V822</f>
        <v>0</v>
      </c>
      <c r="Y821" s="147">
        <f>S788*S821+T788*T821+U788*U821+V788*V821</f>
        <v>0</v>
      </c>
      <c r="Z821" s="164"/>
      <c r="AF821" s="138"/>
    </row>
    <row r="822" spans="10:38">
      <c r="J822" s="139" t="s">
        <v>146</v>
      </c>
      <c r="K822" s="138">
        <f>K821</f>
        <v>13.920484365408953</v>
      </c>
      <c r="L822" s="139" t="s">
        <v>147</v>
      </c>
      <c r="M822" s="138">
        <f>(L800+L787^2*L786/L785)*O821*L786</f>
        <v>7.053817698742284</v>
      </c>
      <c r="R822" s="139" t="s">
        <v>716</v>
      </c>
      <c r="S822" s="138">
        <f>$K822</f>
        <v>13.920484365408953</v>
      </c>
      <c r="T822" s="138">
        <f>$K822</f>
        <v>13.920484365408953</v>
      </c>
      <c r="U822" s="138">
        <f>$K822</f>
        <v>13.920484365408953</v>
      </c>
      <c r="V822" s="138">
        <f>$K822</f>
        <v>13.920484365408953</v>
      </c>
      <c r="W822" s="138" t="s">
        <v>148</v>
      </c>
      <c r="X822" s="141">
        <f>S788*S828/S822+T788*T828/T822+U788*U828/U822+V788*V828/V822</f>
        <v>0</v>
      </c>
      <c r="Y822" s="164"/>
      <c r="Z822" s="164"/>
      <c r="AF822" s="138"/>
    </row>
    <row r="823" spans="10:38">
      <c r="J823" s="139" t="s">
        <v>152</v>
      </c>
      <c r="K823" s="138">
        <f>(1-L800-2*L787^2*L786/L785)*O821*L786/2</f>
        <v>3.433333333333334</v>
      </c>
      <c r="R823" s="139" t="s">
        <v>153</v>
      </c>
      <c r="S823" s="138">
        <f>COS(S786/2)^2*$K823+SIN(S786/2)^2*$K824</f>
        <v>3.433333333333334</v>
      </c>
      <c r="T823" s="138">
        <f>COS(T786/2)^2*$K823+SIN(T786/2)^2*$K824</f>
        <v>7.17</v>
      </c>
      <c r="U823" s="138">
        <f>COS(U786/2)^2*$K823+SIN(U786/2)^2*$K824</f>
        <v>3.433333333333334</v>
      </c>
      <c r="V823" s="138">
        <f>COS(V786/2)^2*$K823+SIN(V786/2)^2*$K824</f>
        <v>7.17</v>
      </c>
      <c r="W823" s="138" t="s">
        <v>154</v>
      </c>
      <c r="X823" s="141">
        <f>S788*S832/S822+T788*T832/T822+U788*U832/U822+V788*V832/V822</f>
        <v>0</v>
      </c>
      <c r="Y823" s="164"/>
      <c r="Z823" s="164">
        <f>S788*S823/(S823*S824-S829^2)+T788*T823/(T823*T824-T829^2)+U788*U823/(U823*U824-U829^2)+V788*V823/(V823*V824-V829^2)</f>
        <v>0</v>
      </c>
      <c r="AF823" s="138"/>
    </row>
    <row r="824" spans="10:38">
      <c r="J824" s="139" t="s">
        <v>769</v>
      </c>
      <c r="K824" s="140">
        <f>L788</f>
        <v>7.17</v>
      </c>
      <c r="R824" s="139" t="s">
        <v>770</v>
      </c>
      <c r="S824" s="138">
        <f>SIN(S786/2)^2*$K823+COS(S786/2)^2*$K824</f>
        <v>7.17</v>
      </c>
      <c r="T824" s="138">
        <f>SIN(T786/2)^2*$K823+COS(T786/2)^2*$K824</f>
        <v>3.433333333333334</v>
      </c>
      <c r="U824" s="138">
        <f>SIN(U786/2)^2*$K823+COS(U786/2)^2*$K824</f>
        <v>7.17</v>
      </c>
      <c r="V824" s="138">
        <f>SIN(V786/2)^2*$K823+COS(V786/2)^2*$K824</f>
        <v>3.433333333333334</v>
      </c>
      <c r="W824" s="138" t="s">
        <v>771</v>
      </c>
      <c r="X824" s="141">
        <f>S788*S827^2/S822+T788*T827^2/T822+U788*U827^2/U822+V788*V827^2/V822</f>
        <v>0</v>
      </c>
      <c r="Y824" s="164"/>
      <c r="Z824" s="164">
        <f>S788*S824/(S823*S824-S829^2)+T788*T824/(T823*T824-T829^2)+U788*U824/(U823*U824-U829^2)+V788*V824/(V823*V824-V829^2)</f>
        <v>0</v>
      </c>
      <c r="AF824" s="138"/>
    </row>
    <row r="825" spans="10:38">
      <c r="J825" s="139" t="s">
        <v>773</v>
      </c>
      <c r="K825" s="140">
        <f>K824</f>
        <v>7.17</v>
      </c>
      <c r="P825" s="185"/>
      <c r="Q825" s="185"/>
      <c r="R825" s="186" t="s">
        <v>774</v>
      </c>
      <c r="S825" s="185">
        <f>(COS(S786/2)^2-SIN(S786/2)^2)^2*$K825+COS(S786/2)^2*SIN(S786/2)^2*($K820+$K821-2*$M820)</f>
        <v>7.17</v>
      </c>
      <c r="T825" s="185">
        <f>(COS(T786/2)^2-SIN(T786/2)^2)^2*$K825+COS(T786/2)^2*SIN(T786/2)^2*($K820+$K821-2*$M820)</f>
        <v>7.17</v>
      </c>
      <c r="U825" s="185">
        <f>(COS(U786/2)^2-SIN(U786/2)^2)^2*$K825+COS(U786/2)^2*SIN(U786/2)^2*($K820+$K821-2*$M820)</f>
        <v>7.17</v>
      </c>
      <c r="V825" s="185">
        <f>(COS(V786/2)^2-SIN(V786/2)^2)^2*$K825+COS(V786/2)^2*SIN(V786/2)^2*($K820+$K821-2*$M820)</f>
        <v>7.17</v>
      </c>
      <c r="W825" s="185" t="s">
        <v>775</v>
      </c>
      <c r="X825" s="187">
        <f>S788*S828^2/S822+T788*T828^2/T822+U788*U828^2/U822+V788*V828^2/V822</f>
        <v>0</v>
      </c>
      <c r="Y825" s="147">
        <f>S788*S825+T788*T825+U788*U825+V788*V825</f>
        <v>0</v>
      </c>
      <c r="Z825" s="188"/>
      <c r="AF825" s="138"/>
    </row>
    <row r="826" spans="10:38">
      <c r="J826" s="185"/>
      <c r="K826" s="185"/>
      <c r="L826" s="185"/>
      <c r="M826" s="185"/>
      <c r="N826" s="185"/>
      <c r="O826" s="185"/>
      <c r="R826" s="139" t="s">
        <v>145</v>
      </c>
      <c r="S826" s="138">
        <f>-4*COS(S786/2)^2*SIN(S786/2)^2*$K825+COS(S786/2)^2*SIN(S786/2)^2*($K820+$K821)+(COS(S786/2)^4+SIN(S786/2)^4)*$M820</f>
        <v>5.8728045779623468</v>
      </c>
      <c r="T826" s="138">
        <f>-4*COS(T786/2)^2*SIN(T786/2)^2*$K825+COS(T786/2)^2*SIN(T786/2)^2*($K820+$K821)+(COS(T786/2)^4+SIN(T786/2)^4)*$M820</f>
        <v>5.8728045779623468</v>
      </c>
      <c r="U826" s="138">
        <f>-4*COS(U786/2)^2*SIN(U786/2)^2*$K825+COS(U786/2)^2*SIN(U786/2)^2*($K820+$K821)+(COS(U786/2)^4+SIN(U786/2)^4)*$M820</f>
        <v>5.8728045779623468</v>
      </c>
      <c r="V826" s="138">
        <f>-4*COS(V786/2)^2*SIN(V786/2)^2*$K825+COS(V786/2)^2*SIN(V786/2)^2*($K820+$K821)+(COS(V786/2)^4+SIN(V786/2)^4)*$M820</f>
        <v>5.8728045779623468</v>
      </c>
      <c r="W826" s="138" t="s">
        <v>778</v>
      </c>
      <c r="X826" s="141">
        <f>S788*S827*S828/S822+T788*T827*T828/T822+U788*U827*U828/U822+V788*V827*V828/V822</f>
        <v>0</v>
      </c>
      <c r="Y826" s="147">
        <f>S788*S826+T788*T826+U788*U826+V788*V826</f>
        <v>0</v>
      </c>
      <c r="Z826" s="164"/>
      <c r="AF826" s="138"/>
    </row>
    <row r="827" spans="10:38">
      <c r="R827" s="139" t="s">
        <v>151</v>
      </c>
      <c r="S827" s="138">
        <f>COS(S786/2)^2*$M821+SIN(S786/2)^2*$M822</f>
        <v>5.8728045779623468</v>
      </c>
      <c r="T827" s="138">
        <f>COS(T786/2)^2*$M821+SIN(T786/2)^2*$M822</f>
        <v>7.053817698742284</v>
      </c>
      <c r="U827" s="138">
        <f>COS(U786/2)^2*$M821+SIN(U786/2)^2*$M822</f>
        <v>5.8728045779623468</v>
      </c>
      <c r="V827" s="138">
        <f>COS(V786/2)^2*$M821+SIN(V786/2)^2*$M822</f>
        <v>7.053817698742284</v>
      </c>
      <c r="W827" s="138" t="s">
        <v>782</v>
      </c>
      <c r="X827" s="141">
        <f>S788*S832*S827/S822+T788*T832*T827/T822+U788*U832*U827/U822+V788*V832*V827/V822</f>
        <v>0</v>
      </c>
      <c r="Y827" s="147"/>
      <c r="Z827" s="164"/>
      <c r="AF827" s="138"/>
    </row>
    <row r="828" spans="10:38">
      <c r="R828" s="139" t="s">
        <v>768</v>
      </c>
      <c r="S828" s="138">
        <f>SIN(S786/2)^2*$M821+COS(S786/2)^2*$M822</f>
        <v>7.053817698742284</v>
      </c>
      <c r="T828" s="138">
        <f>SIN(T786/2)^2*$M821+COS(T786/2)^2*$M822</f>
        <v>5.8728045779623468</v>
      </c>
      <c r="U828" s="138">
        <f>SIN(U786/2)^2*$M821+COS(U786/2)^2*$M822</f>
        <v>7.053817698742284</v>
      </c>
      <c r="V828" s="138">
        <f>SIN(V786/2)^2*$M821+COS(V786/2)^2*$M822</f>
        <v>5.8728045779623468</v>
      </c>
      <c r="W828" s="138" t="s">
        <v>785</v>
      </c>
      <c r="X828" s="141">
        <f>S788*S832*S828/S822+T788*T832*T828/T822+U788*U832*U828/U822+V788*V832*V828/V822</f>
        <v>0</v>
      </c>
      <c r="Y828" s="164"/>
      <c r="Z828" s="164"/>
      <c r="AF828" s="138"/>
    </row>
    <row r="829" spans="10:38">
      <c r="R829" s="139" t="s">
        <v>660</v>
      </c>
      <c r="S829" s="138">
        <f>COS(S786/2)*SIN(S786/2)*(-$K823+$K824)</f>
        <v>0</v>
      </c>
      <c r="T829" s="138">
        <f>COS(T786/2)*SIN(T786/2)*(-$K823+$K824)</f>
        <v>2.2889856965876046E-16</v>
      </c>
      <c r="U829" s="138">
        <f>COS(U786/2)*SIN(U786/2)*(-$K823+$K824)</f>
        <v>0</v>
      </c>
      <c r="V829" s="138">
        <f>COS(V786/2)*SIN(V786/2)*(-$K823+$K824)</f>
        <v>2.2889856965876046E-16</v>
      </c>
      <c r="W829" s="138" t="s">
        <v>1048</v>
      </c>
      <c r="X829" s="141">
        <f>S788*S832^2/S822+T788*T832^2/T822+U788*U832^2/U822+V788*V832^2/V822</f>
        <v>0</v>
      </c>
      <c r="Y829" s="164"/>
      <c r="Z829" s="164">
        <f>S788*S829/(S823*S824-S829^2)+T788*T829/(T823*T824-T829^2)+U788*U829/(U823*U824-U829^2)+V788*V829/(V823*V824-V829^2)</f>
        <v>0</v>
      </c>
      <c r="AF829" s="138"/>
    </row>
    <row r="830" spans="10:38">
      <c r="R830" s="139" t="s">
        <v>777</v>
      </c>
      <c r="S830" s="138">
        <f>-2*COS(S786/2)*SIN(S786/2)*(COS(S786/2)^2-SIN(S786/2)^2)*$K825+COS(S786/2)*SIN(S786/2)*(COS(S786/2)^2*$K820+SIN(S786/2)^2*$K821)+COS(S786/2)*SIN(S786/2)*(COS(S786/2)^2+SIN(S786/2)^2)*$M820</f>
        <v>0</v>
      </c>
      <c r="T830" s="138">
        <f>-2*COS(T786/2)*SIN(T786/2)*(COS(T786/2)^2-SIN(T786/2)^2)*$K825+COS(T786/2)*SIN(T786/2)*(COS(T786/2)^2*$K820+SIN(T786/2)^2*$K821)+COS(T786/2)*SIN(T786/2)*(COS(T786/2)^2+SIN(T786/2)^2)*$M820</f>
        <v>2.0909173104960418E-15</v>
      </c>
      <c r="U830" s="138">
        <f>-2*COS(U786/2)*SIN(U786/2)*(COS(U786/2)^2-SIN(U786/2)^2)*$K825+COS(U786/2)*SIN(U786/2)*(COS(U786/2)^2*$K820+SIN(U786/2)^2*$K821)+COS(U786/2)*SIN(U786/2)*(COS(U786/2)^2+SIN(U786/2)^2)*$M820</f>
        <v>0</v>
      </c>
      <c r="V830" s="138">
        <f>-2*COS(V786/2)*SIN(V786/2)*(COS(V786/2)^2-SIN(V786/2)^2)*$K825+COS(V786/2)*SIN(V786/2)*(COS(V786/2)^2*$K820+SIN(V786/2)^2*$K821)+COS(V786/2)*SIN(V786/2)*(COS(V786/2)^2+SIN(V786/2)^2)*$M820</f>
        <v>2.0909173104960418E-15</v>
      </c>
      <c r="W830" s="138"/>
      <c r="Y830" s="147">
        <f>S788*S830+T788*T830+U788*U830+V788*V830</f>
        <v>0</v>
      </c>
      <c r="Z830" s="164"/>
      <c r="AF830" s="138"/>
    </row>
    <row r="831" spans="10:38">
      <c r="R831" s="139" t="s">
        <v>781</v>
      </c>
      <c r="S831" s="138">
        <f>2*COS(S786/2)*SIN(S786/2)*(COS(S786/2)^2-SIN(S786/2)^2)*$K825+COS(S786/2)*SIN(S786/2)*(SIN(S786/2)^2*$K820-COS(S786/2)^2*$K821)+COS(S786/2)*SIN(S786/2)*(COS(S786/2)^2-SIN(S786/2)^2)*$M820</f>
        <v>0</v>
      </c>
      <c r="T831" s="138">
        <f>2*COS(T786/2)*SIN(T786/2)*(COS(T786/2)^2-SIN(T786/2)^2)*$K825+COS(T786/2)*SIN(T786/2)*(SIN(T786/2)^2*$K820-COS(T786/2)^2*$K821)+COS(T786/2)*SIN(T786/2)*(COS(T786/2)^2-SIN(T786/2)^2)*$M820</f>
        <v>1.0050870810750773E-14</v>
      </c>
      <c r="U831" s="138">
        <f>2*COS(U786/2)*SIN(U786/2)*(COS(U786/2)^2-SIN(U786/2)^2)*$K825+COS(U786/2)*SIN(U786/2)*(SIN(U786/2)^2*$K820-COS(U786/2)^2*$K821)+COS(U786/2)*SIN(U786/2)*(COS(U786/2)^2-SIN(U786/2)^2)*$M820</f>
        <v>0</v>
      </c>
      <c r="V831" s="138">
        <f>2*COS(V786/2)*SIN(V786/2)*(COS(V786/2)^2-SIN(V786/2)^2)*$K825+COS(V786/2)*SIN(V786/2)*(SIN(V786/2)^2*$K820-COS(V786/2)^2*$K821)+COS(V786/2)*SIN(V786/2)*(COS(V786/2)^2-SIN(V786/2)^2)*$M820</f>
        <v>1.0050870810750773E-14</v>
      </c>
      <c r="W831" s="138"/>
      <c r="Y831" s="147">
        <f>S788*S831+T788*T831+U788*U831+V788*V831</f>
        <v>0</v>
      </c>
      <c r="Z831" s="164"/>
      <c r="AF831" s="138"/>
    </row>
    <row r="832" spans="10:38">
      <c r="R832" s="139" t="s">
        <v>784</v>
      </c>
      <c r="S832" s="138">
        <f>COS(S786/2)*SIN(S786/2)*($M821-$M822)</f>
        <v>0</v>
      </c>
      <c r="T832" s="138">
        <f>COS(T786/2)*SIN(T786/2)*($M821-$M822)</f>
        <v>-7.2345820007517372E-17</v>
      </c>
      <c r="U832" s="138">
        <f>COS(U786/2)*SIN(U786/2)*($M821-$M822)</f>
        <v>0</v>
      </c>
      <c r="V832" s="138">
        <f>COS(V786/2)*SIN(V786/2)*($M821-$M822)</f>
        <v>-7.2345820007517372E-17</v>
      </c>
      <c r="W832" s="138"/>
      <c r="Y832" s="164"/>
      <c r="Z832" s="164"/>
      <c r="AF832" s="138"/>
    </row>
    <row r="833" s="138" customFormat="1"/>
    <row r="834" s="138" customFormat="1"/>
    <row r="835" s="138" customFormat="1"/>
    <row r="836" s="138" customFormat="1"/>
    <row r="837" s="138" customFormat="1"/>
    <row r="838" s="138" customFormat="1"/>
    <row r="839" s="138" customFormat="1"/>
    <row r="840" s="138" customFormat="1"/>
    <row r="841" s="138" customFormat="1"/>
    <row r="842" s="138" customFormat="1"/>
    <row r="843" s="138" customFormat="1"/>
    <row r="844" s="138" customFormat="1"/>
    <row r="845" s="138" customFormat="1"/>
    <row r="846" s="138" customFormat="1"/>
    <row r="847" s="138" customFormat="1"/>
    <row r="848" s="138" customFormat="1"/>
    <row r="849" s="138" customFormat="1"/>
    <row r="850" s="138" customFormat="1"/>
    <row r="851" s="138" customFormat="1"/>
    <row r="852" s="138" customFormat="1"/>
    <row r="853" s="138" customFormat="1"/>
    <row r="854" s="138" customFormat="1"/>
    <row r="855" s="138" customFormat="1"/>
    <row r="856" s="138" customFormat="1"/>
    <row r="857" s="138" customFormat="1"/>
    <row r="858" s="138" customFormat="1"/>
    <row r="859" s="138" customFormat="1"/>
    <row r="860" s="138" customFormat="1"/>
    <row r="861" s="138" customFormat="1"/>
    <row r="862" s="138" customFormat="1"/>
    <row r="863" s="138" customFormat="1"/>
    <row r="864" s="138" customFormat="1"/>
    <row r="865" spans="19:32">
      <c r="S865" s="138"/>
      <c r="T865" s="138"/>
      <c r="W865" s="138"/>
      <c r="X865" s="138"/>
      <c r="AF865" s="138"/>
    </row>
    <row r="866" spans="19:32">
      <c r="S866" s="138"/>
      <c r="T866" s="138"/>
      <c r="W866" s="138"/>
      <c r="X866" s="138"/>
      <c r="AF866" s="138"/>
    </row>
    <row r="867" spans="19:32">
      <c r="S867" s="138"/>
      <c r="T867" s="138"/>
      <c r="W867" s="138"/>
      <c r="X867" s="138"/>
      <c r="AF867" s="138"/>
    </row>
    <row r="868" spans="19:32">
      <c r="S868" s="138"/>
      <c r="T868" s="138"/>
      <c r="W868" s="138"/>
      <c r="X868" s="138"/>
      <c r="AF868" s="138"/>
    </row>
    <row r="869" spans="19:32">
      <c r="S869" s="138"/>
      <c r="T869" s="138"/>
      <c r="W869" s="138"/>
      <c r="X869" s="138"/>
      <c r="AF869" s="138"/>
    </row>
    <row r="870" spans="19:32">
      <c r="X870" s="138"/>
    </row>
  </sheetData>
  <phoneticPr fontId="5" type="noConversion"/>
  <printOptions headings="1" gridLines="1" gridLinesSet="0"/>
  <pageMargins left="0.75" right="0.75" top="1" bottom="1" header="0.5" footer="0.5"/>
  <pageSetup orientation="portrait" horizontalDpi="4294967293"/>
  <headerFooter alignWithMargins="0">
    <oddHeader>&amp;F</oddHeader>
    <oddFooter>Page &amp;P</oddFooter>
  </headerFooter>
  <rowBreaks count="15" manualBreakCount="15">
    <brk id="39" max="65535" man="1"/>
    <brk id="78" max="65535" man="1"/>
    <brk id="117" max="65535" man="1"/>
    <brk id="156" max="65535" man="1"/>
    <brk id="195" max="65535" man="1"/>
    <brk id="234" max="65535" man="1"/>
    <brk id="273" max="65535" man="1"/>
    <brk id="312" max="65535" man="1"/>
    <brk id="351" max="65535" man="1"/>
    <brk id="390" max="65535" man="1"/>
    <brk id="429" max="65535" man="1"/>
    <brk id="468" max="65535" man="1"/>
    <brk id="507" max="65535" man="1"/>
    <brk id="546" max="65535" man="1"/>
    <brk id="585" max="65535" man="1"/>
  </rowBreaks>
  <colBreaks count="5" manualBreakCount="5">
    <brk id="9" max="1048575" man="1"/>
    <brk id="17" max="1048575" man="1"/>
    <brk id="18" max="1048575" man="1"/>
    <brk id="25" max="1048575" man="1"/>
    <brk id="32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Line="0" autoPict="0" macro="[0]!Calculate_Shear">
                <anchor moveWithCells="1" sizeWithCells="1">
                  <from>
                    <xdr:col>6</xdr:col>
                    <xdr:colOff>160020</xdr:colOff>
                    <xdr:row>0</xdr:row>
                    <xdr:rowOff>45720</xdr:rowOff>
                  </from>
                  <to>
                    <xdr:col>7</xdr:col>
                    <xdr:colOff>480060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4" name="Button 3">
              <controlPr defaultSize="0" print="0" autoFill="0" autoLine="0" autoPict="0" macro="[0]!SelectMaterial_Lam3D">
                <anchor moveWithCells="1" sizeWithCells="1">
                  <from>
                    <xdr:col>2</xdr:col>
                    <xdr:colOff>670560</xdr:colOff>
                    <xdr:row>0</xdr:row>
                    <xdr:rowOff>0</xdr:rowOff>
                  </from>
                  <to>
                    <xdr:col>4</xdr:col>
                    <xdr:colOff>335280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43"/>
  <sheetViews>
    <sheetView workbookViewId="0"/>
  </sheetViews>
  <sheetFormatPr defaultColWidth="8.6328125" defaultRowHeight="15" outlineLevelRow="1"/>
  <sheetData>
    <row r="1" outlineLevel="1"/>
    <row r="2" outlineLevel="1"/>
    <row r="3" outlineLevel="1"/>
    <row r="4" outlineLevel="1"/>
    <row r="5" outlineLevel="1"/>
    <row r="6" outlineLevel="1"/>
    <row r="7" outlineLevel="1"/>
    <row r="8" outlineLevel="1"/>
    <row r="9" outlineLevel="1"/>
    <row r="10" outlineLevel="1"/>
    <row r="11" outlineLevel="1"/>
    <row r="12" outlineLevel="1"/>
    <row r="13" outlineLevel="1"/>
    <row r="14" outlineLevel="1"/>
    <row r="15" outlineLevel="1"/>
    <row r="16" outlineLevel="1"/>
    <row r="17" outlineLevel="1"/>
    <row r="18" outlineLevel="1"/>
    <row r="19" outlineLevel="1"/>
    <row r="20" outlineLevel="1"/>
    <row r="21" outlineLevel="1"/>
    <row r="23" outlineLevel="1"/>
    <row r="24" outlineLevel="1"/>
    <row r="25" outlineLevel="1"/>
    <row r="26" outlineLevel="1"/>
    <row r="27" outlineLevel="1"/>
    <row r="28" outlineLevel="1"/>
    <row r="29" outlineLevel="1"/>
    <row r="30" outlineLevel="1"/>
    <row r="31" outlineLevel="1"/>
    <row r="32" outlineLevel="1"/>
    <row r="33" outlineLevel="1"/>
    <row r="34" outlineLevel="1"/>
    <row r="35" outlineLevel="1"/>
    <row r="36" outlineLevel="1"/>
    <row r="37" outlineLevel="1"/>
    <row r="38" outlineLevel="1"/>
    <row r="39" outlineLevel="1"/>
    <row r="40" outlineLevel="1"/>
    <row r="41" outlineLevel="1"/>
    <row r="42" outlineLevel="1"/>
    <row r="43" outlineLevel="1"/>
  </sheetData>
  <phoneticPr fontId="5" type="noConversion"/>
  <pageMargins left="0.75" right="0.75" top="1" bottom="1" header="0.5" footer="0.5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>
    <pageSetUpPr autoPageBreaks="0"/>
  </sheetPr>
  <dimension ref="A1:AI674"/>
  <sheetViews>
    <sheetView workbookViewId="0"/>
  </sheetViews>
  <sheetFormatPr defaultColWidth="10.6328125" defaultRowHeight="15.6"/>
  <cols>
    <col min="1" max="1" width="7.08984375" style="308" customWidth="1"/>
    <col min="2" max="6" width="7.90625" style="308" customWidth="1"/>
    <col min="7" max="7" width="7.08984375" style="308" customWidth="1"/>
    <col min="8" max="8" width="7.90625" style="308" customWidth="1"/>
    <col min="9" max="9" width="7.6328125" style="308" customWidth="1"/>
    <col min="10" max="10" width="6.36328125" style="308" customWidth="1"/>
    <col min="11" max="12" width="7" style="308" customWidth="1"/>
    <col min="13" max="14" width="6.36328125" style="308" customWidth="1"/>
    <col min="15" max="16" width="6.90625" style="308" customWidth="1"/>
    <col min="17" max="18" width="6.36328125" style="308" customWidth="1"/>
    <col min="19" max="19" width="7.6328125" style="311" customWidth="1"/>
    <col min="20" max="20" width="7.08984375" style="311" customWidth="1"/>
    <col min="21" max="21" width="8.6328125" style="308" customWidth="1"/>
    <col min="22" max="22" width="7.08984375" style="308" customWidth="1"/>
    <col min="23" max="24" width="7.08984375" style="311" customWidth="1"/>
    <col min="25" max="25" width="7.08984375" style="308" customWidth="1"/>
    <col min="26" max="26" width="7.6328125" style="308" customWidth="1"/>
    <col min="27" max="29" width="8.36328125" style="308" customWidth="1"/>
    <col min="30" max="30" width="11.08984375" style="308" customWidth="1"/>
    <col min="31" max="31" width="7.6328125" style="308" customWidth="1"/>
    <col min="32" max="32" width="7.453125" style="311" customWidth="1"/>
    <col min="33" max="33" width="7.6328125" style="308" customWidth="1"/>
    <col min="34" max="34" width="9.90625" style="308" customWidth="1"/>
    <col min="35" max="35" width="7.6328125" style="308" customWidth="1"/>
    <col min="36" max="47" width="16.453125" style="308" customWidth="1"/>
    <col min="48" max="253" width="14" style="308" customWidth="1"/>
    <col min="254" max="16384" width="10.6328125" style="308"/>
  </cols>
  <sheetData>
    <row r="1" spans="1:35">
      <c r="A1" s="307" t="s">
        <v>367</v>
      </c>
      <c r="J1" s="307" t="s">
        <v>633</v>
      </c>
      <c r="K1" s="309"/>
      <c r="L1" s="309"/>
      <c r="N1" s="308" t="s">
        <v>1551</v>
      </c>
      <c r="P1" s="310"/>
      <c r="R1" s="308" t="s">
        <v>634</v>
      </c>
      <c r="Z1" s="308" t="s">
        <v>635</v>
      </c>
      <c r="AG1" s="308" t="s">
        <v>636</v>
      </c>
    </row>
    <row r="2" spans="1:35">
      <c r="A2" s="308" t="s">
        <v>638</v>
      </c>
      <c r="C2" s="307" t="s">
        <v>368</v>
      </c>
      <c r="D2" s="307" t="s">
        <v>369</v>
      </c>
      <c r="E2" s="307" t="s">
        <v>370</v>
      </c>
      <c r="F2" s="308" t="s">
        <v>371</v>
      </c>
      <c r="G2" s="309" t="s">
        <v>372</v>
      </c>
      <c r="H2"/>
      <c r="J2" s="309" t="str">
        <f>A51</f>
        <v>T3/N52[SI]</v>
      </c>
      <c r="K2" s="307"/>
      <c r="L2" s="309"/>
      <c r="N2" s="309" t="s">
        <v>596</v>
      </c>
      <c r="O2" s="312">
        <f>G52</f>
        <v>22</v>
      </c>
      <c r="P2" s="312">
        <f>B33</f>
        <v>22</v>
      </c>
      <c r="Q2" s="313">
        <f t="shared" ref="Q2:Q7" si="0">P2/O2</f>
        <v>1</v>
      </c>
      <c r="R2" s="307"/>
      <c r="T2" s="308"/>
      <c r="X2" s="314"/>
      <c r="Z2" s="309" t="s">
        <v>531</v>
      </c>
      <c r="AA2" s="315">
        <f>S4</f>
        <v>0</v>
      </c>
      <c r="AB2" s="315"/>
      <c r="AC2" s="315"/>
      <c r="AD2" s="315"/>
      <c r="AE2" s="309" t="s">
        <v>532</v>
      </c>
      <c r="AF2" s="314" t="s">
        <v>533</v>
      </c>
      <c r="AG2" s="309" t="s">
        <v>531</v>
      </c>
      <c r="AH2" s="315">
        <f>AA2</f>
        <v>0</v>
      </c>
    </row>
    <row r="3" spans="1:35">
      <c r="A3" s="309" t="s">
        <v>639</v>
      </c>
      <c r="B3" s="307" t="str">
        <f>J2</f>
        <v>T3/N52[SI]</v>
      </c>
      <c r="C3" s="316">
        <v>0</v>
      </c>
      <c r="D3" s="316">
        <v>1</v>
      </c>
      <c r="E3" s="317">
        <f t="shared" ref="E3:E10" si="1">2*D3</f>
        <v>2</v>
      </c>
      <c r="F3" s="309">
        <v>1</v>
      </c>
      <c r="G3" s="318">
        <v>0.92387953251128652</v>
      </c>
      <c r="H3"/>
      <c r="J3" s="309"/>
      <c r="K3" s="309"/>
      <c r="L3" s="309"/>
      <c r="N3" s="309" t="s">
        <v>600</v>
      </c>
      <c r="O3" s="319">
        <f>H52</f>
        <v>5.0000000000000001E-3</v>
      </c>
      <c r="P3" s="319">
        <f>C33</f>
        <v>5.0000000000000001E-3</v>
      </c>
      <c r="Q3" s="313">
        <f t="shared" si="0"/>
        <v>1</v>
      </c>
      <c r="R3" s="309" t="s">
        <v>243</v>
      </c>
      <c r="S3" s="314" t="s">
        <v>531</v>
      </c>
      <c r="T3" s="314" t="s">
        <v>652</v>
      </c>
      <c r="U3" s="314" t="s">
        <v>646</v>
      </c>
      <c r="W3" s="314"/>
      <c r="X3" s="314"/>
      <c r="Z3" s="309" t="s">
        <v>536</v>
      </c>
      <c r="AA3" s="315">
        <f>S5</f>
        <v>1</v>
      </c>
      <c r="AB3" s="315"/>
      <c r="AC3" s="315"/>
      <c r="AD3" s="315"/>
      <c r="AE3" s="309">
        <f>W5</f>
        <v>0</v>
      </c>
      <c r="AF3" s="315">
        <f>X5</f>
        <v>0</v>
      </c>
      <c r="AG3" s="309" t="s">
        <v>536</v>
      </c>
      <c r="AH3" s="315">
        <f>AA3</f>
        <v>1</v>
      </c>
    </row>
    <row r="4" spans="1:35">
      <c r="A4" s="309" t="s">
        <v>647</v>
      </c>
      <c r="B4" s="307" t="str">
        <f>J41</f>
        <v>T3/N52[SI]</v>
      </c>
      <c r="C4" s="316">
        <v>90</v>
      </c>
      <c r="D4" s="316">
        <v>1</v>
      </c>
      <c r="E4" s="317">
        <f t="shared" si="1"/>
        <v>2</v>
      </c>
      <c r="F4" s="309">
        <v>2</v>
      </c>
      <c r="G4" s="318">
        <v>-0.38268343236509039</v>
      </c>
      <c r="H4"/>
      <c r="J4" s="309" t="s">
        <v>1553</v>
      </c>
      <c r="K4" s="309" t="s">
        <v>1554</v>
      </c>
      <c r="L4" s="309" t="s">
        <v>1555</v>
      </c>
      <c r="M4" s="320" t="s">
        <v>1556</v>
      </c>
      <c r="N4" s="309" t="s">
        <v>1557</v>
      </c>
      <c r="O4" s="312">
        <f>G51</f>
        <v>122</v>
      </c>
      <c r="P4" s="312">
        <f>O4</f>
        <v>122</v>
      </c>
      <c r="Q4" s="313">
        <f t="shared" si="0"/>
        <v>1</v>
      </c>
      <c r="R4" s="309" t="s">
        <v>537</v>
      </c>
      <c r="S4" s="321">
        <f>C3</f>
        <v>0</v>
      </c>
      <c r="T4" s="322">
        <f>E3*L9/1000000</f>
        <v>2.5000000000000001E-4</v>
      </c>
      <c r="U4" s="319">
        <f>T4+T43+T82+T121+T160+T199+T238+T277</f>
        <v>2E-3</v>
      </c>
      <c r="W4" s="314"/>
      <c r="X4" s="314"/>
      <c r="Z4" s="309" t="s">
        <v>539</v>
      </c>
      <c r="AA4" s="315">
        <f>S6</f>
        <v>0</v>
      </c>
      <c r="AB4" s="315"/>
      <c r="AC4" s="315"/>
      <c r="AD4" s="315"/>
      <c r="AE4" s="309" t="s">
        <v>540</v>
      </c>
      <c r="AF4" s="311">
        <f>T4</f>
        <v>2.5000000000000001E-4</v>
      </c>
      <c r="AG4" s="309" t="s">
        <v>539</v>
      </c>
      <c r="AH4" s="315">
        <f>AA4</f>
        <v>0</v>
      </c>
    </row>
    <row r="5" spans="1:35">
      <c r="A5" s="309" t="s">
        <v>650</v>
      </c>
      <c r="B5" s="307" t="str">
        <f>J80</f>
        <v>T3/N52[SI]</v>
      </c>
      <c r="C5" s="316">
        <v>45</v>
      </c>
      <c r="D5" s="316">
        <v>1</v>
      </c>
      <c r="E5" s="317">
        <f t="shared" si="1"/>
        <v>2</v>
      </c>
      <c r="F5" s="309">
        <v>6</v>
      </c>
      <c r="G5" s="318">
        <v>0</v>
      </c>
      <c r="H5"/>
      <c r="J5" s="309" t="s">
        <v>298</v>
      </c>
      <c r="K5" s="310">
        <f>B51</f>
        <v>181</v>
      </c>
      <c r="L5" s="310">
        <f>L12*L11*D22</f>
        <v>1.8100000000000003</v>
      </c>
      <c r="M5" s="313">
        <f>L5/K5</f>
        <v>1.0000000000000002E-2</v>
      </c>
      <c r="N5" s="309" t="s">
        <v>299</v>
      </c>
      <c r="O5" s="312">
        <f>H51</f>
        <v>160</v>
      </c>
      <c r="P5" s="312">
        <f>O5-H54*(P3)</f>
        <v>150</v>
      </c>
      <c r="Q5" s="313">
        <f t="shared" si="0"/>
        <v>0.9375</v>
      </c>
      <c r="R5" s="309" t="s">
        <v>541</v>
      </c>
      <c r="S5" s="321">
        <f>D3</f>
        <v>1</v>
      </c>
      <c r="T5" s="308"/>
      <c r="U5" s="308">
        <f>T4/U4</f>
        <v>0.125</v>
      </c>
      <c r="W5" s="323"/>
      <c r="X5" s="315"/>
      <c r="Z5" s="309"/>
      <c r="AA5" s="311"/>
      <c r="AB5" s="311"/>
      <c r="AC5" s="311"/>
      <c r="AD5" s="311"/>
      <c r="AE5" s="314"/>
      <c r="AI5" s="309" t="s">
        <v>109</v>
      </c>
    </row>
    <row r="6" spans="1:35">
      <c r="A6" s="309" t="s">
        <v>656</v>
      </c>
      <c r="B6" s="307" t="str">
        <f>J119</f>
        <v>T3/N52[SI]</v>
      </c>
      <c r="C6" s="316">
        <v>-45</v>
      </c>
      <c r="D6" s="316">
        <v>1</v>
      </c>
      <c r="E6" s="317">
        <f t="shared" si="1"/>
        <v>2</v>
      </c>
      <c r="F6" s="324"/>
      <c r="H6"/>
      <c r="J6" s="309" t="s">
        <v>1579</v>
      </c>
      <c r="K6" s="310">
        <f>C51</f>
        <v>10.3</v>
      </c>
      <c r="L6" s="310">
        <f>(1+L15)/(1/L16+L15/L13)*E22</f>
        <v>0.10300000000000002</v>
      </c>
      <c r="M6" s="313">
        <f>L6/K6</f>
        <v>1.0000000000000002E-2</v>
      </c>
      <c r="N6" s="309" t="s">
        <v>1580</v>
      </c>
      <c r="O6" s="310">
        <f>(O5-O2)/(O5-O2)</f>
        <v>1</v>
      </c>
      <c r="P6" s="310">
        <f>(P5-P2)/(P5-O2)</f>
        <v>1</v>
      </c>
      <c r="Q6" s="313">
        <f t="shared" si="0"/>
        <v>1</v>
      </c>
      <c r="R6" s="309" t="s">
        <v>1295</v>
      </c>
      <c r="S6" s="325">
        <f>S4*PI()/90</f>
        <v>0</v>
      </c>
      <c r="T6" s="308"/>
      <c r="W6" s="314"/>
      <c r="X6" s="326"/>
      <c r="Y6" s="309"/>
      <c r="Z6" s="307" t="s">
        <v>1297</v>
      </c>
      <c r="AA6" s="314"/>
      <c r="AB6" s="314"/>
      <c r="AC6" s="311"/>
      <c r="AD6" s="311"/>
      <c r="AE6" s="311"/>
      <c r="AG6" s="307" t="s">
        <v>1298</v>
      </c>
      <c r="AI6" s="309" t="s">
        <v>1299</v>
      </c>
    </row>
    <row r="7" spans="1:35">
      <c r="A7" s="309" t="s">
        <v>659</v>
      </c>
      <c r="B7" s="307" t="str">
        <f>J158</f>
        <v>T3/N52[SI]</v>
      </c>
      <c r="C7" s="316">
        <v>-45</v>
      </c>
      <c r="D7" s="316">
        <v>1</v>
      </c>
      <c r="E7" s="317">
        <f t="shared" si="1"/>
        <v>2</v>
      </c>
      <c r="F7"/>
      <c r="G7"/>
      <c r="H7"/>
      <c r="J7" s="309" t="s">
        <v>259</v>
      </c>
      <c r="K7" s="310">
        <f>D51</f>
        <v>0.28000000000000003</v>
      </c>
      <c r="L7" s="310">
        <f>K7*I33*C22</f>
        <v>2.8000000000000004E-3</v>
      </c>
      <c r="M7" s="313">
        <f>L7/K7</f>
        <v>0.01</v>
      </c>
      <c r="N7" s="309" t="s">
        <v>260</v>
      </c>
      <c r="O7" s="312">
        <f>O2-O4</f>
        <v>-100</v>
      </c>
      <c r="P7" s="312">
        <f>P2-P4</f>
        <v>-100</v>
      </c>
      <c r="Q7" s="313">
        <f t="shared" si="0"/>
        <v>1</v>
      </c>
      <c r="R7" s="309" t="s">
        <v>1300</v>
      </c>
      <c r="S7" s="325">
        <f>2*S6</f>
        <v>0</v>
      </c>
      <c r="T7" s="308"/>
      <c r="W7" s="323"/>
      <c r="X7" s="315"/>
      <c r="Y7" s="311"/>
      <c r="Z7" s="309" t="s">
        <v>1546</v>
      </c>
      <c r="AA7" s="314" t="s">
        <v>1301</v>
      </c>
      <c r="AB7" s="314"/>
      <c r="AC7" s="327" t="s">
        <v>619</v>
      </c>
      <c r="AE7" s="314" t="s">
        <v>1303</v>
      </c>
      <c r="AF7" s="314" t="s">
        <v>1304</v>
      </c>
      <c r="AG7" s="309" t="s">
        <v>1305</v>
      </c>
      <c r="AH7" s="319">
        <f>AA13/1000</f>
        <v>0.83207951361633303</v>
      </c>
      <c r="AI7" s="328">
        <f>($AE$31+$AE$32)/2</f>
        <v>1.5940987336163721E-5</v>
      </c>
    </row>
    <row r="8" spans="1:35">
      <c r="A8" s="309" t="s">
        <v>663</v>
      </c>
      <c r="B8" s="307" t="str">
        <f>J197</f>
        <v>T3/N52[SI]</v>
      </c>
      <c r="C8" s="316">
        <v>45</v>
      </c>
      <c r="D8" s="316">
        <v>1</v>
      </c>
      <c r="E8" s="317">
        <f t="shared" si="1"/>
        <v>2</v>
      </c>
      <c r="F8" s="324"/>
      <c r="J8" s="309" t="s">
        <v>261</v>
      </c>
      <c r="K8" s="310">
        <f>E51</f>
        <v>7.17</v>
      </c>
      <c r="L8" s="310">
        <f>(1+L18)/(1/L19+L18*2.7/L13)</f>
        <v>7.17E-2</v>
      </c>
      <c r="M8" s="313">
        <f>L8/K8</f>
        <v>0.01</v>
      </c>
      <c r="N8" s="309"/>
      <c r="O8" s="310"/>
      <c r="P8" s="310"/>
      <c r="Q8" s="310"/>
      <c r="S8" s="329"/>
      <c r="T8" s="308"/>
      <c r="W8" s="314"/>
      <c r="X8" s="314"/>
      <c r="Y8" s="311"/>
      <c r="Z8" s="309">
        <v>1</v>
      </c>
      <c r="AA8" s="310">
        <f>IF(AA18=FALSE,-AE27,AA18)</f>
        <v>0.92387953251128652</v>
      </c>
      <c r="AB8" s="322"/>
      <c r="AC8" s="310">
        <f>IF(AB18=FALSE,AE27,AB18)</f>
        <v>832.07951361633309</v>
      </c>
      <c r="AD8" s="328"/>
      <c r="AE8" s="326" t="s">
        <v>1306</v>
      </c>
      <c r="AF8" s="322">
        <f>IF(T4=0,0,(AC8+AC9)/2)</f>
        <v>153.03071527573502</v>
      </c>
      <c r="AG8" s="309" t="s">
        <v>1307</v>
      </c>
      <c r="AH8" s="319">
        <f>AA14/1000</f>
        <v>-0.52601808306486308</v>
      </c>
      <c r="AI8" s="328">
        <f>($AE$31-$AE$32)/2</f>
        <v>-1.4744162556861379E-5</v>
      </c>
    </row>
    <row r="9" spans="1:35">
      <c r="A9" s="309" t="s">
        <v>667</v>
      </c>
      <c r="B9" s="307" t="str">
        <f>J236</f>
        <v>T3/N52[SI]</v>
      </c>
      <c r="C9" s="316">
        <v>90</v>
      </c>
      <c r="D9" s="316">
        <v>1</v>
      </c>
      <c r="E9" s="317">
        <f t="shared" si="1"/>
        <v>2</v>
      </c>
      <c r="F9" s="307"/>
      <c r="J9" s="309" t="s">
        <v>262</v>
      </c>
      <c r="K9" s="312">
        <f>B53</f>
        <v>125</v>
      </c>
      <c r="L9" s="312">
        <f>K9/M11</f>
        <v>125</v>
      </c>
      <c r="M9" s="313">
        <f>L9/K9</f>
        <v>1</v>
      </c>
      <c r="N9" s="307" t="s">
        <v>1531</v>
      </c>
      <c r="O9" s="310"/>
      <c r="P9" s="310"/>
      <c r="Q9" s="310"/>
      <c r="R9" s="309" t="s">
        <v>1325</v>
      </c>
      <c r="S9" s="314" t="s">
        <v>1326</v>
      </c>
      <c r="T9" s="308"/>
      <c r="U9" s="314" t="s">
        <v>1330</v>
      </c>
      <c r="V9" s="309" t="s">
        <v>172</v>
      </c>
      <c r="W9" s="309" t="s">
        <v>187</v>
      </c>
      <c r="X9" s="314"/>
      <c r="Y9" s="319"/>
      <c r="Z9" s="309">
        <v>2</v>
      </c>
      <c r="AA9" s="310">
        <f>IF(AA19=FALSE,-AE28,AA19)</f>
        <v>-0.38268343236509039</v>
      </c>
      <c r="AB9" s="322"/>
      <c r="AC9" s="310">
        <f>IF(AB19=FALSE,AE28,AB19)</f>
        <v>-526.01808306486305</v>
      </c>
      <c r="AD9" s="328"/>
      <c r="AE9" s="326" t="s">
        <v>1309</v>
      </c>
      <c r="AF9" s="322">
        <f>IF(T4=0,0,(AC8-AC9)/2)</f>
        <v>679.04879834059807</v>
      </c>
      <c r="AG9" s="309" t="s">
        <v>1310</v>
      </c>
      <c r="AH9" s="319">
        <f>AA15/1000</f>
        <v>5.6856910853327398E-17</v>
      </c>
      <c r="AI9" s="328">
        <f>$AE$33/2</f>
        <v>-1.765337588225286E-21</v>
      </c>
    </row>
    <row r="10" spans="1:35">
      <c r="A10" s="309" t="s">
        <v>673</v>
      </c>
      <c r="B10" s="307" t="str">
        <f>J275</f>
        <v>T3/N52[SI]</v>
      </c>
      <c r="C10" s="316">
        <v>0</v>
      </c>
      <c r="D10" s="316">
        <v>1</v>
      </c>
      <c r="E10" s="317">
        <f t="shared" si="1"/>
        <v>2</v>
      </c>
      <c r="F10" s="324"/>
      <c r="J10" s="307" t="s">
        <v>264</v>
      </c>
      <c r="K10" s="310"/>
      <c r="L10" s="310"/>
      <c r="N10" s="309" t="s">
        <v>265</v>
      </c>
      <c r="O10" s="310">
        <f>A54</f>
        <v>0.02</v>
      </c>
      <c r="P10" s="310">
        <f>O10</f>
        <v>0.02</v>
      </c>
      <c r="Q10" s="310">
        <f>P10/O10</f>
        <v>1</v>
      </c>
      <c r="R10" s="309">
        <v>11</v>
      </c>
      <c r="S10" s="310">
        <f>L27+L28*COS(S6)+L29*COS(S7)</f>
        <v>1.8100008075203604</v>
      </c>
      <c r="T10" s="308"/>
      <c r="U10" s="322">
        <f>S10*T4</f>
        <v>4.5250020188009011E-4</v>
      </c>
      <c r="V10" s="322">
        <f t="shared" ref="V10:V15" si="2">U10+U49+U88+U127+U166+U205+U244+U283</f>
        <v>1.3910951223277007E-3</v>
      </c>
      <c r="W10" s="310">
        <f>V10/U4</f>
        <v>0.6955475611638503</v>
      </c>
      <c r="X10" s="319"/>
      <c r="Y10" s="311"/>
      <c r="Z10" s="309">
        <v>6</v>
      </c>
      <c r="AA10" s="310">
        <f>IF(AA20=FALSE,-AE29,AA20)</f>
        <v>0</v>
      </c>
      <c r="AB10" s="322"/>
      <c r="AC10" s="310">
        <f>IF(AB20=FALSE,AE29,AB20)</f>
        <v>5.6856910853327399E-14</v>
      </c>
      <c r="AD10" s="328"/>
      <c r="AE10" s="326" t="s">
        <v>1312</v>
      </c>
      <c r="AF10" s="322">
        <f>IF(T4=0,0,AC10/2)</f>
        <v>2.8428455426663699E-14</v>
      </c>
      <c r="AG10" s="309"/>
      <c r="AH10" s="322"/>
      <c r="AI10" s="322"/>
    </row>
    <row r="11" spans="1:35">
      <c r="A11" s="307" t="s">
        <v>718</v>
      </c>
      <c r="B11" s="326"/>
      <c r="C11" s="330" t="s">
        <v>719</v>
      </c>
      <c r="D11" s="331" t="s">
        <v>373</v>
      </c>
      <c r="E11" s="331" t="s">
        <v>721</v>
      </c>
      <c r="F11" s="331" t="s">
        <v>374</v>
      </c>
      <c r="G11" s="331" t="s">
        <v>723</v>
      </c>
      <c r="H11" s="330" t="s">
        <v>122</v>
      </c>
      <c r="I11" s="307" t="s">
        <v>375</v>
      </c>
      <c r="J11" s="309" t="s">
        <v>1532</v>
      </c>
      <c r="K11" s="310">
        <f>C53</f>
        <v>0.7</v>
      </c>
      <c r="L11" s="310">
        <f>D33</f>
        <v>0.7</v>
      </c>
      <c r="M11" s="313">
        <f t="shared" ref="M11:M19" si="3">L11/K11</f>
        <v>1</v>
      </c>
      <c r="N11" s="309" t="s">
        <v>1533</v>
      </c>
      <c r="O11" s="310">
        <f>B54</f>
        <v>22.5</v>
      </c>
      <c r="P11" s="310">
        <f>O11*(1-L11)/(1-K11)</f>
        <v>22.5</v>
      </c>
      <c r="Q11" s="310">
        <f>P11/O11</f>
        <v>1</v>
      </c>
      <c r="R11" s="309">
        <v>22</v>
      </c>
      <c r="S11" s="310">
        <f>S10-2*L28*COS(S6)</f>
        <v>0.1030000459528162</v>
      </c>
      <c r="T11" s="308"/>
      <c r="U11" s="322">
        <f>S11*T4</f>
        <v>2.575001148820405E-5</v>
      </c>
      <c r="V11" s="322">
        <f t="shared" si="2"/>
        <v>1.4300606625216533E-3</v>
      </c>
      <c r="W11" s="310">
        <f>V11/U4</f>
        <v>0.71503033126082671</v>
      </c>
      <c r="X11" s="314"/>
      <c r="AA11" s="322"/>
      <c r="AB11" s="327"/>
      <c r="AC11" s="322"/>
      <c r="AD11" s="322"/>
      <c r="AE11" s="326"/>
      <c r="AF11" s="322"/>
      <c r="AG11" s="309"/>
      <c r="AH11" s="322"/>
      <c r="AI11" s="322"/>
    </row>
    <row r="12" spans="1:35">
      <c r="A12" s="307" t="s">
        <v>214</v>
      </c>
      <c r="B12" s="310">
        <f>AA8</f>
        <v>0.92387953251128652</v>
      </c>
      <c r="C12" s="321">
        <f>B12/U4</f>
        <v>461.93976625564324</v>
      </c>
      <c r="D12" s="332">
        <f>C12*A19</f>
        <v>306.8800176236735</v>
      </c>
      <c r="E12" s="313">
        <f>AC8</f>
        <v>832.07951361633309</v>
      </c>
      <c r="F12" s="333">
        <f>E12*A19</f>
        <v>552.77461360961263</v>
      </c>
      <c r="G12" s="319">
        <f>AE31*1000</f>
        <v>1.1968247793023403E-3</v>
      </c>
      <c r="H12" s="313">
        <f>V18</f>
        <v>0.62658037784385989</v>
      </c>
      <c r="I12" s="310">
        <f>AC31</f>
        <v>0.11556465563659149</v>
      </c>
      <c r="J12" s="309" t="s">
        <v>1534</v>
      </c>
      <c r="K12" s="312">
        <f>K5/K11</f>
        <v>258.57142857142861</v>
      </c>
      <c r="L12" s="312">
        <f>F33*P6^F54*C22</f>
        <v>2.5857142857142863</v>
      </c>
      <c r="M12" s="313">
        <f t="shared" si="3"/>
        <v>0.01</v>
      </c>
      <c r="N12" s="308" t="s">
        <v>1535</v>
      </c>
      <c r="O12" s="310"/>
      <c r="P12" s="310"/>
      <c r="Q12" s="310"/>
      <c r="R12" s="309" t="s">
        <v>1345</v>
      </c>
      <c r="S12" s="310">
        <f>L30-L29*COS(S7)</f>
        <v>2.8840012866790388E-4</v>
      </c>
      <c r="T12" s="308"/>
      <c r="U12" s="322">
        <f>S12*T4</f>
        <v>7.2100032166975976E-8</v>
      </c>
      <c r="V12" s="322">
        <f t="shared" si="2"/>
        <v>4.4413343911675369E-4</v>
      </c>
      <c r="W12" s="310">
        <f>V12/U4</f>
        <v>0.22206671955837684</v>
      </c>
      <c r="X12" s="322"/>
      <c r="Z12" s="307" t="s">
        <v>1323</v>
      </c>
      <c r="AA12" s="322"/>
      <c r="AB12" s="322" t="s">
        <v>376</v>
      </c>
      <c r="AC12" s="322"/>
      <c r="AD12" s="322"/>
      <c r="AE12" s="326"/>
      <c r="AF12" s="322"/>
      <c r="AG12" s="309"/>
      <c r="AH12" s="322"/>
      <c r="AI12" s="322"/>
    </row>
    <row r="13" spans="1:35">
      <c r="A13" s="307" t="s">
        <v>215</v>
      </c>
      <c r="B13" s="310">
        <f>AA9</f>
        <v>-0.38268343236509039</v>
      </c>
      <c r="C13" s="321">
        <f>B13/U4</f>
        <v>-191.34171618254518</v>
      </c>
      <c r="D13" s="332">
        <f>C13*A19</f>
        <v>-127.11386532102023</v>
      </c>
      <c r="E13" s="313">
        <f>AC9</f>
        <v>-526.01808306486305</v>
      </c>
      <c r="F13" s="313">
        <f>E13*A19</f>
        <v>-349.44910655728614</v>
      </c>
      <c r="G13" s="319">
        <f>AE32*1000</f>
        <v>3.0685149893025097E-2</v>
      </c>
      <c r="H13" s="313">
        <f>V19</f>
        <v>0.64413132925310901</v>
      </c>
      <c r="I13" s="310">
        <f>AC32</f>
        <v>0.9970773531851117</v>
      </c>
      <c r="J13" s="309" t="s">
        <v>1536</v>
      </c>
      <c r="K13" s="310">
        <f>F51</f>
        <v>3.4</v>
      </c>
      <c r="L13" s="310">
        <f>E33*P6^F53*I33*C22</f>
        <v>3.4000000000000002E-2</v>
      </c>
      <c r="M13" s="313">
        <f t="shared" si="3"/>
        <v>0.01</v>
      </c>
      <c r="N13" s="309" t="s">
        <v>1537</v>
      </c>
      <c r="O13" s="310">
        <f>C54</f>
        <v>0</v>
      </c>
      <c r="P13" s="310">
        <f>O13</f>
        <v>0</v>
      </c>
      <c r="Q13" s="310">
        <v>1</v>
      </c>
      <c r="R13" s="309">
        <v>66</v>
      </c>
      <c r="S13" s="310">
        <f>S12-L30+L31</f>
        <v>7.1699999999999986E-2</v>
      </c>
      <c r="T13" s="308"/>
      <c r="U13" s="322">
        <f>S13*T4</f>
        <v>1.7924999999999995E-5</v>
      </c>
      <c r="V13" s="322">
        <f t="shared" si="2"/>
        <v>5.0200594305701445E-4</v>
      </c>
      <c r="W13" s="310">
        <f>V13/U4</f>
        <v>0.2510029715285072</v>
      </c>
      <c r="X13" s="310"/>
      <c r="Z13" s="309" t="s">
        <v>1324</v>
      </c>
      <c r="AA13" s="319">
        <f>(AF8+AF9*COS(AA4)+AF10*SIN(AA4))</f>
        <v>832.07951361633309</v>
      </c>
      <c r="AB13" s="319">
        <f>AA13+AH23</f>
        <v>832.07951681315785</v>
      </c>
      <c r="AC13" s="319">
        <f>IF(ABS(AB13/AB16)&lt;0.000000001,0,AB13)</f>
        <v>832.07951681315785</v>
      </c>
      <c r="AD13" s="319"/>
      <c r="AE13" s="326"/>
      <c r="AF13" s="322"/>
      <c r="AG13" s="307"/>
      <c r="AH13" s="326"/>
      <c r="AI13" s="322"/>
    </row>
    <row r="14" spans="1:35">
      <c r="A14" s="307" t="s">
        <v>216</v>
      </c>
      <c r="B14" s="310">
        <f>AA10</f>
        <v>0</v>
      </c>
      <c r="C14" s="321">
        <f>B14/U4</f>
        <v>0</v>
      </c>
      <c r="D14" s="332">
        <f>C14*A19</f>
        <v>0</v>
      </c>
      <c r="E14" s="313">
        <f>AC10</f>
        <v>5.6856910853327399E-14</v>
      </c>
      <c r="F14" s="313">
        <f>E14*A19</f>
        <v>3.7771698994714098E-14</v>
      </c>
      <c r="G14" s="319">
        <f>AE33*1000</f>
        <v>-3.5306751764505722E-18</v>
      </c>
      <c r="H14" s="313">
        <f>V21</f>
        <v>0.2510029715285072</v>
      </c>
      <c r="I14" s="310">
        <f>AC33</f>
        <v>-1.5046578368033799E-16</v>
      </c>
      <c r="J14" s="309" t="s">
        <v>1538</v>
      </c>
      <c r="K14" s="310">
        <f>E53</f>
        <v>0.51600000000000001</v>
      </c>
      <c r="L14" s="310">
        <f>K14*P6^G53</f>
        <v>0.51600000000000001</v>
      </c>
      <c r="M14" s="313">
        <f t="shared" si="3"/>
        <v>1</v>
      </c>
      <c r="N14" s="309" t="s">
        <v>1539</v>
      </c>
      <c r="O14" s="310">
        <f>D54</f>
        <v>0.6</v>
      </c>
      <c r="P14" s="310">
        <f>O14*(1-L11)/(1-K11)</f>
        <v>0.6</v>
      </c>
      <c r="Q14" s="310">
        <f>P14/O14</f>
        <v>1</v>
      </c>
      <c r="R14" s="309" t="s">
        <v>1347</v>
      </c>
      <c r="S14" s="310">
        <f>L28*SIN(S6)/2+L29*SIN(S7)</f>
        <v>0</v>
      </c>
      <c r="T14" s="308"/>
      <c r="U14" s="322">
        <f>S14*T4</f>
        <v>0</v>
      </c>
      <c r="V14" s="322">
        <f t="shared" si="2"/>
        <v>6.9206013750663471E-23</v>
      </c>
      <c r="W14" s="310">
        <f>V14/U4</f>
        <v>3.4603006875331733E-20</v>
      </c>
      <c r="X14" s="314"/>
      <c r="Z14" s="309" t="s">
        <v>1332</v>
      </c>
      <c r="AA14" s="319">
        <f>2*AF8-AA13</f>
        <v>-526.01808306486305</v>
      </c>
      <c r="AB14" s="319">
        <f>AA14+AH24</f>
        <v>-526.01880237971318</v>
      </c>
      <c r="AC14" s="319">
        <f>IF(ABS(AB14/AB16)&lt;0.000000001,0,AB14)</f>
        <v>-526.01880237971318</v>
      </c>
      <c r="AD14" s="319"/>
      <c r="AE14" s="322"/>
      <c r="AF14" s="322"/>
      <c r="AG14" s="309" t="s">
        <v>1333</v>
      </c>
      <c r="AH14" s="308">
        <f>P33*AH7^2+2*P35*AH7*AH8+P34*AH8^2+P36*AH9^2</f>
        <v>1.8999678439950516</v>
      </c>
      <c r="AI14" s="322"/>
    </row>
    <row r="15" spans="1:35">
      <c r="A15" s="308" t="s">
        <v>377</v>
      </c>
      <c r="G15" s="308" t="s">
        <v>133</v>
      </c>
      <c r="H15" s="313">
        <f>V20</f>
        <v>0.31056964977527918</v>
      </c>
      <c r="J15" s="309" t="s">
        <v>1547</v>
      </c>
      <c r="K15" s="310">
        <f>K14*(1-K11)/K11</f>
        <v>0.2211428571428572</v>
      </c>
      <c r="L15" s="310">
        <f>L14*(1-L11)/L11</f>
        <v>0.2211428571428572</v>
      </c>
      <c r="M15" s="313">
        <f t="shared" si="3"/>
        <v>1</v>
      </c>
      <c r="O15" s="310"/>
      <c r="P15" s="310"/>
      <c r="Q15" s="310"/>
      <c r="R15" s="309" t="s">
        <v>1349</v>
      </c>
      <c r="S15" s="310">
        <f>L28*SIN(S6)-S14</f>
        <v>0</v>
      </c>
      <c r="T15" s="308"/>
      <c r="U15" s="322">
        <f>S15*T4</f>
        <v>0</v>
      </c>
      <c r="V15" s="322">
        <f t="shared" si="2"/>
        <v>5.43709294019984E-20</v>
      </c>
      <c r="W15" s="310">
        <f>V15/U4</f>
        <v>2.7185464700999198E-17</v>
      </c>
      <c r="X15" s="322"/>
      <c r="Z15" s="309" t="s">
        <v>1334</v>
      </c>
      <c r="AA15" s="319">
        <f>(2*(AF10*COS(AA4)-AF9*SIN(AA4)))</f>
        <v>5.6856910853327399E-14</v>
      </c>
      <c r="AB15" s="319">
        <f>AA15+AH25</f>
        <v>5.6856907322652218E-14</v>
      </c>
      <c r="AC15" s="319">
        <f>IF(ABS(AB15/AB16)&lt;0.000000001,0,AB15)</f>
        <v>0</v>
      </c>
      <c r="AD15" s="319"/>
      <c r="AE15" s="322"/>
      <c r="AF15" s="322"/>
      <c r="AG15" s="309" t="s">
        <v>1335</v>
      </c>
      <c r="AH15" s="308">
        <f>P37*AH7+P38*AH8</f>
        <v>-1.7164287232282334</v>
      </c>
      <c r="AI15" s="322"/>
    </row>
    <row r="16" spans="1:35">
      <c r="A16" s="309" t="s">
        <v>378</v>
      </c>
      <c r="B16" s="309" t="s">
        <v>995</v>
      </c>
      <c r="C16" s="309" t="s">
        <v>379</v>
      </c>
      <c r="D16" s="309" t="s">
        <v>997</v>
      </c>
      <c r="E16" s="309" t="s">
        <v>380</v>
      </c>
      <c r="F16" s="309" t="s">
        <v>999</v>
      </c>
      <c r="G16" s="309" t="s">
        <v>381</v>
      </c>
      <c r="H16"/>
      <c r="I16" s="309"/>
      <c r="J16" s="309" t="s">
        <v>1643</v>
      </c>
      <c r="K16" s="310">
        <f>1/((1+K15)/K6-K15/K13)</f>
        <v>18.686160319541436</v>
      </c>
      <c r="L16" s="310">
        <f>K16*P6^F54*C22</f>
        <v>0.18686160319541437</v>
      </c>
      <c r="M16" s="313">
        <f t="shared" si="3"/>
        <v>0.01</v>
      </c>
      <c r="N16" s="308" t="s">
        <v>176</v>
      </c>
      <c r="O16" s="310"/>
      <c r="P16" s="310"/>
      <c r="Q16" s="310"/>
      <c r="S16" s="308"/>
      <c r="T16" s="314" t="s">
        <v>1353</v>
      </c>
      <c r="U16" s="311">
        <f>U10*U11*U13+2*U12*U14*U15-U11*U14^2-U13*U12^2-U10*U15^2</f>
        <v>2.08859952556541E-13</v>
      </c>
      <c r="V16" s="311">
        <f>V10*V11*V13+2*V12*V14*V15-V11*V14^2-V13*V12^2-V10*V15^2</f>
        <v>8.9964279259162027E-10</v>
      </c>
      <c r="W16" s="308"/>
      <c r="X16" s="322"/>
      <c r="AA16" s="309" t="s">
        <v>1363</v>
      </c>
      <c r="AB16" s="322">
        <f>SQRT(AB13^2+AB14^2+AB15^2)</f>
        <v>984.40444064266899</v>
      </c>
      <c r="AC16" s="322"/>
      <c r="AD16" s="322"/>
      <c r="AE16" s="322"/>
      <c r="AF16" s="322"/>
      <c r="AG16" s="309" t="s">
        <v>1344</v>
      </c>
      <c r="AH16" s="308">
        <f>AH15/2/AH14</f>
        <v>-0.45169941392774005</v>
      </c>
      <c r="AI16" s="322"/>
    </row>
    <row r="17" spans="1:35">
      <c r="A17" s="319">
        <f>F12</f>
        <v>552.77461360961263</v>
      </c>
      <c r="B17" s="319">
        <f>D12</f>
        <v>306.8800176236735</v>
      </c>
      <c r="C17" s="319">
        <f>F13</f>
        <v>-349.44910655728614</v>
      </c>
      <c r="D17" s="319">
        <f>D13</f>
        <v>-127.11386532102023</v>
      </c>
      <c r="E17" s="319">
        <f>F14</f>
        <v>3.7771698994714098E-14</v>
      </c>
      <c r="F17" s="319">
        <f>D14</f>
        <v>0</v>
      </c>
      <c r="G17" s="319">
        <f>A19</f>
        <v>0.66432907500291338</v>
      </c>
      <c r="H17"/>
      <c r="J17" s="309" t="s">
        <v>295</v>
      </c>
      <c r="K17" s="310">
        <f>E54</f>
        <v>0.316</v>
      </c>
      <c r="L17" s="310">
        <f>K17*P6^G53</f>
        <v>0.316</v>
      </c>
      <c r="M17" s="313">
        <f t="shared" si="3"/>
        <v>1</v>
      </c>
      <c r="N17" s="309" t="s">
        <v>296</v>
      </c>
      <c r="O17" s="312">
        <f>A52</f>
        <v>1500</v>
      </c>
      <c r="P17" s="312">
        <f>P23*L11</f>
        <v>1500</v>
      </c>
      <c r="Q17" s="310">
        <f t="shared" ref="Q17:Q24" si="4">P17/O17</f>
        <v>1</v>
      </c>
      <c r="R17" s="309" t="s">
        <v>1355</v>
      </c>
      <c r="S17" s="314" t="s">
        <v>382</v>
      </c>
      <c r="T17" s="314" t="s">
        <v>182</v>
      </c>
      <c r="U17" s="314" t="s">
        <v>669</v>
      </c>
      <c r="V17" s="314" t="s">
        <v>670</v>
      </c>
      <c r="W17" s="308"/>
      <c r="X17" s="322"/>
      <c r="Z17" s="309" t="s">
        <v>1545</v>
      </c>
      <c r="AA17" s="326" t="s">
        <v>1301</v>
      </c>
      <c r="AB17" s="326" t="s">
        <v>383</v>
      </c>
      <c r="AF17" s="308"/>
      <c r="AG17" s="309"/>
      <c r="AH17" s="322"/>
      <c r="AI17" s="322"/>
    </row>
    <row r="18" spans="1:35">
      <c r="A18" s="334" t="s">
        <v>1683</v>
      </c>
      <c r="B18" s="335" t="s">
        <v>35</v>
      </c>
      <c r="C18" s="335" t="s">
        <v>384</v>
      </c>
      <c r="D18" s="335" t="s">
        <v>385</v>
      </c>
      <c r="E18" s="335" t="s">
        <v>386</v>
      </c>
      <c r="F18" s="335" t="s">
        <v>387</v>
      </c>
      <c r="G18" s="335" t="s">
        <v>388</v>
      </c>
      <c r="H18" s="335" t="s">
        <v>389</v>
      </c>
      <c r="I18" s="336" t="s">
        <v>390</v>
      </c>
      <c r="J18" s="309" t="s">
        <v>301</v>
      </c>
      <c r="K18" s="310">
        <f>K17*(1-K11)/K11</f>
        <v>0.13542857142857145</v>
      </c>
      <c r="L18" s="310">
        <f>L17*(1-L11)/L11</f>
        <v>0.13542857142857145</v>
      </c>
      <c r="M18" s="313">
        <f t="shared" si="3"/>
        <v>1</v>
      </c>
      <c r="N18" s="309" t="s">
        <v>302</v>
      </c>
      <c r="O18" s="312">
        <f>B52</f>
        <v>1500</v>
      </c>
      <c r="P18" s="312">
        <f>O18*Q17*M8^E55</f>
        <v>946.4360167202899</v>
      </c>
      <c r="Q18" s="310">
        <f t="shared" si="4"/>
        <v>0.63095734448019325</v>
      </c>
      <c r="R18" s="309">
        <v>11</v>
      </c>
      <c r="S18" s="311">
        <f>IF(U16=0,1E+99,(U11*U13-U15^2)/U16)</f>
        <v>2209.9447513812156</v>
      </c>
      <c r="T18" s="311">
        <f>IF(V16=0,1E+99,(V11*V13-V15^2)/V16)</f>
        <v>797.98221853126245</v>
      </c>
      <c r="U18" s="337">
        <f>T18*U4</f>
        <v>1.595964437062525</v>
      </c>
      <c r="V18" s="310">
        <f>1/U18</f>
        <v>0.62658037784385989</v>
      </c>
      <c r="W18" s="308"/>
      <c r="X18" s="322"/>
      <c r="Z18" s="309">
        <v>1</v>
      </c>
      <c r="AA18" s="310">
        <f>G3</f>
        <v>0.92387953251128652</v>
      </c>
      <c r="AB18" s="310" t="b">
        <v>0</v>
      </c>
      <c r="AC18" s="308">
        <f>IF(AB18=FALSE,0,AB18)</f>
        <v>0</v>
      </c>
      <c r="AF18" s="308"/>
      <c r="AG18" s="309"/>
      <c r="AH18" s="322"/>
      <c r="AI18" s="322"/>
    </row>
    <row r="19" spans="1:35">
      <c r="A19" s="338">
        <f>MIN(B19:I19)</f>
        <v>0.66432907500291338</v>
      </c>
      <c r="B19" s="339">
        <f>AH38</f>
        <v>1.3064514758299335</v>
      </c>
      <c r="C19" s="339">
        <f>AH77</f>
        <v>0.66432907500291338</v>
      </c>
      <c r="D19" s="339">
        <f>AH116</f>
        <v>2.8337998169214123</v>
      </c>
      <c r="E19" s="339">
        <f>AH155</f>
        <v>2.8337998169214123</v>
      </c>
      <c r="F19" s="339">
        <f>AH194</f>
        <v>2.8337998169214123</v>
      </c>
      <c r="G19" s="340">
        <f>AH233</f>
        <v>2.8337998169214123</v>
      </c>
      <c r="H19" s="340">
        <f>AH272</f>
        <v>0.66432907500291338</v>
      </c>
      <c r="I19" s="341">
        <f>AH311</f>
        <v>1.3064514758299335</v>
      </c>
      <c r="J19" s="309" t="s">
        <v>304</v>
      </c>
      <c r="K19" s="310">
        <f>1/((1+K18)/K8-K18*2.7/K13)</f>
        <v>19.680382632972858</v>
      </c>
      <c r="L19" s="310">
        <f>K19*P6^F54*C22</f>
        <v>0.19680382632972859</v>
      </c>
      <c r="M19" s="313">
        <f t="shared" si="3"/>
        <v>0.01</v>
      </c>
      <c r="N19" s="309" t="s">
        <v>305</v>
      </c>
      <c r="O19" s="312">
        <f>C52</f>
        <v>40</v>
      </c>
      <c r="P19" s="312">
        <f>O19*Q24</f>
        <v>40</v>
      </c>
      <c r="Q19" s="310">
        <f t="shared" si="4"/>
        <v>1</v>
      </c>
      <c r="R19" s="309">
        <v>22</v>
      </c>
      <c r="S19" s="311">
        <f>IF(U16=0,1E+99,(U10*U13-U14^2)/U16)</f>
        <v>38834.951456310642</v>
      </c>
      <c r="T19" s="311">
        <f>IF(V16=0,1E+99,(V10*V13-V14^2)/V16)</f>
        <v>776.23921907317572</v>
      </c>
      <c r="U19" s="337">
        <f>T19*U4</f>
        <v>1.5524784381463514</v>
      </c>
      <c r="V19" s="310">
        <f>1/U19</f>
        <v>0.64413132925310901</v>
      </c>
      <c r="W19" s="308"/>
      <c r="X19" s="322"/>
      <c r="Z19" s="309">
        <v>2</v>
      </c>
      <c r="AA19" s="310">
        <f>G4</f>
        <v>-0.38268343236509039</v>
      </c>
      <c r="AB19" s="310" t="b">
        <v>0</v>
      </c>
      <c r="AC19" s="308">
        <f>IF(AB19=FALSE,0,AB19)</f>
        <v>0</v>
      </c>
      <c r="AF19" s="308"/>
      <c r="AG19" s="309"/>
      <c r="AH19" s="322"/>
      <c r="AI19" s="326" t="s">
        <v>1348</v>
      </c>
    </row>
    <row r="20" spans="1:35">
      <c r="A20" s="308" t="s">
        <v>391</v>
      </c>
      <c r="C20" s="342"/>
      <c r="D20" s="342"/>
      <c r="E20" s="342"/>
      <c r="F20" s="342"/>
      <c r="L20" s="310"/>
      <c r="N20" s="309" t="s">
        <v>1542</v>
      </c>
      <c r="O20" s="312">
        <f>D52</f>
        <v>246</v>
      </c>
      <c r="P20" s="312">
        <f>O20*Q24</f>
        <v>246</v>
      </c>
      <c r="Q20" s="310">
        <f t="shared" si="4"/>
        <v>1</v>
      </c>
      <c r="R20" s="309" t="s">
        <v>1345</v>
      </c>
      <c r="S20" s="311">
        <f>IF(U16=0,1E+99,(U14*U15-U12*U13)/U16)</f>
        <v>-6.1878453038678014</v>
      </c>
      <c r="T20" s="311">
        <f>IF(V16=0,1E+99,(V14*V15-V12*V13)/V16)</f>
        <v>-247.82905813615449</v>
      </c>
      <c r="U20" s="337">
        <f>T20*U4</f>
        <v>-0.49565811627230899</v>
      </c>
      <c r="V20" s="310">
        <f>-U20/U18</f>
        <v>0.31056964977527918</v>
      </c>
      <c r="W20" s="308"/>
      <c r="X20" s="322"/>
      <c r="Z20" s="309">
        <v>6</v>
      </c>
      <c r="AA20" s="310">
        <f>G5</f>
        <v>0</v>
      </c>
      <c r="AB20" s="310" t="b">
        <v>0</v>
      </c>
      <c r="AC20" s="308">
        <f>IF(AB20=FALSE,0,AB20)</f>
        <v>0</v>
      </c>
      <c r="AF20" s="308"/>
      <c r="AG20" s="309" t="s">
        <v>1351</v>
      </c>
      <c r="AH20" s="319">
        <f>(AH16^2+1/AH14)^0.5-AH16</f>
        <v>1.3063087150985719</v>
      </c>
      <c r="AI20" s="319">
        <f>AH21</f>
        <v>1.3063087150985719</v>
      </c>
    </row>
    <row r="21" spans="1:35">
      <c r="A21" s="334"/>
      <c r="B21" s="343" t="s">
        <v>392</v>
      </c>
      <c r="C21" s="343" t="s">
        <v>393</v>
      </c>
      <c r="D21" s="343" t="s">
        <v>298</v>
      </c>
      <c r="E21" s="343" t="s">
        <v>1579</v>
      </c>
      <c r="F21" s="343" t="s">
        <v>1350</v>
      </c>
      <c r="G21" s="344" t="s">
        <v>1346</v>
      </c>
      <c r="J21" s="308" t="s">
        <v>1507</v>
      </c>
      <c r="N21" s="309" t="s">
        <v>1543</v>
      </c>
      <c r="O21" s="345">
        <f>E52</f>
        <v>68</v>
      </c>
      <c r="P21" s="345">
        <f>O21*Q24</f>
        <v>68</v>
      </c>
      <c r="Q21" s="310">
        <f t="shared" si="4"/>
        <v>1</v>
      </c>
      <c r="R21" s="309">
        <v>66</v>
      </c>
      <c r="S21" s="311">
        <f>IF(U16=0,1E+99,(U10*U11-U12^2)/U16)</f>
        <v>55788.005578800577</v>
      </c>
      <c r="T21" s="311">
        <f>IF(V16=0,1E+99,(V10*V11-V12^2)/V16)</f>
        <v>1992.0082896039078</v>
      </c>
      <c r="U21" s="337">
        <f>T21*U4</f>
        <v>3.9840165792078155</v>
      </c>
      <c r="V21" s="310">
        <f>1/U21</f>
        <v>0.2510029715285072</v>
      </c>
      <c r="W21" s="308"/>
      <c r="Z21" s="326" t="s">
        <v>394</v>
      </c>
      <c r="AA21" s="323">
        <v>1</v>
      </c>
      <c r="AB21" s="323">
        <v>2</v>
      </c>
      <c r="AC21" s="323">
        <v>6</v>
      </c>
      <c r="AF21" s="322"/>
      <c r="AG21" s="309"/>
      <c r="AH21" s="319">
        <f>IF(AH3=0,1000000000,AH20)</f>
        <v>1.3063087150985719</v>
      </c>
    </row>
    <row r="22" spans="1:35">
      <c r="A22" s="346" t="s">
        <v>395</v>
      </c>
      <c r="B22" s="347">
        <v>1</v>
      </c>
      <c r="C22" s="347">
        <v>0.01</v>
      </c>
      <c r="D22" s="347">
        <v>1</v>
      </c>
      <c r="E22" s="347">
        <v>1</v>
      </c>
      <c r="F22" s="309">
        <f>AC13</f>
        <v>832.07951681315785</v>
      </c>
      <c r="G22" s="348">
        <f>AC14</f>
        <v>-526.01880237971318</v>
      </c>
      <c r="J22" s="309" t="s">
        <v>1354</v>
      </c>
      <c r="K22" s="310">
        <f>K5/(1-K7^2*K6/K5)</f>
        <v>181.81113884441791</v>
      </c>
      <c r="L22" s="310">
        <f>L5/(1-L7^2*L6/L5)</f>
        <v>1.8100008075203604</v>
      </c>
      <c r="M22" s="313">
        <f>L22/K22</f>
        <v>9.9553900768931478E-3</v>
      </c>
      <c r="N22" s="309" t="s">
        <v>1168</v>
      </c>
      <c r="O22" s="313">
        <f>A53</f>
        <v>-0.5</v>
      </c>
      <c r="P22" s="313">
        <f>O22*I33*C22</f>
        <v>-5.0000000000000001E-3</v>
      </c>
      <c r="Q22" s="310">
        <f t="shared" si="4"/>
        <v>0.01</v>
      </c>
      <c r="R22" s="309" t="s">
        <v>1347</v>
      </c>
      <c r="S22" s="311">
        <f>IF(U16=0,1E+99,(U12*U15-U11*U14)/U16)</f>
        <v>0</v>
      </c>
      <c r="T22" s="311">
        <f>IF(V16=0,1E+99,(V12*V15-V11*V14)/V16)</f>
        <v>2.6731697584249638E-14</v>
      </c>
      <c r="U22" s="337">
        <f>T22*U4</f>
        <v>5.3463395168499281E-17</v>
      </c>
      <c r="V22" s="310">
        <f>U22/U18</f>
        <v>3.3499114345493873E-17</v>
      </c>
      <c r="W22" s="308"/>
      <c r="X22" s="308"/>
      <c r="Y22" s="309"/>
      <c r="Z22" s="309">
        <v>1</v>
      </c>
      <c r="AA22" s="311">
        <f>IF(AA18=FALSE,1,V10)</f>
        <v>1.3910951223277007E-3</v>
      </c>
      <c r="AB22" s="311">
        <f>IF(AA19=FALSE,0,V12)</f>
        <v>4.4413343911675369E-4</v>
      </c>
      <c r="AC22" s="311">
        <f>IF(AA20=FALSE,0,V14)</f>
        <v>6.9206013750663471E-23</v>
      </c>
      <c r="AF22" s="322"/>
      <c r="AG22" s="308" t="s">
        <v>1360</v>
      </c>
      <c r="AH22" s="319">
        <f>IF(AH3=0,0,AH20)</f>
        <v>1.3063087150985719</v>
      </c>
    </row>
    <row r="23" spans="1:35">
      <c r="A23" s="346" t="s">
        <v>396</v>
      </c>
      <c r="B23" s="347">
        <v>0.15</v>
      </c>
      <c r="C23" s="347">
        <v>0.01</v>
      </c>
      <c r="D23" s="347">
        <v>1</v>
      </c>
      <c r="E23" s="347">
        <v>1</v>
      </c>
      <c r="F23" s="309">
        <f>AC52</f>
        <v>-526.01805037971315</v>
      </c>
      <c r="G23" s="348">
        <f>AC53</f>
        <v>832.07876481315782</v>
      </c>
      <c r="J23" s="309" t="s">
        <v>1361</v>
      </c>
      <c r="K23" s="310">
        <f>K22*K6/K5</f>
        <v>10.346158729820468</v>
      </c>
      <c r="L23" s="310">
        <f>L22*L6/L5</f>
        <v>0.1030000459528161</v>
      </c>
      <c r="M23" s="313">
        <f>L23/K23</f>
        <v>9.9553900768931478E-3</v>
      </c>
      <c r="N23" s="309" t="s">
        <v>1175</v>
      </c>
      <c r="O23" s="312">
        <f>O17/K11</f>
        <v>2142.8571428571431</v>
      </c>
      <c r="P23" s="312">
        <f>H33*P6^G54</f>
        <v>2142.8571428571431</v>
      </c>
      <c r="Q23" s="310">
        <f t="shared" si="4"/>
        <v>1</v>
      </c>
      <c r="R23" s="309" t="s">
        <v>1349</v>
      </c>
      <c r="S23" s="311">
        <f>IF(U16=0,1E+99,(U12*U14-U10*U15)/U16)</f>
        <v>0</v>
      </c>
      <c r="T23" s="311">
        <f>IF(V16=0,1E+99,(V12*V14-V10*V15)/V16)</f>
        <v>-8.4038241183318863E-14</v>
      </c>
      <c r="U23" s="337">
        <f>T23*U4</f>
        <v>-1.6807648236663772E-16</v>
      </c>
      <c r="V23" s="310">
        <f>U23/U18</f>
        <v>-1.0531342582795471E-16</v>
      </c>
      <c r="W23" s="308"/>
      <c r="X23" s="308"/>
      <c r="Y23" s="310"/>
      <c r="Z23" s="309">
        <v>2</v>
      </c>
      <c r="AA23" s="311">
        <f>IF(AA18=FALSE,0,V12)</f>
        <v>4.4413343911675369E-4</v>
      </c>
      <c r="AB23" s="311">
        <f>IF(AA19=FALSE,1,V11)</f>
        <v>1.4300606625216533E-3</v>
      </c>
      <c r="AC23" s="311">
        <f>IF(AA20=FALSE,0,V15)</f>
        <v>5.43709294019984E-20</v>
      </c>
      <c r="AF23" s="322"/>
      <c r="AG23" s="309" t="s">
        <v>1364</v>
      </c>
      <c r="AH23" s="328">
        <f>IF(AH3=0,0,AI7+AI8*COS(AH4)+AI9*SIN(AH4)-V29)</f>
        <v>3.1968247793023419E-6</v>
      </c>
      <c r="AI23" s="322"/>
    </row>
    <row r="24" spans="1:35">
      <c r="A24" s="346" t="s">
        <v>397</v>
      </c>
      <c r="B24" s="347">
        <v>0.15</v>
      </c>
      <c r="C24" s="347">
        <v>0.01</v>
      </c>
      <c r="D24" s="347">
        <v>1</v>
      </c>
      <c r="E24" s="347">
        <v>1</v>
      </c>
      <c r="F24" s="309">
        <f>AC91</f>
        <v>153.03073321672241</v>
      </c>
      <c r="G24" s="348">
        <f>AC92</f>
        <v>153.02998121672229</v>
      </c>
      <c r="J24" s="309" t="s">
        <v>1365</v>
      </c>
      <c r="K24" s="310">
        <f>K23*K7</f>
        <v>2.8969244443497315</v>
      </c>
      <c r="L24" s="310">
        <f>L23*L7</f>
        <v>2.8840012866788512E-4</v>
      </c>
      <c r="M24" s="313">
        <f>L24/K24</f>
        <v>9.9553900768931477E-5</v>
      </c>
      <c r="N24" s="309" t="s">
        <v>1176</v>
      </c>
      <c r="O24" s="312">
        <f>O19</f>
        <v>40</v>
      </c>
      <c r="P24" s="312">
        <f>G33*P6^H53</f>
        <v>40</v>
      </c>
      <c r="Q24" s="310">
        <f t="shared" si="4"/>
        <v>1</v>
      </c>
      <c r="R24" s="307" t="s">
        <v>1185</v>
      </c>
      <c r="S24" s="308"/>
      <c r="T24" s="308"/>
      <c r="W24" s="308"/>
      <c r="X24" s="308"/>
      <c r="Y24" s="310"/>
      <c r="Z24" s="309">
        <v>6</v>
      </c>
      <c r="AA24" s="311">
        <f>IF(AA18=FALSE,0,V14)</f>
        <v>6.9206013750663471E-23</v>
      </c>
      <c r="AB24" s="311">
        <f>IF(AA19=FALSE,0,V15)</f>
        <v>5.43709294019984E-20</v>
      </c>
      <c r="AC24" s="311">
        <f>IF(AA20=FALSE,1,V13)</f>
        <v>5.0200594305701445E-4</v>
      </c>
      <c r="AF24" s="322"/>
      <c r="AG24" s="309" t="s">
        <v>1367</v>
      </c>
      <c r="AH24" s="328">
        <f>IF(AH3=0,0,2*AI7-AH23-V30-V29)</f>
        <v>-7.1931485010697513E-4</v>
      </c>
      <c r="AI24" s="322"/>
    </row>
    <row r="25" spans="1:35">
      <c r="A25" s="346" t="s">
        <v>398</v>
      </c>
      <c r="B25" s="347">
        <v>0.15</v>
      </c>
      <c r="C25" s="347">
        <v>0.01</v>
      </c>
      <c r="D25" s="347">
        <v>1</v>
      </c>
      <c r="E25" s="347">
        <v>1</v>
      </c>
      <c r="F25" s="309">
        <f>AC130</f>
        <v>153.03073321672235</v>
      </c>
      <c r="G25" s="348">
        <f>AC131</f>
        <v>153.02998121672235</v>
      </c>
      <c r="H25" s="313"/>
      <c r="J25" s="309" t="s">
        <v>1370</v>
      </c>
      <c r="K25" s="310">
        <f>K8</f>
        <v>7.17</v>
      </c>
      <c r="L25" s="310">
        <f>L8</f>
        <v>7.17E-2</v>
      </c>
      <c r="M25" s="313">
        <f>L25/K25</f>
        <v>0.01</v>
      </c>
      <c r="R25" s="309"/>
      <c r="S25" s="314" t="s">
        <v>1406</v>
      </c>
      <c r="T25" s="314" t="s">
        <v>1407</v>
      </c>
      <c r="U25" s="314" t="s">
        <v>1408</v>
      </c>
      <c r="V25" s="314" t="s">
        <v>1409</v>
      </c>
      <c r="W25" s="314" t="s">
        <v>1410</v>
      </c>
      <c r="X25" s="314" t="s">
        <v>1411</v>
      </c>
      <c r="Y25" s="314" t="s">
        <v>1394</v>
      </c>
      <c r="Z25" s="309" t="s">
        <v>399</v>
      </c>
      <c r="AA25" s="311">
        <f>AA22*AB23*AC24+AA23*AB24*AC22+AA24*AC23*AB22-AC22*AB23*AA24-AC23*AB24*AA22-AC24*AA23*AB22</f>
        <v>8.9964279259162027E-10</v>
      </c>
      <c r="AB25" s="311"/>
      <c r="AC25" s="311"/>
      <c r="AF25" s="322"/>
      <c r="AG25" s="309" t="s">
        <v>1372</v>
      </c>
      <c r="AH25" s="328">
        <f>IF(AH3=0,0,2*(AI9*COS(AH4)-AI8*SIN(AH4)))</f>
        <v>-3.530675176450572E-21</v>
      </c>
      <c r="AI25" s="322"/>
    </row>
    <row r="26" spans="1:35">
      <c r="A26" s="346" t="s">
        <v>400</v>
      </c>
      <c r="B26" s="347">
        <v>0.15</v>
      </c>
      <c r="C26" s="347">
        <v>0.01</v>
      </c>
      <c r="D26" s="347">
        <v>1</v>
      </c>
      <c r="E26" s="347">
        <v>1</v>
      </c>
      <c r="F26" s="309">
        <f>AC169</f>
        <v>153.03073321672235</v>
      </c>
      <c r="G26" s="348">
        <f>AC170</f>
        <v>153.02998121672235</v>
      </c>
      <c r="H26" s="313"/>
      <c r="J26" s="308" t="s">
        <v>1510</v>
      </c>
      <c r="K26" s="310"/>
      <c r="L26" s="310"/>
      <c r="N26" s="308" t="s">
        <v>1375</v>
      </c>
      <c r="R26" s="309">
        <v>1</v>
      </c>
      <c r="S26" s="322">
        <f>((L22+L24)/2*P10+(L24+L23)/2*P11)/1000000</f>
        <v>1.1800979104931853E-6</v>
      </c>
      <c r="T26" s="322">
        <f>((L22+L24)/2*P13+(L24+L23)/2*P14)</f>
        <v>3.0986533824445196E-2</v>
      </c>
      <c r="U26" s="328">
        <f>S26+S27*Y26</f>
        <v>4.268901904543475E-8</v>
      </c>
      <c r="V26" s="319">
        <f>T26+T27*Y26</f>
        <v>1.7304007720073469E-4</v>
      </c>
      <c r="W26" s="319">
        <f>(U26*S18+U27*S20+U28*S22)*T4*1000000</f>
        <v>1.9999999999999841E-2</v>
      </c>
      <c r="X26" s="319">
        <f>(V26*S18+V27*S20+V28*S22)*T4</f>
        <v>-4.1355807667287079E-18</v>
      </c>
      <c r="Y26" s="319">
        <f>COS(S6)</f>
        <v>1</v>
      </c>
      <c r="Z26" s="326" t="s">
        <v>401</v>
      </c>
      <c r="AA26" s="323"/>
      <c r="AB26" s="323"/>
      <c r="AC26" s="323"/>
      <c r="AD26" s="309" t="s">
        <v>402</v>
      </c>
      <c r="AE26" s="309" t="s">
        <v>403</v>
      </c>
      <c r="AF26" s="322"/>
      <c r="AG26" s="322"/>
      <c r="AH26" s="322"/>
      <c r="AI26" s="322"/>
    </row>
    <row r="27" spans="1:35">
      <c r="A27" s="346" t="s">
        <v>404</v>
      </c>
      <c r="B27" s="347">
        <v>0.15</v>
      </c>
      <c r="C27" s="347">
        <v>0.01</v>
      </c>
      <c r="D27" s="347">
        <v>1</v>
      </c>
      <c r="E27" s="347">
        <v>1</v>
      </c>
      <c r="F27" s="309">
        <f>AC208</f>
        <v>153.03073321672241</v>
      </c>
      <c r="G27" s="348">
        <f>AC209</f>
        <v>153.02998121672229</v>
      </c>
      <c r="H27" s="313"/>
      <c r="J27" s="309" t="s">
        <v>1380</v>
      </c>
      <c r="K27" s="310">
        <f>(3*K22+3*K23+2*K24+4*K25)/8</f>
        <v>76.368217701426829</v>
      </c>
      <c r="L27" s="310">
        <f>(3*L22+3*L23+2*L24+4*L25)/8</f>
        <v>0.7532974200846082</v>
      </c>
      <c r="M27" s="313">
        <f>L27/K27</f>
        <v>9.8640172935518695E-3</v>
      </c>
      <c r="N27" s="309" t="s">
        <v>1381</v>
      </c>
      <c r="O27" s="310">
        <f>1/O17/O18*1000000</f>
        <v>0.44444444444444442</v>
      </c>
      <c r="P27" s="310">
        <f>1/P17/P18*1000000</f>
        <v>0.70439697442716154</v>
      </c>
      <c r="Q27" s="310">
        <f>P27/O27</f>
        <v>1.5848931924611136</v>
      </c>
      <c r="R27" s="309">
        <v>2</v>
      </c>
      <c r="S27" s="322">
        <f>((L22-L24)/2*P10+(L24-L23)/2*P11)/1000000</f>
        <v>-1.1374088914477506E-6</v>
      </c>
      <c r="T27" s="322">
        <f>((L22-L24)/2*P13+(L24-L23)/2*P14)</f>
        <v>-3.0813493747244462E-2</v>
      </c>
      <c r="U27" s="328">
        <f>S26-S27*Y26</f>
        <v>2.3175068019409357E-6</v>
      </c>
      <c r="V27" s="319">
        <f>T26-T27*Y26</f>
        <v>6.1800027571689661E-2</v>
      </c>
      <c r="W27" s="319">
        <f>(U26*S20+U27*S19+U28*S23)*T4*1000000</f>
        <v>22.499999999999986</v>
      </c>
      <c r="X27" s="319">
        <f>(V26*S20+V27*S19+V28*S23)*T4</f>
        <v>0.59999999999999953</v>
      </c>
      <c r="Y27" s="319">
        <f>SIN(S6)</f>
        <v>0</v>
      </c>
      <c r="Z27" s="309">
        <v>1</v>
      </c>
      <c r="AA27" s="311">
        <f>(AB23*AC24-AC23*AB24)/AA25</f>
        <v>797.98221853126245</v>
      </c>
      <c r="AB27" s="311">
        <f>-(AB22*AC24-AC22*AB24)/AA25</f>
        <v>-247.82905813615449</v>
      </c>
      <c r="AC27" s="311">
        <f>(AB22*AC23-AC22*AB23)/AA25</f>
        <v>2.6731697584249638E-14</v>
      </c>
      <c r="AD27" s="311">
        <f>IF(AA18=FALSE,-(V10*AC18+V12*AC19+V14*AC20),AA18-(V10*AC18+V12*AC19+V14*AC20))</f>
        <v>0.92387953251128652</v>
      </c>
      <c r="AE27" s="311">
        <f>AA27*AD27+AB27*AD28+AC27*AD29</f>
        <v>832.07951361633309</v>
      </c>
      <c r="AF27" s="322"/>
      <c r="AG27" s="326" t="s">
        <v>1383</v>
      </c>
      <c r="AH27" s="349">
        <f>P33*AH23^2+2*P35*AH23*AH24+P34*AH24^2+P36*AH25^2</f>
        <v>5.5789346432776553E-7</v>
      </c>
      <c r="AI27" s="322"/>
    </row>
    <row r="28" spans="1:35">
      <c r="A28" s="346" t="s">
        <v>405</v>
      </c>
      <c r="B28" s="347">
        <v>0.15</v>
      </c>
      <c r="C28" s="347">
        <v>0.01</v>
      </c>
      <c r="D28" s="347">
        <v>1</v>
      </c>
      <c r="E28" s="347">
        <v>1</v>
      </c>
      <c r="F28" s="309">
        <f>AC247</f>
        <v>-526.01805037971315</v>
      </c>
      <c r="G28" s="348">
        <f>AC248</f>
        <v>832.07876481315782</v>
      </c>
      <c r="H28" s="313"/>
      <c r="J28" s="309" t="s">
        <v>1384</v>
      </c>
      <c r="K28" s="310">
        <f>(K22-K23)/2</f>
        <v>85.732490057298719</v>
      </c>
      <c r="L28" s="310">
        <f>(L22-L23)/2</f>
        <v>0.85350038078377211</v>
      </c>
      <c r="M28" s="313">
        <f>L28/K28</f>
        <v>9.9553900768931478E-3</v>
      </c>
      <c r="N28" s="309" t="s">
        <v>1385</v>
      </c>
      <c r="O28" s="310">
        <f>1/O19/O20*1000000</f>
        <v>101.6260162601626</v>
      </c>
      <c r="P28" s="310">
        <f>1/P19/P20*1000000</f>
        <v>101.6260162601626</v>
      </c>
      <c r="Q28" s="310">
        <f>P28/O28</f>
        <v>1</v>
      </c>
      <c r="R28" s="309">
        <v>6</v>
      </c>
      <c r="S28" s="314" t="s">
        <v>1419</v>
      </c>
      <c r="T28" s="314" t="s">
        <v>1420</v>
      </c>
      <c r="U28" s="328">
        <f>S27*Y27</f>
        <v>0</v>
      </c>
      <c r="V28" s="319">
        <f>T27*Y27</f>
        <v>0</v>
      </c>
      <c r="W28" s="319">
        <f>(U26*S22+U27*S23+U28*S21)*T4*1000000</f>
        <v>0</v>
      </c>
      <c r="X28" s="319">
        <f>(V26*S22+V27*S23+V28*S21)*T4</f>
        <v>0</v>
      </c>
      <c r="Y28" s="314" t="s">
        <v>406</v>
      </c>
      <c r="Z28" s="309">
        <v>2</v>
      </c>
      <c r="AA28" s="311">
        <f>-(AA23*AC24-AC23*AA24)/AA25</f>
        <v>-247.82905813615449</v>
      </c>
      <c r="AB28" s="311">
        <f>(AA22*AC24-AC22*AA24)/AA25</f>
        <v>776.23921907317572</v>
      </c>
      <c r="AC28" s="311">
        <f>-(AA22*AC23-AC22*AA23)/AA25</f>
        <v>-8.4038241183318863E-14</v>
      </c>
      <c r="AD28" s="311">
        <f>IF(AA19=FALSE,-(V12*AC18+V11*AC19+V15*AC20),AA19-(V12*AC18+V11*AC19+V15*AC20))</f>
        <v>-0.38268343236509039</v>
      </c>
      <c r="AE28" s="311">
        <f>AA28*AD27+AB28*AD28+AC28*AD29</f>
        <v>-526.01808306486305</v>
      </c>
      <c r="AF28" s="322"/>
      <c r="AG28" s="326" t="s">
        <v>1387</v>
      </c>
      <c r="AH28" s="349">
        <f>P37*AH23+P38*AH24</f>
        <v>-1.553215923483326E-3</v>
      </c>
      <c r="AI28" s="322"/>
    </row>
    <row r="29" spans="1:35">
      <c r="A29" s="350" t="s">
        <v>407</v>
      </c>
      <c r="B29" s="351">
        <v>1</v>
      </c>
      <c r="C29" s="351">
        <v>0.01</v>
      </c>
      <c r="D29" s="351">
        <v>1</v>
      </c>
      <c r="E29" s="351">
        <v>1</v>
      </c>
      <c r="F29" s="352">
        <f>AC286</f>
        <v>832.07951681315785</v>
      </c>
      <c r="G29" s="353">
        <f>AC287</f>
        <v>-526.01880237971318</v>
      </c>
      <c r="H29" s="313"/>
      <c r="J29" s="309" t="s">
        <v>1388</v>
      </c>
      <c r="K29" s="310">
        <f>(K22+K23-2*K24-4*K25)/8</f>
        <v>19.710431085692363</v>
      </c>
      <c r="L29" s="310">
        <f>(L22+L23-2*L24-4*L25)/8</f>
        <v>0.2032030066519801</v>
      </c>
      <c r="M29" s="313">
        <f>L29/K29</f>
        <v>1.030941463271615E-2</v>
      </c>
      <c r="N29" s="309" t="s">
        <v>1389</v>
      </c>
      <c r="O29" s="310">
        <f>O22*(O27*O28)^0.5</f>
        <v>-3.3603243272729659</v>
      </c>
      <c r="P29" s="310">
        <f>P22*(P27*P28)^0.5</f>
        <v>-4.2303976874740766E-2</v>
      </c>
      <c r="Q29" s="310">
        <f>P29/O29</f>
        <v>1.2589254117941671E-2</v>
      </c>
      <c r="R29" s="309">
        <v>1</v>
      </c>
      <c r="S29" s="337">
        <f>P7*U26+P3*V26</f>
        <v>-3.4037015185398013E-6</v>
      </c>
      <c r="T29" s="311">
        <f>P7*W26/1000000+P3*X26</f>
        <v>-2.0000000000000046E-6</v>
      </c>
      <c r="U29" s="314" t="s">
        <v>1423</v>
      </c>
      <c r="V29" s="311">
        <f>P7*P10/1000000+P3*P13</f>
        <v>-1.9999999999999999E-6</v>
      </c>
      <c r="W29" s="308"/>
      <c r="Y29" s="319">
        <f>Y26+Y65+Y104+Y143+Y182+Y221+Y260+Y299</f>
        <v>0</v>
      </c>
      <c r="Z29" s="309">
        <v>6</v>
      </c>
      <c r="AA29" s="311">
        <f>(AA23*AB24-AB23*AA24)/AA25</f>
        <v>2.6731697584249638E-14</v>
      </c>
      <c r="AB29" s="311">
        <f>-(AA22*AB24-AB22*AA24)/AA25</f>
        <v>-8.4038241183318863E-14</v>
      </c>
      <c r="AC29" s="311">
        <f>(AA22*AB23-AB22*AA23)/AA25</f>
        <v>1992.0082896039078</v>
      </c>
      <c r="AD29" s="311">
        <f>IF(AA20=FALSE,-(V14*AC18+V15*AC19+V13*AC20),AA20-(V14*AC18+V15*AC19+V13*AC20))</f>
        <v>0</v>
      </c>
      <c r="AE29" s="311">
        <f>AA29*AD27+AB29*AD28+AC29*AD29</f>
        <v>5.6856910853327399E-14</v>
      </c>
      <c r="AF29" s="322"/>
      <c r="AG29" s="326" t="s">
        <v>1390</v>
      </c>
      <c r="AH29" s="349">
        <f>AH27+AH28</f>
        <v>-1.5526580300189983E-3</v>
      </c>
      <c r="AI29" s="322"/>
    </row>
    <row r="30" spans="1:35">
      <c r="B30" s="307"/>
      <c r="C30" s="313"/>
      <c r="D30" s="313"/>
      <c r="E30" s="313"/>
      <c r="F30" s="313"/>
      <c r="G30" s="354"/>
      <c r="H30" s="313"/>
      <c r="J30" s="309" t="s">
        <v>1391</v>
      </c>
      <c r="K30" s="310">
        <f>(K22+K23+6*K24-4*K25)/8</f>
        <v>22.607355530042096</v>
      </c>
      <c r="L30" s="310">
        <f>(L22+L23+6*L24-4*L25)/8</f>
        <v>0.203491406780648</v>
      </c>
      <c r="M30" s="313">
        <f>L30/K30</f>
        <v>9.0011149915449271E-3</v>
      </c>
      <c r="N30" s="309" t="s">
        <v>1392</v>
      </c>
      <c r="O30" s="310">
        <f>1/O21^2*1000000</f>
        <v>216.26297577854672</v>
      </c>
      <c r="P30" s="310">
        <f>1/P21^2*1000000</f>
        <v>216.26297577854672</v>
      </c>
      <c r="Q30" s="310">
        <f>P30/O30</f>
        <v>1</v>
      </c>
      <c r="R30" s="309">
        <v>2</v>
      </c>
      <c r="S30" s="337">
        <f>P7*U27+P3*V27</f>
        <v>7.7249457664354756E-5</v>
      </c>
      <c r="T30" s="311">
        <f>P7*W27/1000000+P3*X27</f>
        <v>7.4999999999999937E-4</v>
      </c>
      <c r="U30" s="314" t="s">
        <v>1427</v>
      </c>
      <c r="V30" s="311">
        <f>P7*P11/1000000+P3*P14</f>
        <v>7.5000000000000023E-4</v>
      </c>
      <c r="W30" s="308"/>
      <c r="Y30" s="319">
        <f>Y27+Y66+Y105+Y144+Y183+Y222+Y261+Y300</f>
        <v>3.4455945041589331E-16</v>
      </c>
      <c r="AA30" s="307" t="s">
        <v>699</v>
      </c>
      <c r="AB30" s="307" t="s">
        <v>701</v>
      </c>
      <c r="AC30" s="309" t="s">
        <v>408</v>
      </c>
      <c r="AD30" s="309" t="s">
        <v>409</v>
      </c>
      <c r="AE30" s="308" t="s">
        <v>706</v>
      </c>
      <c r="AF30" s="322"/>
      <c r="AG30" s="326" t="s">
        <v>1395</v>
      </c>
      <c r="AH30" s="349">
        <f>-1+AH29</f>
        <v>-1.0015526580300189</v>
      </c>
      <c r="AI30" s="322"/>
    </row>
    <row r="31" spans="1:35">
      <c r="A31" s="309" t="s">
        <v>813</v>
      </c>
      <c r="B31" s="307" t="s">
        <v>561</v>
      </c>
      <c r="C31" s="307" t="s">
        <v>174</v>
      </c>
      <c r="D31" s="331" t="s">
        <v>563</v>
      </c>
      <c r="E31" s="307" t="s">
        <v>1339</v>
      </c>
      <c r="F31" s="307" t="s">
        <v>564</v>
      </c>
      <c r="G31" s="307" t="s">
        <v>565</v>
      </c>
      <c r="H31" s="307" t="s">
        <v>566</v>
      </c>
      <c r="I31" s="307" t="s">
        <v>814</v>
      </c>
      <c r="J31" s="309" t="s">
        <v>1396</v>
      </c>
      <c r="K31" s="310">
        <f>(K27-K30)/2</f>
        <v>26.880431085692365</v>
      </c>
      <c r="L31" s="310">
        <f>(L27-L30)/2</f>
        <v>0.27490300665198009</v>
      </c>
      <c r="M31" s="313">
        <f>L31/K31</f>
        <v>1.0226882365673911E-2</v>
      </c>
      <c r="N31" s="309" t="s">
        <v>1397</v>
      </c>
      <c r="O31" s="310">
        <f>(1/O17-1/O18)*1000</f>
        <v>0</v>
      </c>
      <c r="P31" s="310">
        <f>(1/P17-1/P18)*1000</f>
        <v>-0.38992879497407573</v>
      </c>
      <c r="Q31" s="310">
        <f>IF(O31=0,1,P31/O31)</f>
        <v>1</v>
      </c>
      <c r="R31" s="309">
        <v>6</v>
      </c>
      <c r="S31" s="337">
        <f>P7*U28+P3*V28</f>
        <v>0</v>
      </c>
      <c r="T31" s="311">
        <f>P7*W28/1000000+P3*X28</f>
        <v>0</v>
      </c>
      <c r="U31" s="314" t="s">
        <v>1429</v>
      </c>
      <c r="V31" s="311">
        <f>0</f>
        <v>0</v>
      </c>
      <c r="W31" s="308"/>
      <c r="Y31" s="311"/>
      <c r="AA31" s="311">
        <f>U5*U26+U44*U65+U83*U104+U122*U143+U161*U182+U200*U221+U239*U260+U278*U299</f>
        <v>3.0179841135253815E-7</v>
      </c>
      <c r="AB31" s="311">
        <f>$U$5*V26+$U$44*V65+$U$83*V104+$U$122*V143+$U$161*V182+$U$200*V221+$U$239*V260+$U$278*V299</f>
        <v>7.5652880535078352E-3</v>
      </c>
      <c r="AC31" s="319">
        <f>(AA31*U18+AA32*U20+AA33*U22)*1000000</f>
        <v>0.11556465563659149</v>
      </c>
      <c r="AD31" s="319">
        <f>(AB31*U18+AB32*U20+AB33*U22)</f>
        <v>2.5506580685922976E-3</v>
      </c>
      <c r="AE31" s="319">
        <f>(P7*AC31/1000000+P3*AD31)</f>
        <v>1.1968247793023403E-6</v>
      </c>
      <c r="AF31" s="322"/>
      <c r="AG31" s="326" t="s">
        <v>1399</v>
      </c>
      <c r="AH31" s="349">
        <f>2*(P33*AH7*AH23+P34*AH8*AH24+P35*(AH7*AH24+AH23*AH8)+P36*AH9*AH25)</f>
        <v>8.3356290556083708E-4</v>
      </c>
      <c r="AI31" s="322"/>
    </row>
    <row r="32" spans="1:35">
      <c r="A32" s="307" t="s">
        <v>815</v>
      </c>
      <c r="B32" s="321">
        <f>O2</f>
        <v>22</v>
      </c>
      <c r="C32" s="325">
        <f>O3</f>
        <v>5.0000000000000001E-3</v>
      </c>
      <c r="D32" s="313">
        <f>K11</f>
        <v>0.7</v>
      </c>
      <c r="E32" s="313">
        <f>K13</f>
        <v>3.4</v>
      </c>
      <c r="F32" s="321">
        <f>K12</f>
        <v>258.57142857142861</v>
      </c>
      <c r="G32" s="321">
        <f>O24</f>
        <v>40</v>
      </c>
      <c r="H32" s="332">
        <f>O23</f>
        <v>2142.8571428571431</v>
      </c>
      <c r="I32" s="310">
        <f>A55</f>
        <v>0.15</v>
      </c>
      <c r="J32" s="308" t="s">
        <v>1400</v>
      </c>
      <c r="N32" s="309" t="s">
        <v>1401</v>
      </c>
      <c r="O32" s="310">
        <f>(1/O19-1/O20)*1000</f>
        <v>20.934959349593495</v>
      </c>
      <c r="P32" s="310">
        <f>(1/P19-1/P20)*1000</f>
        <v>20.934959349593495</v>
      </c>
      <c r="Q32" s="310">
        <f t="shared" ref="Q32:Q38" si="5">P32/O32</f>
        <v>1</v>
      </c>
      <c r="R32" s="309"/>
      <c r="S32" s="319"/>
      <c r="T32" s="319"/>
      <c r="U32" s="319"/>
      <c r="V32" s="319"/>
      <c r="W32" s="308"/>
      <c r="X32" s="308"/>
      <c r="Y32" s="311"/>
      <c r="AA32" s="311">
        <f>U5*U27+U44*U66+U83*U105+U122*U144+U161*U183+U200*U222+U239*U261+U278*U300</f>
        <v>7.3860361411472986E-7</v>
      </c>
      <c r="AB32" s="311">
        <f>$U$5*V27+$U$44*V66+$U$83*V105+$U$122*V144+$U$161*V183+$U$200*V222+$U$239*V261+$U$278*V300</f>
        <v>1.9213389851379336E-2</v>
      </c>
      <c r="AC32" s="319">
        <f>(AA31*U20+AA32*U19+AA33*U23)*1000000</f>
        <v>0.9970773531851117</v>
      </c>
      <c r="AD32" s="319">
        <f>(AB31*U20+AB32*U19+AB33*U23)</f>
        <v>2.6078577042307254E-2</v>
      </c>
      <c r="AE32" s="319">
        <f>(P7*AC32/1000000+P3*AD32)</f>
        <v>3.0685149893025098E-5</v>
      </c>
      <c r="AG32" s="326" t="s">
        <v>1403</v>
      </c>
      <c r="AH32" s="349">
        <f>AH31+AH15</f>
        <v>-1.7155951603226725</v>
      </c>
      <c r="AI32" s="322"/>
    </row>
    <row r="33" spans="1:35">
      <c r="A33" s="307" t="s">
        <v>0</v>
      </c>
      <c r="B33" s="316">
        <f t="shared" ref="B33:H33" si="6">B32</f>
        <v>22</v>
      </c>
      <c r="C33" s="355">
        <f t="shared" si="6"/>
        <v>5.0000000000000001E-3</v>
      </c>
      <c r="D33" s="356">
        <f t="shared" si="6"/>
        <v>0.7</v>
      </c>
      <c r="E33" s="356">
        <f t="shared" si="6"/>
        <v>3.4</v>
      </c>
      <c r="F33" s="316">
        <f t="shared" si="6"/>
        <v>258.57142857142861</v>
      </c>
      <c r="G33" s="316">
        <f t="shared" si="6"/>
        <v>40</v>
      </c>
      <c r="H33" s="357">
        <f t="shared" si="6"/>
        <v>2142.8571428571431</v>
      </c>
      <c r="I33" s="356">
        <f>B22</f>
        <v>1</v>
      </c>
      <c r="J33" s="309" t="s">
        <v>1404</v>
      </c>
      <c r="K33" s="310">
        <f>(1-(K30/K27)^2)*K27</f>
        <v>69.675740916648124</v>
      </c>
      <c r="L33" s="310">
        <f>(1-(L30/L27)^2)*L27</f>
        <v>0.69832742877770015</v>
      </c>
      <c r="M33" s="310">
        <f>L33/K33</f>
        <v>1.0022533231660889E-2</v>
      </c>
      <c r="N33" s="309" t="s">
        <v>1405</v>
      </c>
      <c r="O33" s="312">
        <f>(O27*K22^2+2*O29*K22*K24+O28*K24^2)</f>
        <v>12004.38353147296</v>
      </c>
      <c r="P33" s="312">
        <f>(P27*L22^2+2*P29*L22*L24+P28*L24^2)</f>
        <v>2.3076412740082484</v>
      </c>
      <c r="Q33" s="310">
        <f t="shared" si="5"/>
        <v>1.9223321780398802E-4</v>
      </c>
      <c r="S33" s="308"/>
      <c r="T33" s="308"/>
      <c r="W33" s="308"/>
      <c r="X33" s="308"/>
      <c r="Y33" s="311"/>
      <c r="AA33" s="311">
        <f>$U$5*U28+$U$44*U67+$U$83*U106+$U$122*U145+$U$161*U184+$U$200*U223+$U$239*U262+$U$278*U301</f>
        <v>-1.0657348743377306E-23</v>
      </c>
      <c r="AB33" s="311">
        <f>$U$5*V28+$U$44*V67+$U$83*V106+$U$122*V145+$U$161*V184+$U$200*V223+$U$239*V262+$U$278*V301</f>
        <v>-2.2354267242619807E-19</v>
      </c>
      <c r="AC33" s="319">
        <f>(AA31*U22+AA32*U23+AA33*U21)*1000000</f>
        <v>-1.5046578368033799E-16</v>
      </c>
      <c r="AD33" s="319">
        <f>(AB31*U22+AB32*U23+AB33*U21)</f>
        <v>-3.7154507088968738E-18</v>
      </c>
      <c r="AE33" s="319">
        <f>(P7*AC33/1000000+P3*AD33)</f>
        <v>-3.530675176450572E-21</v>
      </c>
      <c r="AG33" s="326" t="s">
        <v>1412</v>
      </c>
      <c r="AH33" s="349">
        <f>AH32/2/AH14</f>
        <v>-0.45148005155584642</v>
      </c>
      <c r="AI33" s="322"/>
    </row>
    <row r="34" spans="1:35">
      <c r="A34" s="307" t="s">
        <v>1</v>
      </c>
      <c r="B34" s="321">
        <f>O41</f>
        <v>22</v>
      </c>
      <c r="C34" s="325">
        <f>O42</f>
        <v>5.0000000000000001E-3</v>
      </c>
      <c r="D34" s="313">
        <f>K50</f>
        <v>0.7</v>
      </c>
      <c r="E34" s="313">
        <f>K52</f>
        <v>3.4</v>
      </c>
      <c r="F34" s="321">
        <f>K51</f>
        <v>258.57142857142861</v>
      </c>
      <c r="G34" s="321">
        <f>O63</f>
        <v>40</v>
      </c>
      <c r="H34" s="332">
        <f>O62</f>
        <v>2142.8571428571431</v>
      </c>
      <c r="I34" s="310">
        <f>A60</f>
        <v>0.15</v>
      </c>
      <c r="J34" s="309" t="s">
        <v>1414</v>
      </c>
      <c r="K34" s="310">
        <f>K30/K27</f>
        <v>0.29603094337527941</v>
      </c>
      <c r="L34" s="310">
        <f>L30/L27</f>
        <v>0.2701342143954143</v>
      </c>
      <c r="M34" s="310">
        <f>L34/K34</f>
        <v>0.91252019574509224</v>
      </c>
      <c r="N34" s="309" t="s">
        <v>1415</v>
      </c>
      <c r="O34" s="312">
        <f>(O27*K24^2+2*O29*K24*K23+O28*K23^2)</f>
        <v>10680.652008265077</v>
      </c>
      <c r="P34" s="312">
        <f>(P27*L24^2+2*P29*L24*L23+P28*L23^2)</f>
        <v>1.0781489138141471</v>
      </c>
      <c r="Q34" s="310">
        <f t="shared" si="5"/>
        <v>1.0094411024531426E-4</v>
      </c>
      <c r="S34" s="308"/>
      <c r="T34" s="308"/>
      <c r="W34" s="308"/>
      <c r="X34" s="308"/>
      <c r="Y34" s="311"/>
      <c r="Z34" s="309"/>
      <c r="AG34" s="326"/>
      <c r="AH34" s="319"/>
      <c r="AI34" s="322"/>
    </row>
    <row r="35" spans="1:35">
      <c r="A35" s="307" t="s">
        <v>2</v>
      </c>
      <c r="B35" s="316">
        <f t="shared" ref="B35:H35" si="7">B34</f>
        <v>22</v>
      </c>
      <c r="C35" s="355">
        <f t="shared" si="7"/>
        <v>5.0000000000000001E-3</v>
      </c>
      <c r="D35" s="356">
        <f t="shared" si="7"/>
        <v>0.7</v>
      </c>
      <c r="E35" s="356">
        <f t="shared" si="7"/>
        <v>3.4</v>
      </c>
      <c r="F35" s="316">
        <f t="shared" si="7"/>
        <v>258.57142857142861</v>
      </c>
      <c r="G35" s="316">
        <f t="shared" si="7"/>
        <v>40</v>
      </c>
      <c r="H35" s="357">
        <f t="shared" si="7"/>
        <v>2142.8571428571431</v>
      </c>
      <c r="I35" s="356">
        <f>B23</f>
        <v>0.15</v>
      </c>
      <c r="N35" s="309" t="s">
        <v>1416</v>
      </c>
      <c r="O35" s="312">
        <f>(O27*K22*K24+O29*(K22*K23+K24^2)+O28*K24*K23)</f>
        <v>-3069.103206291968</v>
      </c>
      <c r="P35" s="312">
        <f>(P27*L22*L24+P29*(L22*L23+L24^2)+P28*L24*L23)</f>
        <v>-4.5002187664094501E-3</v>
      </c>
      <c r="Q35" s="310">
        <f t="shared" si="5"/>
        <v>1.4662976328666798E-6</v>
      </c>
      <c r="S35" s="308"/>
      <c r="T35" s="308"/>
      <c r="W35" s="308"/>
      <c r="X35" s="308"/>
      <c r="Y35" s="311"/>
      <c r="AE35" s="314"/>
      <c r="AG35" s="326"/>
      <c r="AH35" s="319"/>
      <c r="AI35" s="322"/>
    </row>
    <row r="36" spans="1:35">
      <c r="A36" s="307" t="s">
        <v>3</v>
      </c>
      <c r="B36" s="321">
        <f>O80</f>
        <v>22</v>
      </c>
      <c r="C36" s="325">
        <f>O81</f>
        <v>5.0000000000000001E-3</v>
      </c>
      <c r="D36" s="313">
        <f>K89</f>
        <v>0.7</v>
      </c>
      <c r="E36" s="313">
        <f>K91</f>
        <v>3.4</v>
      </c>
      <c r="F36" s="321">
        <f>K90</f>
        <v>258.57142857142861</v>
      </c>
      <c r="G36" s="321">
        <f>O102</f>
        <v>40</v>
      </c>
      <c r="H36" s="332">
        <f>O101</f>
        <v>2142.8571428571431</v>
      </c>
      <c r="I36" s="310">
        <f>A67</f>
        <v>0.15</v>
      </c>
      <c r="J36" s="309" t="s">
        <v>1193</v>
      </c>
      <c r="K36" s="310">
        <f>D53</f>
        <v>1.6</v>
      </c>
      <c r="L36" s="310">
        <f>L37*(1-L11)+L38*L11</f>
        <v>1.6</v>
      </c>
      <c r="M36" s="310">
        <f>L36/K36</f>
        <v>1</v>
      </c>
      <c r="N36" s="309" t="s">
        <v>1418</v>
      </c>
      <c r="O36" s="312">
        <f>O30*K25^2</f>
        <v>11117.841695501729</v>
      </c>
      <c r="P36" s="312">
        <f>P30*L25^2</f>
        <v>1.1117841695501731</v>
      </c>
      <c r="Q36" s="310">
        <f t="shared" si="5"/>
        <v>1.0000000000000002E-4</v>
      </c>
      <c r="S36" s="308"/>
      <c r="T36" s="308"/>
      <c r="W36" s="308"/>
      <c r="X36" s="308"/>
      <c r="Y36" s="331"/>
      <c r="Z36" s="307"/>
      <c r="AA36" s="307"/>
      <c r="AB36" s="307"/>
      <c r="AC36" s="309"/>
      <c r="AD36" s="309"/>
      <c r="AE36" s="311"/>
      <c r="AG36" s="326"/>
      <c r="AH36" s="319"/>
      <c r="AI36" s="326" t="s">
        <v>1421</v>
      </c>
    </row>
    <row r="37" spans="1:35">
      <c r="A37" s="307" t="s">
        <v>4</v>
      </c>
      <c r="B37" s="316">
        <f t="shared" ref="B37:H37" si="8">B36</f>
        <v>22</v>
      </c>
      <c r="C37" s="355">
        <f t="shared" si="8"/>
        <v>5.0000000000000001E-3</v>
      </c>
      <c r="D37" s="356">
        <f t="shared" si="8"/>
        <v>0.7</v>
      </c>
      <c r="E37" s="356">
        <f t="shared" si="8"/>
        <v>3.4</v>
      </c>
      <c r="F37" s="316">
        <f t="shared" si="8"/>
        <v>258.57142857142861</v>
      </c>
      <c r="G37" s="316">
        <f t="shared" si="8"/>
        <v>40</v>
      </c>
      <c r="H37" s="357">
        <f t="shared" si="8"/>
        <v>2142.8571428571431</v>
      </c>
      <c r="I37" s="356">
        <f>B24</f>
        <v>0.15</v>
      </c>
      <c r="J37" s="309" t="s">
        <v>274</v>
      </c>
      <c r="K37" s="310">
        <f>F52</f>
        <v>1.2</v>
      </c>
      <c r="L37" s="310">
        <f>K37</f>
        <v>1.2</v>
      </c>
      <c r="M37" s="310">
        <f>L37/K37</f>
        <v>1</v>
      </c>
      <c r="N37" s="309" t="s">
        <v>1422</v>
      </c>
      <c r="O37" s="312">
        <f>(O31*K22+O32*K24)</f>
        <v>60.646995481305353</v>
      </c>
      <c r="P37" s="312">
        <f>(P31*L22+P32*L24)</f>
        <v>-0.6997337888084384</v>
      </c>
      <c r="Q37" s="310">
        <f t="shared" si="5"/>
        <v>-1.1537814581830914E-2</v>
      </c>
      <c r="S37" s="308"/>
      <c r="T37" s="308"/>
      <c r="W37" s="308"/>
      <c r="X37" s="308"/>
      <c r="Y37" s="337"/>
      <c r="Z37" s="337"/>
      <c r="AA37" s="319"/>
      <c r="AB37" s="319"/>
      <c r="AC37" s="319"/>
      <c r="AD37" s="319"/>
      <c r="AG37" s="309" t="s">
        <v>1424</v>
      </c>
      <c r="AH37" s="319">
        <f>(AH33^2-AH30/AH14)^0.5-AH33</f>
        <v>1.3064514758299335</v>
      </c>
      <c r="AI37" s="319">
        <f>AH38</f>
        <v>1.3064514758299335</v>
      </c>
    </row>
    <row r="38" spans="1:35">
      <c r="A38" s="307" t="s">
        <v>5</v>
      </c>
      <c r="B38" s="321">
        <f>O119</f>
        <v>22</v>
      </c>
      <c r="C38" s="325">
        <f>O120</f>
        <v>5.0000000000000001E-3</v>
      </c>
      <c r="D38" s="313">
        <f>K128</f>
        <v>0.7</v>
      </c>
      <c r="E38" s="313">
        <f>K130</f>
        <v>3.4</v>
      </c>
      <c r="F38" s="321">
        <f>K129</f>
        <v>258.57142857142861</v>
      </c>
      <c r="G38" s="321">
        <f>O141</f>
        <v>40</v>
      </c>
      <c r="H38" s="332">
        <f>O140</f>
        <v>2142.8571428571431</v>
      </c>
      <c r="I38" s="310">
        <f>A72</f>
        <v>0.15</v>
      </c>
      <c r="J38" s="309" t="s">
        <v>1195</v>
      </c>
      <c r="K38" s="310">
        <f>(K36-K37*(1-K11))/K11</f>
        <v>1.7714285714285716</v>
      </c>
      <c r="L38" s="310">
        <f>K38</f>
        <v>1.7714285714285716</v>
      </c>
      <c r="M38" s="310">
        <f>L38/K38</f>
        <v>1</v>
      </c>
      <c r="N38" s="309" t="s">
        <v>1426</v>
      </c>
      <c r="O38" s="312">
        <f>(O31*K24+O32*K23)</f>
        <v>216.59641243323335</v>
      </c>
      <c r="P38" s="312">
        <f>(P31*L24+P32*L23)</f>
        <v>2.1561893195138255</v>
      </c>
      <c r="Q38" s="310">
        <f t="shared" si="5"/>
        <v>9.9548708830922063E-3</v>
      </c>
      <c r="S38" s="308"/>
      <c r="T38" s="308"/>
      <c r="W38" s="308"/>
      <c r="X38" s="308"/>
      <c r="Y38" s="337"/>
      <c r="Z38" s="337"/>
      <c r="AA38" s="319"/>
      <c r="AB38" s="319"/>
      <c r="AC38" s="319"/>
      <c r="AD38" s="319"/>
      <c r="AG38" s="309" t="s">
        <v>194</v>
      </c>
      <c r="AH38" s="319">
        <f>IF(AH3=0,1000000000,AH37)</f>
        <v>1.3064514758299335</v>
      </c>
    </row>
    <row r="39" spans="1:35">
      <c r="A39" s="307" t="s">
        <v>6</v>
      </c>
      <c r="B39" s="316">
        <f t="shared" ref="B39:H39" si="9">B38</f>
        <v>22</v>
      </c>
      <c r="C39" s="355">
        <f t="shared" si="9"/>
        <v>5.0000000000000001E-3</v>
      </c>
      <c r="D39" s="356">
        <f t="shared" si="9"/>
        <v>0.7</v>
      </c>
      <c r="E39" s="356">
        <f t="shared" si="9"/>
        <v>3.4</v>
      </c>
      <c r="F39" s="316">
        <f t="shared" si="9"/>
        <v>258.57142857142861</v>
      </c>
      <c r="G39" s="316">
        <f t="shared" si="9"/>
        <v>40</v>
      </c>
      <c r="H39" s="357">
        <f t="shared" si="9"/>
        <v>2142.8571428571431</v>
      </c>
      <c r="I39" s="356">
        <f>B25</f>
        <v>0.15</v>
      </c>
      <c r="L39" s="308" t="s">
        <v>1428</v>
      </c>
      <c r="S39" s="308"/>
      <c r="T39" s="308"/>
      <c r="W39" s="308"/>
      <c r="X39" s="308"/>
      <c r="Y39" s="337"/>
      <c r="Z39" s="337"/>
      <c r="AA39" s="319"/>
      <c r="AB39" s="319"/>
      <c r="AC39" s="319"/>
      <c r="AD39" s="319"/>
      <c r="AG39" s="309" t="s">
        <v>194</v>
      </c>
      <c r="AH39" s="319">
        <f>IF(AH3=0,0,AH37)</f>
        <v>1.3064514758299335</v>
      </c>
    </row>
    <row r="40" spans="1:35">
      <c r="A40" s="307" t="s">
        <v>7</v>
      </c>
      <c r="B40" s="321">
        <f>O158</f>
        <v>22</v>
      </c>
      <c r="C40" s="325">
        <f>O159</f>
        <v>5.0000000000000001E-3</v>
      </c>
      <c r="D40" s="313">
        <f>K167</f>
        <v>0.7</v>
      </c>
      <c r="E40" s="313">
        <f>K169</f>
        <v>3.4</v>
      </c>
      <c r="F40" s="321">
        <f>K168</f>
        <v>258.57142857142861</v>
      </c>
      <c r="G40" s="321">
        <f>O180</f>
        <v>40</v>
      </c>
      <c r="H40" s="332">
        <f>O179</f>
        <v>2142.8571428571431</v>
      </c>
      <c r="I40" s="310">
        <f>A79</f>
        <v>0.15</v>
      </c>
      <c r="J40" s="307" t="s">
        <v>807</v>
      </c>
      <c r="K40" s="309"/>
      <c r="L40" s="309"/>
      <c r="N40" s="308" t="s">
        <v>1551</v>
      </c>
      <c r="P40" s="310"/>
      <c r="R40" s="308" t="s">
        <v>634</v>
      </c>
      <c r="Z40" s="308" t="s">
        <v>635</v>
      </c>
      <c r="AG40" s="308" t="s">
        <v>636</v>
      </c>
    </row>
    <row r="41" spans="1:35">
      <c r="A41" s="307" t="s">
        <v>8</v>
      </c>
      <c r="B41" s="316">
        <f t="shared" ref="B41:H41" si="10">B40</f>
        <v>22</v>
      </c>
      <c r="C41" s="355">
        <f t="shared" si="10"/>
        <v>5.0000000000000001E-3</v>
      </c>
      <c r="D41" s="356">
        <f t="shared" si="10"/>
        <v>0.7</v>
      </c>
      <c r="E41" s="356">
        <f t="shared" si="10"/>
        <v>3.4</v>
      </c>
      <c r="F41" s="316">
        <f t="shared" si="10"/>
        <v>258.57142857142861</v>
      </c>
      <c r="G41" s="316">
        <f t="shared" si="10"/>
        <v>40</v>
      </c>
      <c r="H41" s="357">
        <f t="shared" si="10"/>
        <v>2142.8571428571431</v>
      </c>
      <c r="I41" s="356">
        <f>B26</f>
        <v>0.15</v>
      </c>
      <c r="J41" s="309" t="str">
        <f>A56</f>
        <v>T3/N52[SI]</v>
      </c>
      <c r="K41" s="307"/>
      <c r="L41" s="309"/>
      <c r="N41" s="309" t="s">
        <v>596</v>
      </c>
      <c r="O41" s="312">
        <f>G57</f>
        <v>22</v>
      </c>
      <c r="P41" s="312">
        <f>B35</f>
        <v>22</v>
      </c>
      <c r="Q41" s="313">
        <f t="shared" ref="Q41:Q46" si="11">P41/O41</f>
        <v>1</v>
      </c>
      <c r="R41" s="307"/>
      <c r="X41" s="314"/>
      <c r="Z41" s="309" t="s">
        <v>531</v>
      </c>
      <c r="AA41" s="315">
        <f>S43</f>
        <v>90</v>
      </c>
      <c r="AB41" s="315"/>
      <c r="AC41" s="315"/>
      <c r="AD41" s="315"/>
      <c r="AE41" s="309" t="s">
        <v>532</v>
      </c>
      <c r="AF41" s="314" t="s">
        <v>533</v>
      </c>
      <c r="AG41" s="309" t="s">
        <v>531</v>
      </c>
      <c r="AH41" s="315">
        <f>AA41</f>
        <v>90</v>
      </c>
    </row>
    <row r="42" spans="1:35">
      <c r="A42" s="307" t="s">
        <v>9</v>
      </c>
      <c r="B42" s="321">
        <f>O197</f>
        <v>22</v>
      </c>
      <c r="C42" s="325">
        <f>O198</f>
        <v>5.0000000000000001E-3</v>
      </c>
      <c r="D42" s="313">
        <f>K206</f>
        <v>0.7</v>
      </c>
      <c r="E42" s="313">
        <f>K208</f>
        <v>3.4</v>
      </c>
      <c r="F42" s="321">
        <f>K207</f>
        <v>258.57142857142861</v>
      </c>
      <c r="G42" s="321">
        <f>O219</f>
        <v>40</v>
      </c>
      <c r="H42" s="332">
        <f>O218</f>
        <v>2142.8571428571431</v>
      </c>
      <c r="I42" s="310">
        <f>A84</f>
        <v>0.15</v>
      </c>
      <c r="J42" s="309"/>
      <c r="K42" s="309"/>
      <c r="L42" s="309"/>
      <c r="N42" s="309" t="s">
        <v>600</v>
      </c>
      <c r="O42" s="319">
        <f>H57</f>
        <v>5.0000000000000001E-3</v>
      </c>
      <c r="P42" s="319">
        <f>C35</f>
        <v>5.0000000000000001E-3</v>
      </c>
      <c r="Q42" s="313">
        <f t="shared" si="11"/>
        <v>1</v>
      </c>
      <c r="R42" s="309" t="s">
        <v>243</v>
      </c>
      <c r="S42" s="314" t="s">
        <v>1562</v>
      </c>
      <c r="T42" s="314" t="s">
        <v>652</v>
      </c>
      <c r="U42" s="314" t="s">
        <v>646</v>
      </c>
      <c r="V42" s="314"/>
      <c r="W42" s="314"/>
      <c r="X42" s="314"/>
      <c r="Z42" s="309" t="s">
        <v>536</v>
      </c>
      <c r="AA42" s="315">
        <f>S44</f>
        <v>1</v>
      </c>
      <c r="AB42" s="315"/>
      <c r="AC42" s="315"/>
      <c r="AD42" s="315"/>
      <c r="AE42" s="309">
        <f>W44</f>
        <v>0</v>
      </c>
      <c r="AF42" s="315">
        <f>X44</f>
        <v>0</v>
      </c>
      <c r="AG42" s="309" t="s">
        <v>536</v>
      </c>
      <c r="AH42" s="315">
        <f>AA42</f>
        <v>1</v>
      </c>
    </row>
    <row r="43" spans="1:35">
      <c r="A43" s="307" t="s">
        <v>10</v>
      </c>
      <c r="B43" s="316">
        <f t="shared" ref="B43:H43" si="12">B42</f>
        <v>22</v>
      </c>
      <c r="C43" s="355">
        <f t="shared" si="12"/>
        <v>5.0000000000000001E-3</v>
      </c>
      <c r="D43" s="356">
        <f t="shared" si="12"/>
        <v>0.7</v>
      </c>
      <c r="E43" s="356">
        <f t="shared" si="12"/>
        <v>3.4</v>
      </c>
      <c r="F43" s="316">
        <f t="shared" si="12"/>
        <v>258.57142857142861</v>
      </c>
      <c r="G43" s="316">
        <f t="shared" si="12"/>
        <v>40</v>
      </c>
      <c r="H43" s="357">
        <f t="shared" si="12"/>
        <v>2142.8571428571431</v>
      </c>
      <c r="I43" s="356">
        <f>B27</f>
        <v>0.15</v>
      </c>
      <c r="J43" s="309" t="s">
        <v>1553</v>
      </c>
      <c r="K43" s="309" t="s">
        <v>1554</v>
      </c>
      <c r="L43" s="309" t="s">
        <v>1555</v>
      </c>
      <c r="M43" s="320" t="s">
        <v>1556</v>
      </c>
      <c r="N43" s="309" t="s">
        <v>1557</v>
      </c>
      <c r="O43" s="312">
        <f>G56</f>
        <v>122</v>
      </c>
      <c r="P43" s="312">
        <f>O43</f>
        <v>122</v>
      </c>
      <c r="Q43" s="313">
        <f t="shared" si="11"/>
        <v>1</v>
      </c>
      <c r="R43" s="309" t="s">
        <v>537</v>
      </c>
      <c r="S43" s="321">
        <f>C4</f>
        <v>90</v>
      </c>
      <c r="T43" s="322">
        <f>E4*L48/1000000</f>
        <v>2.5000000000000001E-4</v>
      </c>
      <c r="U43" s="319">
        <f>U4</f>
        <v>2E-3</v>
      </c>
      <c r="V43" s="321"/>
      <c r="W43" s="314"/>
      <c r="X43" s="314"/>
      <c r="Z43" s="309" t="s">
        <v>539</v>
      </c>
      <c r="AA43" s="315">
        <f>S45</f>
        <v>3.1415926535897931</v>
      </c>
      <c r="AB43" s="315"/>
      <c r="AC43" s="315"/>
      <c r="AD43" s="315"/>
      <c r="AE43" s="309" t="s">
        <v>540</v>
      </c>
      <c r="AF43" s="311">
        <f>T43</f>
        <v>2.5000000000000001E-4</v>
      </c>
      <c r="AG43" s="309" t="s">
        <v>539</v>
      </c>
      <c r="AH43" s="315">
        <f>AA43</f>
        <v>3.1415926535897931</v>
      </c>
    </row>
    <row r="44" spans="1:35">
      <c r="A44" s="307" t="s">
        <v>11</v>
      </c>
      <c r="B44" s="321">
        <f>O236</f>
        <v>22</v>
      </c>
      <c r="C44" s="325">
        <f>O237</f>
        <v>5.0000000000000001E-3</v>
      </c>
      <c r="D44" s="313">
        <f>K245</f>
        <v>0.7</v>
      </c>
      <c r="E44" s="313">
        <f>K247</f>
        <v>3.4</v>
      </c>
      <c r="F44" s="321">
        <f>K246</f>
        <v>258.57142857142861</v>
      </c>
      <c r="G44" s="321">
        <f>O258</f>
        <v>40</v>
      </c>
      <c r="H44" s="332">
        <f>O257</f>
        <v>2142.8571428571431</v>
      </c>
      <c r="I44" s="310">
        <f>A91</f>
        <v>0.15</v>
      </c>
      <c r="J44" s="309" t="s">
        <v>298</v>
      </c>
      <c r="K44" s="310">
        <f>B56</f>
        <v>181</v>
      </c>
      <c r="L44" s="310">
        <f>L51*L50*D23</f>
        <v>1.8100000000000003</v>
      </c>
      <c r="M44" s="313">
        <f>L44/K44</f>
        <v>1.0000000000000002E-2</v>
      </c>
      <c r="N44" s="309" t="s">
        <v>299</v>
      </c>
      <c r="O44" s="312">
        <f>H56</f>
        <v>160</v>
      </c>
      <c r="P44" s="312">
        <f>O44-H59*(P42)</f>
        <v>150</v>
      </c>
      <c r="Q44" s="313">
        <f t="shared" si="11"/>
        <v>0.9375</v>
      </c>
      <c r="R44" s="309" t="s">
        <v>541</v>
      </c>
      <c r="S44" s="321">
        <f>D4</f>
        <v>1</v>
      </c>
      <c r="T44" s="321"/>
      <c r="U44" s="321">
        <f>T43/U43</f>
        <v>0.125</v>
      </c>
      <c r="V44" s="321"/>
      <c r="W44" s="323"/>
      <c r="X44" s="315"/>
      <c r="Z44" s="309"/>
      <c r="AA44" s="311"/>
      <c r="AB44" s="311"/>
      <c r="AC44" s="311"/>
      <c r="AD44" s="311"/>
      <c r="AE44" s="314"/>
      <c r="AI44" s="309" t="s">
        <v>109</v>
      </c>
    </row>
    <row r="45" spans="1:35">
      <c r="A45" s="307" t="s">
        <v>12</v>
      </c>
      <c r="B45" s="316">
        <f t="shared" ref="B45:H45" si="13">B44</f>
        <v>22</v>
      </c>
      <c r="C45" s="355">
        <f t="shared" si="13"/>
        <v>5.0000000000000001E-3</v>
      </c>
      <c r="D45" s="356">
        <f t="shared" si="13"/>
        <v>0.7</v>
      </c>
      <c r="E45" s="356">
        <f t="shared" si="13"/>
        <v>3.4</v>
      </c>
      <c r="F45" s="316">
        <f t="shared" si="13"/>
        <v>258.57142857142861</v>
      </c>
      <c r="G45" s="316">
        <f t="shared" si="13"/>
        <v>40</v>
      </c>
      <c r="H45" s="357">
        <f t="shared" si="13"/>
        <v>2142.8571428571431</v>
      </c>
      <c r="I45" s="356">
        <f>B28</f>
        <v>0.15</v>
      </c>
      <c r="J45" s="309" t="s">
        <v>1579</v>
      </c>
      <c r="K45" s="310">
        <f>C56</f>
        <v>10.3</v>
      </c>
      <c r="L45" s="310">
        <f>(1+L54)/(1/L55+L54/L52)*E23</f>
        <v>2.5068162405329986E-2</v>
      </c>
      <c r="M45" s="313">
        <f>L45/K45</f>
        <v>2.4338021752747557E-3</v>
      </c>
      <c r="N45" s="309" t="s">
        <v>1580</v>
      </c>
      <c r="O45" s="310">
        <f>(O44-O41)/(O44-O41)</f>
        <v>1</v>
      </c>
      <c r="P45" s="310">
        <f>(P44-P41)/(P44-O41)</f>
        <v>1</v>
      </c>
      <c r="Q45" s="313">
        <f t="shared" si="11"/>
        <v>1</v>
      </c>
      <c r="R45" s="309" t="s">
        <v>1295</v>
      </c>
      <c r="S45" s="325">
        <f>S43*PI()/90</f>
        <v>3.1415926535897931</v>
      </c>
      <c r="T45" s="325"/>
      <c r="U45" s="325"/>
      <c r="V45" s="325"/>
      <c r="W45" s="314"/>
      <c r="X45" s="326"/>
      <c r="Y45" s="309"/>
      <c r="Z45" s="307" t="s">
        <v>1297</v>
      </c>
      <c r="AA45" s="314"/>
      <c r="AB45" s="314"/>
      <c r="AC45" s="311"/>
      <c r="AD45" s="311"/>
      <c r="AE45" s="311"/>
      <c r="AG45" s="307" t="s">
        <v>1298</v>
      </c>
      <c r="AI45" s="309" t="s">
        <v>1299</v>
      </c>
    </row>
    <row r="46" spans="1:35">
      <c r="A46" s="307" t="s">
        <v>13</v>
      </c>
      <c r="B46" s="321">
        <f>O275</f>
        <v>22</v>
      </c>
      <c r="C46" s="325">
        <f>O276</f>
        <v>5.0000000000000001E-3</v>
      </c>
      <c r="D46" s="313">
        <f>K284</f>
        <v>0.7</v>
      </c>
      <c r="E46" s="313">
        <f>K286</f>
        <v>3.4</v>
      </c>
      <c r="F46" s="321">
        <f>K285</f>
        <v>258.57142857142861</v>
      </c>
      <c r="G46" s="321">
        <f>O297</f>
        <v>40</v>
      </c>
      <c r="H46" s="332">
        <f>O296</f>
        <v>2142.8571428571431</v>
      </c>
      <c r="I46" s="310">
        <f>A96</f>
        <v>0.15</v>
      </c>
      <c r="J46" s="309" t="s">
        <v>259</v>
      </c>
      <c r="K46" s="310">
        <f>D56</f>
        <v>0.28000000000000003</v>
      </c>
      <c r="L46" s="310">
        <f>K46*I35*C23</f>
        <v>4.2000000000000002E-4</v>
      </c>
      <c r="M46" s="313">
        <f>L46/K46</f>
        <v>1.4999999999999998E-3</v>
      </c>
      <c r="N46" s="309" t="s">
        <v>260</v>
      </c>
      <c r="O46" s="312">
        <f>O41-O43</f>
        <v>-100</v>
      </c>
      <c r="P46" s="312">
        <f>P41-P43</f>
        <v>-100</v>
      </c>
      <c r="Q46" s="313">
        <f t="shared" si="11"/>
        <v>1</v>
      </c>
      <c r="R46" s="309" t="s">
        <v>1300</v>
      </c>
      <c r="S46" s="325">
        <f>2*S45</f>
        <v>6.2831853071795862</v>
      </c>
      <c r="T46" s="325"/>
      <c r="U46" s="325"/>
      <c r="V46" s="325"/>
      <c r="W46" s="323"/>
      <c r="X46" s="315"/>
      <c r="Y46" s="311"/>
      <c r="Z46" s="309"/>
      <c r="AA46" s="314" t="s">
        <v>1301</v>
      </c>
      <c r="AB46" s="314"/>
      <c r="AC46" s="327" t="s">
        <v>619</v>
      </c>
      <c r="AD46" s="327"/>
      <c r="AE46" s="314" t="s">
        <v>1303</v>
      </c>
      <c r="AF46" s="314" t="s">
        <v>1304</v>
      </c>
      <c r="AG46" s="309" t="s">
        <v>1305</v>
      </c>
      <c r="AH46" s="319">
        <f>AA52/1000</f>
        <v>-0.52601808306486308</v>
      </c>
      <c r="AI46" s="328">
        <f>AI7</f>
        <v>1.5940987336163721E-5</v>
      </c>
    </row>
    <row r="47" spans="1:35">
      <c r="A47" s="307" t="s">
        <v>14</v>
      </c>
      <c r="B47" s="316">
        <f t="shared" ref="B47:H47" si="14">B46</f>
        <v>22</v>
      </c>
      <c r="C47" s="355">
        <f t="shared" si="14"/>
        <v>5.0000000000000001E-3</v>
      </c>
      <c r="D47" s="356">
        <f t="shared" si="14"/>
        <v>0.7</v>
      </c>
      <c r="E47" s="356">
        <f t="shared" si="14"/>
        <v>3.4</v>
      </c>
      <c r="F47" s="316">
        <f t="shared" si="14"/>
        <v>258.57142857142861</v>
      </c>
      <c r="G47" s="316">
        <f t="shared" si="14"/>
        <v>40</v>
      </c>
      <c r="H47" s="357">
        <f t="shared" si="14"/>
        <v>2142.8571428571431</v>
      </c>
      <c r="I47" s="356">
        <f>B29</f>
        <v>1</v>
      </c>
      <c r="J47" s="309" t="s">
        <v>261</v>
      </c>
      <c r="K47" s="310">
        <f>E56</f>
        <v>7.17</v>
      </c>
      <c r="L47" s="310">
        <f>(1+L57)/(1/L58+L57*2.7/L52)</f>
        <v>1.4788331297965859E-2</v>
      </c>
      <c r="M47" s="313">
        <f>L47/K47</f>
        <v>2.0625287723801755E-3</v>
      </c>
      <c r="N47" s="309"/>
      <c r="O47" s="310"/>
      <c r="P47" s="310"/>
      <c r="Q47" s="310"/>
      <c r="S47" s="329"/>
      <c r="T47" s="329"/>
      <c r="U47" s="329"/>
      <c r="V47" s="333"/>
      <c r="W47" s="314"/>
      <c r="X47" s="314"/>
      <c r="Y47" s="311"/>
      <c r="Z47" s="309">
        <v>1</v>
      </c>
      <c r="AA47" s="310">
        <f>AA8</f>
        <v>0.92387953251128652</v>
      </c>
      <c r="AB47" s="322"/>
      <c r="AC47" s="310">
        <f>AC8</f>
        <v>832.07951361633309</v>
      </c>
      <c r="AD47" s="322"/>
      <c r="AE47" s="326" t="s">
        <v>1306</v>
      </c>
      <c r="AF47" s="322">
        <f>IF(T43=0,0,(AC47+AC48)/2)</f>
        <v>153.03071527573502</v>
      </c>
      <c r="AG47" s="309" t="s">
        <v>1307</v>
      </c>
      <c r="AH47" s="319">
        <f>AA53/1000</f>
        <v>0.83207951361633303</v>
      </c>
      <c r="AI47" s="328">
        <f>AI8</f>
        <v>-1.4744162556861379E-5</v>
      </c>
    </row>
    <row r="48" spans="1:35">
      <c r="J48" s="309" t="s">
        <v>262</v>
      </c>
      <c r="K48" s="312">
        <f>B58</f>
        <v>125</v>
      </c>
      <c r="L48" s="312">
        <f>K48/M50</f>
        <v>125</v>
      </c>
      <c r="M48" s="313">
        <f>L48/K48</f>
        <v>1</v>
      </c>
      <c r="N48" s="307" t="s">
        <v>1531</v>
      </c>
      <c r="O48" s="310"/>
      <c r="P48" s="310"/>
      <c r="Q48" s="310"/>
      <c r="R48" s="309" t="s">
        <v>1325</v>
      </c>
      <c r="S48" s="314" t="s">
        <v>1326</v>
      </c>
      <c r="T48" s="314"/>
      <c r="U48" s="314" t="s">
        <v>1330</v>
      </c>
      <c r="V48" s="309" t="s">
        <v>172</v>
      </c>
      <c r="W48" s="309" t="s">
        <v>187</v>
      </c>
      <c r="X48" s="314"/>
      <c r="Y48" s="319"/>
      <c r="Z48" s="309">
        <v>2</v>
      </c>
      <c r="AA48" s="310">
        <f>AA9</f>
        <v>-0.38268343236509039</v>
      </c>
      <c r="AB48" s="322"/>
      <c r="AC48" s="310">
        <f>AC9</f>
        <v>-526.01808306486305</v>
      </c>
      <c r="AD48" s="322"/>
      <c r="AE48" s="326" t="s">
        <v>1309</v>
      </c>
      <c r="AF48" s="322">
        <f>IF(T43=0,0,(AC47-AC48)/2)</f>
        <v>679.04879834059807</v>
      </c>
      <c r="AG48" s="309" t="s">
        <v>1310</v>
      </c>
      <c r="AH48" s="319">
        <f>AA54/1000</f>
        <v>-2.2324402807223513E-16</v>
      </c>
      <c r="AI48" s="328">
        <f>AI9</f>
        <v>-1.765337588225286E-21</v>
      </c>
    </row>
    <row r="49" spans="1:35">
      <c r="J49" s="307" t="s">
        <v>264</v>
      </c>
      <c r="K49" s="310"/>
      <c r="L49" s="310"/>
      <c r="N49" s="309" t="s">
        <v>265</v>
      </c>
      <c r="O49" s="310">
        <f>A59</f>
        <v>0.02</v>
      </c>
      <c r="P49" s="310">
        <f>O49</f>
        <v>0.02</v>
      </c>
      <c r="Q49" s="310">
        <f>P49/O49</f>
        <v>1</v>
      </c>
      <c r="R49" s="309">
        <v>11</v>
      </c>
      <c r="S49" s="310">
        <f>L66+L67*COS(S45)+L68*COS(S46)</f>
        <v>2.5068162466574201E-2</v>
      </c>
      <c r="T49" s="310"/>
      <c r="U49" s="322">
        <f>S49*T43</f>
        <v>6.2670406166435505E-6</v>
      </c>
      <c r="V49" s="322">
        <f t="shared" ref="V49:W54" si="15">V10</f>
        <v>1.3910951223277007E-3</v>
      </c>
      <c r="W49" s="310">
        <f t="shared" si="15"/>
        <v>0.6955475611638503</v>
      </c>
      <c r="X49" s="319"/>
      <c r="Y49" s="311"/>
      <c r="Z49" s="309">
        <v>6</v>
      </c>
      <c r="AA49" s="310">
        <f>AA10</f>
        <v>0</v>
      </c>
      <c r="AB49" s="322"/>
      <c r="AC49" s="310">
        <f>AC10</f>
        <v>5.6856910853327399E-14</v>
      </c>
      <c r="AD49" s="322"/>
      <c r="AE49" s="326" t="s">
        <v>1312</v>
      </c>
      <c r="AF49" s="322">
        <f>IF(T43=0,0,AC49/2)</f>
        <v>2.8428455426663699E-14</v>
      </c>
      <c r="AG49" s="309"/>
      <c r="AH49" s="322"/>
      <c r="AI49" s="322"/>
    </row>
    <row r="50" spans="1:35">
      <c r="A50" s="358" t="s">
        <v>420</v>
      </c>
      <c r="J50" s="309" t="s">
        <v>1532</v>
      </c>
      <c r="K50" s="310">
        <f>C58</f>
        <v>0.7</v>
      </c>
      <c r="L50" s="310">
        <f>D35</f>
        <v>0.7</v>
      </c>
      <c r="M50" s="313">
        <f t="shared" ref="M50:M58" si="16">L50/K50</f>
        <v>1</v>
      </c>
      <c r="N50" s="309" t="s">
        <v>1533</v>
      </c>
      <c r="O50" s="310">
        <f>B59</f>
        <v>22.5</v>
      </c>
      <c r="P50" s="310">
        <f>O50*(1-L50)/(1-K50)</f>
        <v>22.5</v>
      </c>
      <c r="Q50" s="310">
        <f>P50/O50</f>
        <v>1</v>
      </c>
      <c r="R50" s="309">
        <v>22</v>
      </c>
      <c r="S50" s="310">
        <f>S49-2*L67*COS(S45)</f>
        <v>1.8100000044220241</v>
      </c>
      <c r="T50" s="310"/>
      <c r="U50" s="322">
        <f>S50*T43</f>
        <v>4.5250000110550603E-4</v>
      </c>
      <c r="V50" s="322">
        <f t="shared" si="15"/>
        <v>1.4300606625216533E-3</v>
      </c>
      <c r="W50" s="310">
        <f t="shared" si="15"/>
        <v>0.71503033126082671</v>
      </c>
      <c r="X50" s="314"/>
      <c r="AA50" s="322"/>
      <c r="AB50" s="322"/>
      <c r="AC50" s="322"/>
      <c r="AD50" s="322"/>
      <c r="AE50" s="326"/>
      <c r="AF50" s="322"/>
      <c r="AG50" s="309"/>
      <c r="AH50" s="322"/>
      <c r="AI50" s="322"/>
    </row>
    <row r="51" spans="1:35">
      <c r="A51" s="137" t="s">
        <v>1582</v>
      </c>
      <c r="B51" s="138">
        <v>181</v>
      </c>
      <c r="C51" s="138">
        <v>10.3</v>
      </c>
      <c r="D51" s="138">
        <v>0.28000000000000003</v>
      </c>
      <c r="E51" s="138">
        <v>7.17</v>
      </c>
      <c r="F51" s="138">
        <v>3.4</v>
      </c>
      <c r="G51" s="138">
        <v>122</v>
      </c>
      <c r="H51" s="138">
        <v>160</v>
      </c>
      <c r="J51" s="309" t="s">
        <v>1534</v>
      </c>
      <c r="K51" s="312">
        <f>K44/K50</f>
        <v>258.57142857142861</v>
      </c>
      <c r="L51" s="312">
        <f>F35*P45^F59*C23</f>
        <v>2.5857142857142863</v>
      </c>
      <c r="M51" s="313">
        <f t="shared" si="16"/>
        <v>0.01</v>
      </c>
      <c r="N51" s="308" t="s">
        <v>1535</v>
      </c>
      <c r="O51" s="310"/>
      <c r="P51" s="310"/>
      <c r="Q51" s="310"/>
      <c r="R51" s="309" t="s">
        <v>1345</v>
      </c>
      <c r="S51" s="310">
        <f>L69-L68*COS(S46)</f>
        <v>1.0528628235945137E-5</v>
      </c>
      <c r="T51" s="310"/>
      <c r="U51" s="322">
        <f>S51*T43</f>
        <v>2.6321570589862842E-9</v>
      </c>
      <c r="V51" s="322">
        <f t="shared" si="15"/>
        <v>4.4413343911675369E-4</v>
      </c>
      <c r="W51" s="310">
        <f t="shared" si="15"/>
        <v>0.22206671955837684</v>
      </c>
      <c r="X51" s="322"/>
      <c r="Z51" s="307" t="s">
        <v>1323</v>
      </c>
      <c r="AA51" s="322"/>
      <c r="AB51" s="322"/>
      <c r="AC51" s="322"/>
      <c r="AD51" s="322"/>
      <c r="AE51" s="326"/>
      <c r="AF51" s="322"/>
      <c r="AG51" s="309"/>
      <c r="AH51" s="322"/>
      <c r="AI51" s="322"/>
    </row>
    <row r="52" spans="1:35">
      <c r="A52" s="138">
        <v>1500</v>
      </c>
      <c r="B52" s="138">
        <v>1500</v>
      </c>
      <c r="C52" s="138">
        <v>40</v>
      </c>
      <c r="D52" s="138">
        <v>246</v>
      </c>
      <c r="E52" s="138">
        <v>68</v>
      </c>
      <c r="F52" s="138">
        <v>1.2</v>
      </c>
      <c r="G52" s="138">
        <v>22</v>
      </c>
      <c r="H52" s="138">
        <v>5.0000000000000001E-3</v>
      </c>
      <c r="J52" s="309" t="s">
        <v>1536</v>
      </c>
      <c r="K52" s="310">
        <f>F56</f>
        <v>3.4</v>
      </c>
      <c r="L52" s="310">
        <f>E35*P45^F58*I35*C23</f>
        <v>5.1000000000000004E-3</v>
      </c>
      <c r="M52" s="313">
        <f t="shared" si="16"/>
        <v>1.5000000000000002E-3</v>
      </c>
      <c r="N52" s="309" t="s">
        <v>1537</v>
      </c>
      <c r="O52" s="310">
        <f>C59</f>
        <v>0</v>
      </c>
      <c r="P52" s="310">
        <f>O52</f>
        <v>0</v>
      </c>
      <c r="Q52" s="310">
        <v>1</v>
      </c>
      <c r="R52" s="309">
        <v>66</v>
      </c>
      <c r="S52" s="310">
        <f>S51-L69+L70</f>
        <v>1.4788331297965807E-2</v>
      </c>
      <c r="T52" s="310"/>
      <c r="U52" s="322">
        <f>S52*T43</f>
        <v>3.6970828244914516E-6</v>
      </c>
      <c r="V52" s="322">
        <f t="shared" si="15"/>
        <v>5.0200594305701445E-4</v>
      </c>
      <c r="W52" s="310">
        <f t="shared" si="15"/>
        <v>0.2510029715285072</v>
      </c>
      <c r="X52" s="310"/>
      <c r="Z52" s="309" t="s">
        <v>1324</v>
      </c>
      <c r="AA52" s="319">
        <f>(AF47+AF48*COS(AA43)+AF49*SIN(AA43))</f>
        <v>-526.01808306486305</v>
      </c>
      <c r="AB52" s="319">
        <f>AA52+AH62</f>
        <v>-526.01805037971315</v>
      </c>
      <c r="AC52" s="319">
        <f>IF(ABS(AB52/AB55)&lt;0.000000001,0,AB52)</f>
        <v>-526.01805037971315</v>
      </c>
      <c r="AD52" s="319"/>
      <c r="AE52" s="326"/>
      <c r="AF52" s="322"/>
      <c r="AG52" s="307"/>
      <c r="AH52" s="326"/>
      <c r="AI52" s="322"/>
    </row>
    <row r="53" spans="1:35">
      <c r="A53" s="138">
        <v>-0.5</v>
      </c>
      <c r="B53" s="138">
        <v>125</v>
      </c>
      <c r="C53" s="138">
        <v>0.7</v>
      </c>
      <c r="D53" s="138">
        <v>1.6</v>
      </c>
      <c r="E53" s="138">
        <v>0.51600000000000001</v>
      </c>
      <c r="F53" s="138">
        <v>0.5</v>
      </c>
      <c r="G53" s="138">
        <v>0.2</v>
      </c>
      <c r="H53" s="138">
        <v>0.9</v>
      </c>
      <c r="J53" s="309" t="s">
        <v>1538</v>
      </c>
      <c r="K53" s="310">
        <f>E58</f>
        <v>0.51600000000000001</v>
      </c>
      <c r="L53" s="310">
        <f>K53*P45^G58</f>
        <v>0.51600000000000001</v>
      </c>
      <c r="M53" s="313">
        <f t="shared" si="16"/>
        <v>1</v>
      </c>
      <c r="N53" s="309" t="s">
        <v>1539</v>
      </c>
      <c r="O53" s="310">
        <f>D59</f>
        <v>0.6</v>
      </c>
      <c r="P53" s="310">
        <f>O53*(1-L50)/(1-K50)</f>
        <v>0.6</v>
      </c>
      <c r="Q53" s="310">
        <f>P53/O53</f>
        <v>1</v>
      </c>
      <c r="R53" s="309" t="s">
        <v>1347</v>
      </c>
      <c r="S53" s="310">
        <f>L67*SIN(S45)/2+L68*SIN(S46)</f>
        <v>2.7682405500265387E-19</v>
      </c>
      <c r="T53" s="310"/>
      <c r="U53" s="322">
        <f>S53*T43</f>
        <v>6.9206013750663471E-23</v>
      </c>
      <c r="V53" s="322">
        <f t="shared" si="15"/>
        <v>6.9206013750663471E-23</v>
      </c>
      <c r="W53" s="310">
        <f t="shared" si="15"/>
        <v>3.4603006875331733E-20</v>
      </c>
      <c r="X53" s="314"/>
      <c r="Z53" s="309" t="s">
        <v>1332</v>
      </c>
      <c r="AA53" s="319">
        <f>2*AF47-AA52</f>
        <v>832.07951361633309</v>
      </c>
      <c r="AB53" s="319">
        <f>AA53+AH63</f>
        <v>832.07876481315782</v>
      </c>
      <c r="AC53" s="319">
        <f>IF(ABS(AB53/AB55)&lt;0.000000001,0,AB53)</f>
        <v>832.07876481315782</v>
      </c>
      <c r="AD53" s="319"/>
      <c r="AE53" s="322"/>
      <c r="AF53" s="322"/>
      <c r="AG53" s="309" t="s">
        <v>1333</v>
      </c>
      <c r="AH53" s="322">
        <f>P72*AH46^2+2*P74*AH46*AH47+P73*AH47^2+P75*AH48^2</f>
        <v>0.79216624604081964</v>
      </c>
      <c r="AI53" s="322"/>
    </row>
    <row r="54" spans="1:35">
      <c r="A54" s="138">
        <v>0.02</v>
      </c>
      <c r="B54" s="138">
        <v>22.5</v>
      </c>
      <c r="C54" s="207">
        <v>0</v>
      </c>
      <c r="D54" s="138">
        <v>0.6</v>
      </c>
      <c r="E54" s="138">
        <v>0.316</v>
      </c>
      <c r="F54" s="138">
        <v>4.0000000000000001E-3</v>
      </c>
      <c r="G54" s="138">
        <v>4.0000000000000001E-3</v>
      </c>
      <c r="H54" s="138">
        <v>2000</v>
      </c>
      <c r="J54" s="309" t="s">
        <v>1547</v>
      </c>
      <c r="K54" s="310">
        <f>K53*(1-K50)/K50</f>
        <v>0.2211428571428572</v>
      </c>
      <c r="L54" s="310">
        <f>L53*(1-L50)/L50</f>
        <v>0.2211428571428572</v>
      </c>
      <c r="M54" s="313">
        <f t="shared" si="16"/>
        <v>1</v>
      </c>
      <c r="O54" s="310"/>
      <c r="P54" s="310"/>
      <c r="Q54" s="310"/>
      <c r="R54" s="309" t="s">
        <v>1349</v>
      </c>
      <c r="S54" s="310">
        <f>L67*SIN(S45)-S53</f>
        <v>1.0906350035944317E-16</v>
      </c>
      <c r="T54" s="310"/>
      <c r="U54" s="322">
        <f>S54*T43</f>
        <v>2.7265875089860789E-20</v>
      </c>
      <c r="V54" s="322">
        <f t="shared" si="15"/>
        <v>5.43709294019984E-20</v>
      </c>
      <c r="W54" s="310">
        <f t="shared" si="15"/>
        <v>2.7185464700999198E-17</v>
      </c>
      <c r="X54" s="322"/>
      <c r="Z54" s="309" t="s">
        <v>1334</v>
      </c>
      <c r="AA54" s="319">
        <f>(2*(AF49*COS(AA43)-AF48*SIN(AA43)))</f>
        <v>-2.2324402807223515E-13</v>
      </c>
      <c r="AB54" s="319">
        <f>AA54+AH64</f>
        <v>-2.2324402092880238E-13</v>
      </c>
      <c r="AC54" s="319">
        <f>IF(ABS(AB54/AB55)&lt;0.000000001,0,AB54)</f>
        <v>0</v>
      </c>
      <c r="AD54" s="319"/>
      <c r="AE54" s="322"/>
      <c r="AF54" s="322"/>
      <c r="AG54" s="309" t="s">
        <v>1335</v>
      </c>
      <c r="AH54" s="322">
        <f>P76*AH46+P77*AH47</f>
        <v>0.97983402019381249</v>
      </c>
      <c r="AI54" s="322"/>
    </row>
    <row r="55" spans="1:35">
      <c r="A55" s="138">
        <v>0.15</v>
      </c>
      <c r="B55" s="138">
        <v>0.01</v>
      </c>
      <c r="C55" s="138">
        <v>1</v>
      </c>
      <c r="D55" s="138">
        <v>1</v>
      </c>
      <c r="E55" s="138">
        <v>0.1</v>
      </c>
      <c r="F55" s="138">
        <v>0.5</v>
      </c>
      <c r="G55" s="138"/>
      <c r="H55" s="138"/>
      <c r="J55" s="309" t="s">
        <v>1643</v>
      </c>
      <c r="K55" s="310">
        <f>1/((1+K54)/K45-K54/K52)</f>
        <v>18.686160319541436</v>
      </c>
      <c r="L55" s="310">
        <f>K55*P45^F59*C23</f>
        <v>0.18686160319541437</v>
      </c>
      <c r="M55" s="313">
        <f t="shared" si="16"/>
        <v>0.01</v>
      </c>
      <c r="N55" s="308" t="s">
        <v>176</v>
      </c>
      <c r="O55" s="310"/>
      <c r="P55" s="310"/>
      <c r="Q55" s="310"/>
      <c r="S55" s="308"/>
      <c r="T55" s="314" t="s">
        <v>1353</v>
      </c>
      <c r="U55" s="311">
        <f>U49*U50*U52+2*U51*U53*U54-U50*U53^2-U52*U51^2-U49*U54^2</f>
        <v>1.0484320121442893E-14</v>
      </c>
      <c r="V55" s="311">
        <f>V49*V50*V52+2*V51*V53*V54-V50*V53^2-V52*V51^2-V49*V54^2</f>
        <v>8.9964279259162027E-10</v>
      </c>
      <c r="W55" s="308"/>
      <c r="X55" s="322"/>
      <c r="AA55" s="309" t="s">
        <v>1363</v>
      </c>
      <c r="AB55" s="322">
        <f>SQRT(AB52^2+AB53^2+AB54^2)</f>
        <v>984.4034031728379</v>
      </c>
      <c r="AC55" s="322"/>
      <c r="AD55" s="322"/>
      <c r="AE55" s="322"/>
      <c r="AF55" s="322"/>
      <c r="AG55" s="309" t="s">
        <v>1344</v>
      </c>
      <c r="AH55" s="322">
        <f>AH54/2/AH53</f>
        <v>0.61845226623258731</v>
      </c>
      <c r="AI55" s="322"/>
    </row>
    <row r="56" spans="1:35">
      <c r="A56" s="137" t="s">
        <v>1582</v>
      </c>
      <c r="B56" s="138">
        <v>181</v>
      </c>
      <c r="C56" s="138">
        <v>10.3</v>
      </c>
      <c r="D56" s="138">
        <v>0.28000000000000003</v>
      </c>
      <c r="E56" s="138">
        <v>7.17</v>
      </c>
      <c r="F56" s="138">
        <v>3.4</v>
      </c>
      <c r="G56" s="138">
        <v>122</v>
      </c>
      <c r="H56" s="138">
        <v>160</v>
      </c>
      <c r="J56" s="309" t="s">
        <v>295</v>
      </c>
      <c r="K56" s="310">
        <f>E59</f>
        <v>0.316</v>
      </c>
      <c r="L56" s="310">
        <f>K56*P45^G58</f>
        <v>0.316</v>
      </c>
      <c r="M56" s="313">
        <f t="shared" si="16"/>
        <v>1</v>
      </c>
      <c r="N56" s="309" t="s">
        <v>296</v>
      </c>
      <c r="O56" s="312">
        <f>A57</f>
        <v>1500</v>
      </c>
      <c r="P56" s="312">
        <f>P62*L50</f>
        <v>1500</v>
      </c>
      <c r="Q56" s="310">
        <f t="shared" ref="Q56:Q63" si="17">P56/O56</f>
        <v>1</v>
      </c>
      <c r="R56" s="309" t="s">
        <v>1355</v>
      </c>
      <c r="S56" s="314" t="s">
        <v>382</v>
      </c>
      <c r="T56" s="314" t="s">
        <v>182</v>
      </c>
      <c r="U56" s="314" t="s">
        <v>669</v>
      </c>
      <c r="V56" s="314" t="s">
        <v>670</v>
      </c>
      <c r="W56" s="308"/>
      <c r="X56" s="322"/>
      <c r="Z56" s="309"/>
      <c r="AA56" s="322"/>
      <c r="AB56" s="322"/>
      <c r="AC56" s="322"/>
      <c r="AD56" s="322"/>
      <c r="AE56" s="322"/>
      <c r="AF56" s="322"/>
      <c r="AG56" s="309"/>
      <c r="AH56" s="322"/>
      <c r="AI56" s="322"/>
    </row>
    <row r="57" spans="1:35">
      <c r="A57" s="138">
        <v>1500</v>
      </c>
      <c r="B57" s="138">
        <v>1500</v>
      </c>
      <c r="C57" s="138">
        <v>40</v>
      </c>
      <c r="D57" s="138">
        <v>246</v>
      </c>
      <c r="E57" s="138">
        <v>68</v>
      </c>
      <c r="F57" s="138">
        <v>1.2</v>
      </c>
      <c r="G57" s="138">
        <v>22</v>
      </c>
      <c r="H57" s="138">
        <v>5.0000000000000001E-3</v>
      </c>
      <c r="J57" s="309" t="s">
        <v>301</v>
      </c>
      <c r="K57" s="310">
        <f>K56*(1-K50)/K50</f>
        <v>0.13542857142857145</v>
      </c>
      <c r="L57" s="310">
        <f>L56*(1-L50)/L50</f>
        <v>0.13542857142857145</v>
      </c>
      <c r="M57" s="313">
        <f t="shared" si="16"/>
        <v>1</v>
      </c>
      <c r="N57" s="309" t="s">
        <v>302</v>
      </c>
      <c r="O57" s="312">
        <f>B57</f>
        <v>1500</v>
      </c>
      <c r="P57" s="312">
        <f>O57*Q56*M47^E60</f>
        <v>808.22310311930141</v>
      </c>
      <c r="Q57" s="310">
        <f t="shared" si="17"/>
        <v>0.53881540207953427</v>
      </c>
      <c r="R57" s="309">
        <v>11</v>
      </c>
      <c r="S57" s="311">
        <f>IF(U55=0,1E+99,(U50*U52-U54^2)/U55)</f>
        <v>159564.94677685347</v>
      </c>
      <c r="T57" s="310">
        <f t="shared" ref="T57:V62" si="18">T18</f>
        <v>797.98221853126245</v>
      </c>
      <c r="U57" s="310">
        <f t="shared" si="18"/>
        <v>1.595964437062525</v>
      </c>
      <c r="V57" s="310">
        <f t="shared" si="18"/>
        <v>0.62658037784385989</v>
      </c>
      <c r="W57" s="308"/>
      <c r="X57" s="322"/>
      <c r="Z57" s="309"/>
      <c r="AA57" s="322"/>
      <c r="AB57" s="322"/>
      <c r="AC57" s="322"/>
      <c r="AD57" s="322"/>
      <c r="AE57" s="322"/>
      <c r="AF57" s="322"/>
      <c r="AG57" s="309"/>
      <c r="AH57" s="322"/>
      <c r="AI57" s="322"/>
    </row>
    <row r="58" spans="1:35">
      <c r="A58" s="138">
        <v>-0.5</v>
      </c>
      <c r="B58" s="138">
        <v>125</v>
      </c>
      <c r="C58" s="138">
        <v>0.7</v>
      </c>
      <c r="D58" s="138">
        <v>1.6</v>
      </c>
      <c r="E58" s="138">
        <v>0.51600000000000001</v>
      </c>
      <c r="F58" s="138">
        <v>0.5</v>
      </c>
      <c r="G58" s="138">
        <v>0.2</v>
      </c>
      <c r="H58" s="138">
        <v>0.9</v>
      </c>
      <c r="J58" s="309" t="s">
        <v>304</v>
      </c>
      <c r="K58" s="310">
        <f>1/((1+K57)/K47-K57*2.7/K52)</f>
        <v>19.680382632972858</v>
      </c>
      <c r="L58" s="310">
        <f>K58*P45^F59*C23</f>
        <v>0.19680382632972859</v>
      </c>
      <c r="M58" s="313">
        <f t="shared" si="16"/>
        <v>0.01</v>
      </c>
      <c r="N58" s="309" t="s">
        <v>305</v>
      </c>
      <c r="O58" s="312">
        <f>C57</f>
        <v>40</v>
      </c>
      <c r="P58" s="312">
        <f>O58*Q63</f>
        <v>40</v>
      </c>
      <c r="Q58" s="310">
        <f t="shared" si="17"/>
        <v>1</v>
      </c>
      <c r="R58" s="309">
        <v>22</v>
      </c>
      <c r="S58" s="311">
        <f>IF(U55=0,1E+99,(U49*U52-U53^2)/U55)</f>
        <v>2209.9447513812152</v>
      </c>
      <c r="T58" s="310">
        <f t="shared" si="18"/>
        <v>776.23921907317572</v>
      </c>
      <c r="U58" s="310">
        <f t="shared" si="18"/>
        <v>1.5524784381463514</v>
      </c>
      <c r="V58" s="310">
        <f t="shared" si="18"/>
        <v>0.64413132925310901</v>
      </c>
      <c r="W58" s="308"/>
      <c r="X58" s="322"/>
      <c r="AA58" s="322"/>
      <c r="AB58" s="322"/>
      <c r="AC58" s="322"/>
      <c r="AD58" s="322"/>
      <c r="AE58" s="322"/>
      <c r="AF58" s="322"/>
      <c r="AG58" s="309"/>
      <c r="AH58" s="322"/>
      <c r="AI58" s="326" t="s">
        <v>1348</v>
      </c>
    </row>
    <row r="59" spans="1:35">
      <c r="A59" s="138">
        <v>0.02</v>
      </c>
      <c r="B59" s="138">
        <v>22.5</v>
      </c>
      <c r="C59" s="207">
        <v>0</v>
      </c>
      <c r="D59" s="138">
        <v>0.6</v>
      </c>
      <c r="E59" s="138">
        <v>0.316</v>
      </c>
      <c r="F59" s="138">
        <v>4.0000000000000001E-3</v>
      </c>
      <c r="G59" s="138">
        <v>4.0000000000000001E-3</v>
      </c>
      <c r="H59" s="138">
        <v>2000</v>
      </c>
      <c r="L59" s="310"/>
      <c r="N59" s="309" t="s">
        <v>1542</v>
      </c>
      <c r="O59" s="312">
        <f>D57</f>
        <v>246</v>
      </c>
      <c r="P59" s="312">
        <f>O59*Q63</f>
        <v>246</v>
      </c>
      <c r="Q59" s="310">
        <f t="shared" si="17"/>
        <v>1</v>
      </c>
      <c r="R59" s="309" t="s">
        <v>1345</v>
      </c>
      <c r="S59" s="311">
        <f>IF(U55=0,1E+99,(U53*U54-U51*U52)/U55)</f>
        <v>-0.92817679557869748</v>
      </c>
      <c r="T59" s="310">
        <f t="shared" si="18"/>
        <v>-247.82905813615449</v>
      </c>
      <c r="U59" s="310">
        <f t="shared" si="18"/>
        <v>-0.49565811627230899</v>
      </c>
      <c r="V59" s="310">
        <f t="shared" si="18"/>
        <v>0.31056964977527918</v>
      </c>
      <c r="W59" s="308"/>
      <c r="X59" s="322"/>
      <c r="AF59" s="322"/>
      <c r="AG59" s="309" t="s">
        <v>1351</v>
      </c>
      <c r="AH59" s="319">
        <f>(AH55^2+1/AH53)^0.5-AH55</f>
        <v>0.66406264215933741</v>
      </c>
      <c r="AI59" s="319">
        <f>AH60</f>
        <v>0.66406264215933741</v>
      </c>
    </row>
    <row r="60" spans="1:35">
      <c r="A60" s="138">
        <v>0.15</v>
      </c>
      <c r="B60" s="138">
        <v>0.01</v>
      </c>
      <c r="C60" s="138">
        <v>1</v>
      </c>
      <c r="D60" s="138">
        <v>1</v>
      </c>
      <c r="E60" s="138">
        <v>0.1</v>
      </c>
      <c r="F60" s="138">
        <v>0.5</v>
      </c>
      <c r="G60" s="138"/>
      <c r="H60" s="138"/>
      <c r="J60" s="308" t="s">
        <v>1507</v>
      </c>
      <c r="N60" s="309" t="s">
        <v>1543</v>
      </c>
      <c r="O60" s="345">
        <f>E57</f>
        <v>68</v>
      </c>
      <c r="P60" s="345">
        <f>O60*Q63</f>
        <v>68</v>
      </c>
      <c r="Q60" s="310">
        <f t="shared" si="17"/>
        <v>1</v>
      </c>
      <c r="R60" s="309">
        <v>66</v>
      </c>
      <c r="S60" s="311">
        <f>IF(U55=0,1E+99,(U49*U50-U51^2)/U55)</f>
        <v>270483.52646455896</v>
      </c>
      <c r="T60" s="310">
        <f t="shared" si="18"/>
        <v>1992.0082896039078</v>
      </c>
      <c r="U60" s="310">
        <f t="shared" si="18"/>
        <v>3.9840165792078155</v>
      </c>
      <c r="V60" s="310">
        <f t="shared" si="18"/>
        <v>0.2510029715285072</v>
      </c>
      <c r="W60" s="308"/>
      <c r="AF60" s="322"/>
      <c r="AG60" s="309"/>
      <c r="AH60" s="319">
        <f>IF(AH42=0,1000000000,AH59)</f>
        <v>0.66406264215933741</v>
      </c>
    </row>
    <row r="61" spans="1:35">
      <c r="J61" s="309" t="s">
        <v>1354</v>
      </c>
      <c r="K61" s="310">
        <f>K44/(1-K46^2*K45/K44)</f>
        <v>181.81113884441791</v>
      </c>
      <c r="L61" s="310">
        <f>L44/(1-L46^2*L45/L44)</f>
        <v>1.8100000044220241</v>
      </c>
      <c r="M61" s="313">
        <f>L61/K61</f>
        <v>9.9553856596811922E-3</v>
      </c>
      <c r="N61" s="309" t="s">
        <v>1168</v>
      </c>
      <c r="O61" s="313">
        <f>A58</f>
        <v>-0.5</v>
      </c>
      <c r="P61" s="313">
        <f>O61*I35*C23</f>
        <v>-7.5000000000000002E-4</v>
      </c>
      <c r="Q61" s="310">
        <f t="shared" si="17"/>
        <v>1.5E-3</v>
      </c>
      <c r="R61" s="309" t="s">
        <v>1347</v>
      </c>
      <c r="S61" s="311">
        <f>IF(U55=0,1E+99,(U51*U54-U50*U53)/U55)</f>
        <v>-2.9800647892460341E-12</v>
      </c>
      <c r="T61" s="310">
        <f t="shared" si="18"/>
        <v>2.6731697584249638E-14</v>
      </c>
      <c r="U61" s="310">
        <f t="shared" si="18"/>
        <v>5.3463395168499281E-17</v>
      </c>
      <c r="V61" s="310">
        <f t="shared" si="18"/>
        <v>3.3499114345493873E-17</v>
      </c>
      <c r="W61" s="308"/>
      <c r="X61" s="308"/>
      <c r="Y61" s="309"/>
      <c r="AF61" s="322"/>
      <c r="AG61" s="308" t="s">
        <v>1360</v>
      </c>
      <c r="AH61" s="319">
        <f>IF(AH42=0,0,AH59)</f>
        <v>0.66406264215933741</v>
      </c>
    </row>
    <row r="62" spans="1:35">
      <c r="A62" s="358" t="s">
        <v>421</v>
      </c>
      <c r="J62" s="309" t="s">
        <v>1361</v>
      </c>
      <c r="K62" s="310">
        <f>K61*K45/K44</f>
        <v>10.346158729820468</v>
      </c>
      <c r="L62" s="310">
        <f>L61*L45/L44</f>
        <v>2.5068162466574194E-2</v>
      </c>
      <c r="M62" s="313">
        <f>L62/K62</f>
        <v>2.4229439274231191E-3</v>
      </c>
      <c r="N62" s="309" t="s">
        <v>1175</v>
      </c>
      <c r="O62" s="312">
        <f>O56/K50</f>
        <v>2142.8571428571431</v>
      </c>
      <c r="P62" s="312">
        <f>H35*P45^G59</f>
        <v>2142.8571428571431</v>
      </c>
      <c r="Q62" s="310">
        <f t="shared" si="17"/>
        <v>1</v>
      </c>
      <c r="R62" s="309" t="s">
        <v>1349</v>
      </c>
      <c r="S62" s="311">
        <f>IF(U55=0,1E+99,(U51*U53-U49*U54)/U55)</f>
        <v>-1.6298258971118951E-11</v>
      </c>
      <c r="T62" s="310">
        <f t="shared" si="18"/>
        <v>-8.4038241183318863E-14</v>
      </c>
      <c r="U62" s="310">
        <f t="shared" si="18"/>
        <v>-1.6807648236663772E-16</v>
      </c>
      <c r="V62" s="310">
        <f t="shared" si="18"/>
        <v>-1.0531342582795471E-16</v>
      </c>
      <c r="W62" s="308"/>
      <c r="X62" s="308"/>
      <c r="Y62" s="310"/>
      <c r="AF62" s="322"/>
      <c r="AG62" s="309" t="s">
        <v>1364</v>
      </c>
      <c r="AH62" s="328">
        <f>IF(AH42=0,0,AI46+AI47*COS(AH43)+AI48*SIN(AH43)-V68)</f>
        <v>3.2685149893025099E-5</v>
      </c>
      <c r="AI62" s="322"/>
    </row>
    <row r="63" spans="1:35">
      <c r="A63" s="137" t="s">
        <v>1582</v>
      </c>
      <c r="B63" s="138">
        <v>181</v>
      </c>
      <c r="C63" s="138">
        <v>10.3</v>
      </c>
      <c r="D63" s="138">
        <v>0.28000000000000003</v>
      </c>
      <c r="E63" s="138">
        <v>7.17</v>
      </c>
      <c r="F63" s="138">
        <v>3.4</v>
      </c>
      <c r="G63" s="138">
        <v>122</v>
      </c>
      <c r="H63" s="138">
        <v>160</v>
      </c>
      <c r="J63" s="309" t="s">
        <v>1365</v>
      </c>
      <c r="K63" s="310">
        <f>K62*K46</f>
        <v>2.8969244443497315</v>
      </c>
      <c r="L63" s="310">
        <f>L62*L46</f>
        <v>1.0528628235961163E-5</v>
      </c>
      <c r="M63" s="313">
        <f>L63/K63</f>
        <v>3.6344158911346783E-6</v>
      </c>
      <c r="N63" s="309" t="s">
        <v>1176</v>
      </c>
      <c r="O63" s="312">
        <f>O58</f>
        <v>40</v>
      </c>
      <c r="P63" s="312">
        <f>G35*P45^H58</f>
        <v>40</v>
      </c>
      <c r="Q63" s="310">
        <f t="shared" si="17"/>
        <v>1</v>
      </c>
      <c r="R63" s="307" t="s">
        <v>1185</v>
      </c>
      <c r="S63" s="308"/>
      <c r="T63" s="308"/>
      <c r="W63" s="308"/>
      <c r="X63" s="308"/>
      <c r="Y63" s="310"/>
      <c r="AF63" s="322"/>
      <c r="AG63" s="309" t="s">
        <v>1367</v>
      </c>
      <c r="AH63" s="328">
        <f>IF(AH42=0,0,2*AI46-AH62-V69-V68)</f>
        <v>-7.4880317522069779E-4</v>
      </c>
      <c r="AI63" s="322"/>
    </row>
    <row r="64" spans="1:35">
      <c r="A64" s="138">
        <v>1500</v>
      </c>
      <c r="B64" s="138">
        <v>1500</v>
      </c>
      <c r="C64" s="138">
        <v>40</v>
      </c>
      <c r="D64" s="138">
        <v>246</v>
      </c>
      <c r="E64" s="138">
        <v>68</v>
      </c>
      <c r="F64" s="138">
        <v>1.2</v>
      </c>
      <c r="G64" s="138">
        <v>22</v>
      </c>
      <c r="H64" s="138">
        <v>5.0000000000000001E-3</v>
      </c>
      <c r="J64" s="309" t="s">
        <v>1370</v>
      </c>
      <c r="K64" s="310">
        <f>K47</f>
        <v>7.17</v>
      </c>
      <c r="L64" s="310">
        <f>L47</f>
        <v>1.4788331297965859E-2</v>
      </c>
      <c r="M64" s="313">
        <f>L64/K64</f>
        <v>2.0625287723801755E-3</v>
      </c>
      <c r="R64" s="309"/>
      <c r="S64" s="314" t="s">
        <v>1406</v>
      </c>
      <c r="T64" s="314" t="s">
        <v>1407</v>
      </c>
      <c r="U64" s="314" t="s">
        <v>1408</v>
      </c>
      <c r="V64" s="314" t="s">
        <v>1409</v>
      </c>
      <c r="W64" s="314" t="s">
        <v>1410</v>
      </c>
      <c r="X64" s="314" t="s">
        <v>1411</v>
      </c>
      <c r="Y64" s="314" t="s">
        <v>1394</v>
      </c>
      <c r="AF64" s="322"/>
      <c r="AG64" s="309" t="s">
        <v>1372</v>
      </c>
      <c r="AH64" s="328">
        <f>IF(AH42=0,0,2*(AI48*COS(AH43)-AI47*SIN(AH43)))</f>
        <v>7.1434327715426203E-21</v>
      </c>
      <c r="AI64" s="322"/>
    </row>
    <row r="65" spans="1:35">
      <c r="A65" s="138">
        <v>-0.5</v>
      </c>
      <c r="B65" s="138">
        <v>125</v>
      </c>
      <c r="C65" s="138">
        <v>0.7</v>
      </c>
      <c r="D65" s="138">
        <v>1.6</v>
      </c>
      <c r="E65" s="138">
        <v>0.51600000000000001</v>
      </c>
      <c r="F65" s="138">
        <v>0.5</v>
      </c>
      <c r="G65" s="138">
        <v>0.2</v>
      </c>
      <c r="H65" s="138">
        <v>0.9</v>
      </c>
      <c r="J65" s="308" t="s">
        <v>1510</v>
      </c>
      <c r="K65" s="310"/>
      <c r="L65" s="310"/>
      <c r="N65" s="308" t="s">
        <v>1375</v>
      </c>
      <c r="R65" s="309">
        <v>1</v>
      </c>
      <c r="S65" s="322">
        <f>((L61+L63)/2*P49+(L63+L62)/2*P50)/1000000</f>
        <v>3.0023538014711688E-7</v>
      </c>
      <c r="T65" s="322">
        <f>((L61+L63)/2*P52+(L63+L62)/2*P53)</f>
        <v>7.5236073284430469E-3</v>
      </c>
      <c r="U65" s="328">
        <f>S65+S66*Y65</f>
        <v>5.640338660704842E-7</v>
      </c>
      <c r="V65" s="319">
        <f>T65+T66*Y65</f>
        <v>1.5040897479944516E-2</v>
      </c>
      <c r="W65" s="319">
        <f>(U65*S57+U66*S59+U67*S61)*T43*1000000</f>
        <v>22.499999999999996</v>
      </c>
      <c r="X65" s="319">
        <f>(V65*S57+V66*S59+V67*S61)*T43</f>
        <v>0.59999999999999976</v>
      </c>
      <c r="Y65" s="319">
        <f>COS(S45)</f>
        <v>-1</v>
      </c>
      <c r="AF65" s="322"/>
      <c r="AG65" s="322"/>
      <c r="AH65" s="322"/>
      <c r="AI65" s="322"/>
    </row>
    <row r="66" spans="1:35">
      <c r="A66" s="138">
        <v>0.02</v>
      </c>
      <c r="B66" s="138">
        <v>22.5</v>
      </c>
      <c r="C66" s="207">
        <v>0</v>
      </c>
      <c r="D66" s="138">
        <v>0.6</v>
      </c>
      <c r="E66" s="138">
        <v>0.316</v>
      </c>
      <c r="F66" s="138">
        <v>4.0000000000000001E-3</v>
      </c>
      <c r="G66" s="138">
        <v>4.0000000000000001E-3</v>
      </c>
      <c r="H66" s="138">
        <v>2000</v>
      </c>
      <c r="J66" s="309" t="s">
        <v>1380</v>
      </c>
      <c r="K66" s="310">
        <f>(3*K61+3*K62+2*K63+4*K64)/8</f>
        <v>76.368217701426829</v>
      </c>
      <c r="L66" s="310">
        <f>(3*L61+3*L62+2*L63+4*L64)/8</f>
        <v>0.69554736038926623</v>
      </c>
      <c r="M66" s="313">
        <f>L66/K66</f>
        <v>9.1078118793948351E-3</v>
      </c>
      <c r="N66" s="309" t="s">
        <v>1381</v>
      </c>
      <c r="O66" s="310">
        <f>1/O56/O57*1000000</f>
        <v>0.44444444444444442</v>
      </c>
      <c r="P66" s="310">
        <f>1/P56/P57*1000000</f>
        <v>0.82485475123600904</v>
      </c>
      <c r="Q66" s="310">
        <f>P66/O66</f>
        <v>1.8559231902810205</v>
      </c>
      <c r="R66" s="309">
        <v>2</v>
      </c>
      <c r="S66" s="322">
        <f>((L61-L63)/2*P49+(L63-L62)/2*P50)/1000000</f>
        <v>-2.6379848592336727E-7</v>
      </c>
      <c r="T66" s="322">
        <f>((L61-L63)/2*P52+(L63-L62)/2*P53)</f>
        <v>-7.5172901515014687E-3</v>
      </c>
      <c r="U66" s="328">
        <f>S65-S66*Y65</f>
        <v>3.6436894223749613E-8</v>
      </c>
      <c r="V66" s="319">
        <f>T65-T66*Y65</f>
        <v>6.3171769415781842E-6</v>
      </c>
      <c r="W66" s="319">
        <f>(U65*S59+U66*S58+U67*S62)*T43*1000000</f>
        <v>2.0000000000000202E-2</v>
      </c>
      <c r="X66" s="319">
        <f>(V65*S59+V66*S58+V67*S62)*T43</f>
        <v>6.1348495727919825E-18</v>
      </c>
      <c r="Y66" s="319">
        <f>SIN(S45)</f>
        <v>1.22514845490862E-16</v>
      </c>
      <c r="AF66" s="322"/>
      <c r="AG66" s="326" t="s">
        <v>1383</v>
      </c>
      <c r="AH66" s="349">
        <f>P72*AH62^2+2*P74*AH62*AH63+P73*AH63^2+P75*AH64^2</f>
        <v>3.8708520245120382E-8</v>
      </c>
      <c r="AI66" s="322"/>
    </row>
    <row r="67" spans="1:35">
      <c r="A67" s="138">
        <v>0.15</v>
      </c>
      <c r="B67" s="138">
        <v>0.01</v>
      </c>
      <c r="C67" s="138">
        <v>1</v>
      </c>
      <c r="D67" s="138">
        <v>1</v>
      </c>
      <c r="E67" s="138">
        <v>0.1</v>
      </c>
      <c r="F67" s="138">
        <v>0.5</v>
      </c>
      <c r="G67" s="138"/>
      <c r="H67" s="138"/>
      <c r="J67" s="309" t="s">
        <v>1384</v>
      </c>
      <c r="K67" s="310">
        <f>(K61-K62)/2</f>
        <v>85.732490057298719</v>
      </c>
      <c r="L67" s="310">
        <f>(L61-L62)/2</f>
        <v>0.89246592097772492</v>
      </c>
      <c r="M67" s="313">
        <f>L67/K67</f>
        <v>1.0409891516987917E-2</v>
      </c>
      <c r="N67" s="309" t="s">
        <v>1385</v>
      </c>
      <c r="O67" s="310">
        <f>1/O58/O59*1000000</f>
        <v>101.6260162601626</v>
      </c>
      <c r="P67" s="310">
        <f>1/P58/P59*1000000</f>
        <v>101.6260162601626</v>
      </c>
      <c r="Q67" s="310">
        <f>P67/O67</f>
        <v>1</v>
      </c>
      <c r="R67" s="309">
        <v>6</v>
      </c>
      <c r="S67" s="314" t="s">
        <v>1419</v>
      </c>
      <c r="T67" s="314" t="s">
        <v>1420</v>
      </c>
      <c r="U67" s="328">
        <f>S66*Y66</f>
        <v>-3.2319230743624673E-23</v>
      </c>
      <c r="V67" s="319">
        <f>T66*Y66</f>
        <v>-9.2097964142118098E-19</v>
      </c>
      <c r="W67" s="319">
        <f>(U65*S61+U66*S62+U67*S60)*T43*1000000</f>
        <v>-2.754133726634574E-15</v>
      </c>
      <c r="X67" s="319">
        <f>(V65*S61+V66*S62+V67*S60)*T43</f>
        <v>-7.3508907294517077E-17</v>
      </c>
      <c r="Y67" s="314" t="s">
        <v>406</v>
      </c>
      <c r="AF67" s="322"/>
      <c r="AG67" s="326" t="s">
        <v>1387</v>
      </c>
      <c r="AH67" s="349">
        <f>P76*AH62+P77*AH63</f>
        <v>-4.2671860378427098E-4</v>
      </c>
      <c r="AI67" s="322"/>
    </row>
    <row r="68" spans="1:35">
      <c r="A68" s="137" t="s">
        <v>1582</v>
      </c>
      <c r="B68" s="138">
        <v>181</v>
      </c>
      <c r="C68" s="138">
        <v>10.3</v>
      </c>
      <c r="D68" s="138">
        <v>0.28000000000000003</v>
      </c>
      <c r="E68" s="138">
        <v>7.17</v>
      </c>
      <c r="F68" s="138">
        <v>3.4</v>
      </c>
      <c r="G68" s="138">
        <v>122</v>
      </c>
      <c r="H68" s="138">
        <v>160</v>
      </c>
      <c r="J68" s="309" t="s">
        <v>1388</v>
      </c>
      <c r="K68" s="310">
        <f>(K61+K62-2*K63-4*K64)/8</f>
        <v>19.710431085692363</v>
      </c>
      <c r="L68" s="310">
        <f>(L61+L62-2*L63-4*L64)/8</f>
        <v>0.22198672305503289</v>
      </c>
      <c r="M68" s="313">
        <f>L68/K68</f>
        <v>1.1262398173329207E-2</v>
      </c>
      <c r="N68" s="309" t="s">
        <v>1389</v>
      </c>
      <c r="O68" s="310">
        <f>O61*(O66*O67)^0.5</f>
        <v>-3.3603243272729659</v>
      </c>
      <c r="P68" s="310">
        <f>P61*(P66*P67)^0.5</f>
        <v>-6.8667692605968601E-3</v>
      </c>
      <c r="Q68" s="310">
        <f>P68/O68</f>
        <v>2.043484078267383E-3</v>
      </c>
      <c r="R68" s="309">
        <v>1</v>
      </c>
      <c r="S68" s="337">
        <f>P46*U65+P42*V65</f>
        <v>1.8801100792674166E-5</v>
      </c>
      <c r="T68" s="311">
        <f>P46*W65/1000000+P42*X65</f>
        <v>7.4999999999999937E-4</v>
      </c>
      <c r="U68" s="314" t="s">
        <v>1423</v>
      </c>
      <c r="V68" s="311">
        <f>P46*P49/1000000+P42*P52</f>
        <v>-1.9999999999999999E-6</v>
      </c>
      <c r="W68" s="308"/>
      <c r="Y68" s="319">
        <f>Y65+Y104+Y143+Y182+Y221+Y260+Y299+W343</f>
        <v>-0.99999999999999956</v>
      </c>
      <c r="AF68" s="322"/>
      <c r="AG68" s="326" t="s">
        <v>1390</v>
      </c>
      <c r="AH68" s="349">
        <f>AH66+AH67</f>
        <v>-4.2667989526402585E-4</v>
      </c>
      <c r="AI68" s="322"/>
    </row>
    <row r="69" spans="1:35">
      <c r="A69" s="138">
        <v>1500</v>
      </c>
      <c r="B69" s="138">
        <v>1500</v>
      </c>
      <c r="C69" s="138">
        <v>40</v>
      </c>
      <c r="D69" s="138">
        <v>246</v>
      </c>
      <c r="E69" s="138">
        <v>68</v>
      </c>
      <c r="F69" s="138">
        <v>1.2</v>
      </c>
      <c r="G69" s="138">
        <v>22</v>
      </c>
      <c r="H69" s="138">
        <v>5.0000000000000001E-3</v>
      </c>
      <c r="J69" s="309" t="s">
        <v>1391</v>
      </c>
      <c r="K69" s="310">
        <f>(K61+K62+6*K63-4*K64)/8</f>
        <v>22.607355530042096</v>
      </c>
      <c r="L69" s="310">
        <f>(L61+L62+6*L63-4*L64)/8</f>
        <v>0.22199725168326884</v>
      </c>
      <c r="M69" s="313">
        <f>L69/K69</f>
        <v>9.819691267661303E-3</v>
      </c>
      <c r="N69" s="309" t="s">
        <v>1392</v>
      </c>
      <c r="O69" s="310">
        <f>1/O60^2*1000000</f>
        <v>216.26297577854672</v>
      </c>
      <c r="P69" s="310">
        <f>1/P60^2*1000000</f>
        <v>216.26297577854672</v>
      </c>
      <c r="Q69" s="310">
        <f>P69/O69</f>
        <v>1</v>
      </c>
      <c r="R69" s="309">
        <v>2</v>
      </c>
      <c r="S69" s="337">
        <f>P46*U66+P42*V66</f>
        <v>-3.6121035376670708E-6</v>
      </c>
      <c r="T69" s="311">
        <f>P46*W66/1000000+P42*X66</f>
        <v>-1.9999999999999893E-6</v>
      </c>
      <c r="U69" s="314" t="s">
        <v>1427</v>
      </c>
      <c r="V69" s="311">
        <f>P46*P50/1000000+P42*P53</f>
        <v>7.5000000000000023E-4</v>
      </c>
      <c r="W69" s="308"/>
      <c r="Y69" s="319">
        <f>Y66+Y105+Y144+Y183+Y222+Y261+Y300+W344</f>
        <v>3.4455945041589331E-16</v>
      </c>
      <c r="AA69" s="307" t="s">
        <v>699</v>
      </c>
      <c r="AB69" s="307" t="s">
        <v>701</v>
      </c>
      <c r="AC69" s="309" t="s">
        <v>408</v>
      </c>
      <c r="AD69" s="309" t="s">
        <v>409</v>
      </c>
      <c r="AE69" s="308" t="s">
        <v>410</v>
      </c>
      <c r="AF69" s="322"/>
      <c r="AG69" s="326" t="s">
        <v>1395</v>
      </c>
      <c r="AH69" s="349">
        <f>-1+AH68</f>
        <v>-1.0004266798952641</v>
      </c>
      <c r="AI69" s="322"/>
    </row>
    <row r="70" spans="1:35">
      <c r="A70" s="138">
        <v>-0.5</v>
      </c>
      <c r="B70" s="138">
        <v>125</v>
      </c>
      <c r="C70" s="138">
        <v>0.7</v>
      </c>
      <c r="D70" s="138">
        <v>1.6</v>
      </c>
      <c r="E70" s="138">
        <v>0.51600000000000001</v>
      </c>
      <c r="F70" s="138">
        <v>0.5</v>
      </c>
      <c r="G70" s="138">
        <v>0.2</v>
      </c>
      <c r="H70" s="138">
        <v>0.9</v>
      </c>
      <c r="J70" s="309" t="s">
        <v>1396</v>
      </c>
      <c r="K70" s="310">
        <f>(K66-K69)/2</f>
        <v>26.880431085692365</v>
      </c>
      <c r="L70" s="310">
        <f>(L66-L69)/2</f>
        <v>0.2367750543529987</v>
      </c>
      <c r="M70" s="313">
        <f>L70/K70</f>
        <v>8.8084545072280047E-3</v>
      </c>
      <c r="N70" s="309" t="s">
        <v>1397</v>
      </c>
      <c r="O70" s="310">
        <f>(1/O56-1/O57)*1000</f>
        <v>0</v>
      </c>
      <c r="P70" s="310">
        <f>(1/P56-1/P57)*1000</f>
        <v>-0.57061546018734688</v>
      </c>
      <c r="Q70" s="310">
        <f>IF(O70=0,1,P70/O70)</f>
        <v>1</v>
      </c>
      <c r="R70" s="309">
        <v>6</v>
      </c>
      <c r="S70" s="337">
        <f>P46*U67+P42*V67</f>
        <v>-1.3729751327434381E-21</v>
      </c>
      <c r="T70" s="311">
        <f>P46*W67/1000000+P42*X67</f>
        <v>-9.2131163809128016E-20</v>
      </c>
      <c r="U70" s="314" t="s">
        <v>1429</v>
      </c>
      <c r="V70" s="311">
        <f>0</f>
        <v>0</v>
      </c>
      <c r="W70" s="308"/>
      <c r="AA70" s="322">
        <f t="shared" ref="AA70:AE72" si="19">AA31</f>
        <v>3.0179841135253815E-7</v>
      </c>
      <c r="AB70" s="322">
        <f t="shared" si="19"/>
        <v>7.5652880535078352E-3</v>
      </c>
      <c r="AC70" s="322">
        <f t="shared" si="19"/>
        <v>0.11556465563659149</v>
      </c>
      <c r="AD70" s="322">
        <f t="shared" si="19"/>
        <v>2.5506580685922976E-3</v>
      </c>
      <c r="AE70" s="322">
        <f t="shared" si="19"/>
        <v>1.1968247793023403E-6</v>
      </c>
      <c r="AF70" s="322"/>
      <c r="AG70" s="326" t="s">
        <v>1399</v>
      </c>
      <c r="AH70" s="349">
        <f>2*(P72*AH46*AH62+P73*AH47*AH63+P74*(AH46*AH63+AH62*AH47)+P75*AH48*AH64)</f>
        <v>-1.7272951145397086E-4</v>
      </c>
      <c r="AI70" s="322"/>
    </row>
    <row r="71" spans="1:35">
      <c r="A71" s="138">
        <v>0.02</v>
      </c>
      <c r="B71" s="138">
        <v>22.5</v>
      </c>
      <c r="C71" s="207">
        <v>0</v>
      </c>
      <c r="D71" s="138">
        <v>0.6</v>
      </c>
      <c r="E71" s="138">
        <v>0.316</v>
      </c>
      <c r="F71" s="138">
        <v>4.0000000000000001E-3</v>
      </c>
      <c r="G71" s="138">
        <v>4.0000000000000001E-3</v>
      </c>
      <c r="H71" s="138">
        <v>2000</v>
      </c>
      <c r="J71" s="308" t="s">
        <v>1400</v>
      </c>
      <c r="N71" s="309" t="s">
        <v>1401</v>
      </c>
      <c r="O71" s="310">
        <f>(1/O58-1/O59)*1000</f>
        <v>20.934959349593495</v>
      </c>
      <c r="P71" s="310">
        <f>(1/P58-1/P59)*1000</f>
        <v>20.934959349593495</v>
      </c>
      <c r="Q71" s="310">
        <f t="shared" ref="Q71:Q77" si="20">P71/O71</f>
        <v>1</v>
      </c>
      <c r="R71" s="309"/>
      <c r="S71" s="319"/>
      <c r="T71" s="319"/>
      <c r="U71" s="319"/>
      <c r="V71" s="319"/>
      <c r="W71" s="308"/>
      <c r="X71" s="308"/>
      <c r="AA71" s="322">
        <f t="shared" si="19"/>
        <v>7.3860361411472986E-7</v>
      </c>
      <c r="AB71" s="322">
        <f t="shared" si="19"/>
        <v>1.9213389851379336E-2</v>
      </c>
      <c r="AC71" s="322">
        <f t="shared" si="19"/>
        <v>0.9970773531851117</v>
      </c>
      <c r="AD71" s="322">
        <f t="shared" si="19"/>
        <v>2.6078577042307254E-2</v>
      </c>
      <c r="AE71" s="322">
        <f t="shared" si="19"/>
        <v>3.0685149893025098E-5</v>
      </c>
      <c r="AG71" s="326" t="s">
        <v>1403</v>
      </c>
      <c r="AH71" s="349">
        <f>AH70+AH54</f>
        <v>0.97966129068235852</v>
      </c>
      <c r="AI71" s="322"/>
    </row>
    <row r="72" spans="1:35">
      <c r="A72" s="138">
        <v>0.15</v>
      </c>
      <c r="B72" s="138">
        <v>0.01</v>
      </c>
      <c r="C72" s="138">
        <v>1</v>
      </c>
      <c r="D72" s="138">
        <v>1</v>
      </c>
      <c r="E72" s="138">
        <v>0.1</v>
      </c>
      <c r="F72" s="138">
        <v>0.5</v>
      </c>
      <c r="G72" s="138"/>
      <c r="H72" s="138"/>
      <c r="J72" s="309" t="s">
        <v>1404</v>
      </c>
      <c r="K72" s="310">
        <f>(1-(K69/K66)^2)*K66</f>
        <v>69.675740916648124</v>
      </c>
      <c r="L72" s="310">
        <f>(1-(L69/L66)^2)*L66</f>
        <v>0.62469268885785056</v>
      </c>
      <c r="M72" s="310">
        <f>L72/K72</f>
        <v>8.9657128957575001E-3</v>
      </c>
      <c r="N72" s="309" t="s">
        <v>1405</v>
      </c>
      <c r="O72" s="312">
        <f>(O66*K61^2+2*O68*K61*K63+O67*K63^2)</f>
        <v>12004.38353147296</v>
      </c>
      <c r="P72" s="312">
        <f>(P66*L61^2+2*P68*L61*L63+P67*L63^2)</f>
        <v>2.7023064132762555</v>
      </c>
      <c r="Q72" s="310">
        <f t="shared" si="20"/>
        <v>2.2510996971992592E-4</v>
      </c>
      <c r="S72" s="308"/>
      <c r="T72" s="308"/>
      <c r="W72" s="308"/>
      <c r="X72" s="308"/>
      <c r="Y72" s="311"/>
      <c r="AA72" s="322">
        <f t="shared" si="19"/>
        <v>-1.0657348743377306E-23</v>
      </c>
      <c r="AB72" s="322">
        <f t="shared" si="19"/>
        <v>-2.2354267242619807E-19</v>
      </c>
      <c r="AC72" s="322">
        <f t="shared" si="19"/>
        <v>-1.5046578368033799E-16</v>
      </c>
      <c r="AD72" s="322">
        <f t="shared" si="19"/>
        <v>-3.7154507088968738E-18</v>
      </c>
      <c r="AE72" s="322">
        <f t="shared" si="19"/>
        <v>-3.530675176450572E-21</v>
      </c>
      <c r="AG72" s="326" t="s">
        <v>1412</v>
      </c>
      <c r="AH72" s="349">
        <f>AH71/2/AH53</f>
        <v>0.61834324270860019</v>
      </c>
      <c r="AI72" s="322"/>
    </row>
    <row r="73" spans="1:35">
      <c r="J73" s="309" t="s">
        <v>1414</v>
      </c>
      <c r="K73" s="310">
        <f>K69/K66</f>
        <v>0.29603094337527941</v>
      </c>
      <c r="L73" s="310">
        <f>L69/L66</f>
        <v>0.31916913833017363</v>
      </c>
      <c r="M73" s="310">
        <f>L73/K73</f>
        <v>1.0781614066795775</v>
      </c>
      <c r="N73" s="309" t="s">
        <v>1415</v>
      </c>
      <c r="O73" s="312">
        <f>(O66*K63^2+2*O68*K63*K62+O67*K62^2)</f>
        <v>10680.652008265077</v>
      </c>
      <c r="P73" s="312">
        <f>(P66*L63^2+2*P68*L63*L62+P67*L62^2)</f>
        <v>6.3863082792974132E-2</v>
      </c>
      <c r="Q73" s="310">
        <f t="shared" si="20"/>
        <v>5.9793243655494591E-6</v>
      </c>
      <c r="S73" s="308"/>
      <c r="T73" s="308"/>
      <c r="W73" s="308"/>
      <c r="X73" s="308"/>
      <c r="Y73" s="311"/>
      <c r="Z73" s="309"/>
      <c r="AG73" s="326"/>
      <c r="AH73" s="319"/>
      <c r="AI73" s="322"/>
    </row>
    <row r="74" spans="1:35">
      <c r="A74" s="358" t="s">
        <v>842</v>
      </c>
      <c r="N74" s="309" t="s">
        <v>1416</v>
      </c>
      <c r="O74" s="312">
        <f>(O66*K61*K63+O68*(K61*K62+K63^2)+O67*K63*K62)</f>
        <v>-3069.103206291968</v>
      </c>
      <c r="P74" s="312">
        <f>(P66*L61*L63+P68*(L61*L62+L63^2)+P67*L63*L62)</f>
        <v>-2.6902688936839887E-4</v>
      </c>
      <c r="Q74" s="310">
        <f t="shared" si="20"/>
        <v>8.7656514390544736E-8</v>
      </c>
      <c r="S74" s="308"/>
      <c r="T74" s="308"/>
      <c r="W74" s="308"/>
      <c r="X74" s="308"/>
      <c r="Y74" s="311"/>
      <c r="AE74" s="314"/>
      <c r="AG74" s="326"/>
      <c r="AH74" s="319"/>
      <c r="AI74" s="322"/>
    </row>
    <row r="75" spans="1:35">
      <c r="A75" s="137" t="s">
        <v>1582</v>
      </c>
      <c r="B75" s="138">
        <v>181</v>
      </c>
      <c r="C75" s="138">
        <v>10.3</v>
      </c>
      <c r="D75" s="138">
        <v>0.28000000000000003</v>
      </c>
      <c r="E75" s="138">
        <v>7.17</v>
      </c>
      <c r="F75" s="138">
        <v>3.4</v>
      </c>
      <c r="G75" s="138">
        <v>122</v>
      </c>
      <c r="H75" s="138">
        <v>160</v>
      </c>
      <c r="J75" s="309" t="s">
        <v>1193</v>
      </c>
      <c r="K75" s="310">
        <f>D58</f>
        <v>1.6</v>
      </c>
      <c r="L75" s="310">
        <f>L76*(1-L50)+L77*L50</f>
        <v>1.6</v>
      </c>
      <c r="M75" s="310">
        <f>L75/K75</f>
        <v>1</v>
      </c>
      <c r="N75" s="309" t="s">
        <v>1418</v>
      </c>
      <c r="O75" s="312">
        <f>O69*K64^2</f>
        <v>11117.841695501729</v>
      </c>
      <c r="P75" s="312">
        <f>P69*L64^2</f>
        <v>4.7295575817127289E-2</v>
      </c>
      <c r="Q75" s="310">
        <f t="shared" si="20"/>
        <v>4.2540249368960746E-6</v>
      </c>
      <c r="S75" s="308"/>
      <c r="T75" s="308"/>
      <c r="W75" s="308"/>
      <c r="X75" s="308"/>
      <c r="Y75" s="331"/>
      <c r="Z75" s="307"/>
      <c r="AA75" s="307"/>
      <c r="AB75" s="307"/>
      <c r="AC75" s="309"/>
      <c r="AD75" s="309"/>
      <c r="AE75" s="311"/>
      <c r="AG75" s="326"/>
      <c r="AH75" s="319"/>
      <c r="AI75" s="326" t="s">
        <v>1421</v>
      </c>
    </row>
    <row r="76" spans="1:35">
      <c r="A76" s="138">
        <v>1500</v>
      </c>
      <c r="B76" s="138">
        <v>1500</v>
      </c>
      <c r="C76" s="138">
        <v>40</v>
      </c>
      <c r="D76" s="138">
        <v>246</v>
      </c>
      <c r="E76" s="138">
        <v>68</v>
      </c>
      <c r="F76" s="138">
        <v>1.2</v>
      </c>
      <c r="G76" s="138">
        <v>22</v>
      </c>
      <c r="H76" s="138">
        <v>5.0000000000000001E-3</v>
      </c>
      <c r="J76" s="309" t="s">
        <v>274</v>
      </c>
      <c r="K76" s="310">
        <f>F57</f>
        <v>1.2</v>
      </c>
      <c r="L76" s="310">
        <f>K76</f>
        <v>1.2</v>
      </c>
      <c r="M76" s="310">
        <f>L76/K76</f>
        <v>1</v>
      </c>
      <c r="N76" s="309" t="s">
        <v>1422</v>
      </c>
      <c r="O76" s="312">
        <f>(O70*K61+O71*K63)</f>
        <v>60.646995481305353</v>
      </c>
      <c r="P76" s="312">
        <f>(P70*L61+P71*L63)</f>
        <v>-1.0325935690582464</v>
      </c>
      <c r="Q76" s="310">
        <f t="shared" si="20"/>
        <v>-1.7026293897387662E-2</v>
      </c>
      <c r="S76" s="308"/>
      <c r="T76" s="308"/>
      <c r="W76" s="308"/>
      <c r="X76" s="308"/>
      <c r="Y76" s="337"/>
      <c r="Z76" s="337"/>
      <c r="AA76" s="319"/>
      <c r="AB76" s="319"/>
      <c r="AC76" s="319"/>
      <c r="AD76" s="319"/>
      <c r="AG76" s="309" t="s">
        <v>1424</v>
      </c>
      <c r="AH76" s="319">
        <f>(AH72^2-AH69/AH53)^0.5-AH72</f>
        <v>0.66432907500291338</v>
      </c>
      <c r="AI76" s="319">
        <f>AH77</f>
        <v>0.66432907500291338</v>
      </c>
    </row>
    <row r="77" spans="1:35">
      <c r="A77" s="138">
        <v>-0.5</v>
      </c>
      <c r="B77" s="138">
        <v>125</v>
      </c>
      <c r="C77" s="138">
        <v>0.7</v>
      </c>
      <c r="D77" s="138">
        <v>1.6</v>
      </c>
      <c r="E77" s="138">
        <v>0.51600000000000001</v>
      </c>
      <c r="F77" s="138">
        <v>0.5</v>
      </c>
      <c r="G77" s="138">
        <v>0.2</v>
      </c>
      <c r="H77" s="138">
        <v>0.9</v>
      </c>
      <c r="J77" s="309" t="s">
        <v>1195</v>
      </c>
      <c r="K77" s="310">
        <f>(K75-K76*(1-K50))/K50</f>
        <v>1.7714285714285716</v>
      </c>
      <c r="L77" s="310">
        <f>K77</f>
        <v>1.7714285714285716</v>
      </c>
      <c r="M77" s="310">
        <f>L77/K77</f>
        <v>1</v>
      </c>
      <c r="N77" s="309" t="s">
        <v>1426</v>
      </c>
      <c r="O77" s="312">
        <f>(O70*K63+O71*K62)</f>
        <v>216.59641243323335</v>
      </c>
      <c r="P77" s="312">
        <f>(P70*L63+P71*L62)</f>
        <v>0.52479495440869006</v>
      </c>
      <c r="Q77" s="310">
        <f t="shared" si="20"/>
        <v>2.4229161901306194E-3</v>
      </c>
      <c r="S77" s="308"/>
      <c r="T77" s="308"/>
      <c r="W77" s="308"/>
      <c r="X77" s="308"/>
      <c r="Y77" s="337"/>
      <c r="Z77" s="337"/>
      <c r="AA77" s="319"/>
      <c r="AB77" s="319"/>
      <c r="AC77" s="319"/>
      <c r="AD77" s="319"/>
      <c r="AG77" s="309" t="s">
        <v>194</v>
      </c>
      <c r="AH77" s="319">
        <f>IF(AH42=0,1000000000,AH76)</f>
        <v>0.66432907500291338</v>
      </c>
    </row>
    <row r="78" spans="1:35">
      <c r="A78" s="138">
        <v>0.02</v>
      </c>
      <c r="B78" s="138">
        <v>22.5</v>
      </c>
      <c r="C78" s="207">
        <v>0</v>
      </c>
      <c r="D78" s="138">
        <v>0.6</v>
      </c>
      <c r="E78" s="138">
        <v>0.316</v>
      </c>
      <c r="F78" s="138">
        <v>4.0000000000000001E-3</v>
      </c>
      <c r="G78" s="138">
        <v>4.0000000000000001E-3</v>
      </c>
      <c r="H78" s="138">
        <v>2000</v>
      </c>
      <c r="L78" s="308" t="s">
        <v>1428</v>
      </c>
      <c r="S78" s="308"/>
      <c r="T78" s="308"/>
      <c r="W78" s="308"/>
      <c r="X78" s="308"/>
      <c r="Y78" s="337"/>
      <c r="Z78" s="337"/>
      <c r="AA78" s="319"/>
      <c r="AB78" s="319"/>
      <c r="AC78" s="319"/>
      <c r="AD78" s="319"/>
      <c r="AG78" s="309" t="s">
        <v>194</v>
      </c>
      <c r="AH78" s="319">
        <f>IF(AH42=0,0,AH76)</f>
        <v>0.66432907500291338</v>
      </c>
    </row>
    <row r="79" spans="1:35">
      <c r="A79" s="138">
        <v>0.15</v>
      </c>
      <c r="B79" s="138">
        <v>0.01</v>
      </c>
      <c r="C79" s="138">
        <v>1</v>
      </c>
      <c r="D79" s="138">
        <v>1</v>
      </c>
      <c r="E79" s="138">
        <v>0.1</v>
      </c>
      <c r="F79" s="138">
        <v>0.5</v>
      </c>
      <c r="G79" s="138"/>
      <c r="H79" s="138"/>
      <c r="J79" s="307" t="s">
        <v>412</v>
      </c>
      <c r="K79" s="309"/>
      <c r="L79" s="309"/>
      <c r="N79" s="308" t="s">
        <v>1551</v>
      </c>
      <c r="P79" s="310"/>
      <c r="R79" s="308" t="s">
        <v>634</v>
      </c>
      <c r="Z79" s="308" t="s">
        <v>635</v>
      </c>
      <c r="AG79" s="308" t="s">
        <v>636</v>
      </c>
    </row>
    <row r="80" spans="1:35">
      <c r="A80" s="137" t="s">
        <v>1582</v>
      </c>
      <c r="B80" s="138">
        <v>181</v>
      </c>
      <c r="C80" s="138">
        <v>10.3</v>
      </c>
      <c r="D80" s="138">
        <v>0.28000000000000003</v>
      </c>
      <c r="E80" s="138">
        <v>7.17</v>
      </c>
      <c r="F80" s="138">
        <v>3.4</v>
      </c>
      <c r="G80" s="138">
        <v>122</v>
      </c>
      <c r="H80" s="138">
        <v>160</v>
      </c>
      <c r="J80" s="309" t="str">
        <f>A63</f>
        <v>T3/N52[SI]</v>
      </c>
      <c r="K80" s="307"/>
      <c r="L80" s="309"/>
      <c r="N80" s="309" t="s">
        <v>596</v>
      </c>
      <c r="O80" s="312">
        <f>G64</f>
        <v>22</v>
      </c>
      <c r="P80" s="312">
        <f>B37</f>
        <v>22</v>
      </c>
      <c r="Q80" s="313">
        <f t="shared" ref="Q80:Q85" si="21">P80/O80</f>
        <v>1</v>
      </c>
      <c r="R80" s="307"/>
      <c r="X80" s="314"/>
      <c r="Z80" s="309" t="s">
        <v>531</v>
      </c>
      <c r="AA80" s="315">
        <f>S82</f>
        <v>45</v>
      </c>
      <c r="AB80" s="315"/>
      <c r="AC80" s="315"/>
      <c r="AD80" s="315"/>
      <c r="AE80" s="309" t="s">
        <v>532</v>
      </c>
      <c r="AF80" s="314" t="s">
        <v>533</v>
      </c>
      <c r="AG80" s="309" t="s">
        <v>531</v>
      </c>
      <c r="AH80" s="315">
        <f>AA80</f>
        <v>45</v>
      </c>
    </row>
    <row r="81" spans="1:35">
      <c r="A81" s="138">
        <v>1500</v>
      </c>
      <c r="B81" s="138">
        <v>1500</v>
      </c>
      <c r="C81" s="138">
        <v>40</v>
      </c>
      <c r="D81" s="138">
        <v>246</v>
      </c>
      <c r="E81" s="138">
        <v>68</v>
      </c>
      <c r="F81" s="138">
        <v>1.2</v>
      </c>
      <c r="G81" s="138">
        <v>22</v>
      </c>
      <c r="H81" s="138">
        <v>5.0000000000000001E-3</v>
      </c>
      <c r="J81" s="309"/>
      <c r="K81" s="309"/>
      <c r="L81" s="309"/>
      <c r="N81" s="309" t="s">
        <v>600</v>
      </c>
      <c r="O81" s="319">
        <f>H64</f>
        <v>5.0000000000000001E-3</v>
      </c>
      <c r="P81" s="319">
        <f>C37</f>
        <v>5.0000000000000001E-3</v>
      </c>
      <c r="Q81" s="313">
        <f t="shared" si="21"/>
        <v>1</v>
      </c>
      <c r="R81" s="309" t="s">
        <v>243</v>
      </c>
      <c r="S81" s="314" t="s">
        <v>1562</v>
      </c>
      <c r="T81" s="314" t="s">
        <v>652</v>
      </c>
      <c r="U81" s="314" t="s">
        <v>646</v>
      </c>
      <c r="V81" s="314"/>
      <c r="W81" s="314"/>
      <c r="X81" s="314"/>
      <c r="Z81" s="309" t="s">
        <v>536</v>
      </c>
      <c r="AA81" s="315">
        <f>S83</f>
        <v>1</v>
      </c>
      <c r="AB81" s="315"/>
      <c r="AC81" s="315"/>
      <c r="AD81" s="315"/>
      <c r="AE81" s="309">
        <f>W83</f>
        <v>0</v>
      </c>
      <c r="AF81" s="315">
        <f>X83</f>
        <v>0</v>
      </c>
      <c r="AG81" s="309" t="s">
        <v>536</v>
      </c>
      <c r="AH81" s="315">
        <f>AA81</f>
        <v>1</v>
      </c>
    </row>
    <row r="82" spans="1:35">
      <c r="A82" s="138">
        <v>-0.5</v>
      </c>
      <c r="B82" s="138">
        <v>125</v>
      </c>
      <c r="C82" s="138">
        <v>0.7</v>
      </c>
      <c r="D82" s="138">
        <v>1.6</v>
      </c>
      <c r="E82" s="138">
        <v>0.51600000000000001</v>
      </c>
      <c r="F82" s="138">
        <v>0.5</v>
      </c>
      <c r="G82" s="138">
        <v>0.2</v>
      </c>
      <c r="H82" s="138">
        <v>0.9</v>
      </c>
      <c r="J82" s="309" t="s">
        <v>1553</v>
      </c>
      <c r="K82" s="309" t="s">
        <v>1554</v>
      </c>
      <c r="L82" s="309" t="s">
        <v>1555</v>
      </c>
      <c r="M82" s="320" t="s">
        <v>1556</v>
      </c>
      <c r="N82" s="309" t="s">
        <v>1557</v>
      </c>
      <c r="O82" s="312">
        <f>G63</f>
        <v>122</v>
      </c>
      <c r="P82" s="312">
        <f>O82</f>
        <v>122</v>
      </c>
      <c r="Q82" s="313">
        <f t="shared" si="21"/>
        <v>1</v>
      </c>
      <c r="R82" s="309" t="s">
        <v>537</v>
      </c>
      <c r="S82" s="321">
        <f>C5</f>
        <v>45</v>
      </c>
      <c r="T82" s="322">
        <f>E5*L87/1000000</f>
        <v>2.5000000000000001E-4</v>
      </c>
      <c r="U82" s="319">
        <f>U43</f>
        <v>2E-3</v>
      </c>
      <c r="V82" s="321"/>
      <c r="W82" s="314"/>
      <c r="X82" s="314"/>
      <c r="Z82" s="309" t="s">
        <v>539</v>
      </c>
      <c r="AA82" s="315">
        <f>S84</f>
        <v>1.5707963267948966</v>
      </c>
      <c r="AB82" s="315"/>
      <c r="AC82" s="315"/>
      <c r="AD82" s="315"/>
      <c r="AE82" s="309" t="s">
        <v>540</v>
      </c>
      <c r="AF82" s="311">
        <f>T82</f>
        <v>2.5000000000000001E-4</v>
      </c>
      <c r="AG82" s="309" t="s">
        <v>539</v>
      </c>
      <c r="AH82" s="315">
        <f>AA82</f>
        <v>1.5707963267948966</v>
      </c>
    </row>
    <row r="83" spans="1:35">
      <c r="A83" s="138">
        <v>0.02</v>
      </c>
      <c r="B83" s="138">
        <v>22.5</v>
      </c>
      <c r="C83" s="207">
        <v>0</v>
      </c>
      <c r="D83" s="138">
        <v>0.6</v>
      </c>
      <c r="E83" s="138">
        <v>0.316</v>
      </c>
      <c r="F83" s="138">
        <v>4.0000000000000001E-3</v>
      </c>
      <c r="G83" s="138">
        <v>4.0000000000000001E-3</v>
      </c>
      <c r="H83" s="138">
        <v>2000</v>
      </c>
      <c r="J83" s="309" t="s">
        <v>298</v>
      </c>
      <c r="K83" s="310">
        <f>B63</f>
        <v>181</v>
      </c>
      <c r="L83" s="310">
        <f>L90*L89*D24</f>
        <v>1.8100000000000003</v>
      </c>
      <c r="M83" s="313">
        <f>L83/K83</f>
        <v>1.0000000000000002E-2</v>
      </c>
      <c r="N83" s="309" t="s">
        <v>299</v>
      </c>
      <c r="O83" s="312">
        <f>H63</f>
        <v>160</v>
      </c>
      <c r="P83" s="312">
        <f>O83-H66*(P81)</f>
        <v>150</v>
      </c>
      <c r="Q83" s="313">
        <f t="shared" si="21"/>
        <v>0.9375</v>
      </c>
      <c r="R83" s="309" t="s">
        <v>541</v>
      </c>
      <c r="S83" s="321">
        <f>D5</f>
        <v>1</v>
      </c>
      <c r="T83" s="321"/>
      <c r="U83" s="321">
        <f>T82/U82</f>
        <v>0.125</v>
      </c>
      <c r="V83" s="321"/>
      <c r="W83" s="323"/>
      <c r="X83" s="315"/>
      <c r="Z83" s="309"/>
      <c r="AA83" s="311"/>
      <c r="AB83" s="311"/>
      <c r="AC83" s="311"/>
      <c r="AD83" s="311"/>
      <c r="AE83" s="314"/>
      <c r="AI83" s="309" t="s">
        <v>109</v>
      </c>
    </row>
    <row r="84" spans="1:35">
      <c r="A84" s="138">
        <v>0.15</v>
      </c>
      <c r="B84" s="138">
        <v>0.01</v>
      </c>
      <c r="C84" s="138">
        <v>1</v>
      </c>
      <c r="D84" s="138">
        <v>1</v>
      </c>
      <c r="E84" s="138">
        <v>0.1</v>
      </c>
      <c r="F84" s="138">
        <v>0.5</v>
      </c>
      <c r="G84" s="138"/>
      <c r="H84" s="138"/>
      <c r="J84" s="309" t="s">
        <v>1579</v>
      </c>
      <c r="K84" s="310">
        <f>C63</f>
        <v>10.3</v>
      </c>
      <c r="L84" s="310">
        <f>(1+L93)/(1/L94+L93/L91)*E24</f>
        <v>2.5068162405329986E-2</v>
      </c>
      <c r="M84" s="313">
        <f>L84/K84</f>
        <v>2.4338021752747557E-3</v>
      </c>
      <c r="N84" s="309" t="s">
        <v>1580</v>
      </c>
      <c r="O84" s="310">
        <f>(O83-O80)/(O83-O80)</f>
        <v>1</v>
      </c>
      <c r="P84" s="310">
        <f>(P83-P80)/(P83-O80)</f>
        <v>1</v>
      </c>
      <c r="Q84" s="313">
        <f t="shared" si="21"/>
        <v>1</v>
      </c>
      <c r="R84" s="309" t="s">
        <v>1295</v>
      </c>
      <c r="S84" s="325">
        <f>S82*PI()/90</f>
        <v>1.5707963267948966</v>
      </c>
      <c r="T84" s="325"/>
      <c r="U84" s="325"/>
      <c r="V84" s="325"/>
      <c r="W84" s="314"/>
      <c r="X84" s="326"/>
      <c r="Y84" s="309"/>
      <c r="Z84" s="307" t="s">
        <v>1297</v>
      </c>
      <c r="AA84" s="314"/>
      <c r="AB84" s="314"/>
      <c r="AC84" s="311"/>
      <c r="AD84" s="311"/>
      <c r="AE84" s="311"/>
      <c r="AG84" s="307" t="s">
        <v>1298</v>
      </c>
      <c r="AI84" s="309" t="s">
        <v>1299</v>
      </c>
    </row>
    <row r="85" spans="1:35">
      <c r="J85" s="309" t="s">
        <v>259</v>
      </c>
      <c r="K85" s="310">
        <f>D63</f>
        <v>0.28000000000000003</v>
      </c>
      <c r="L85" s="310">
        <f>K85*I37*C24</f>
        <v>4.2000000000000002E-4</v>
      </c>
      <c r="M85" s="313">
        <f>L85/K85</f>
        <v>1.4999999999999998E-3</v>
      </c>
      <c r="N85" s="309" t="s">
        <v>260</v>
      </c>
      <c r="O85" s="312">
        <f>O80-O82</f>
        <v>-100</v>
      </c>
      <c r="P85" s="312">
        <f>P80-P82</f>
        <v>-100</v>
      </c>
      <c r="Q85" s="313">
        <f t="shared" si="21"/>
        <v>1</v>
      </c>
      <c r="R85" s="309" t="s">
        <v>1300</v>
      </c>
      <c r="S85" s="325">
        <f>2*S84</f>
        <v>3.1415926535897931</v>
      </c>
      <c r="T85" s="325"/>
      <c r="U85" s="325"/>
      <c r="V85" s="325"/>
      <c r="W85" s="323"/>
      <c r="X85" s="315"/>
      <c r="Y85" s="311"/>
      <c r="Z85" s="309"/>
      <c r="AA85" s="314" t="s">
        <v>1301</v>
      </c>
      <c r="AB85" s="314"/>
      <c r="AC85" s="327" t="s">
        <v>619</v>
      </c>
      <c r="AD85" s="327"/>
      <c r="AE85" s="314" t="s">
        <v>1303</v>
      </c>
      <c r="AF85" s="314" t="s">
        <v>1304</v>
      </c>
      <c r="AG85" s="309" t="s">
        <v>1305</v>
      </c>
      <c r="AH85" s="319">
        <f>AA91/1000</f>
        <v>0.15303071527573509</v>
      </c>
      <c r="AI85" s="328">
        <f>AI46</f>
        <v>1.5940987336163721E-5</v>
      </c>
    </row>
    <row r="86" spans="1:35">
      <c r="A86" s="358" t="s">
        <v>843</v>
      </c>
      <c r="J86" s="309" t="s">
        <v>261</v>
      </c>
      <c r="K86" s="310">
        <f>E63</f>
        <v>7.17</v>
      </c>
      <c r="L86" s="310">
        <f>(1+L96)/(1/L97+L96*2.7/L91)</f>
        <v>1.4788331297965859E-2</v>
      </c>
      <c r="M86" s="313">
        <f>L86/K86</f>
        <v>2.0625287723801755E-3</v>
      </c>
      <c r="N86" s="309"/>
      <c r="O86" s="310"/>
      <c r="P86" s="310"/>
      <c r="Q86" s="310"/>
      <c r="S86" s="329"/>
      <c r="T86" s="329"/>
      <c r="U86" s="329"/>
      <c r="V86" s="333"/>
      <c r="W86" s="314"/>
      <c r="X86" s="314"/>
      <c r="Y86" s="311"/>
      <c r="Z86" s="309">
        <v>1</v>
      </c>
      <c r="AA86" s="310">
        <f>AA47</f>
        <v>0.92387953251128652</v>
      </c>
      <c r="AB86" s="322"/>
      <c r="AC86" s="310">
        <f>AC47</f>
        <v>832.07951361633309</v>
      </c>
      <c r="AD86" s="322"/>
      <c r="AE86" s="326" t="s">
        <v>1306</v>
      </c>
      <c r="AF86" s="322">
        <f>IF(T82=0,0,(AC86+AC87)/2)</f>
        <v>153.03071527573502</v>
      </c>
      <c r="AG86" s="309" t="s">
        <v>1307</v>
      </c>
      <c r="AH86" s="319">
        <f>AA92/1000</f>
        <v>0.15303071527573497</v>
      </c>
      <c r="AI86" s="328">
        <f>AI47</f>
        <v>-1.4744162556861379E-5</v>
      </c>
    </row>
    <row r="87" spans="1:35">
      <c r="A87" s="137" t="s">
        <v>1582</v>
      </c>
      <c r="B87" s="138">
        <v>181</v>
      </c>
      <c r="C87" s="138">
        <v>10.3</v>
      </c>
      <c r="D87" s="138">
        <v>0.28000000000000003</v>
      </c>
      <c r="E87" s="138">
        <v>7.17</v>
      </c>
      <c r="F87" s="138">
        <v>3.4</v>
      </c>
      <c r="G87" s="138">
        <v>122</v>
      </c>
      <c r="H87" s="138">
        <v>160</v>
      </c>
      <c r="J87" s="309" t="s">
        <v>262</v>
      </c>
      <c r="K87" s="312">
        <f>B65</f>
        <v>125</v>
      </c>
      <c r="L87" s="312">
        <f>K87/M89</f>
        <v>125</v>
      </c>
      <c r="M87" s="313">
        <f>L87/K87</f>
        <v>1</v>
      </c>
      <c r="N87" s="307" t="s">
        <v>1531</v>
      </c>
      <c r="O87" s="310"/>
      <c r="P87" s="310"/>
      <c r="Q87" s="310"/>
      <c r="R87" s="309" t="s">
        <v>1325</v>
      </c>
      <c r="S87" s="314" t="s">
        <v>1326</v>
      </c>
      <c r="T87" s="314"/>
      <c r="U87" s="314" t="s">
        <v>1330</v>
      </c>
      <c r="V87" s="309" t="s">
        <v>172</v>
      </c>
      <c r="W87" s="309" t="s">
        <v>187</v>
      </c>
      <c r="X87" s="314"/>
      <c r="Y87" s="319"/>
      <c r="Z87" s="309">
        <v>2</v>
      </c>
      <c r="AA87" s="310">
        <f>AA48</f>
        <v>-0.38268343236509039</v>
      </c>
      <c r="AB87" s="322"/>
      <c r="AC87" s="310">
        <f>AC48</f>
        <v>-526.01808306486305</v>
      </c>
      <c r="AD87" s="322"/>
      <c r="AE87" s="326" t="s">
        <v>1309</v>
      </c>
      <c r="AF87" s="322">
        <f>IF(T82=0,0,(AC86-AC87)/2)</f>
        <v>679.04879834059807</v>
      </c>
      <c r="AG87" s="309" t="s">
        <v>1310</v>
      </c>
      <c r="AH87" s="319">
        <f>AA93/1000</f>
        <v>-1.3580975966811961</v>
      </c>
      <c r="AI87" s="328">
        <f>AI48</f>
        <v>-1.765337588225286E-21</v>
      </c>
    </row>
    <row r="88" spans="1:35">
      <c r="A88" s="138">
        <v>1500</v>
      </c>
      <c r="B88" s="138">
        <v>1500</v>
      </c>
      <c r="C88" s="138">
        <v>40</v>
      </c>
      <c r="D88" s="138">
        <v>246</v>
      </c>
      <c r="E88" s="138">
        <v>68</v>
      </c>
      <c r="F88" s="138">
        <v>1.2</v>
      </c>
      <c r="G88" s="138">
        <v>22</v>
      </c>
      <c r="H88" s="138">
        <v>5.0000000000000001E-3</v>
      </c>
      <c r="J88" s="307" t="s">
        <v>264</v>
      </c>
      <c r="K88" s="310"/>
      <c r="L88" s="310"/>
      <c r="N88" s="309" t="s">
        <v>265</v>
      </c>
      <c r="O88" s="310">
        <f>A66</f>
        <v>0.02</v>
      </c>
      <c r="P88" s="310">
        <f>O88</f>
        <v>0.02</v>
      </c>
      <c r="Q88" s="310">
        <f>P88/O88</f>
        <v>1</v>
      </c>
      <c r="R88" s="309">
        <v>11</v>
      </c>
      <c r="S88" s="310">
        <f>L105+L106*COS(S84)+L107*COS(S85)</f>
        <v>0.47356063733423337</v>
      </c>
      <c r="T88" s="310"/>
      <c r="U88" s="322">
        <f>S88*T82</f>
        <v>1.1839015933355835E-4</v>
      </c>
      <c r="V88" s="322">
        <f t="shared" ref="V88:W93" si="22">V49</f>
        <v>1.3910951223277007E-3</v>
      </c>
      <c r="W88" s="310">
        <f t="shared" si="22"/>
        <v>0.6955475611638503</v>
      </c>
      <c r="X88" s="319"/>
      <c r="Y88" s="311"/>
      <c r="Z88" s="309">
        <v>6</v>
      </c>
      <c r="AA88" s="310">
        <f>AA49</f>
        <v>0</v>
      </c>
      <c r="AB88" s="322"/>
      <c r="AC88" s="310">
        <f>AC49</f>
        <v>5.6856910853327399E-14</v>
      </c>
      <c r="AD88" s="322"/>
      <c r="AE88" s="326" t="s">
        <v>1312</v>
      </c>
      <c r="AF88" s="322">
        <f>IF(T82=0,0,AC88/2)</f>
        <v>2.8428455426663699E-14</v>
      </c>
      <c r="AG88" s="309"/>
      <c r="AH88" s="322"/>
      <c r="AI88" s="322"/>
    </row>
    <row r="89" spans="1:35">
      <c r="A89" s="138">
        <v>-0.5</v>
      </c>
      <c r="B89" s="138">
        <v>125</v>
      </c>
      <c r="C89" s="138">
        <v>0.7</v>
      </c>
      <c r="D89" s="138">
        <v>1.6</v>
      </c>
      <c r="E89" s="138">
        <v>0.51600000000000001</v>
      </c>
      <c r="F89" s="138">
        <v>0.5</v>
      </c>
      <c r="G89" s="138">
        <v>0.2</v>
      </c>
      <c r="H89" s="138">
        <v>0.9</v>
      </c>
      <c r="J89" s="309" t="s">
        <v>1532</v>
      </c>
      <c r="K89" s="310">
        <f>C65</f>
        <v>0.7</v>
      </c>
      <c r="L89" s="310">
        <f>D37</f>
        <v>0.7</v>
      </c>
      <c r="M89" s="313">
        <f t="shared" ref="M89:M97" si="23">L89/K89</f>
        <v>1</v>
      </c>
      <c r="N89" s="309" t="s">
        <v>1533</v>
      </c>
      <c r="O89" s="310">
        <f>B66</f>
        <v>22.5</v>
      </c>
      <c r="P89" s="310">
        <f>O89*(1-L89)/(1-K89)</f>
        <v>22.5</v>
      </c>
      <c r="Q89" s="310">
        <f>P89/O89</f>
        <v>1</v>
      </c>
      <c r="R89" s="309">
        <v>22</v>
      </c>
      <c r="S89" s="310">
        <f>S88-2*L106*COS(S84)</f>
        <v>0.47356063733423326</v>
      </c>
      <c r="T89" s="310"/>
      <c r="U89" s="322">
        <f>S89*T82</f>
        <v>1.1839015933355832E-4</v>
      </c>
      <c r="V89" s="322">
        <f t="shared" si="22"/>
        <v>1.4300606625216533E-3</v>
      </c>
      <c r="W89" s="310">
        <f t="shared" si="22"/>
        <v>0.71503033126082671</v>
      </c>
      <c r="X89" s="314"/>
      <c r="AA89" s="322"/>
      <c r="AB89" s="322"/>
      <c r="AC89" s="322"/>
      <c r="AD89" s="322"/>
      <c r="AE89" s="326"/>
      <c r="AF89" s="322"/>
      <c r="AG89" s="309"/>
      <c r="AH89" s="322"/>
      <c r="AI89" s="322"/>
    </row>
    <row r="90" spans="1:35">
      <c r="A90" s="138">
        <v>0.02</v>
      </c>
      <c r="B90" s="138">
        <v>22.5</v>
      </c>
      <c r="C90" s="207">
        <v>0</v>
      </c>
      <c r="D90" s="138">
        <v>0.6</v>
      </c>
      <c r="E90" s="138">
        <v>0.316</v>
      </c>
      <c r="F90" s="138">
        <v>4.0000000000000001E-3</v>
      </c>
      <c r="G90" s="138">
        <v>4.0000000000000001E-3</v>
      </c>
      <c r="H90" s="138">
        <v>2000</v>
      </c>
      <c r="J90" s="309" t="s">
        <v>1534</v>
      </c>
      <c r="K90" s="312">
        <f>K83/K89</f>
        <v>258.57142857142861</v>
      </c>
      <c r="L90" s="312">
        <f>F37*P84^F66*C24</f>
        <v>2.5857142857142863</v>
      </c>
      <c r="M90" s="313">
        <f t="shared" si="23"/>
        <v>0.01</v>
      </c>
      <c r="N90" s="308" t="s">
        <v>1535</v>
      </c>
      <c r="O90" s="310"/>
      <c r="P90" s="310"/>
      <c r="Q90" s="310"/>
      <c r="R90" s="309" t="s">
        <v>1345</v>
      </c>
      <c r="S90" s="310">
        <f>L108-L107*COS(S85)</f>
        <v>0.44398397473830176</v>
      </c>
      <c r="T90" s="310"/>
      <c r="U90" s="322">
        <f>S90*T82</f>
        <v>1.1099599368457544E-4</v>
      </c>
      <c r="V90" s="322">
        <f t="shared" si="22"/>
        <v>4.4413343911675369E-4</v>
      </c>
      <c r="W90" s="310">
        <f t="shared" si="22"/>
        <v>0.22206671955837684</v>
      </c>
      <c r="X90" s="322"/>
      <c r="Z90" s="307" t="s">
        <v>1323</v>
      </c>
      <c r="AA90" s="322"/>
      <c r="AB90" s="322"/>
      <c r="AC90" s="322"/>
      <c r="AD90" s="322"/>
      <c r="AE90" s="326"/>
      <c r="AF90" s="322"/>
      <c r="AG90" s="309"/>
      <c r="AH90" s="322"/>
      <c r="AI90" s="322"/>
    </row>
    <row r="91" spans="1:35">
      <c r="A91" s="138">
        <v>0.15</v>
      </c>
      <c r="B91" s="138">
        <v>0.01</v>
      </c>
      <c r="C91" s="138">
        <v>1</v>
      </c>
      <c r="D91" s="138">
        <v>1</v>
      </c>
      <c r="E91" s="138">
        <v>0.1</v>
      </c>
      <c r="F91" s="138">
        <v>0.5</v>
      </c>
      <c r="G91" s="138"/>
      <c r="H91" s="138"/>
      <c r="J91" s="309" t="s">
        <v>1536</v>
      </c>
      <c r="K91" s="310">
        <f>F63</f>
        <v>3.4</v>
      </c>
      <c r="L91" s="310">
        <f>E37*P84^F65*I37*C24</f>
        <v>5.1000000000000004E-3</v>
      </c>
      <c r="M91" s="313">
        <f t="shared" si="23"/>
        <v>1.5000000000000002E-3</v>
      </c>
      <c r="N91" s="309" t="s">
        <v>1537</v>
      </c>
      <c r="O91" s="310">
        <f>C66</f>
        <v>0</v>
      </c>
      <c r="P91" s="310">
        <f>O91</f>
        <v>0</v>
      </c>
      <c r="Q91" s="310">
        <v>1</v>
      </c>
      <c r="R91" s="309">
        <v>66</v>
      </c>
      <c r="S91" s="310">
        <f>S90-L108+L109</f>
        <v>0.45876177740803159</v>
      </c>
      <c r="T91" s="310"/>
      <c r="U91" s="322">
        <f>S91*T82</f>
        <v>1.1469044435200789E-4</v>
      </c>
      <c r="V91" s="322">
        <f t="shared" si="22"/>
        <v>5.0200594305701445E-4</v>
      </c>
      <c r="W91" s="310">
        <f t="shared" si="22"/>
        <v>0.2510029715285072</v>
      </c>
      <c r="X91" s="310"/>
      <c r="Z91" s="309" t="s">
        <v>1324</v>
      </c>
      <c r="AA91" s="319">
        <f>(AF86+AF87*COS(AA82)+AF88*SIN(AA82))</f>
        <v>153.03071527573508</v>
      </c>
      <c r="AB91" s="319">
        <f>AA91+AH101</f>
        <v>153.03073321672241</v>
      </c>
      <c r="AC91" s="319">
        <f>IF(ABS(AB91/AB94)&lt;0.000000001,0,AB91)</f>
        <v>153.03073321672241</v>
      </c>
      <c r="AD91" s="319"/>
      <c r="AE91" s="326"/>
      <c r="AF91" s="322"/>
      <c r="AG91" s="307"/>
      <c r="AH91" s="326"/>
      <c r="AI91" s="322"/>
    </row>
    <row r="92" spans="1:35">
      <c r="A92" s="137" t="s">
        <v>1582</v>
      </c>
      <c r="B92" s="138">
        <v>181</v>
      </c>
      <c r="C92" s="138">
        <v>10.3</v>
      </c>
      <c r="D92" s="138">
        <v>0.28000000000000003</v>
      </c>
      <c r="E92" s="138">
        <v>7.17</v>
      </c>
      <c r="F92" s="138">
        <v>3.4</v>
      </c>
      <c r="G92" s="138">
        <v>122</v>
      </c>
      <c r="H92" s="138">
        <v>160</v>
      </c>
      <c r="J92" s="309" t="s">
        <v>1538</v>
      </c>
      <c r="K92" s="310">
        <f>E65</f>
        <v>0.51600000000000001</v>
      </c>
      <c r="L92" s="310">
        <f>K92*P84^G65</f>
        <v>0.51600000000000001</v>
      </c>
      <c r="M92" s="313">
        <f t="shared" si="23"/>
        <v>1</v>
      </c>
      <c r="N92" s="309" t="s">
        <v>1539</v>
      </c>
      <c r="O92" s="310">
        <f>D66</f>
        <v>0.6</v>
      </c>
      <c r="P92" s="310">
        <f>O92*(1-L89)/(1-K89)</f>
        <v>0.6</v>
      </c>
      <c r="Q92" s="310">
        <f>P92/O92</f>
        <v>1</v>
      </c>
      <c r="R92" s="309" t="s">
        <v>1347</v>
      </c>
      <c r="S92" s="310">
        <f>L106*SIN(S84)/2+L107*SIN(S85)</f>
        <v>0.44623296048886246</v>
      </c>
      <c r="T92" s="310"/>
      <c r="U92" s="322">
        <f>S92*T82</f>
        <v>1.1155824012221561E-4</v>
      </c>
      <c r="V92" s="322">
        <f t="shared" si="22"/>
        <v>6.9206013750663471E-23</v>
      </c>
      <c r="W92" s="310">
        <f t="shared" si="22"/>
        <v>3.4603006875331733E-20</v>
      </c>
      <c r="X92" s="314"/>
      <c r="Z92" s="309" t="s">
        <v>1332</v>
      </c>
      <c r="AA92" s="319">
        <f>2*AF86-AA91</f>
        <v>153.03071527573496</v>
      </c>
      <c r="AB92" s="319">
        <f>AA92+AH102</f>
        <v>153.02998121672229</v>
      </c>
      <c r="AC92" s="319">
        <f>IF(ABS(AB92/AB94)&lt;0.000000001,0,AB92)</f>
        <v>153.02998121672229</v>
      </c>
      <c r="AD92" s="319"/>
      <c r="AE92" s="322"/>
      <c r="AF92" s="322"/>
      <c r="AG92" s="309" t="s">
        <v>1333</v>
      </c>
      <c r="AH92" s="322">
        <f>P111*AH85^2+2*P113*AH85*AH86+P112*AH86^2+P114*AH87^2</f>
        <v>0.15199999835655287</v>
      </c>
      <c r="AI92" s="322"/>
    </row>
    <row r="93" spans="1:35">
      <c r="A93" s="138">
        <v>1500</v>
      </c>
      <c r="B93" s="138">
        <v>1500</v>
      </c>
      <c r="C93" s="138">
        <v>40</v>
      </c>
      <c r="D93" s="138">
        <v>246</v>
      </c>
      <c r="E93" s="138">
        <v>68</v>
      </c>
      <c r="F93" s="138">
        <v>1.2</v>
      </c>
      <c r="G93" s="138">
        <v>22</v>
      </c>
      <c r="H93" s="138">
        <v>5.0000000000000001E-3</v>
      </c>
      <c r="J93" s="309" t="s">
        <v>1547</v>
      </c>
      <c r="K93" s="310">
        <f>K92*(1-K89)/K89</f>
        <v>0.2211428571428572</v>
      </c>
      <c r="L93" s="310">
        <f>L92*(1-L89)/L89</f>
        <v>0.2211428571428572</v>
      </c>
      <c r="M93" s="313">
        <f t="shared" si="23"/>
        <v>1</v>
      </c>
      <c r="O93" s="310"/>
      <c r="P93" s="310"/>
      <c r="Q93" s="310"/>
      <c r="R93" s="309" t="s">
        <v>1349</v>
      </c>
      <c r="S93" s="310">
        <f>L106*SIN(S84)-S92</f>
        <v>0.44623296048886246</v>
      </c>
      <c r="T93" s="310"/>
      <c r="U93" s="322">
        <f>S93*T82</f>
        <v>1.1155824012221561E-4</v>
      </c>
      <c r="V93" s="322">
        <f t="shared" si="22"/>
        <v>5.43709294019984E-20</v>
      </c>
      <c r="W93" s="310">
        <f t="shared" si="22"/>
        <v>2.7185464700999198E-17</v>
      </c>
      <c r="X93" s="322"/>
      <c r="Z93" s="309" t="s">
        <v>1334</v>
      </c>
      <c r="AA93" s="319">
        <f>(2*(AF88*COS(AA82)-AF87*SIN(AA82)))</f>
        <v>-1358.0975966811961</v>
      </c>
      <c r="AB93" s="319">
        <f>AA93+AH103</f>
        <v>-1358.0975671928711</v>
      </c>
      <c r="AC93" s="319">
        <f>IF(ABS(AB93/AB94)&lt;0.000000001,0,AB93)</f>
        <v>-1358.0975671928711</v>
      </c>
      <c r="AD93" s="319"/>
      <c r="AE93" s="322"/>
      <c r="AF93" s="322"/>
      <c r="AG93" s="309" t="s">
        <v>1335</v>
      </c>
      <c r="AH93" s="322">
        <f>P115*AH85+P116*AH86</f>
        <v>-7.7708785215849022E-2</v>
      </c>
      <c r="AI93" s="322"/>
    </row>
    <row r="94" spans="1:35">
      <c r="A94" s="138">
        <v>-0.5</v>
      </c>
      <c r="B94" s="138">
        <v>125</v>
      </c>
      <c r="C94" s="138">
        <v>0.7</v>
      </c>
      <c r="D94" s="138">
        <v>1.6</v>
      </c>
      <c r="E94" s="138">
        <v>0.51600000000000001</v>
      </c>
      <c r="F94" s="138">
        <v>0.5</v>
      </c>
      <c r="G94" s="138">
        <v>0.2</v>
      </c>
      <c r="H94" s="138">
        <v>0.9</v>
      </c>
      <c r="J94" s="309" t="s">
        <v>1643</v>
      </c>
      <c r="K94" s="310">
        <f>1/((1+K93)/K84-K93/K91)</f>
        <v>18.686160319541436</v>
      </c>
      <c r="L94" s="310">
        <f>K94*P84^F66*C24</f>
        <v>0.18686160319541437</v>
      </c>
      <c r="M94" s="313">
        <f t="shared" si="23"/>
        <v>0.01</v>
      </c>
      <c r="N94" s="308" t="s">
        <v>176</v>
      </c>
      <c r="O94" s="310"/>
      <c r="P94" s="310"/>
      <c r="Q94" s="310"/>
      <c r="S94" s="308"/>
      <c r="T94" s="314" t="s">
        <v>1353</v>
      </c>
      <c r="U94" s="311">
        <f>U88*U89*U91+2*U90*U92*U93-U89*U92^2-U91*U90^2-U88*U93^2</f>
        <v>1.0484320121443081E-14</v>
      </c>
      <c r="V94" s="311">
        <f>V88*V89*V91+2*V90*V92*V93-V89*V92^2-V91*V90^2-V88*V93^2</f>
        <v>8.9964279259162027E-10</v>
      </c>
      <c r="W94" s="308"/>
      <c r="X94" s="322"/>
      <c r="AA94" s="309" t="s">
        <v>1363</v>
      </c>
      <c r="AB94" s="322">
        <f>SQRT(AB91^2+AB92^2+AB93^2)</f>
        <v>1375.2329193541118</v>
      </c>
      <c r="AC94" s="322"/>
      <c r="AD94" s="322"/>
      <c r="AE94" s="322"/>
      <c r="AF94" s="322"/>
      <c r="AG94" s="309" t="s">
        <v>1344</v>
      </c>
      <c r="AH94" s="322">
        <f>AH93/2/AH92</f>
        <v>-0.25562100676331656</v>
      </c>
      <c r="AI94" s="322"/>
    </row>
    <row r="95" spans="1:35">
      <c r="A95" s="138">
        <v>0.02</v>
      </c>
      <c r="B95" s="138">
        <v>22.5</v>
      </c>
      <c r="C95" s="207">
        <v>0</v>
      </c>
      <c r="D95" s="138">
        <v>0.6</v>
      </c>
      <c r="E95" s="138">
        <v>0.316</v>
      </c>
      <c r="F95" s="138">
        <v>4.0000000000000001E-3</v>
      </c>
      <c r="G95" s="138">
        <v>4.0000000000000001E-3</v>
      </c>
      <c r="H95" s="138">
        <v>2000</v>
      </c>
      <c r="J95" s="309" t="s">
        <v>295</v>
      </c>
      <c r="K95" s="310">
        <f>E66</f>
        <v>0.316</v>
      </c>
      <c r="L95" s="310">
        <f>K95*P84^G65</f>
        <v>0.316</v>
      </c>
      <c r="M95" s="313">
        <f t="shared" si="23"/>
        <v>1</v>
      </c>
      <c r="N95" s="309" t="s">
        <v>296</v>
      </c>
      <c r="O95" s="312">
        <f>A64</f>
        <v>1500</v>
      </c>
      <c r="P95" s="312">
        <f>P101*L89</f>
        <v>1500</v>
      </c>
      <c r="Q95" s="310">
        <f t="shared" ref="Q95:Q102" si="24">P95/O95</f>
        <v>1</v>
      </c>
      <c r="R95" s="309" t="s">
        <v>1355</v>
      </c>
      <c r="S95" s="314" t="s">
        <v>382</v>
      </c>
      <c r="T95" s="314" t="s">
        <v>182</v>
      </c>
      <c r="U95" s="314" t="s">
        <v>669</v>
      </c>
      <c r="V95" s="314" t="s">
        <v>670</v>
      </c>
      <c r="W95" s="308"/>
      <c r="X95" s="322"/>
      <c r="Z95" s="309"/>
      <c r="AA95" s="322"/>
      <c r="AB95" s="322"/>
      <c r="AC95" s="322"/>
      <c r="AD95" s="322"/>
      <c r="AE95" s="322"/>
      <c r="AF95" s="322"/>
      <c r="AG95" s="309"/>
      <c r="AH95" s="322"/>
      <c r="AI95" s="322"/>
    </row>
    <row r="96" spans="1:35">
      <c r="A96" s="138">
        <v>0.15</v>
      </c>
      <c r="B96" s="138">
        <v>0.01</v>
      </c>
      <c r="C96" s="138">
        <v>1</v>
      </c>
      <c r="D96" s="138">
        <v>1</v>
      </c>
      <c r="E96" s="138">
        <v>0.1</v>
      </c>
      <c r="F96" s="138">
        <v>0.5</v>
      </c>
      <c r="G96" s="138"/>
      <c r="H96" s="138"/>
      <c r="J96" s="309" t="s">
        <v>301</v>
      </c>
      <c r="K96" s="310">
        <f>K95*(1-K89)/K89</f>
        <v>0.13542857142857145</v>
      </c>
      <c r="L96" s="310">
        <f>L95*(1-L89)/L89</f>
        <v>0.13542857142857145</v>
      </c>
      <c r="M96" s="313">
        <f t="shared" si="23"/>
        <v>1</v>
      </c>
      <c r="N96" s="309" t="s">
        <v>302</v>
      </c>
      <c r="O96" s="312">
        <f>B64</f>
        <v>1500</v>
      </c>
      <c r="P96" s="312">
        <f>O96*Q95*M86^E67</f>
        <v>808.22310311930141</v>
      </c>
      <c r="Q96" s="310">
        <f t="shared" si="24"/>
        <v>0.53881540207953427</v>
      </c>
      <c r="R96" s="309">
        <v>11</v>
      </c>
      <c r="S96" s="311">
        <f>IF(U94=0,1E+99,(U89*U91-U93^2)/U94)</f>
        <v>108064.14040979848</v>
      </c>
      <c r="T96" s="310">
        <f t="shared" ref="T96:V101" si="25">T57</f>
        <v>797.98221853126245</v>
      </c>
      <c r="U96" s="310">
        <f t="shared" si="25"/>
        <v>1.595964437062525</v>
      </c>
      <c r="V96" s="310">
        <f t="shared" si="25"/>
        <v>0.62658037784385989</v>
      </c>
      <c r="W96" s="308"/>
      <c r="X96" s="322"/>
      <c r="Z96" s="309"/>
      <c r="AA96" s="322"/>
      <c r="AB96" s="322"/>
      <c r="AC96" s="322"/>
      <c r="AD96" s="322"/>
      <c r="AE96" s="322"/>
      <c r="AF96" s="322"/>
      <c r="AG96" s="309"/>
      <c r="AH96" s="322"/>
      <c r="AI96" s="322"/>
    </row>
    <row r="97" spans="10:35">
      <c r="J97" s="309" t="s">
        <v>304</v>
      </c>
      <c r="K97" s="310">
        <f>1/((1+K96)/K86-K96*2.7/K91)</f>
        <v>19.680382632972858</v>
      </c>
      <c r="L97" s="310">
        <f>K97*P84^F66*C24</f>
        <v>0.19680382632972859</v>
      </c>
      <c r="M97" s="313">
        <f t="shared" si="23"/>
        <v>0.01</v>
      </c>
      <c r="N97" s="309" t="s">
        <v>305</v>
      </c>
      <c r="O97" s="312">
        <f>C64</f>
        <v>40</v>
      </c>
      <c r="P97" s="312">
        <f>O97*Q102</f>
        <v>40</v>
      </c>
      <c r="Q97" s="310">
        <f t="shared" si="24"/>
        <v>1</v>
      </c>
      <c r="R97" s="309">
        <v>22</v>
      </c>
      <c r="S97" s="311">
        <f>IF(U94=0,1E+99,(U88*U91-U92^2)/U94)</f>
        <v>108064.1404097988</v>
      </c>
      <c r="T97" s="310">
        <f t="shared" si="25"/>
        <v>776.23921907317572</v>
      </c>
      <c r="U97" s="310">
        <f t="shared" si="25"/>
        <v>1.5524784381463514</v>
      </c>
      <c r="V97" s="310">
        <f t="shared" si="25"/>
        <v>0.64413132925310901</v>
      </c>
      <c r="W97" s="308"/>
      <c r="X97" s="322"/>
      <c r="AA97" s="322"/>
      <c r="AB97" s="322"/>
      <c r="AC97" s="322"/>
      <c r="AD97" s="322"/>
      <c r="AE97" s="322"/>
      <c r="AF97" s="322"/>
      <c r="AG97" s="309"/>
      <c r="AH97" s="322"/>
      <c r="AI97" s="326" t="s">
        <v>1348</v>
      </c>
    </row>
    <row r="98" spans="10:35">
      <c r="L98" s="310"/>
      <c r="N98" s="309" t="s">
        <v>1542</v>
      </c>
      <c r="O98" s="312">
        <f>D64</f>
        <v>246</v>
      </c>
      <c r="P98" s="312">
        <f>O98*Q102</f>
        <v>246</v>
      </c>
      <c r="Q98" s="310">
        <f t="shared" si="24"/>
        <v>1</v>
      </c>
      <c r="R98" s="309" t="s">
        <v>1345</v>
      </c>
      <c r="S98" s="311">
        <f>IF(U94=0,1E+99,(U92*U93-U90*U91)/U94)</f>
        <v>-27177.622822478501</v>
      </c>
      <c r="T98" s="310">
        <f t="shared" si="25"/>
        <v>-247.82905813615449</v>
      </c>
      <c r="U98" s="310">
        <f t="shared" si="25"/>
        <v>-0.49565811627230899</v>
      </c>
      <c r="V98" s="310">
        <f t="shared" si="25"/>
        <v>0.31056964977527918</v>
      </c>
      <c r="W98" s="308"/>
      <c r="X98" s="322"/>
      <c r="AF98" s="322"/>
      <c r="AG98" s="309" t="s">
        <v>1351</v>
      </c>
      <c r="AH98" s="319">
        <f>(AH94^2+1/AH92)^0.5-AH94</f>
        <v>2.8332729496470579</v>
      </c>
      <c r="AI98" s="319">
        <f>AH99</f>
        <v>2.8332729496470579</v>
      </c>
    </row>
    <row r="99" spans="10:35">
      <c r="J99" s="308" t="s">
        <v>1507</v>
      </c>
      <c r="N99" s="309" t="s">
        <v>1543</v>
      </c>
      <c r="O99" s="345">
        <f>E64</f>
        <v>68</v>
      </c>
      <c r="P99" s="345">
        <f>O99*Q102</f>
        <v>68</v>
      </c>
      <c r="Q99" s="310">
        <f t="shared" si="24"/>
        <v>1</v>
      </c>
      <c r="R99" s="309">
        <v>66</v>
      </c>
      <c r="S99" s="311">
        <f>IF(U94=0,1E+99,(U88*U89-U90^2)/U94)</f>
        <v>161776.74788182272</v>
      </c>
      <c r="T99" s="310">
        <f t="shared" si="25"/>
        <v>1992.0082896039078</v>
      </c>
      <c r="U99" s="310">
        <f t="shared" si="25"/>
        <v>3.9840165792078155</v>
      </c>
      <c r="V99" s="310">
        <f t="shared" si="25"/>
        <v>0.2510029715285072</v>
      </c>
      <c r="W99" s="308"/>
      <c r="AF99" s="322"/>
      <c r="AG99" s="309"/>
      <c r="AH99" s="319">
        <f>IF(AH81=0,1000000000,AH98)</f>
        <v>2.8332729496470579</v>
      </c>
    </row>
    <row r="100" spans="10:35">
      <c r="J100" s="309" t="s">
        <v>1354</v>
      </c>
      <c r="K100" s="310">
        <f>K83/(1-K85^2*K84/K83)</f>
        <v>181.81113884441791</v>
      </c>
      <c r="L100" s="310">
        <f>L83/(1-L85^2*L84/L83)</f>
        <v>1.8100000044220241</v>
      </c>
      <c r="M100" s="313">
        <f>L100/K100</f>
        <v>9.9553856596811922E-3</v>
      </c>
      <c r="N100" s="309" t="s">
        <v>1168</v>
      </c>
      <c r="O100" s="313">
        <f>A65</f>
        <v>-0.5</v>
      </c>
      <c r="P100" s="313">
        <f>O100*I37*C24</f>
        <v>-7.5000000000000002E-4</v>
      </c>
      <c r="Q100" s="310">
        <f t="shared" si="24"/>
        <v>1.5E-3</v>
      </c>
      <c r="R100" s="309" t="s">
        <v>1347</v>
      </c>
      <c r="S100" s="311">
        <f>IF(U94=0,1E+99,(U90*U93-U89*U92)/U94)</f>
        <v>-78677.501012734589</v>
      </c>
      <c r="T100" s="310">
        <f t="shared" si="25"/>
        <v>2.6731697584249638E-14</v>
      </c>
      <c r="U100" s="310">
        <f t="shared" si="25"/>
        <v>5.3463395168499281E-17</v>
      </c>
      <c r="V100" s="310">
        <f t="shared" si="25"/>
        <v>3.3499114345493873E-17</v>
      </c>
      <c r="W100" s="308"/>
      <c r="X100" s="308"/>
      <c r="Y100" s="309"/>
      <c r="AF100" s="322"/>
      <c r="AG100" s="308" t="s">
        <v>1360</v>
      </c>
      <c r="AH100" s="319">
        <f>IF(AH81=0,0,AH98)</f>
        <v>2.8332729496470579</v>
      </c>
    </row>
    <row r="101" spans="10:35">
      <c r="J101" s="309" t="s">
        <v>1361</v>
      </c>
      <c r="K101" s="310">
        <f>K100*K84/K83</f>
        <v>10.346158729820468</v>
      </c>
      <c r="L101" s="310">
        <f>L100*L84/L83</f>
        <v>2.5068162466574194E-2</v>
      </c>
      <c r="M101" s="313">
        <f>L101/K101</f>
        <v>2.4229439274231191E-3</v>
      </c>
      <c r="N101" s="309" t="s">
        <v>1175</v>
      </c>
      <c r="O101" s="312">
        <f>O95/K89</f>
        <v>2142.8571428571431</v>
      </c>
      <c r="P101" s="312">
        <f>H37*P84^G66</f>
        <v>2142.8571428571431</v>
      </c>
      <c r="Q101" s="310">
        <f t="shared" si="24"/>
        <v>1</v>
      </c>
      <c r="R101" s="309" t="s">
        <v>1349</v>
      </c>
      <c r="S101" s="311">
        <f>IF(U94=0,1E+99,(U90*U92-U88*U93)/U94)</f>
        <v>-78677.501012734909</v>
      </c>
      <c r="T101" s="310">
        <f t="shared" si="25"/>
        <v>-8.4038241183318863E-14</v>
      </c>
      <c r="U101" s="310">
        <f t="shared" si="25"/>
        <v>-1.6807648236663772E-16</v>
      </c>
      <c r="V101" s="310">
        <f t="shared" si="25"/>
        <v>-1.0531342582795471E-16</v>
      </c>
      <c r="W101" s="308"/>
      <c r="X101" s="308"/>
      <c r="Y101" s="310"/>
      <c r="AF101" s="322"/>
      <c r="AG101" s="309" t="s">
        <v>1364</v>
      </c>
      <c r="AH101" s="328">
        <f>IF(AH81=0,0,AI85+AI86*COS(AH82)+AI87*SIN(AH82)-V107)</f>
        <v>1.7940987336163718E-5</v>
      </c>
      <c r="AI101" s="322"/>
    </row>
    <row r="102" spans="10:35">
      <c r="J102" s="309" t="s">
        <v>1365</v>
      </c>
      <c r="K102" s="310">
        <f>K101*K85</f>
        <v>2.8969244443497315</v>
      </c>
      <c r="L102" s="310">
        <f>L101*L85</f>
        <v>1.0528628235961163E-5</v>
      </c>
      <c r="M102" s="313">
        <f>L102/K102</f>
        <v>3.6344158911346783E-6</v>
      </c>
      <c r="N102" s="309" t="s">
        <v>1176</v>
      </c>
      <c r="O102" s="312">
        <f>O97</f>
        <v>40</v>
      </c>
      <c r="P102" s="312">
        <f>G37*P84^H65</f>
        <v>40</v>
      </c>
      <c r="Q102" s="310">
        <f t="shared" si="24"/>
        <v>1</v>
      </c>
      <c r="R102" s="307" t="s">
        <v>1185</v>
      </c>
      <c r="S102" s="308"/>
      <c r="T102" s="337"/>
      <c r="W102" s="308"/>
      <c r="X102" s="308"/>
      <c r="Y102" s="310"/>
      <c r="AF102" s="322"/>
      <c r="AG102" s="309" t="s">
        <v>1367</v>
      </c>
      <c r="AH102" s="328">
        <f>IF(AH81=0,0,2*AI85-AH101-V108-V107)</f>
        <v>-7.3405901266383646E-4</v>
      </c>
      <c r="AI102" s="322"/>
    </row>
    <row r="103" spans="10:35">
      <c r="J103" s="309" t="s">
        <v>1370</v>
      </c>
      <c r="K103" s="310">
        <f>K86</f>
        <v>7.17</v>
      </c>
      <c r="L103" s="310">
        <f>L86</f>
        <v>1.4788331297965859E-2</v>
      </c>
      <c r="M103" s="313">
        <f>L103/K103</f>
        <v>2.0625287723801755E-3</v>
      </c>
      <c r="R103" s="309"/>
      <c r="S103" s="314" t="s">
        <v>1406</v>
      </c>
      <c r="T103" s="314" t="s">
        <v>1407</v>
      </c>
      <c r="U103" s="314" t="s">
        <v>1408</v>
      </c>
      <c r="V103" s="314" t="s">
        <v>1409</v>
      </c>
      <c r="W103" s="314" t="s">
        <v>1410</v>
      </c>
      <c r="X103" s="314" t="s">
        <v>1411</v>
      </c>
      <c r="Y103" s="314" t="s">
        <v>1394</v>
      </c>
      <c r="AF103" s="322"/>
      <c r="AG103" s="309" t="s">
        <v>1372</v>
      </c>
      <c r="AH103" s="328">
        <f>IF(AH81=0,0,2*(AI87*COS(AH82)-AI86*SIN(AH82)))</f>
        <v>2.9488325113722757E-5</v>
      </c>
      <c r="AI103" s="322"/>
    </row>
    <row r="104" spans="10:35">
      <c r="J104" s="308" t="s">
        <v>1510</v>
      </c>
      <c r="K104" s="310"/>
      <c r="L104" s="310"/>
      <c r="N104" s="308" t="s">
        <v>1375</v>
      </c>
      <c r="R104" s="309">
        <v>1</v>
      </c>
      <c r="S104" s="322">
        <f>((L100+L102)/2*P88+(L102+L101)/2*P89)/1000000</f>
        <v>3.0023538014711688E-7</v>
      </c>
      <c r="T104" s="322">
        <f>((L100+L102)/2*P91+(L102+L101)/2*P92)</f>
        <v>7.5236073284430469E-3</v>
      </c>
      <c r="U104" s="328">
        <f>S104+S105*Y104</f>
        <v>3.0023538014711688E-7</v>
      </c>
      <c r="V104" s="319">
        <f>T104+T105*Y104</f>
        <v>7.5236073284430461E-3</v>
      </c>
      <c r="W104" s="319">
        <f>(U104*S96+U105*S98+U106*S100)*T82*1000000</f>
        <v>11.259999999999764</v>
      </c>
      <c r="X104" s="319">
        <f>(V104*S96+V105*S98+V106*S100)*T82</f>
        <v>0.29999999999999366</v>
      </c>
      <c r="Y104" s="319">
        <f>COS(S84)</f>
        <v>6.1257422745431001E-17</v>
      </c>
      <c r="AF104" s="322"/>
      <c r="AG104" s="322"/>
      <c r="AH104" s="322"/>
      <c r="AI104" s="322"/>
    </row>
    <row r="105" spans="10:35">
      <c r="J105" s="309" t="s">
        <v>1380</v>
      </c>
      <c r="K105" s="310">
        <f>(3*K100+3*K101+2*K102+4*K103)/8</f>
        <v>76.368217701426829</v>
      </c>
      <c r="L105" s="310">
        <f>(3*L100+3*L101+2*L102+4*L103)/8</f>
        <v>0.69554736038926623</v>
      </c>
      <c r="M105" s="313">
        <f>L105/K105</f>
        <v>9.1078118793948351E-3</v>
      </c>
      <c r="N105" s="309" t="s">
        <v>1381</v>
      </c>
      <c r="O105" s="310">
        <f>1/O95/O96*1000000</f>
        <v>0.44444444444444442</v>
      </c>
      <c r="P105" s="310">
        <f>1/P95/P96*1000000</f>
        <v>0.82485475123600904</v>
      </c>
      <c r="Q105" s="310">
        <f>P105/O105</f>
        <v>1.8559231902810205</v>
      </c>
      <c r="R105" s="309">
        <v>2</v>
      </c>
      <c r="S105" s="322">
        <f>((L100-L102)/2*P88+(L102-L101)/2*P89)/1000000</f>
        <v>-2.6379848592336727E-7</v>
      </c>
      <c r="T105" s="322">
        <f>((L100-L102)/2*P91+(L102-L101)/2*P92)</f>
        <v>-7.5172901515014687E-3</v>
      </c>
      <c r="U105" s="328">
        <f>S104-S105*Y104</f>
        <v>3.0023538014711688E-7</v>
      </c>
      <c r="V105" s="319">
        <f>T104-T105*Y104</f>
        <v>7.5236073284430478E-3</v>
      </c>
      <c r="W105" s="319">
        <f>(U104*S98+U105*S97+U106*S101)*T82*1000000</f>
        <v>11.25999999999981</v>
      </c>
      <c r="X105" s="319">
        <f>(V104*S98+V105*S97+V106*S101)*T82</f>
        <v>0.29999999999999488</v>
      </c>
      <c r="Y105" s="319">
        <f>SIN(S84)</f>
        <v>1</v>
      </c>
      <c r="AF105" s="322"/>
      <c r="AG105" s="326" t="s">
        <v>1383</v>
      </c>
      <c r="AH105" s="349">
        <f>P111*AH101^2+2*P113*AH101*AH102+P112*AH102^2+P114*AH103^2</f>
        <v>3.5330179943531288E-8</v>
      </c>
      <c r="AI105" s="322"/>
    </row>
    <row r="106" spans="10:35">
      <c r="J106" s="309" t="s">
        <v>1384</v>
      </c>
      <c r="K106" s="310">
        <f>(K100-K101)/2</f>
        <v>85.732490057298719</v>
      </c>
      <c r="L106" s="310">
        <f>(L100-L101)/2</f>
        <v>0.89246592097772492</v>
      </c>
      <c r="M106" s="313">
        <f>L106/K106</f>
        <v>1.0409891516987917E-2</v>
      </c>
      <c r="N106" s="309" t="s">
        <v>1385</v>
      </c>
      <c r="O106" s="310">
        <f>1/O97/O98*1000000</f>
        <v>101.6260162601626</v>
      </c>
      <c r="P106" s="310">
        <f>1/P97/P98*1000000</f>
        <v>101.6260162601626</v>
      </c>
      <c r="Q106" s="310">
        <f>P106/O106</f>
        <v>1</v>
      </c>
      <c r="R106" s="309">
        <v>6</v>
      </c>
      <c r="S106" s="314" t="s">
        <v>1419</v>
      </c>
      <c r="T106" s="314" t="s">
        <v>1420</v>
      </c>
      <c r="U106" s="328">
        <f>S105*Y105</f>
        <v>-2.6379848592336727E-7</v>
      </c>
      <c r="V106" s="319">
        <f>T105*Y105</f>
        <v>-7.5172901515014687E-3</v>
      </c>
      <c r="W106" s="319">
        <f>(U104*S100+U105*S101+U106*S99)*T82*1000000</f>
        <v>-22.479999999999585</v>
      </c>
      <c r="X106" s="319">
        <f>(V104*S100+V105*S101+V106*S99)*T82</f>
        <v>-0.59999999999998865</v>
      </c>
      <c r="Y106" s="314" t="s">
        <v>406</v>
      </c>
      <c r="AF106" s="322"/>
      <c r="AG106" s="326" t="s">
        <v>1387</v>
      </c>
      <c r="AH106" s="349">
        <f>P115*AH101+P116*AH102</f>
        <v>-4.0375621423008415E-4</v>
      </c>
      <c r="AI106" s="322"/>
    </row>
    <row r="107" spans="10:35">
      <c r="J107" s="309" t="s">
        <v>1388</v>
      </c>
      <c r="K107" s="310">
        <f>(K100+K101-2*K102-4*K103)/8</f>
        <v>19.710431085692363</v>
      </c>
      <c r="L107" s="310">
        <f>(L100+L101-2*L102-4*L103)/8</f>
        <v>0.22198672305503289</v>
      </c>
      <c r="M107" s="313">
        <f>L107/K107</f>
        <v>1.1262398173329207E-2</v>
      </c>
      <c r="N107" s="309" t="s">
        <v>1389</v>
      </c>
      <c r="O107" s="310">
        <f>O100*(O105*O106)^0.5</f>
        <v>-3.3603243272729659</v>
      </c>
      <c r="P107" s="310">
        <f>P100*(P105*P106)^0.5</f>
        <v>-6.8667692605968601E-3</v>
      </c>
      <c r="Q107" s="310">
        <f>P107/O107</f>
        <v>2.043484078267383E-3</v>
      </c>
      <c r="R107" s="309">
        <v>1</v>
      </c>
      <c r="S107" s="337">
        <f>P85*U104+P81*V104</f>
        <v>7.5944986275035468E-6</v>
      </c>
      <c r="T107" s="311">
        <f>P85*W104/1000000+P81*X104</f>
        <v>3.7399999999999196E-4</v>
      </c>
      <c r="U107" s="314" t="s">
        <v>1423</v>
      </c>
      <c r="V107" s="311">
        <f>P85*P88/1000000+P81*P91</f>
        <v>-1.9999999999999999E-6</v>
      </c>
      <c r="W107" s="308"/>
      <c r="Y107" s="319">
        <f>Y104+Y143+Y182+Y221+Y260+Y299+W343+W382</f>
        <v>2.2204460492503131E-16</v>
      </c>
      <c r="AF107" s="322"/>
      <c r="AG107" s="326" t="s">
        <v>1390</v>
      </c>
      <c r="AH107" s="349">
        <f>AH105+AH106</f>
        <v>-4.0372088405014065E-4</v>
      </c>
      <c r="AI107" s="322"/>
    </row>
    <row r="108" spans="10:35">
      <c r="J108" s="309" t="s">
        <v>1391</v>
      </c>
      <c r="K108" s="310">
        <f>(K100+K101+6*K102-4*K103)/8</f>
        <v>22.607355530042096</v>
      </c>
      <c r="L108" s="310">
        <f>(L100+L101+6*L102-4*L103)/8</f>
        <v>0.22199725168326884</v>
      </c>
      <c r="M108" s="313">
        <f>L108/K108</f>
        <v>9.819691267661303E-3</v>
      </c>
      <c r="N108" s="309" t="s">
        <v>1392</v>
      </c>
      <c r="O108" s="310">
        <f>1/O99^2*1000000</f>
        <v>216.26297577854672</v>
      </c>
      <c r="P108" s="310">
        <f>1/P99^2*1000000</f>
        <v>216.26297577854672</v>
      </c>
      <c r="Q108" s="310">
        <f>P108/O108</f>
        <v>1</v>
      </c>
      <c r="R108" s="309">
        <v>2</v>
      </c>
      <c r="S108" s="337">
        <f>P85*U105+P81*V105</f>
        <v>7.5944986275035535E-6</v>
      </c>
      <c r="T108" s="311">
        <f>P85*W105/1000000+P81*X105</f>
        <v>3.7399999999999348E-4</v>
      </c>
      <c r="U108" s="314" t="s">
        <v>1427</v>
      </c>
      <c r="V108" s="311">
        <f>P85*P89/1000000+P81*P92</f>
        <v>7.5000000000000023E-4</v>
      </c>
      <c r="W108" s="308"/>
      <c r="Y108" s="319">
        <f>Y105+Y144+Y183+Y222+Y261+Y300+W344+W383</f>
        <v>1.22514845490862E-16</v>
      </c>
      <c r="AA108" s="307" t="s">
        <v>699</v>
      </c>
      <c r="AB108" s="307" t="s">
        <v>701</v>
      </c>
      <c r="AC108" s="309" t="s">
        <v>408</v>
      </c>
      <c r="AD108" s="309" t="s">
        <v>409</v>
      </c>
      <c r="AE108" s="308" t="s">
        <v>410</v>
      </c>
      <c r="AF108" s="322"/>
      <c r="AG108" s="326" t="s">
        <v>1395</v>
      </c>
      <c r="AH108" s="349">
        <f>-1+AH107</f>
        <v>-1.0004037208840502</v>
      </c>
      <c r="AI108" s="322"/>
    </row>
    <row r="109" spans="10:35">
      <c r="J109" s="309" t="s">
        <v>1396</v>
      </c>
      <c r="K109" s="310">
        <f>(K105-K108)/2</f>
        <v>26.880431085692365</v>
      </c>
      <c r="L109" s="310">
        <f>(L105-L108)/2</f>
        <v>0.2367750543529987</v>
      </c>
      <c r="M109" s="313">
        <f>L109/K109</f>
        <v>8.8084545072280047E-3</v>
      </c>
      <c r="N109" s="309" t="s">
        <v>1397</v>
      </c>
      <c r="O109" s="310">
        <f>(1/O95-1/O96)*1000</f>
        <v>0</v>
      </c>
      <c r="P109" s="310">
        <f>(1/P95-1/P96)*1000</f>
        <v>-0.57061546018734688</v>
      </c>
      <c r="Q109" s="310">
        <f>IF(O109=0,1,P109/O109)</f>
        <v>1</v>
      </c>
      <c r="R109" s="309">
        <v>6</v>
      </c>
      <c r="S109" s="337">
        <f>P85*U106+P81*V106</f>
        <v>-1.1206602165170619E-5</v>
      </c>
      <c r="T109" s="311">
        <f>P85*W106/1000000+P81*X106</f>
        <v>-7.5199999999998445E-4</v>
      </c>
      <c r="U109" s="314" t="s">
        <v>1429</v>
      </c>
      <c r="V109" s="311">
        <f>0</f>
        <v>0</v>
      </c>
      <c r="W109" s="308"/>
      <c r="Y109" s="311"/>
      <c r="AA109" s="322">
        <f t="shared" ref="AA109:AE111" si="26">AA70</f>
        <v>3.0179841135253815E-7</v>
      </c>
      <c r="AB109" s="322">
        <f t="shared" si="26"/>
        <v>7.5652880535078352E-3</v>
      </c>
      <c r="AC109" s="322">
        <f t="shared" si="26"/>
        <v>0.11556465563659149</v>
      </c>
      <c r="AD109" s="322">
        <f t="shared" si="26"/>
        <v>2.5506580685922976E-3</v>
      </c>
      <c r="AE109" s="322">
        <f t="shared" si="26"/>
        <v>1.1968247793023403E-6</v>
      </c>
      <c r="AF109" s="322"/>
      <c r="AG109" s="326" t="s">
        <v>1399</v>
      </c>
      <c r="AH109" s="349">
        <f>2*(P111*AH85*AH101+P112*AH86*AH102+P113*(AH85*AH102+AH101*AH86)+P114*AH87*AH103)</f>
        <v>-3.2386772014627864E-6</v>
      </c>
      <c r="AI109" s="322"/>
    </row>
    <row r="110" spans="10:35">
      <c r="J110" s="308" t="s">
        <v>1400</v>
      </c>
      <c r="N110" s="309" t="s">
        <v>1401</v>
      </c>
      <c r="O110" s="310">
        <f>(1/O97-1/O98)*1000</f>
        <v>20.934959349593495</v>
      </c>
      <c r="P110" s="310">
        <f>(1/P97-1/P98)*1000</f>
        <v>20.934959349593495</v>
      </c>
      <c r="Q110" s="310">
        <f t="shared" ref="Q110:Q116" si="27">P110/O110</f>
        <v>1</v>
      </c>
      <c r="R110" s="309"/>
      <c r="S110" s="319"/>
      <c r="T110" s="319"/>
      <c r="U110" s="319"/>
      <c r="V110" s="319"/>
      <c r="W110" s="308"/>
      <c r="X110" s="308"/>
      <c r="Y110" s="311"/>
      <c r="AA110" s="322">
        <f t="shared" si="26"/>
        <v>7.3860361411472986E-7</v>
      </c>
      <c r="AB110" s="322">
        <f t="shared" si="26"/>
        <v>1.9213389851379336E-2</v>
      </c>
      <c r="AC110" s="322">
        <f t="shared" si="26"/>
        <v>0.9970773531851117</v>
      </c>
      <c r="AD110" s="322">
        <f t="shared" si="26"/>
        <v>2.6078577042307254E-2</v>
      </c>
      <c r="AE110" s="322">
        <f t="shared" si="26"/>
        <v>3.0685149893025098E-5</v>
      </c>
      <c r="AG110" s="326" t="s">
        <v>1403</v>
      </c>
      <c r="AH110" s="349">
        <f>AH109+AH93</f>
        <v>-7.7712023893050486E-2</v>
      </c>
      <c r="AI110" s="322"/>
    </row>
    <row r="111" spans="10:35">
      <c r="J111" s="309" t="s">
        <v>1404</v>
      </c>
      <c r="K111" s="310">
        <f>(1-(K108/K105)^2)*K105</f>
        <v>69.675740916648124</v>
      </c>
      <c r="L111" s="310">
        <f>(1-(L108/L105)^2)*L105</f>
        <v>0.62469268885785056</v>
      </c>
      <c r="M111" s="310">
        <f>L111/K111</f>
        <v>8.9657128957575001E-3</v>
      </c>
      <c r="N111" s="309" t="s">
        <v>1405</v>
      </c>
      <c r="O111" s="312">
        <f>(O105*K100^2+2*O107*K100*K102+O106*K102^2)</f>
        <v>12004.38353147296</v>
      </c>
      <c r="P111" s="312">
        <f>(P105*L100^2+2*P107*L100*L102+P106*L102^2)</f>
        <v>2.7023064132762555</v>
      </c>
      <c r="Q111" s="310">
        <f t="shared" si="27"/>
        <v>2.2510996971992592E-4</v>
      </c>
      <c r="S111" s="308"/>
      <c r="T111" s="308"/>
      <c r="W111" s="308"/>
      <c r="X111" s="308"/>
      <c r="Y111" s="311"/>
      <c r="AA111" s="322">
        <f t="shared" si="26"/>
        <v>-1.0657348743377306E-23</v>
      </c>
      <c r="AB111" s="322">
        <f t="shared" si="26"/>
        <v>-2.2354267242619807E-19</v>
      </c>
      <c r="AC111" s="322">
        <f t="shared" si="26"/>
        <v>-1.5046578368033799E-16</v>
      </c>
      <c r="AD111" s="322">
        <f t="shared" si="26"/>
        <v>-3.7154507088968738E-18</v>
      </c>
      <c r="AE111" s="322">
        <f t="shared" si="26"/>
        <v>-3.530675176450572E-21</v>
      </c>
      <c r="AG111" s="326" t="s">
        <v>1412</v>
      </c>
      <c r="AH111" s="349">
        <f>AH110/2/AH92</f>
        <v>-0.25563166030685763</v>
      </c>
      <c r="AI111" s="322"/>
    </row>
    <row r="112" spans="10:35">
      <c r="J112" s="309" t="s">
        <v>1414</v>
      </c>
      <c r="K112" s="310">
        <f>K108/K105</f>
        <v>0.29603094337527941</v>
      </c>
      <c r="L112" s="310">
        <f>L108/L105</f>
        <v>0.31916913833017363</v>
      </c>
      <c r="M112" s="310">
        <f>L112/K112</f>
        <v>1.0781614066795775</v>
      </c>
      <c r="N112" s="309" t="s">
        <v>1415</v>
      </c>
      <c r="O112" s="312">
        <f>(O105*K102^2+2*O107*K102*K101+O106*K101^2)</f>
        <v>10680.652008265077</v>
      </c>
      <c r="P112" s="312">
        <f>(P105*L102^2+2*P107*L102*L101+P106*L101^2)</f>
        <v>6.3863082792974132E-2</v>
      </c>
      <c r="Q112" s="310">
        <f t="shared" si="27"/>
        <v>5.9793243655494591E-6</v>
      </c>
      <c r="S112" s="308"/>
      <c r="T112" s="308"/>
      <c r="W112" s="308"/>
      <c r="X112" s="308"/>
      <c r="Y112" s="311"/>
      <c r="Z112" s="309"/>
      <c r="AG112" s="326"/>
      <c r="AH112" s="319"/>
      <c r="AI112" s="322"/>
    </row>
    <row r="113" spans="10:35">
      <c r="N113" s="309" t="s">
        <v>1416</v>
      </c>
      <c r="O113" s="312">
        <f>(O105*K100*K102+O107*(K100*K101+K102^2)+O106*K102*K101)</f>
        <v>-3069.103206291968</v>
      </c>
      <c r="P113" s="312">
        <f>(P105*L100*L102+P107*(L100*L101+L102^2)+P106*L102*L101)</f>
        <v>-2.6902688936839887E-4</v>
      </c>
      <c r="Q113" s="310">
        <f t="shared" si="27"/>
        <v>8.7656514390544736E-8</v>
      </c>
      <c r="S113" s="308"/>
      <c r="T113" s="308"/>
      <c r="W113" s="308"/>
      <c r="X113" s="308"/>
      <c r="Y113" s="311"/>
      <c r="AE113" s="314"/>
      <c r="AG113" s="326"/>
      <c r="AH113" s="319"/>
      <c r="AI113" s="322"/>
    </row>
    <row r="114" spans="10:35">
      <c r="J114" s="309" t="s">
        <v>1193</v>
      </c>
      <c r="K114" s="310">
        <f>D65</f>
        <v>1.6</v>
      </c>
      <c r="L114" s="310">
        <f>L115*(1-L89)+L116*L89</f>
        <v>1.6</v>
      </c>
      <c r="M114" s="310">
        <f>L114/K114</f>
        <v>1</v>
      </c>
      <c r="N114" s="309" t="s">
        <v>1418</v>
      </c>
      <c r="O114" s="312">
        <f>O108*K103^2</f>
        <v>11117.841695501729</v>
      </c>
      <c r="P114" s="312">
        <f>P108*L103^2</f>
        <v>4.7295575817127289E-2</v>
      </c>
      <c r="Q114" s="310">
        <f t="shared" si="27"/>
        <v>4.2540249368960746E-6</v>
      </c>
      <c r="S114" s="308"/>
      <c r="T114" s="308"/>
      <c r="W114" s="308"/>
      <c r="X114" s="308"/>
      <c r="Y114" s="331"/>
      <c r="Z114" s="307"/>
      <c r="AA114" s="307"/>
      <c r="AB114" s="307"/>
      <c r="AC114" s="309"/>
      <c r="AD114" s="309"/>
      <c r="AE114" s="311"/>
      <c r="AG114" s="326"/>
      <c r="AH114" s="319"/>
      <c r="AI114" s="326" t="s">
        <v>1421</v>
      </c>
    </row>
    <row r="115" spans="10:35">
      <c r="J115" s="309" t="s">
        <v>274</v>
      </c>
      <c r="K115" s="310">
        <f>F64</f>
        <v>1.2</v>
      </c>
      <c r="L115" s="310">
        <f>K115</f>
        <v>1.2</v>
      </c>
      <c r="M115" s="310">
        <f>L115/K115</f>
        <v>1</v>
      </c>
      <c r="N115" s="309" t="s">
        <v>1422</v>
      </c>
      <c r="O115" s="312">
        <f>(O109*K100+O110*K102)</f>
        <v>60.646995481305353</v>
      </c>
      <c r="P115" s="312">
        <f>(P109*L100+P110*L102)</f>
        <v>-1.0325935690582464</v>
      </c>
      <c r="Q115" s="310">
        <f t="shared" si="27"/>
        <v>-1.7026293897387662E-2</v>
      </c>
      <c r="S115" s="308"/>
      <c r="T115" s="308"/>
      <c r="W115" s="308"/>
      <c r="X115" s="308"/>
      <c r="Y115" s="337"/>
      <c r="Z115" s="337"/>
      <c r="AA115" s="319"/>
      <c r="AB115" s="319"/>
      <c r="AC115" s="319"/>
      <c r="AD115" s="319"/>
      <c r="AG115" s="309" t="s">
        <v>1424</v>
      </c>
      <c r="AH115" s="319">
        <f>(AH111^2-AH108/AH92)^0.5-AH111</f>
        <v>2.8337998169214123</v>
      </c>
      <c r="AI115" s="319">
        <f>AH116</f>
        <v>2.8337998169214123</v>
      </c>
    </row>
    <row r="116" spans="10:35">
      <c r="J116" s="309" t="s">
        <v>1195</v>
      </c>
      <c r="K116" s="310">
        <f>(K114-K115*(1-K89))/K89</f>
        <v>1.7714285714285716</v>
      </c>
      <c r="L116" s="310">
        <f>K116</f>
        <v>1.7714285714285716</v>
      </c>
      <c r="M116" s="310">
        <f>L116/K116</f>
        <v>1</v>
      </c>
      <c r="N116" s="309" t="s">
        <v>1426</v>
      </c>
      <c r="O116" s="312">
        <f>(O109*K102+O110*K101)</f>
        <v>216.59641243323335</v>
      </c>
      <c r="P116" s="312">
        <f>(P109*L102+P110*L101)</f>
        <v>0.52479495440869006</v>
      </c>
      <c r="Q116" s="310">
        <f t="shared" si="27"/>
        <v>2.4229161901306194E-3</v>
      </c>
      <c r="S116" s="308"/>
      <c r="T116" s="308"/>
      <c r="W116" s="308"/>
      <c r="X116" s="308"/>
      <c r="Y116" s="337"/>
      <c r="Z116" s="337"/>
      <c r="AA116" s="319"/>
      <c r="AB116" s="319"/>
      <c r="AC116" s="319"/>
      <c r="AD116" s="319"/>
      <c r="AG116" s="309" t="s">
        <v>194</v>
      </c>
      <c r="AH116" s="319">
        <f>IF(AH81=0,1000000000,AH115)</f>
        <v>2.8337998169214123</v>
      </c>
    </row>
    <row r="117" spans="10:35">
      <c r="L117" s="308" t="s">
        <v>1428</v>
      </c>
      <c r="S117" s="308"/>
      <c r="T117" s="308"/>
      <c r="W117" s="308"/>
      <c r="X117" s="308"/>
      <c r="Y117" s="337"/>
      <c r="Z117" s="337"/>
      <c r="AA117" s="319"/>
      <c r="AB117" s="319"/>
      <c r="AC117" s="319"/>
      <c r="AD117" s="319"/>
      <c r="AG117" s="309" t="s">
        <v>194</v>
      </c>
      <c r="AH117" s="319">
        <f>IF(AH81=0,0,AH115)</f>
        <v>2.8337998169214123</v>
      </c>
    </row>
    <row r="118" spans="10:35">
      <c r="J118" s="307" t="s">
        <v>844</v>
      </c>
      <c r="K118" s="309"/>
      <c r="L118" s="309"/>
      <c r="N118" s="308" t="s">
        <v>1551</v>
      </c>
      <c r="P118" s="310"/>
      <c r="R118" s="308" t="s">
        <v>634</v>
      </c>
      <c r="Z118" s="308" t="s">
        <v>635</v>
      </c>
      <c r="AG118" s="308" t="s">
        <v>636</v>
      </c>
    </row>
    <row r="119" spans="10:35">
      <c r="J119" s="309" t="str">
        <f>A68</f>
        <v>T3/N52[SI]</v>
      </c>
      <c r="K119" s="307"/>
      <c r="L119" s="309"/>
      <c r="N119" s="309" t="s">
        <v>596</v>
      </c>
      <c r="O119" s="312">
        <f>G69</f>
        <v>22</v>
      </c>
      <c r="P119" s="312">
        <f>B39</f>
        <v>22</v>
      </c>
      <c r="Q119" s="313">
        <f t="shared" ref="Q119:Q124" si="28">P119/O119</f>
        <v>1</v>
      </c>
      <c r="R119" s="307"/>
      <c r="X119" s="314"/>
      <c r="Z119" s="309" t="s">
        <v>531</v>
      </c>
      <c r="AA119" s="315">
        <f>S121</f>
        <v>-45</v>
      </c>
      <c r="AB119" s="315"/>
      <c r="AC119" s="315"/>
      <c r="AD119" s="315"/>
      <c r="AE119" s="309" t="s">
        <v>532</v>
      </c>
      <c r="AF119" s="314" t="s">
        <v>533</v>
      </c>
      <c r="AG119" s="309" t="s">
        <v>531</v>
      </c>
      <c r="AH119" s="315">
        <f>AA119</f>
        <v>-45</v>
      </c>
    </row>
    <row r="120" spans="10:35">
      <c r="J120" s="309"/>
      <c r="K120" s="309"/>
      <c r="L120" s="309"/>
      <c r="N120" s="309" t="s">
        <v>600</v>
      </c>
      <c r="O120" s="319">
        <f>H69</f>
        <v>5.0000000000000001E-3</v>
      </c>
      <c r="P120" s="319">
        <f>C39</f>
        <v>5.0000000000000001E-3</v>
      </c>
      <c r="Q120" s="313">
        <f t="shared" si="28"/>
        <v>1</v>
      </c>
      <c r="R120" s="309" t="s">
        <v>243</v>
      </c>
      <c r="S120" s="314" t="s">
        <v>531</v>
      </c>
      <c r="T120" s="314" t="s">
        <v>652</v>
      </c>
      <c r="U120" s="314" t="s">
        <v>646</v>
      </c>
      <c r="V120" s="314"/>
      <c r="W120" s="314"/>
      <c r="X120" s="314"/>
      <c r="Z120" s="309" t="s">
        <v>536</v>
      </c>
      <c r="AA120" s="315">
        <f>S122</f>
        <v>1</v>
      </c>
      <c r="AB120" s="315"/>
      <c r="AC120" s="315"/>
      <c r="AD120" s="315"/>
      <c r="AE120" s="309">
        <f>W122</f>
        <v>0</v>
      </c>
      <c r="AF120" s="315">
        <f>X122</f>
        <v>0</v>
      </c>
      <c r="AG120" s="309" t="s">
        <v>536</v>
      </c>
      <c r="AH120" s="315">
        <f>AA120</f>
        <v>1</v>
      </c>
    </row>
    <row r="121" spans="10:35">
      <c r="J121" s="309" t="s">
        <v>1553</v>
      </c>
      <c r="K121" s="309" t="s">
        <v>1554</v>
      </c>
      <c r="L121" s="309" t="s">
        <v>1555</v>
      </c>
      <c r="M121" s="320" t="s">
        <v>1556</v>
      </c>
      <c r="N121" s="309" t="s">
        <v>1557</v>
      </c>
      <c r="O121" s="312">
        <f>G68</f>
        <v>122</v>
      </c>
      <c r="P121" s="312">
        <f>O121</f>
        <v>122</v>
      </c>
      <c r="Q121" s="313">
        <f t="shared" si="28"/>
        <v>1</v>
      </c>
      <c r="R121" s="309" t="s">
        <v>537</v>
      </c>
      <c r="S121" s="321">
        <f>C6</f>
        <v>-45</v>
      </c>
      <c r="T121" s="322">
        <f>E6*L126/1000000</f>
        <v>2.5000000000000001E-4</v>
      </c>
      <c r="U121" s="319">
        <f>U82</f>
        <v>2E-3</v>
      </c>
      <c r="V121" s="321"/>
      <c r="W121" s="314"/>
      <c r="X121" s="314"/>
      <c r="Z121" s="309" t="s">
        <v>539</v>
      </c>
      <c r="AA121" s="315">
        <f>S123</f>
        <v>-1.5707963267948966</v>
      </c>
      <c r="AB121" s="315"/>
      <c r="AC121" s="315"/>
      <c r="AD121" s="315"/>
      <c r="AE121" s="309" t="s">
        <v>540</v>
      </c>
      <c r="AF121" s="311">
        <f>T121</f>
        <v>2.5000000000000001E-4</v>
      </c>
      <c r="AG121" s="309" t="s">
        <v>539</v>
      </c>
      <c r="AH121" s="315">
        <f>AA121</f>
        <v>-1.5707963267948966</v>
      </c>
    </row>
    <row r="122" spans="10:35">
      <c r="J122" s="309" t="s">
        <v>298</v>
      </c>
      <c r="K122" s="310">
        <f>B68</f>
        <v>181</v>
      </c>
      <c r="L122" s="310">
        <f>L129*L128*D25</f>
        <v>1.8100000000000003</v>
      </c>
      <c r="M122" s="313">
        <f>L122/K122</f>
        <v>1.0000000000000002E-2</v>
      </c>
      <c r="N122" s="309" t="s">
        <v>299</v>
      </c>
      <c r="O122" s="312">
        <f>H68</f>
        <v>160</v>
      </c>
      <c r="P122" s="312">
        <f>O122-H71*(P120)</f>
        <v>150</v>
      </c>
      <c r="Q122" s="313">
        <f t="shared" si="28"/>
        <v>0.9375</v>
      </c>
      <c r="R122" s="309" t="s">
        <v>541</v>
      </c>
      <c r="S122" s="321">
        <f>D6</f>
        <v>1</v>
      </c>
      <c r="T122" s="321"/>
      <c r="U122" s="321">
        <f>T121/U121</f>
        <v>0.125</v>
      </c>
      <c r="V122" s="321"/>
      <c r="W122" s="323"/>
      <c r="X122" s="315"/>
      <c r="Z122" s="309"/>
      <c r="AA122" s="311"/>
      <c r="AB122" s="311"/>
      <c r="AC122" s="311"/>
      <c r="AD122" s="311"/>
      <c r="AE122" s="314"/>
      <c r="AI122" s="309" t="s">
        <v>109</v>
      </c>
    </row>
    <row r="123" spans="10:35">
      <c r="J123" s="309" t="s">
        <v>1579</v>
      </c>
      <c r="K123" s="310">
        <f>C68</f>
        <v>10.3</v>
      </c>
      <c r="L123" s="310">
        <f>(1+L132)/(1/L133+L132/L130)*E25</f>
        <v>2.5068162405329986E-2</v>
      </c>
      <c r="M123" s="313">
        <f>L123/K123</f>
        <v>2.4338021752747557E-3</v>
      </c>
      <c r="N123" s="309" t="s">
        <v>1580</v>
      </c>
      <c r="O123" s="310">
        <f>(O122-O119)/(O122-O119)</f>
        <v>1</v>
      </c>
      <c r="P123" s="310">
        <f>(P122-P119)/(P122-O119)</f>
        <v>1</v>
      </c>
      <c r="Q123" s="313">
        <f t="shared" si="28"/>
        <v>1</v>
      </c>
      <c r="R123" s="309" t="s">
        <v>1295</v>
      </c>
      <c r="S123" s="325">
        <f>S121*PI()/90</f>
        <v>-1.5707963267948966</v>
      </c>
      <c r="T123" s="325"/>
      <c r="U123" s="325"/>
      <c r="V123" s="325"/>
      <c r="W123" s="314"/>
      <c r="X123" s="326"/>
      <c r="Y123" s="309"/>
      <c r="Z123" s="307" t="s">
        <v>1297</v>
      </c>
      <c r="AA123" s="314"/>
      <c r="AB123" s="314"/>
      <c r="AC123" s="311"/>
      <c r="AD123" s="311"/>
      <c r="AE123" s="311"/>
      <c r="AG123" s="307" t="s">
        <v>1298</v>
      </c>
      <c r="AI123" s="309" t="s">
        <v>1299</v>
      </c>
    </row>
    <row r="124" spans="10:35">
      <c r="J124" s="309" t="s">
        <v>259</v>
      </c>
      <c r="K124" s="310">
        <f>D68</f>
        <v>0.28000000000000003</v>
      </c>
      <c r="L124" s="310">
        <f>K124*I39*C25</f>
        <v>4.2000000000000002E-4</v>
      </c>
      <c r="M124" s="313">
        <f>L124/K124</f>
        <v>1.4999999999999998E-3</v>
      </c>
      <c r="N124" s="309" t="s">
        <v>260</v>
      </c>
      <c r="O124" s="312">
        <f>O119-O121</f>
        <v>-100</v>
      </c>
      <c r="P124" s="312">
        <f>P119-P121</f>
        <v>-100</v>
      </c>
      <c r="Q124" s="313">
        <f t="shared" si="28"/>
        <v>1</v>
      </c>
      <c r="R124" s="309" t="s">
        <v>1300</v>
      </c>
      <c r="S124" s="325">
        <f>2*S123</f>
        <v>-3.1415926535897931</v>
      </c>
      <c r="T124" s="325"/>
      <c r="U124" s="325"/>
      <c r="V124" s="325"/>
      <c r="W124" s="323"/>
      <c r="X124" s="315"/>
      <c r="Y124" s="311"/>
      <c r="Z124" s="309"/>
      <c r="AA124" s="314" t="s">
        <v>1301</v>
      </c>
      <c r="AB124" s="314"/>
      <c r="AC124" s="327" t="s">
        <v>619</v>
      </c>
      <c r="AD124" s="327"/>
      <c r="AE124" s="314" t="s">
        <v>1303</v>
      </c>
      <c r="AF124" s="314" t="s">
        <v>1304</v>
      </c>
      <c r="AG124" s="309" t="s">
        <v>1305</v>
      </c>
      <c r="AH124" s="319">
        <f>AA130/1000</f>
        <v>0.15303071527573503</v>
      </c>
      <c r="AI124" s="328">
        <f>AI85</f>
        <v>1.5940987336163721E-5</v>
      </c>
    </row>
    <row r="125" spans="10:35">
      <c r="J125" s="309" t="s">
        <v>261</v>
      </c>
      <c r="K125" s="310">
        <f>E68</f>
        <v>7.17</v>
      </c>
      <c r="L125" s="310">
        <f>(1+L135)/(1/L136+L135*2.7/L130)</f>
        <v>1.4788331297965859E-2</v>
      </c>
      <c r="M125" s="313">
        <f>L125/K125</f>
        <v>2.0625287723801755E-3</v>
      </c>
      <c r="N125" s="309"/>
      <c r="O125" s="310"/>
      <c r="P125" s="310"/>
      <c r="Q125" s="310"/>
      <c r="S125" s="329"/>
      <c r="T125" s="329"/>
      <c r="U125" s="329"/>
      <c r="V125" s="333"/>
      <c r="W125" s="314"/>
      <c r="X125" s="314"/>
      <c r="Y125" s="311"/>
      <c r="Z125" s="309">
        <v>1</v>
      </c>
      <c r="AA125" s="310">
        <f>AA86</f>
        <v>0.92387953251128652</v>
      </c>
      <c r="AB125" s="322"/>
      <c r="AC125" s="310">
        <f>AC86</f>
        <v>832.07951361633309</v>
      </c>
      <c r="AD125" s="322"/>
      <c r="AE125" s="326" t="s">
        <v>1306</v>
      </c>
      <c r="AF125" s="322">
        <f>IF(T121=0,0,(AC125+AC126)/2)</f>
        <v>153.03071527573502</v>
      </c>
      <c r="AG125" s="309" t="s">
        <v>1307</v>
      </c>
      <c r="AH125" s="319">
        <f>AA131/1000</f>
        <v>0.15303071527573503</v>
      </c>
      <c r="AI125" s="328">
        <f>AI86</f>
        <v>-1.4744162556861379E-5</v>
      </c>
    </row>
    <row r="126" spans="10:35">
      <c r="J126" s="309" t="s">
        <v>262</v>
      </c>
      <c r="K126" s="312">
        <f>B70</f>
        <v>125</v>
      </c>
      <c r="L126" s="312">
        <f>K126/M128</f>
        <v>125</v>
      </c>
      <c r="M126" s="313">
        <f>L126/K126</f>
        <v>1</v>
      </c>
      <c r="N126" s="307" t="s">
        <v>1531</v>
      </c>
      <c r="O126" s="310"/>
      <c r="P126" s="310"/>
      <c r="Q126" s="310"/>
      <c r="R126" s="309" t="s">
        <v>1325</v>
      </c>
      <c r="S126" s="314" t="s">
        <v>1326</v>
      </c>
      <c r="T126" s="314"/>
      <c r="U126" s="314" t="s">
        <v>1330</v>
      </c>
      <c r="V126" s="309" t="s">
        <v>172</v>
      </c>
      <c r="W126" s="309" t="s">
        <v>187</v>
      </c>
      <c r="X126" s="314"/>
      <c r="Y126" s="319"/>
      <c r="Z126" s="309">
        <v>2</v>
      </c>
      <c r="AA126" s="310">
        <f>AA87</f>
        <v>-0.38268343236509039</v>
      </c>
      <c r="AB126" s="322"/>
      <c r="AC126" s="310">
        <f>AC87</f>
        <v>-526.01808306486305</v>
      </c>
      <c r="AD126" s="322"/>
      <c r="AE126" s="326" t="s">
        <v>1309</v>
      </c>
      <c r="AF126" s="322">
        <f>IF(T121=0,0,(AC125-AC126)/2)</f>
        <v>679.04879834059807</v>
      </c>
      <c r="AG126" s="309" t="s">
        <v>1310</v>
      </c>
      <c r="AH126" s="319">
        <f>AA132/1000</f>
        <v>1.3580975966811961</v>
      </c>
      <c r="AI126" s="328">
        <f>AI87</f>
        <v>-1.765337588225286E-21</v>
      </c>
    </row>
    <row r="127" spans="10:35">
      <c r="J127" s="307" t="s">
        <v>264</v>
      </c>
      <c r="K127" s="310"/>
      <c r="L127" s="310"/>
      <c r="N127" s="309" t="s">
        <v>265</v>
      </c>
      <c r="O127" s="310">
        <f>A71</f>
        <v>0.02</v>
      </c>
      <c r="P127" s="310">
        <f>O127</f>
        <v>0.02</v>
      </c>
      <c r="Q127" s="310">
        <f>P127/O127</f>
        <v>1</v>
      </c>
      <c r="R127" s="309">
        <v>11</v>
      </c>
      <c r="S127" s="310">
        <f>L144+L145*COS(S123)+L146*COS(S124)</f>
        <v>0.47356063733423337</v>
      </c>
      <c r="T127" s="310"/>
      <c r="U127" s="322">
        <f>S127*T121</f>
        <v>1.1839015933355835E-4</v>
      </c>
      <c r="V127" s="322">
        <f t="shared" ref="V127:W132" si="29">V88</f>
        <v>1.3910951223277007E-3</v>
      </c>
      <c r="W127" s="310">
        <f t="shared" si="29"/>
        <v>0.6955475611638503</v>
      </c>
      <c r="X127" s="319"/>
      <c r="Y127" s="311"/>
      <c r="Z127" s="309">
        <v>6</v>
      </c>
      <c r="AA127" s="310">
        <f>AA88</f>
        <v>0</v>
      </c>
      <c r="AB127" s="322"/>
      <c r="AC127" s="310">
        <f>AC88</f>
        <v>5.6856910853327399E-14</v>
      </c>
      <c r="AD127" s="322"/>
      <c r="AE127" s="326" t="s">
        <v>1312</v>
      </c>
      <c r="AF127" s="322">
        <f>IF(T121=0,0,AC127/2)</f>
        <v>2.8428455426663699E-14</v>
      </c>
      <c r="AG127" s="309"/>
      <c r="AH127" s="322"/>
      <c r="AI127" s="322"/>
    </row>
    <row r="128" spans="10:35">
      <c r="J128" s="309" t="s">
        <v>1532</v>
      </c>
      <c r="K128" s="310">
        <f>C70</f>
        <v>0.7</v>
      </c>
      <c r="L128" s="310">
        <f>D39</f>
        <v>0.7</v>
      </c>
      <c r="M128" s="313">
        <f t="shared" ref="M128:M136" si="30">L128/K128</f>
        <v>1</v>
      </c>
      <c r="N128" s="309" t="s">
        <v>1533</v>
      </c>
      <c r="O128" s="310">
        <f>B71</f>
        <v>22.5</v>
      </c>
      <c r="P128" s="310">
        <f>O128*(1-L128)/(1-K128)</f>
        <v>22.5</v>
      </c>
      <c r="Q128" s="310">
        <f>P128/O128</f>
        <v>1</v>
      </c>
      <c r="R128" s="309">
        <v>22</v>
      </c>
      <c r="S128" s="310">
        <f>S127-2*L145*COS(S123)</f>
        <v>0.47356063733423326</v>
      </c>
      <c r="T128" s="310"/>
      <c r="U128" s="322">
        <f>S128*T121</f>
        <v>1.1839015933355832E-4</v>
      </c>
      <c r="V128" s="322">
        <f t="shared" si="29"/>
        <v>1.4300606625216533E-3</v>
      </c>
      <c r="W128" s="310">
        <f t="shared" si="29"/>
        <v>0.71503033126082671</v>
      </c>
      <c r="X128" s="314"/>
      <c r="AA128" s="322"/>
      <c r="AB128" s="322"/>
      <c r="AC128" s="322"/>
      <c r="AD128" s="322"/>
      <c r="AE128" s="326"/>
      <c r="AF128" s="322"/>
      <c r="AG128" s="309"/>
      <c r="AH128" s="322"/>
      <c r="AI128" s="322"/>
    </row>
    <row r="129" spans="10:35">
      <c r="J129" s="309" t="s">
        <v>1534</v>
      </c>
      <c r="K129" s="312">
        <f>K122/K128</f>
        <v>258.57142857142861</v>
      </c>
      <c r="L129" s="312">
        <f>F39*P123^F71*C25</f>
        <v>2.5857142857142863</v>
      </c>
      <c r="M129" s="313">
        <f t="shared" si="30"/>
        <v>0.01</v>
      </c>
      <c r="N129" s="308" t="s">
        <v>1535</v>
      </c>
      <c r="O129" s="310"/>
      <c r="P129" s="310"/>
      <c r="Q129" s="310"/>
      <c r="R129" s="309" t="s">
        <v>1345</v>
      </c>
      <c r="S129" s="310">
        <f>L147-L146*COS(S124)</f>
        <v>0.44398397473830176</v>
      </c>
      <c r="T129" s="310"/>
      <c r="U129" s="322">
        <f>S129*T121</f>
        <v>1.1099599368457544E-4</v>
      </c>
      <c r="V129" s="322">
        <f t="shared" si="29"/>
        <v>4.4413343911675369E-4</v>
      </c>
      <c r="W129" s="310">
        <f t="shared" si="29"/>
        <v>0.22206671955837684</v>
      </c>
      <c r="X129" s="322"/>
      <c r="Z129" s="307" t="s">
        <v>1323</v>
      </c>
      <c r="AA129" s="322"/>
      <c r="AB129" s="322"/>
      <c r="AC129" s="322"/>
      <c r="AD129" s="322"/>
      <c r="AE129" s="326"/>
      <c r="AF129" s="322"/>
      <c r="AG129" s="309"/>
      <c r="AH129" s="322"/>
      <c r="AI129" s="322"/>
    </row>
    <row r="130" spans="10:35">
      <c r="J130" s="309" t="s">
        <v>1536</v>
      </c>
      <c r="K130" s="310">
        <f>F68</f>
        <v>3.4</v>
      </c>
      <c r="L130" s="310">
        <f>E39*P123^F70*I39*C25</f>
        <v>5.1000000000000004E-3</v>
      </c>
      <c r="M130" s="313">
        <f t="shared" si="30"/>
        <v>1.5000000000000002E-3</v>
      </c>
      <c r="N130" s="309" t="s">
        <v>1537</v>
      </c>
      <c r="O130" s="310">
        <f>C71</f>
        <v>0</v>
      </c>
      <c r="P130" s="310">
        <f>O130</f>
        <v>0</v>
      </c>
      <c r="Q130" s="310">
        <v>1</v>
      </c>
      <c r="R130" s="309">
        <v>66</v>
      </c>
      <c r="S130" s="310">
        <f>S129-L147+L148</f>
        <v>0.45876177740803159</v>
      </c>
      <c r="T130" s="310"/>
      <c r="U130" s="322">
        <f>S130*T121</f>
        <v>1.1469044435200789E-4</v>
      </c>
      <c r="V130" s="322">
        <f t="shared" si="29"/>
        <v>5.0200594305701445E-4</v>
      </c>
      <c r="W130" s="310">
        <f t="shared" si="29"/>
        <v>0.2510029715285072</v>
      </c>
      <c r="X130" s="310"/>
      <c r="Z130" s="309" t="s">
        <v>1324</v>
      </c>
      <c r="AA130" s="319">
        <f>(AF125+AF126*COS(AA121)+AF127*SIN(AA121))</f>
        <v>153.03071527573502</v>
      </c>
      <c r="AB130" s="319">
        <f>AA130+AH140</f>
        <v>153.03073321672235</v>
      </c>
      <c r="AC130" s="319">
        <f>IF(ABS(AB130/AB133)&lt;0.000000001,0,AB130)</f>
        <v>153.03073321672235</v>
      </c>
      <c r="AD130" s="319"/>
      <c r="AE130" s="326"/>
      <c r="AF130" s="322"/>
      <c r="AG130" s="307"/>
      <c r="AH130" s="326"/>
      <c r="AI130" s="322"/>
    </row>
    <row r="131" spans="10:35">
      <c r="J131" s="309" t="s">
        <v>1538</v>
      </c>
      <c r="K131" s="310">
        <f>E70</f>
        <v>0.51600000000000001</v>
      </c>
      <c r="L131" s="310">
        <f>K131*P123^G70</f>
        <v>0.51600000000000001</v>
      </c>
      <c r="M131" s="313">
        <f t="shared" si="30"/>
        <v>1</v>
      </c>
      <c r="N131" s="309" t="s">
        <v>1539</v>
      </c>
      <c r="O131" s="310">
        <f>D71</f>
        <v>0.6</v>
      </c>
      <c r="P131" s="310">
        <f>O131*(1-L128)/(1-K128)</f>
        <v>0.6</v>
      </c>
      <c r="Q131" s="310">
        <f>P131/O131</f>
        <v>1</v>
      </c>
      <c r="R131" s="309" t="s">
        <v>1347</v>
      </c>
      <c r="S131" s="310">
        <f>L145*SIN(S123)/2+L146*SIN(S124)</f>
        <v>-0.44623296048886246</v>
      </c>
      <c r="T131" s="310"/>
      <c r="U131" s="322">
        <f>S131*T121</f>
        <v>-1.1155824012221561E-4</v>
      </c>
      <c r="V131" s="322">
        <f t="shared" si="29"/>
        <v>6.9206013750663471E-23</v>
      </c>
      <c r="W131" s="310">
        <f t="shared" si="29"/>
        <v>3.4603006875331733E-20</v>
      </c>
      <c r="X131" s="314"/>
      <c r="Z131" s="309" t="s">
        <v>1332</v>
      </c>
      <c r="AA131" s="319">
        <f>2*AF125-AA130</f>
        <v>153.03071527573502</v>
      </c>
      <c r="AB131" s="319">
        <f>AA131+AH141</f>
        <v>153.02998121672235</v>
      </c>
      <c r="AC131" s="319">
        <f>IF(ABS(AB131/AB133)&lt;0.000000001,0,AB131)</f>
        <v>153.02998121672235</v>
      </c>
      <c r="AD131" s="319"/>
      <c r="AE131" s="322"/>
      <c r="AF131" s="322"/>
      <c r="AG131" s="309" t="s">
        <v>1333</v>
      </c>
      <c r="AH131" s="322">
        <f>P150*AH124^2+2*P152*AH124*AH125+P151*AH125^2+P153*AH126^2</f>
        <v>0.15199999835655281</v>
      </c>
      <c r="AI131" s="322"/>
    </row>
    <row r="132" spans="10:35">
      <c r="J132" s="309" t="s">
        <v>1547</v>
      </c>
      <c r="K132" s="310">
        <f>K131*(1-K128)/K128</f>
        <v>0.2211428571428572</v>
      </c>
      <c r="L132" s="310">
        <f>L131*(1-L128)/L128</f>
        <v>0.2211428571428572</v>
      </c>
      <c r="M132" s="313">
        <f t="shared" si="30"/>
        <v>1</v>
      </c>
      <c r="O132" s="310"/>
      <c r="P132" s="310"/>
      <c r="Q132" s="310"/>
      <c r="R132" s="309" t="s">
        <v>1349</v>
      </c>
      <c r="S132" s="310">
        <f>L145*SIN(S123)-S131</f>
        <v>-0.44623296048886246</v>
      </c>
      <c r="T132" s="310"/>
      <c r="U132" s="322">
        <f>S132*T121</f>
        <v>-1.1155824012221561E-4</v>
      </c>
      <c r="V132" s="322">
        <f t="shared" si="29"/>
        <v>5.43709294019984E-20</v>
      </c>
      <c r="W132" s="310">
        <f t="shared" si="29"/>
        <v>2.7185464700999198E-17</v>
      </c>
      <c r="X132" s="322"/>
      <c r="Z132" s="309" t="s">
        <v>1334</v>
      </c>
      <c r="AA132" s="319">
        <f>(2*(AF127*COS(AA121)-AF126*SIN(AA121)))</f>
        <v>1358.0975966811961</v>
      </c>
      <c r="AB132" s="319">
        <f>AA132+AH142</f>
        <v>1358.0975671928711</v>
      </c>
      <c r="AC132" s="319">
        <f>IF(ABS(AB132/AB133)&lt;0.000000001,0,AB132)</f>
        <v>1358.0975671928711</v>
      </c>
      <c r="AD132" s="319"/>
      <c r="AE132" s="322"/>
      <c r="AF132" s="322"/>
      <c r="AG132" s="309" t="s">
        <v>1335</v>
      </c>
      <c r="AH132" s="322">
        <f>P154*AH124+P155*AH125</f>
        <v>-7.7708785215848938E-2</v>
      </c>
      <c r="AI132" s="322"/>
    </row>
    <row r="133" spans="10:35">
      <c r="J133" s="309" t="s">
        <v>1643</v>
      </c>
      <c r="K133" s="310">
        <f>1/((1+K132)/K123-K132/K130)</f>
        <v>18.686160319541436</v>
      </c>
      <c r="L133" s="310">
        <f>K133*P123^F71*C25</f>
        <v>0.18686160319541437</v>
      </c>
      <c r="M133" s="313">
        <f t="shared" si="30"/>
        <v>0.01</v>
      </c>
      <c r="N133" s="308" t="s">
        <v>176</v>
      </c>
      <c r="O133" s="310"/>
      <c r="P133" s="310"/>
      <c r="Q133" s="310"/>
      <c r="S133" s="308"/>
      <c r="T133" s="314" t="s">
        <v>1353</v>
      </c>
      <c r="U133" s="311">
        <f>U127*U128*U130+2*U129*U131*U132-U128*U131^2-U130*U129^2-U127*U132^2</f>
        <v>1.0484320121443081E-14</v>
      </c>
      <c r="V133" s="311">
        <f>V127*V128*V130+2*V129*V131*V132-V128*V131^2-V130*V129^2-V127*V132^2</f>
        <v>8.9964279259162027E-10</v>
      </c>
      <c r="W133" s="308"/>
      <c r="X133" s="322"/>
      <c r="AA133" s="309" t="s">
        <v>1363</v>
      </c>
      <c r="AB133" s="322">
        <f>SQRT(AB130^2+AB131^2+AB132^2)</f>
        <v>1375.2329193541118</v>
      </c>
      <c r="AC133" s="322"/>
      <c r="AD133" s="322"/>
      <c r="AE133" s="322"/>
      <c r="AF133" s="322"/>
      <c r="AG133" s="309" t="s">
        <v>1344</v>
      </c>
      <c r="AH133" s="322">
        <f>AH132/2/AH131</f>
        <v>-0.25562100676331639</v>
      </c>
      <c r="AI133" s="322"/>
    </row>
    <row r="134" spans="10:35">
      <c r="J134" s="309" t="s">
        <v>295</v>
      </c>
      <c r="K134" s="310">
        <f>E71</f>
        <v>0.316</v>
      </c>
      <c r="L134" s="310">
        <f>K134*P123^G70</f>
        <v>0.316</v>
      </c>
      <c r="M134" s="313">
        <f t="shared" si="30"/>
        <v>1</v>
      </c>
      <c r="N134" s="309" t="s">
        <v>296</v>
      </c>
      <c r="O134" s="312">
        <f>A69</f>
        <v>1500</v>
      </c>
      <c r="P134" s="312">
        <f>P140*L128</f>
        <v>1500</v>
      </c>
      <c r="Q134" s="310">
        <f t="shared" ref="Q134:Q141" si="31">P134/O134</f>
        <v>1</v>
      </c>
      <c r="R134" s="309" t="s">
        <v>1355</v>
      </c>
      <c r="S134" s="314" t="s">
        <v>382</v>
      </c>
      <c r="T134" s="314" t="s">
        <v>182</v>
      </c>
      <c r="U134" s="314" t="s">
        <v>669</v>
      </c>
      <c r="V134" s="314" t="s">
        <v>670</v>
      </c>
      <c r="W134" s="308"/>
      <c r="X134" s="322"/>
      <c r="Z134" s="309"/>
      <c r="AA134" s="322"/>
      <c r="AB134" s="322"/>
      <c r="AC134" s="322"/>
      <c r="AD134" s="322"/>
      <c r="AE134" s="322"/>
      <c r="AF134" s="322"/>
      <c r="AG134" s="309"/>
      <c r="AH134" s="322"/>
      <c r="AI134" s="322"/>
    </row>
    <row r="135" spans="10:35">
      <c r="J135" s="309" t="s">
        <v>301</v>
      </c>
      <c r="K135" s="310">
        <f>K134*(1-K128)/K128</f>
        <v>0.13542857142857145</v>
      </c>
      <c r="L135" s="310">
        <f>L134*(1-L128)/L128</f>
        <v>0.13542857142857145</v>
      </c>
      <c r="M135" s="313">
        <f t="shared" si="30"/>
        <v>1</v>
      </c>
      <c r="N135" s="309" t="s">
        <v>302</v>
      </c>
      <c r="O135" s="312">
        <f>B69</f>
        <v>1500</v>
      </c>
      <c r="P135" s="312">
        <f>O135*Q134*M125^E72</f>
        <v>808.22310311930141</v>
      </c>
      <c r="Q135" s="310">
        <f t="shared" si="31"/>
        <v>0.53881540207953427</v>
      </c>
      <c r="R135" s="309">
        <v>11</v>
      </c>
      <c r="S135" s="311">
        <f>IF(U133=0,1E+99,(U128*U130-U132^2)/U133)</f>
        <v>108064.14040979848</v>
      </c>
      <c r="T135" s="310">
        <f t="shared" ref="T135:V140" si="32">T96</f>
        <v>797.98221853126245</v>
      </c>
      <c r="U135" s="310">
        <f t="shared" si="32"/>
        <v>1.595964437062525</v>
      </c>
      <c r="V135" s="310">
        <f t="shared" si="32"/>
        <v>0.62658037784385989</v>
      </c>
      <c r="W135" s="308"/>
      <c r="X135" s="322"/>
      <c r="Z135" s="309"/>
      <c r="AA135" s="322"/>
      <c r="AB135" s="322"/>
      <c r="AC135" s="322"/>
      <c r="AD135" s="322"/>
      <c r="AE135" s="322"/>
      <c r="AF135" s="322"/>
      <c r="AG135" s="309"/>
      <c r="AH135" s="322"/>
      <c r="AI135" s="322"/>
    </row>
    <row r="136" spans="10:35">
      <c r="J136" s="309" t="s">
        <v>304</v>
      </c>
      <c r="K136" s="310">
        <f>1/((1+K135)/K125-K135*2.7/K130)</f>
        <v>19.680382632972858</v>
      </c>
      <c r="L136" s="310">
        <f>K136*P123^F71*C25</f>
        <v>0.19680382632972859</v>
      </c>
      <c r="M136" s="313">
        <f t="shared" si="30"/>
        <v>0.01</v>
      </c>
      <c r="N136" s="309" t="s">
        <v>305</v>
      </c>
      <c r="O136" s="312">
        <f>C69</f>
        <v>40</v>
      </c>
      <c r="P136" s="312">
        <f>O136*Q141</f>
        <v>40</v>
      </c>
      <c r="Q136" s="310">
        <f t="shared" si="31"/>
        <v>1</v>
      </c>
      <c r="R136" s="309">
        <v>22</v>
      </c>
      <c r="S136" s="311">
        <f>IF(U133=0,1E+99,(U127*U130-U131^2)/U133)</f>
        <v>108064.1404097988</v>
      </c>
      <c r="T136" s="310">
        <f t="shared" si="32"/>
        <v>776.23921907317572</v>
      </c>
      <c r="U136" s="310">
        <f t="shared" si="32"/>
        <v>1.5524784381463514</v>
      </c>
      <c r="V136" s="310">
        <f t="shared" si="32"/>
        <v>0.64413132925310901</v>
      </c>
      <c r="W136" s="308"/>
      <c r="X136" s="322"/>
      <c r="AA136" s="322"/>
      <c r="AB136" s="322"/>
      <c r="AC136" s="322"/>
      <c r="AD136" s="322"/>
      <c r="AE136" s="322"/>
      <c r="AF136" s="322"/>
      <c r="AG136" s="309"/>
      <c r="AH136" s="322"/>
      <c r="AI136" s="326" t="s">
        <v>1348</v>
      </c>
    </row>
    <row r="137" spans="10:35">
      <c r="L137" s="310"/>
      <c r="N137" s="309" t="s">
        <v>1542</v>
      </c>
      <c r="O137" s="312">
        <f>D69</f>
        <v>246</v>
      </c>
      <c r="P137" s="312">
        <f>O137*Q141</f>
        <v>246</v>
      </c>
      <c r="Q137" s="310">
        <f t="shared" si="31"/>
        <v>1</v>
      </c>
      <c r="R137" s="309" t="s">
        <v>1345</v>
      </c>
      <c r="S137" s="311">
        <f>IF(U133=0,1E+99,(U131*U132-U129*U130)/U133)</f>
        <v>-27177.622822478501</v>
      </c>
      <c r="T137" s="310">
        <f t="shared" si="32"/>
        <v>-247.82905813615449</v>
      </c>
      <c r="U137" s="310">
        <f t="shared" si="32"/>
        <v>-0.49565811627230899</v>
      </c>
      <c r="V137" s="310">
        <f t="shared" si="32"/>
        <v>0.31056964977527918</v>
      </c>
      <c r="W137" s="308"/>
      <c r="X137" s="322"/>
      <c r="AF137" s="322"/>
      <c r="AG137" s="309" t="s">
        <v>1351</v>
      </c>
      <c r="AH137" s="319">
        <f>(AH133^2+1/AH131)^0.5-AH133</f>
        <v>2.8332729496470574</v>
      </c>
      <c r="AI137" s="319">
        <f>AH138</f>
        <v>2.8332729496470574</v>
      </c>
    </row>
    <row r="138" spans="10:35">
      <c r="J138" s="308" t="s">
        <v>1507</v>
      </c>
      <c r="N138" s="309" t="s">
        <v>1543</v>
      </c>
      <c r="O138" s="345">
        <f>E69</f>
        <v>68</v>
      </c>
      <c r="P138" s="345">
        <f>O138*Q141</f>
        <v>68</v>
      </c>
      <c r="Q138" s="310">
        <f t="shared" si="31"/>
        <v>1</v>
      </c>
      <c r="R138" s="309">
        <v>66</v>
      </c>
      <c r="S138" s="311">
        <f>IF(U133=0,1E+99,(U127*U128-U129^2)/U133)</f>
        <v>161776.74788182272</v>
      </c>
      <c r="T138" s="310">
        <f t="shared" si="32"/>
        <v>1992.0082896039078</v>
      </c>
      <c r="U138" s="310">
        <f t="shared" si="32"/>
        <v>3.9840165792078155</v>
      </c>
      <c r="V138" s="310">
        <f t="shared" si="32"/>
        <v>0.2510029715285072</v>
      </c>
      <c r="W138" s="308"/>
      <c r="AF138" s="322"/>
      <c r="AG138" s="309"/>
      <c r="AH138" s="319">
        <f>IF(AH120=0,1000000000,AH137)</f>
        <v>2.8332729496470574</v>
      </c>
    </row>
    <row r="139" spans="10:35">
      <c r="J139" s="309" t="s">
        <v>1354</v>
      </c>
      <c r="K139" s="310">
        <f>K122/(1-K124^2*K123/K122)</f>
        <v>181.81113884441791</v>
      </c>
      <c r="L139" s="310">
        <f>L122/(1-L124^2*L123/L122)</f>
        <v>1.8100000044220241</v>
      </c>
      <c r="M139" s="313">
        <f>L139/K139</f>
        <v>9.9553856596811922E-3</v>
      </c>
      <c r="N139" s="309" t="s">
        <v>1168</v>
      </c>
      <c r="O139" s="313">
        <f>A70</f>
        <v>-0.5</v>
      </c>
      <c r="P139" s="313">
        <f>O139*I39*C25</f>
        <v>-7.5000000000000002E-4</v>
      </c>
      <c r="Q139" s="310">
        <f t="shared" si="31"/>
        <v>1.5E-3</v>
      </c>
      <c r="R139" s="309" t="s">
        <v>1347</v>
      </c>
      <c r="S139" s="311">
        <f>IF(U133=0,1E+99,(U129*U132-U128*U131)/U133)</f>
        <v>78677.501012734589</v>
      </c>
      <c r="T139" s="310">
        <f t="shared" si="32"/>
        <v>2.6731697584249638E-14</v>
      </c>
      <c r="U139" s="310">
        <f t="shared" si="32"/>
        <v>5.3463395168499281E-17</v>
      </c>
      <c r="V139" s="310">
        <f t="shared" si="32"/>
        <v>3.3499114345493873E-17</v>
      </c>
      <c r="W139" s="308"/>
      <c r="X139" s="308"/>
      <c r="Y139" s="309"/>
      <c r="AF139" s="322"/>
      <c r="AG139" s="308" t="s">
        <v>1360</v>
      </c>
      <c r="AH139" s="319">
        <f>IF(AH120=0,0,AH137)</f>
        <v>2.8332729496470574</v>
      </c>
    </row>
    <row r="140" spans="10:35">
      <c r="J140" s="309" t="s">
        <v>1361</v>
      </c>
      <c r="K140" s="310">
        <f>K139*K123/K122</f>
        <v>10.346158729820468</v>
      </c>
      <c r="L140" s="310">
        <f>L139*L123/L122</f>
        <v>2.5068162466574194E-2</v>
      </c>
      <c r="M140" s="313">
        <f>L140/K140</f>
        <v>2.4229439274231191E-3</v>
      </c>
      <c r="N140" s="309" t="s">
        <v>1175</v>
      </c>
      <c r="O140" s="312">
        <f>O134/K128</f>
        <v>2142.8571428571431</v>
      </c>
      <c r="P140" s="312">
        <f>H39*P123^G71</f>
        <v>2142.8571428571431</v>
      </c>
      <c r="Q140" s="310">
        <f t="shared" si="31"/>
        <v>1</v>
      </c>
      <c r="R140" s="309" t="s">
        <v>1349</v>
      </c>
      <c r="S140" s="311">
        <f>IF(U133=0,1E+99,(U129*U131-U127*U132)/U133)</f>
        <v>78677.501012734909</v>
      </c>
      <c r="T140" s="310">
        <f t="shared" si="32"/>
        <v>-8.4038241183318863E-14</v>
      </c>
      <c r="U140" s="310">
        <f t="shared" si="32"/>
        <v>-1.6807648236663772E-16</v>
      </c>
      <c r="V140" s="310">
        <f t="shared" si="32"/>
        <v>-1.0531342582795471E-16</v>
      </c>
      <c r="W140" s="308"/>
      <c r="X140" s="308"/>
      <c r="Y140" s="310"/>
      <c r="AF140" s="322"/>
      <c r="AG140" s="309" t="s">
        <v>1364</v>
      </c>
      <c r="AH140" s="328">
        <f>IF(AH120=0,0,AI124+AI125*COS(AH121)+AI126*SIN(AH121)-V146)</f>
        <v>1.7940987336163725E-5</v>
      </c>
      <c r="AI140" s="322"/>
    </row>
    <row r="141" spans="10:35">
      <c r="J141" s="309" t="s">
        <v>1365</v>
      </c>
      <c r="K141" s="310">
        <f>K140*K124</f>
        <v>2.8969244443497315</v>
      </c>
      <c r="L141" s="310">
        <f>L140*L124</f>
        <v>1.0528628235961163E-5</v>
      </c>
      <c r="M141" s="313">
        <f>L141/K141</f>
        <v>3.6344158911346783E-6</v>
      </c>
      <c r="N141" s="309" t="s">
        <v>1176</v>
      </c>
      <c r="O141" s="312">
        <f>O136</f>
        <v>40</v>
      </c>
      <c r="P141" s="312">
        <f>G39*P123^H70</f>
        <v>40</v>
      </c>
      <c r="Q141" s="310">
        <f t="shared" si="31"/>
        <v>1</v>
      </c>
      <c r="R141" s="307" t="s">
        <v>1185</v>
      </c>
      <c r="S141" s="308"/>
      <c r="T141" s="337"/>
      <c r="W141" s="308"/>
      <c r="X141" s="308"/>
      <c r="Y141" s="310"/>
      <c r="AF141" s="322"/>
      <c r="AG141" s="309" t="s">
        <v>1367</v>
      </c>
      <c r="AH141" s="328">
        <f>IF(AH120=0,0,2*AI124-AH140-V147-V146)</f>
        <v>-7.3405901266383646E-4</v>
      </c>
      <c r="AI141" s="322"/>
    </row>
    <row r="142" spans="10:35">
      <c r="J142" s="309" t="s">
        <v>1370</v>
      </c>
      <c r="K142" s="310">
        <f>K125</f>
        <v>7.17</v>
      </c>
      <c r="L142" s="310">
        <f>L125</f>
        <v>1.4788331297965859E-2</v>
      </c>
      <c r="M142" s="313">
        <f>L142/K142</f>
        <v>2.0625287723801755E-3</v>
      </c>
      <c r="R142" s="309"/>
      <c r="S142" s="314" t="s">
        <v>1406</v>
      </c>
      <c r="T142" s="314" t="s">
        <v>1407</v>
      </c>
      <c r="U142" s="314" t="s">
        <v>1408</v>
      </c>
      <c r="V142" s="314" t="s">
        <v>1409</v>
      </c>
      <c r="W142" s="314" t="s">
        <v>1410</v>
      </c>
      <c r="X142" s="314" t="s">
        <v>1411</v>
      </c>
      <c r="Y142" s="314" t="s">
        <v>1394</v>
      </c>
      <c r="AF142" s="322"/>
      <c r="AG142" s="309" t="s">
        <v>1372</v>
      </c>
      <c r="AH142" s="328">
        <f>IF(AH120=0,0,2*(AI126*COS(AH121)-AI125*SIN(AH121)))</f>
        <v>-2.9488325113722757E-5</v>
      </c>
      <c r="AI142" s="322"/>
    </row>
    <row r="143" spans="10:35">
      <c r="J143" s="308" t="s">
        <v>1510</v>
      </c>
      <c r="K143" s="310"/>
      <c r="L143" s="310"/>
      <c r="N143" s="308" t="s">
        <v>1375</v>
      </c>
      <c r="R143" s="309">
        <v>1</v>
      </c>
      <c r="S143" s="322">
        <f>((L139+L141)/2*P127+(L141+L140)/2*P128)/1000000</f>
        <v>3.0023538014711688E-7</v>
      </c>
      <c r="T143" s="322">
        <f>((L139+L141)/2*P130+(L141+L140)/2*P131)</f>
        <v>7.5236073284430469E-3</v>
      </c>
      <c r="U143" s="328">
        <f>S143+S144*Y143</f>
        <v>3.0023538014711688E-7</v>
      </c>
      <c r="V143" s="319">
        <f>T143+T144*Y143</f>
        <v>7.5236073284430461E-3</v>
      </c>
      <c r="W143" s="319">
        <f>(U143*S135+U144*S137+U145*S139)*T121*1000000</f>
        <v>11.259999999999764</v>
      </c>
      <c r="X143" s="319">
        <f>(V143*S135+V144*S137+V145*S139)*T121</f>
        <v>0.29999999999999366</v>
      </c>
      <c r="Y143" s="319">
        <f>COS(S123)</f>
        <v>6.1257422745431001E-17</v>
      </c>
      <c r="AF143" s="322"/>
      <c r="AG143" s="322"/>
      <c r="AH143" s="322"/>
      <c r="AI143" s="322"/>
    </row>
    <row r="144" spans="10:35">
      <c r="J144" s="309" t="s">
        <v>1380</v>
      </c>
      <c r="K144" s="310">
        <f>(3*K139+3*K140+2*K141+4*K142)/8</f>
        <v>76.368217701426829</v>
      </c>
      <c r="L144" s="310">
        <f>(3*L139+3*L140+2*L141+4*L142)/8</f>
        <v>0.69554736038926623</v>
      </c>
      <c r="M144" s="313">
        <f>L144/K144</f>
        <v>9.1078118793948351E-3</v>
      </c>
      <c r="N144" s="309" t="s">
        <v>1381</v>
      </c>
      <c r="O144" s="310">
        <f>1/O134/O135*1000000</f>
        <v>0.44444444444444442</v>
      </c>
      <c r="P144" s="310">
        <f>1/P134/P135*1000000</f>
        <v>0.82485475123600904</v>
      </c>
      <c r="Q144" s="310">
        <f>P144/O144</f>
        <v>1.8559231902810205</v>
      </c>
      <c r="R144" s="309">
        <v>2</v>
      </c>
      <c r="S144" s="322">
        <f>((L139-L141)/2*P127+(L141-L140)/2*P128)/1000000</f>
        <v>-2.6379848592336727E-7</v>
      </c>
      <c r="T144" s="322">
        <f>((L139-L141)/2*P130+(L141-L140)/2*P131)</f>
        <v>-7.5172901515014687E-3</v>
      </c>
      <c r="U144" s="328">
        <f>S143-S144*Y143</f>
        <v>3.0023538014711688E-7</v>
      </c>
      <c r="V144" s="319">
        <f>T143-T144*Y143</f>
        <v>7.5236073284430478E-3</v>
      </c>
      <c r="W144" s="319">
        <f>(U143*S137+U144*S136+U145*S140)*T121*1000000</f>
        <v>11.25999999999981</v>
      </c>
      <c r="X144" s="319">
        <f>(V143*S137+V144*S136+V145*S140)*T121</f>
        <v>0.29999999999999488</v>
      </c>
      <c r="Y144" s="319">
        <f>SIN(S123)</f>
        <v>-1</v>
      </c>
      <c r="AF144" s="322"/>
      <c r="AG144" s="326" t="s">
        <v>1383</v>
      </c>
      <c r="AH144" s="349">
        <f>P150*AH140^2+2*P152*AH140*AH141+P151*AH141^2+P153*AH142^2</f>
        <v>3.5330179943531288E-8</v>
      </c>
      <c r="AI144" s="322"/>
    </row>
    <row r="145" spans="10:35">
      <c r="J145" s="309" t="s">
        <v>1384</v>
      </c>
      <c r="K145" s="310">
        <f>(K139-K140)/2</f>
        <v>85.732490057298719</v>
      </c>
      <c r="L145" s="310">
        <f>(L139-L140)/2</f>
        <v>0.89246592097772492</v>
      </c>
      <c r="M145" s="313">
        <f>L145/K145</f>
        <v>1.0409891516987917E-2</v>
      </c>
      <c r="N145" s="309" t="s">
        <v>1385</v>
      </c>
      <c r="O145" s="310">
        <f>1/O136/O137*1000000</f>
        <v>101.6260162601626</v>
      </c>
      <c r="P145" s="310">
        <f>1/P136/P137*1000000</f>
        <v>101.6260162601626</v>
      </c>
      <c r="Q145" s="310">
        <f>P145/O145</f>
        <v>1</v>
      </c>
      <c r="R145" s="309">
        <v>6</v>
      </c>
      <c r="S145" s="314" t="s">
        <v>1419</v>
      </c>
      <c r="T145" s="314" t="s">
        <v>1420</v>
      </c>
      <c r="U145" s="328">
        <f>S144*Y144</f>
        <v>2.6379848592336727E-7</v>
      </c>
      <c r="V145" s="319">
        <f>T144*Y144</f>
        <v>7.5172901515014687E-3</v>
      </c>
      <c r="W145" s="319">
        <f>(U143*S139+U144*S140+U145*S138)*T121*1000000</f>
        <v>22.479999999999585</v>
      </c>
      <c r="X145" s="319">
        <f>(V143*S139+V144*S140+V145*S138)*T121</f>
        <v>0.59999999999998865</v>
      </c>
      <c r="Y145" s="314" t="s">
        <v>406</v>
      </c>
      <c r="AF145" s="322"/>
      <c r="AG145" s="326" t="s">
        <v>1387</v>
      </c>
      <c r="AH145" s="349">
        <f>P154*AH140+P155*AH141</f>
        <v>-4.0375621423008421E-4</v>
      </c>
      <c r="AI145" s="322"/>
    </row>
    <row r="146" spans="10:35">
      <c r="J146" s="309" t="s">
        <v>1388</v>
      </c>
      <c r="K146" s="310">
        <f>(K139+K140-2*K141-4*K142)/8</f>
        <v>19.710431085692363</v>
      </c>
      <c r="L146" s="310">
        <f>(L139+L140-2*L141-4*L142)/8</f>
        <v>0.22198672305503289</v>
      </c>
      <c r="M146" s="313">
        <f>L146/K146</f>
        <v>1.1262398173329207E-2</v>
      </c>
      <c r="N146" s="309" t="s">
        <v>1389</v>
      </c>
      <c r="O146" s="310">
        <f>O139*(O144*O145)^0.5</f>
        <v>-3.3603243272729659</v>
      </c>
      <c r="P146" s="310">
        <f>P139*(P144*P145)^0.5</f>
        <v>-6.8667692605968601E-3</v>
      </c>
      <c r="Q146" s="310">
        <f>P146/O146</f>
        <v>2.043484078267383E-3</v>
      </c>
      <c r="R146" s="309">
        <v>1</v>
      </c>
      <c r="S146" s="337">
        <f>P124*U143+P120*V143</f>
        <v>7.5944986275035468E-6</v>
      </c>
      <c r="T146" s="311">
        <f>P124*W143/1000000+P120*X143</f>
        <v>3.7399999999999196E-4</v>
      </c>
      <c r="U146" s="314" t="s">
        <v>1423</v>
      </c>
      <c r="V146" s="311">
        <f>P124*P127/1000000+P120*P130</f>
        <v>-1.9999999999999999E-6</v>
      </c>
      <c r="W146" s="308"/>
      <c r="Y146" s="319">
        <f>Y143+Y182+Y221+Y260+Y299+W343+W382+W421</f>
        <v>2.2204460492503131E-16</v>
      </c>
      <c r="AF146" s="322"/>
      <c r="AG146" s="326" t="s">
        <v>1390</v>
      </c>
      <c r="AH146" s="349">
        <f>AH144+AH145</f>
        <v>-4.037208840501407E-4</v>
      </c>
      <c r="AI146" s="322"/>
    </row>
    <row r="147" spans="10:35">
      <c r="J147" s="309" t="s">
        <v>1391</v>
      </c>
      <c r="K147" s="310">
        <f>(K139+K140+6*K141-4*K142)/8</f>
        <v>22.607355530042096</v>
      </c>
      <c r="L147" s="310">
        <f>(L139+L140+6*L141-4*L142)/8</f>
        <v>0.22199725168326884</v>
      </c>
      <c r="M147" s="313">
        <f>L147/K147</f>
        <v>9.819691267661303E-3</v>
      </c>
      <c r="N147" s="309" t="s">
        <v>1392</v>
      </c>
      <c r="O147" s="310">
        <f>1/O138^2*1000000</f>
        <v>216.26297577854672</v>
      </c>
      <c r="P147" s="310">
        <f>1/P138^2*1000000</f>
        <v>216.26297577854672</v>
      </c>
      <c r="Q147" s="310">
        <f>P147/O147</f>
        <v>1</v>
      </c>
      <c r="R147" s="309">
        <v>2</v>
      </c>
      <c r="S147" s="337">
        <f>P124*U144+P120*V144</f>
        <v>7.5944986275035535E-6</v>
      </c>
      <c r="T147" s="311">
        <f>P124*W144/1000000+P120*X144</f>
        <v>3.7399999999999348E-4</v>
      </c>
      <c r="U147" s="314" t="s">
        <v>1427</v>
      </c>
      <c r="V147" s="311">
        <f>P124*P128/1000000+P120*P131</f>
        <v>7.5000000000000023E-4</v>
      </c>
      <c r="W147" s="308"/>
      <c r="Y147" s="319">
        <f>Y144+Y183+Y222+Y261+Y300+W344+W383+W422</f>
        <v>-0.99999999999999989</v>
      </c>
      <c r="AA147" s="307" t="s">
        <v>699</v>
      </c>
      <c r="AB147" s="307" t="s">
        <v>701</v>
      </c>
      <c r="AC147" s="309" t="s">
        <v>408</v>
      </c>
      <c r="AD147" s="309" t="s">
        <v>409</v>
      </c>
      <c r="AE147" s="308" t="s">
        <v>410</v>
      </c>
      <c r="AF147" s="322"/>
      <c r="AG147" s="326" t="s">
        <v>1395</v>
      </c>
      <c r="AH147" s="349">
        <f>-1+AH146</f>
        <v>-1.0004037208840502</v>
      </c>
      <c r="AI147" s="322"/>
    </row>
    <row r="148" spans="10:35">
      <c r="J148" s="309" t="s">
        <v>1396</v>
      </c>
      <c r="K148" s="310">
        <f>(K144-K147)/2</f>
        <v>26.880431085692365</v>
      </c>
      <c r="L148" s="310">
        <f>(L144-L147)/2</f>
        <v>0.2367750543529987</v>
      </c>
      <c r="M148" s="313">
        <f>L148/K148</f>
        <v>8.8084545072280047E-3</v>
      </c>
      <c r="N148" s="309" t="s">
        <v>1397</v>
      </c>
      <c r="O148" s="310">
        <f>(1/O134-1/O135)*1000</f>
        <v>0</v>
      </c>
      <c r="P148" s="310">
        <f>(1/P134-1/P135)*1000</f>
        <v>-0.57061546018734688</v>
      </c>
      <c r="Q148" s="310">
        <f>IF(O148=0,1,P148/O148)</f>
        <v>1</v>
      </c>
      <c r="R148" s="309">
        <v>6</v>
      </c>
      <c r="S148" s="337">
        <f>P124*U145+P120*V145</f>
        <v>1.1206602165170619E-5</v>
      </c>
      <c r="T148" s="311">
        <f>P124*W145/1000000+P120*X145</f>
        <v>7.5199999999998445E-4</v>
      </c>
      <c r="U148" s="314" t="s">
        <v>1429</v>
      </c>
      <c r="V148" s="311">
        <f>0</f>
        <v>0</v>
      </c>
      <c r="W148" s="308"/>
      <c r="Y148" s="311"/>
      <c r="AA148" s="322">
        <f t="shared" ref="AA148:AE150" si="33">AA109</f>
        <v>3.0179841135253815E-7</v>
      </c>
      <c r="AB148" s="322">
        <f t="shared" si="33"/>
        <v>7.5652880535078352E-3</v>
      </c>
      <c r="AC148" s="322">
        <f t="shared" si="33"/>
        <v>0.11556465563659149</v>
      </c>
      <c r="AD148" s="322">
        <f t="shared" si="33"/>
        <v>2.5506580685922976E-3</v>
      </c>
      <c r="AE148" s="322">
        <f t="shared" si="33"/>
        <v>1.1968247793023403E-6</v>
      </c>
      <c r="AF148" s="322"/>
      <c r="AG148" s="326" t="s">
        <v>1399</v>
      </c>
      <c r="AH148" s="349">
        <f>2*(P150*AH124*AH140+P151*AH125*AH141+P152*(AH124*AH141+AH140*AH125)+P153*AH126*AH142)</f>
        <v>-3.2386772014627915E-6</v>
      </c>
      <c r="AI148" s="322"/>
    </row>
    <row r="149" spans="10:35">
      <c r="J149" s="308" t="s">
        <v>1400</v>
      </c>
      <c r="N149" s="309" t="s">
        <v>1401</v>
      </c>
      <c r="O149" s="310">
        <f>(1/O136-1/O137)*1000</f>
        <v>20.934959349593495</v>
      </c>
      <c r="P149" s="310">
        <f>(1/P136-1/P137)*1000</f>
        <v>20.934959349593495</v>
      </c>
      <c r="Q149" s="310">
        <f t="shared" ref="Q149:Q155" si="34">P149/O149</f>
        <v>1</v>
      </c>
      <c r="R149" s="309"/>
      <c r="S149" s="319"/>
      <c r="T149" s="319"/>
      <c r="U149" s="319"/>
      <c r="V149" s="319"/>
      <c r="W149" s="308"/>
      <c r="X149" s="308"/>
      <c r="Y149" s="311"/>
      <c r="AA149" s="322">
        <f t="shared" si="33"/>
        <v>7.3860361411472986E-7</v>
      </c>
      <c r="AB149" s="322">
        <f t="shared" si="33"/>
        <v>1.9213389851379336E-2</v>
      </c>
      <c r="AC149" s="322">
        <f t="shared" si="33"/>
        <v>0.9970773531851117</v>
      </c>
      <c r="AD149" s="322">
        <f t="shared" si="33"/>
        <v>2.6078577042307254E-2</v>
      </c>
      <c r="AE149" s="322">
        <f t="shared" si="33"/>
        <v>3.0685149893025098E-5</v>
      </c>
      <c r="AG149" s="326" t="s">
        <v>1403</v>
      </c>
      <c r="AH149" s="349">
        <f>AH148+AH132</f>
        <v>-7.7712023893050403E-2</v>
      </c>
      <c r="AI149" s="322"/>
    </row>
    <row r="150" spans="10:35">
      <c r="J150" s="309" t="s">
        <v>1404</v>
      </c>
      <c r="K150" s="310">
        <f>(1-(K147/K144)^2)*K144</f>
        <v>69.675740916648124</v>
      </c>
      <c r="L150" s="310">
        <f>(1-(L147/L144)^2)*L144</f>
        <v>0.62469268885785056</v>
      </c>
      <c r="M150" s="310">
        <f>L150/K150</f>
        <v>8.9657128957575001E-3</v>
      </c>
      <c r="N150" s="309" t="s">
        <v>1405</v>
      </c>
      <c r="O150" s="312">
        <f>(O144*K139^2+2*O146*K139*K141+O145*K141^2)</f>
        <v>12004.38353147296</v>
      </c>
      <c r="P150" s="312">
        <f>(P144*L139^2+2*P146*L139*L141+P145*L141^2)</f>
        <v>2.7023064132762555</v>
      </c>
      <c r="Q150" s="310">
        <f t="shared" si="34"/>
        <v>2.2510996971992592E-4</v>
      </c>
      <c r="S150" s="308"/>
      <c r="T150" s="308"/>
      <c r="W150" s="308"/>
      <c r="X150" s="308"/>
      <c r="Y150" s="311"/>
      <c r="AA150" s="322">
        <f t="shared" si="33"/>
        <v>-1.0657348743377306E-23</v>
      </c>
      <c r="AB150" s="322">
        <f t="shared" si="33"/>
        <v>-2.2354267242619807E-19</v>
      </c>
      <c r="AC150" s="322">
        <f t="shared" si="33"/>
        <v>-1.5046578368033799E-16</v>
      </c>
      <c r="AD150" s="322">
        <f t="shared" si="33"/>
        <v>-3.7154507088968738E-18</v>
      </c>
      <c r="AE150" s="322">
        <f t="shared" si="33"/>
        <v>-3.530675176450572E-21</v>
      </c>
      <c r="AG150" s="326" t="s">
        <v>1412</v>
      </c>
      <c r="AH150" s="349">
        <f>AH149/2/AH131</f>
        <v>-0.25563166030685747</v>
      </c>
      <c r="AI150" s="322"/>
    </row>
    <row r="151" spans="10:35">
      <c r="J151" s="309" t="s">
        <v>1414</v>
      </c>
      <c r="K151" s="310">
        <f>K147/K144</f>
        <v>0.29603094337527941</v>
      </c>
      <c r="L151" s="310">
        <f>L147/L144</f>
        <v>0.31916913833017363</v>
      </c>
      <c r="M151" s="310">
        <f>L151/K151</f>
        <v>1.0781614066795775</v>
      </c>
      <c r="N151" s="309" t="s">
        <v>1415</v>
      </c>
      <c r="O151" s="312">
        <f>(O144*K141^2+2*O146*K141*K140+O145*K140^2)</f>
        <v>10680.652008265077</v>
      </c>
      <c r="P151" s="312">
        <f>(P144*L141^2+2*P146*L141*L140+P145*L140^2)</f>
        <v>6.3863082792974132E-2</v>
      </c>
      <c r="Q151" s="310">
        <f t="shared" si="34"/>
        <v>5.9793243655494591E-6</v>
      </c>
      <c r="S151" s="308"/>
      <c r="T151" s="308"/>
      <c r="W151" s="308"/>
      <c r="X151" s="308"/>
      <c r="Y151" s="311"/>
      <c r="Z151" s="309"/>
      <c r="AG151" s="326"/>
      <c r="AH151" s="319"/>
      <c r="AI151" s="322"/>
    </row>
    <row r="152" spans="10:35">
      <c r="N152" s="309" t="s">
        <v>1416</v>
      </c>
      <c r="O152" s="312">
        <f>(O144*K139*K141+O146*(K139*K140+K141^2)+O145*K141*K140)</f>
        <v>-3069.103206291968</v>
      </c>
      <c r="P152" s="312">
        <f>(P144*L139*L141+P146*(L139*L140+L141^2)+P145*L141*L140)</f>
        <v>-2.6902688936839887E-4</v>
      </c>
      <c r="Q152" s="310">
        <f t="shared" si="34"/>
        <v>8.7656514390544736E-8</v>
      </c>
      <c r="S152" s="308"/>
      <c r="T152" s="308"/>
      <c r="W152" s="308"/>
      <c r="X152" s="308"/>
      <c r="Y152" s="311"/>
      <c r="AE152" s="314"/>
      <c r="AG152" s="326"/>
      <c r="AH152" s="319"/>
      <c r="AI152" s="322"/>
    </row>
    <row r="153" spans="10:35">
      <c r="J153" s="309" t="s">
        <v>1193</v>
      </c>
      <c r="K153" s="310">
        <f>D70</f>
        <v>1.6</v>
      </c>
      <c r="L153" s="310">
        <f>L154*(1-L128)+L155*L128</f>
        <v>1.6</v>
      </c>
      <c r="M153" s="310">
        <f>L153/K153</f>
        <v>1</v>
      </c>
      <c r="N153" s="309" t="s">
        <v>1418</v>
      </c>
      <c r="O153" s="312">
        <f>O147*K142^2</f>
        <v>11117.841695501729</v>
      </c>
      <c r="P153" s="312">
        <f>P147*L142^2</f>
        <v>4.7295575817127289E-2</v>
      </c>
      <c r="Q153" s="310">
        <f t="shared" si="34"/>
        <v>4.2540249368960746E-6</v>
      </c>
      <c r="S153" s="308"/>
      <c r="T153" s="308"/>
      <c r="W153" s="308"/>
      <c r="X153" s="308"/>
      <c r="Y153" s="331"/>
      <c r="Z153" s="307"/>
      <c r="AA153" s="307"/>
      <c r="AB153" s="307"/>
      <c r="AC153" s="309"/>
      <c r="AD153" s="309"/>
      <c r="AE153" s="311"/>
      <c r="AG153" s="326"/>
      <c r="AH153" s="319"/>
      <c r="AI153" s="326" t="s">
        <v>1421</v>
      </c>
    </row>
    <row r="154" spans="10:35">
      <c r="J154" s="309" t="s">
        <v>274</v>
      </c>
      <c r="K154" s="310">
        <f>F69</f>
        <v>1.2</v>
      </c>
      <c r="L154" s="310">
        <f>K154</f>
        <v>1.2</v>
      </c>
      <c r="M154" s="310">
        <f>L154/K154</f>
        <v>1</v>
      </c>
      <c r="N154" s="309" t="s">
        <v>1422</v>
      </c>
      <c r="O154" s="312">
        <f>(O148*K139+O149*K141)</f>
        <v>60.646995481305353</v>
      </c>
      <c r="P154" s="312">
        <f>(P148*L139+P149*L141)</f>
        <v>-1.0325935690582464</v>
      </c>
      <c r="Q154" s="310">
        <f t="shared" si="34"/>
        <v>-1.7026293897387662E-2</v>
      </c>
      <c r="S154" s="308"/>
      <c r="T154" s="308"/>
      <c r="W154" s="308"/>
      <c r="X154" s="308"/>
      <c r="Y154" s="337"/>
      <c r="Z154" s="337"/>
      <c r="AA154" s="319"/>
      <c r="AB154" s="319"/>
      <c r="AC154" s="319"/>
      <c r="AD154" s="319"/>
      <c r="AG154" s="309" t="s">
        <v>1424</v>
      </c>
      <c r="AH154" s="319">
        <f>(AH150^2-AH147/AH131)^0.5-AH150</f>
        <v>2.8337998169214123</v>
      </c>
      <c r="AI154" s="319">
        <f>AH155</f>
        <v>2.8337998169214123</v>
      </c>
    </row>
    <row r="155" spans="10:35">
      <c r="J155" s="309" t="s">
        <v>1195</v>
      </c>
      <c r="K155" s="310">
        <f>(K153-K154*(1-K128))/K128</f>
        <v>1.7714285714285716</v>
      </c>
      <c r="L155" s="310">
        <f>K155</f>
        <v>1.7714285714285716</v>
      </c>
      <c r="M155" s="310">
        <f>L155/K155</f>
        <v>1</v>
      </c>
      <c r="N155" s="309" t="s">
        <v>1426</v>
      </c>
      <c r="O155" s="312">
        <f>(O148*K141+O149*K140)</f>
        <v>216.59641243323335</v>
      </c>
      <c r="P155" s="312">
        <f>(P148*L141+P149*L140)</f>
        <v>0.52479495440869006</v>
      </c>
      <c r="Q155" s="310">
        <f t="shared" si="34"/>
        <v>2.4229161901306194E-3</v>
      </c>
      <c r="S155" s="308"/>
      <c r="T155" s="308"/>
      <c r="W155" s="308"/>
      <c r="X155" s="308"/>
      <c r="Y155" s="337"/>
      <c r="Z155" s="337"/>
      <c r="AA155" s="319"/>
      <c r="AB155" s="319"/>
      <c r="AC155" s="319"/>
      <c r="AD155" s="319"/>
      <c r="AG155" s="309" t="s">
        <v>194</v>
      </c>
      <c r="AH155" s="319">
        <f>IF(AH120=0,1000000000,AH154)</f>
        <v>2.8337998169214123</v>
      </c>
    </row>
    <row r="156" spans="10:35">
      <c r="L156" s="308" t="s">
        <v>1428</v>
      </c>
      <c r="S156" s="308"/>
      <c r="T156" s="308"/>
      <c r="W156" s="308"/>
      <c r="X156" s="308"/>
      <c r="Y156" s="337"/>
      <c r="Z156" s="337"/>
      <c r="AA156" s="319"/>
      <c r="AB156" s="319"/>
      <c r="AC156" s="319"/>
      <c r="AD156" s="319"/>
      <c r="AG156" s="309" t="s">
        <v>194</v>
      </c>
      <c r="AH156" s="319">
        <f>IF(AH120=0,0,AH154)</f>
        <v>2.8337998169214123</v>
      </c>
    </row>
    <row r="157" spans="10:35">
      <c r="J157" s="307" t="s">
        <v>849</v>
      </c>
      <c r="K157" s="309"/>
      <c r="L157" s="309"/>
      <c r="N157" s="308" t="s">
        <v>1551</v>
      </c>
      <c r="P157" s="310"/>
      <c r="R157" s="308" t="s">
        <v>634</v>
      </c>
      <c r="Z157" s="308" t="s">
        <v>635</v>
      </c>
      <c r="AG157" s="308" t="s">
        <v>636</v>
      </c>
    </row>
    <row r="158" spans="10:35">
      <c r="J158" s="309" t="str">
        <f>A75</f>
        <v>T3/N52[SI]</v>
      </c>
      <c r="K158" s="307"/>
      <c r="L158" s="309"/>
      <c r="N158" s="309" t="s">
        <v>596</v>
      </c>
      <c r="O158" s="312">
        <f>G76</f>
        <v>22</v>
      </c>
      <c r="P158" s="312">
        <f>B41</f>
        <v>22</v>
      </c>
      <c r="Q158" s="313">
        <f t="shared" ref="Q158:Q163" si="35">P158/O158</f>
        <v>1</v>
      </c>
      <c r="R158" s="307"/>
      <c r="X158" s="314"/>
      <c r="Z158" s="309" t="s">
        <v>531</v>
      </c>
      <c r="AA158" s="315">
        <f>S160</f>
        <v>-45</v>
      </c>
      <c r="AB158" s="315"/>
      <c r="AC158" s="315"/>
      <c r="AD158" s="315"/>
      <c r="AE158" s="309" t="s">
        <v>532</v>
      </c>
      <c r="AF158" s="314" t="s">
        <v>533</v>
      </c>
      <c r="AG158" s="309" t="s">
        <v>531</v>
      </c>
      <c r="AH158" s="315">
        <f>AA158</f>
        <v>-45</v>
      </c>
    </row>
    <row r="159" spans="10:35">
      <c r="J159" s="309"/>
      <c r="K159" s="309"/>
      <c r="L159" s="309"/>
      <c r="N159" s="309" t="s">
        <v>600</v>
      </c>
      <c r="O159" s="319">
        <f>H76</f>
        <v>5.0000000000000001E-3</v>
      </c>
      <c r="P159" s="319">
        <f>C41</f>
        <v>5.0000000000000001E-3</v>
      </c>
      <c r="Q159" s="313">
        <f t="shared" si="35"/>
        <v>1</v>
      </c>
      <c r="R159" s="309" t="s">
        <v>243</v>
      </c>
      <c r="S159" s="314" t="s">
        <v>531</v>
      </c>
      <c r="T159" s="314" t="s">
        <v>652</v>
      </c>
      <c r="U159" s="314" t="s">
        <v>646</v>
      </c>
      <c r="V159" s="314"/>
      <c r="W159" s="314"/>
      <c r="X159" s="314"/>
      <c r="Z159" s="309" t="s">
        <v>536</v>
      </c>
      <c r="AA159" s="315">
        <f>S161</f>
        <v>1</v>
      </c>
      <c r="AB159" s="315"/>
      <c r="AC159" s="315"/>
      <c r="AD159" s="315"/>
      <c r="AE159" s="309">
        <f>W161</f>
        <v>0</v>
      </c>
      <c r="AF159" s="315">
        <f>X161</f>
        <v>0</v>
      </c>
      <c r="AG159" s="309" t="s">
        <v>536</v>
      </c>
      <c r="AH159" s="315">
        <f>AA159</f>
        <v>1</v>
      </c>
    </row>
    <row r="160" spans="10:35">
      <c r="J160" s="309" t="s">
        <v>1553</v>
      </c>
      <c r="K160" s="309" t="s">
        <v>1554</v>
      </c>
      <c r="L160" s="309" t="s">
        <v>1555</v>
      </c>
      <c r="M160" s="320" t="s">
        <v>1556</v>
      </c>
      <c r="N160" s="309" t="s">
        <v>1557</v>
      </c>
      <c r="O160" s="312">
        <f>G75</f>
        <v>122</v>
      </c>
      <c r="P160" s="312">
        <f>O160</f>
        <v>122</v>
      </c>
      <c r="Q160" s="313">
        <f t="shared" si="35"/>
        <v>1</v>
      </c>
      <c r="R160" s="309" t="s">
        <v>537</v>
      </c>
      <c r="S160" s="321">
        <f>C7</f>
        <v>-45</v>
      </c>
      <c r="T160" s="322">
        <f>E7*L165/1000000</f>
        <v>2.5000000000000001E-4</v>
      </c>
      <c r="U160" s="319">
        <f>U121</f>
        <v>2E-3</v>
      </c>
      <c r="V160" s="321"/>
      <c r="W160" s="314"/>
      <c r="X160" s="314"/>
      <c r="Z160" s="309" t="s">
        <v>539</v>
      </c>
      <c r="AA160" s="315">
        <f>S162</f>
        <v>-1.5707963267948966</v>
      </c>
      <c r="AB160" s="315"/>
      <c r="AC160" s="315"/>
      <c r="AD160" s="315"/>
      <c r="AE160" s="309" t="s">
        <v>540</v>
      </c>
      <c r="AF160" s="311">
        <f>T160</f>
        <v>2.5000000000000001E-4</v>
      </c>
      <c r="AG160" s="309" t="s">
        <v>539</v>
      </c>
      <c r="AH160" s="315">
        <f>AA160</f>
        <v>-1.5707963267948966</v>
      </c>
    </row>
    <row r="161" spans="10:35">
      <c r="J161" s="309" t="s">
        <v>298</v>
      </c>
      <c r="K161" s="310">
        <f>B75</f>
        <v>181</v>
      </c>
      <c r="L161" s="310">
        <f>L168*L167*D26</f>
        <v>1.8100000000000003</v>
      </c>
      <c r="M161" s="313">
        <f>L161/K161</f>
        <v>1.0000000000000002E-2</v>
      </c>
      <c r="N161" s="309" t="s">
        <v>299</v>
      </c>
      <c r="O161" s="312">
        <f>H75</f>
        <v>160</v>
      </c>
      <c r="P161" s="312">
        <f>O161-H78*(P159)</f>
        <v>150</v>
      </c>
      <c r="Q161" s="313">
        <f t="shared" si="35"/>
        <v>0.9375</v>
      </c>
      <c r="R161" s="309" t="s">
        <v>541</v>
      </c>
      <c r="S161" s="321">
        <f>D7</f>
        <v>1</v>
      </c>
      <c r="T161" s="321"/>
      <c r="U161" s="321">
        <f>T160/U160</f>
        <v>0.125</v>
      </c>
      <c r="V161" s="321"/>
      <c r="W161" s="323"/>
      <c r="X161" s="315"/>
      <c r="Z161" s="309"/>
      <c r="AA161" s="311"/>
      <c r="AB161" s="311"/>
      <c r="AC161" s="311"/>
      <c r="AD161" s="311"/>
      <c r="AE161" s="314"/>
      <c r="AI161" s="309" t="s">
        <v>109</v>
      </c>
    </row>
    <row r="162" spans="10:35">
      <c r="J162" s="309" t="s">
        <v>1579</v>
      </c>
      <c r="K162" s="310">
        <f>C75</f>
        <v>10.3</v>
      </c>
      <c r="L162" s="310">
        <f>(1+L171)/(1/L172+L171/L169)*E26</f>
        <v>2.5068162405329986E-2</v>
      </c>
      <c r="M162" s="313">
        <f>L162/K162</f>
        <v>2.4338021752747557E-3</v>
      </c>
      <c r="N162" s="309" t="s">
        <v>1580</v>
      </c>
      <c r="O162" s="310">
        <f>(O161-O158)/(O161-O158)</f>
        <v>1</v>
      </c>
      <c r="P162" s="310">
        <f>(P161-P158)/(P161-O158)</f>
        <v>1</v>
      </c>
      <c r="Q162" s="313">
        <f t="shared" si="35"/>
        <v>1</v>
      </c>
      <c r="R162" s="309" t="s">
        <v>1295</v>
      </c>
      <c r="S162" s="325">
        <f>S160*PI()/90</f>
        <v>-1.5707963267948966</v>
      </c>
      <c r="T162" s="325"/>
      <c r="U162" s="325"/>
      <c r="V162" s="325"/>
      <c r="W162" s="314"/>
      <c r="X162" s="326"/>
      <c r="Y162" s="309"/>
      <c r="Z162" s="307" t="s">
        <v>1297</v>
      </c>
      <c r="AA162" s="314"/>
      <c r="AB162" s="314"/>
      <c r="AC162" s="311"/>
      <c r="AD162" s="311"/>
      <c r="AE162" s="311"/>
      <c r="AG162" s="307" t="s">
        <v>1298</v>
      </c>
      <c r="AI162" s="309" t="s">
        <v>1299</v>
      </c>
    </row>
    <row r="163" spans="10:35">
      <c r="J163" s="309" t="s">
        <v>259</v>
      </c>
      <c r="K163" s="310">
        <f>D75</f>
        <v>0.28000000000000003</v>
      </c>
      <c r="L163" s="310">
        <f>K163*I41*C26</f>
        <v>4.2000000000000002E-4</v>
      </c>
      <c r="M163" s="313">
        <f>L163/K163</f>
        <v>1.4999999999999998E-3</v>
      </c>
      <c r="N163" s="309" t="s">
        <v>260</v>
      </c>
      <c r="O163" s="312">
        <f>O158-O160</f>
        <v>-100</v>
      </c>
      <c r="P163" s="312">
        <f>P158-P160</f>
        <v>-100</v>
      </c>
      <c r="Q163" s="313">
        <f t="shared" si="35"/>
        <v>1</v>
      </c>
      <c r="R163" s="309" t="s">
        <v>1300</v>
      </c>
      <c r="S163" s="325">
        <f>2*S162</f>
        <v>-3.1415926535897931</v>
      </c>
      <c r="T163" s="325"/>
      <c r="U163" s="325"/>
      <c r="V163" s="325"/>
      <c r="W163" s="323"/>
      <c r="X163" s="315"/>
      <c r="Y163" s="311"/>
      <c r="Z163" s="309"/>
      <c r="AA163" s="314" t="s">
        <v>1301</v>
      </c>
      <c r="AB163" s="314"/>
      <c r="AC163" s="327" t="s">
        <v>619</v>
      </c>
      <c r="AD163" s="327"/>
      <c r="AE163" s="314" t="s">
        <v>1303</v>
      </c>
      <c r="AF163" s="314" t="s">
        <v>1304</v>
      </c>
      <c r="AG163" s="309" t="s">
        <v>1305</v>
      </c>
      <c r="AH163" s="319">
        <f>AA169/1000</f>
        <v>0.15303071527573503</v>
      </c>
      <c r="AI163" s="328">
        <f>AI124</f>
        <v>1.5940987336163721E-5</v>
      </c>
    </row>
    <row r="164" spans="10:35">
      <c r="J164" s="309" t="s">
        <v>261</v>
      </c>
      <c r="K164" s="310">
        <f>E75</f>
        <v>7.17</v>
      </c>
      <c r="L164" s="310">
        <f>(1+L174)/(1/L175+L174*2.7/L169)</f>
        <v>1.4788331297965859E-2</v>
      </c>
      <c r="M164" s="313">
        <f>L164/K164</f>
        <v>2.0625287723801755E-3</v>
      </c>
      <c r="N164" s="309"/>
      <c r="O164" s="310"/>
      <c r="P164" s="310"/>
      <c r="Q164" s="310"/>
      <c r="S164" s="329"/>
      <c r="T164" s="329"/>
      <c r="U164" s="329"/>
      <c r="V164" s="333"/>
      <c r="W164" s="314"/>
      <c r="X164" s="314"/>
      <c r="Y164" s="311"/>
      <c r="Z164" s="309">
        <v>1</v>
      </c>
      <c r="AA164" s="310">
        <f>AA125</f>
        <v>0.92387953251128652</v>
      </c>
      <c r="AB164" s="322"/>
      <c r="AC164" s="310">
        <f>AC125</f>
        <v>832.07951361633309</v>
      </c>
      <c r="AD164" s="322"/>
      <c r="AE164" s="326" t="s">
        <v>1306</v>
      </c>
      <c r="AF164" s="322">
        <f>IF(T160=0,0,(AC164+AC165)/2)</f>
        <v>153.03071527573502</v>
      </c>
      <c r="AG164" s="309" t="s">
        <v>1307</v>
      </c>
      <c r="AH164" s="319">
        <f>AA170/1000</f>
        <v>0.15303071527573503</v>
      </c>
      <c r="AI164" s="328">
        <f>AI125</f>
        <v>-1.4744162556861379E-5</v>
      </c>
    </row>
    <row r="165" spans="10:35">
      <c r="J165" s="309" t="s">
        <v>262</v>
      </c>
      <c r="K165" s="312">
        <f>B77</f>
        <v>125</v>
      </c>
      <c r="L165" s="312">
        <f>K165/M167</f>
        <v>125</v>
      </c>
      <c r="M165" s="313">
        <f>L165/K165</f>
        <v>1</v>
      </c>
      <c r="N165" s="307" t="s">
        <v>1531</v>
      </c>
      <c r="O165" s="310"/>
      <c r="P165" s="310"/>
      <c r="Q165" s="310"/>
      <c r="R165" s="309" t="s">
        <v>1325</v>
      </c>
      <c r="S165" s="314" t="s">
        <v>1326</v>
      </c>
      <c r="T165" s="314"/>
      <c r="U165" s="314" t="s">
        <v>1330</v>
      </c>
      <c r="V165" s="309" t="s">
        <v>172</v>
      </c>
      <c r="W165" s="309" t="s">
        <v>187</v>
      </c>
      <c r="X165" s="314"/>
      <c r="Y165" s="319"/>
      <c r="Z165" s="309">
        <v>2</v>
      </c>
      <c r="AA165" s="310">
        <f>AA126</f>
        <v>-0.38268343236509039</v>
      </c>
      <c r="AB165" s="322"/>
      <c r="AC165" s="310">
        <f>AC126</f>
        <v>-526.01808306486305</v>
      </c>
      <c r="AD165" s="322"/>
      <c r="AE165" s="326" t="s">
        <v>1309</v>
      </c>
      <c r="AF165" s="322">
        <f>IF(T160=0,0,(AC164-AC165)/2)</f>
        <v>679.04879834059807</v>
      </c>
      <c r="AG165" s="309" t="s">
        <v>1310</v>
      </c>
      <c r="AH165" s="319">
        <f>AA171/1000</f>
        <v>1.3580975966811961</v>
      </c>
      <c r="AI165" s="328">
        <f>AI126</f>
        <v>-1.765337588225286E-21</v>
      </c>
    </row>
    <row r="166" spans="10:35">
      <c r="J166" s="307" t="s">
        <v>264</v>
      </c>
      <c r="K166" s="310"/>
      <c r="L166" s="310"/>
      <c r="N166" s="309" t="s">
        <v>265</v>
      </c>
      <c r="O166" s="310">
        <f>A78</f>
        <v>0.02</v>
      </c>
      <c r="P166" s="310">
        <f>O166</f>
        <v>0.02</v>
      </c>
      <c r="Q166" s="310">
        <f>P166/O166</f>
        <v>1</v>
      </c>
      <c r="R166" s="309">
        <v>11</v>
      </c>
      <c r="S166" s="310">
        <f>L183+L184*COS(S162)+L185*COS(S163)</f>
        <v>0.47356063733423337</v>
      </c>
      <c r="T166" s="310"/>
      <c r="U166" s="322">
        <f>S166*T160</f>
        <v>1.1839015933355835E-4</v>
      </c>
      <c r="V166" s="322">
        <f t="shared" ref="V166:W171" si="36">V127</f>
        <v>1.3910951223277007E-3</v>
      </c>
      <c r="W166" s="310">
        <f t="shared" si="36"/>
        <v>0.6955475611638503</v>
      </c>
      <c r="X166" s="319"/>
      <c r="Y166" s="311"/>
      <c r="Z166" s="309">
        <v>6</v>
      </c>
      <c r="AA166" s="310">
        <f>AA127</f>
        <v>0</v>
      </c>
      <c r="AB166" s="322"/>
      <c r="AC166" s="310">
        <f>AC127</f>
        <v>5.6856910853327399E-14</v>
      </c>
      <c r="AD166" s="322"/>
      <c r="AE166" s="326" t="s">
        <v>1312</v>
      </c>
      <c r="AF166" s="322">
        <f>IF(T160=0,0,AC166/2)</f>
        <v>2.8428455426663699E-14</v>
      </c>
      <c r="AG166" s="309"/>
      <c r="AH166" s="322"/>
      <c r="AI166" s="322"/>
    </row>
    <row r="167" spans="10:35">
      <c r="J167" s="309" t="s">
        <v>1532</v>
      </c>
      <c r="K167" s="310">
        <f>C77</f>
        <v>0.7</v>
      </c>
      <c r="L167" s="310">
        <f>D41</f>
        <v>0.7</v>
      </c>
      <c r="M167" s="313">
        <f t="shared" ref="M167:M175" si="37">L167/K167</f>
        <v>1</v>
      </c>
      <c r="N167" s="309" t="s">
        <v>1533</v>
      </c>
      <c r="O167" s="310">
        <f>B78</f>
        <v>22.5</v>
      </c>
      <c r="P167" s="310">
        <f>O167*(1-L167)/(1-K167)</f>
        <v>22.5</v>
      </c>
      <c r="Q167" s="310">
        <f>P167/O167</f>
        <v>1</v>
      </c>
      <c r="R167" s="309">
        <v>22</v>
      </c>
      <c r="S167" s="310">
        <f>S166-2*L184*COS(S162)</f>
        <v>0.47356063733423326</v>
      </c>
      <c r="T167" s="310"/>
      <c r="U167" s="322">
        <f>S167*T160</f>
        <v>1.1839015933355832E-4</v>
      </c>
      <c r="V167" s="322">
        <f t="shared" si="36"/>
        <v>1.4300606625216533E-3</v>
      </c>
      <c r="W167" s="310">
        <f t="shared" si="36"/>
        <v>0.71503033126082671</v>
      </c>
      <c r="X167" s="314"/>
      <c r="AA167" s="322"/>
      <c r="AB167" s="322"/>
      <c r="AC167" s="322"/>
      <c r="AD167" s="322"/>
      <c r="AE167" s="326"/>
      <c r="AF167" s="322"/>
      <c r="AG167" s="309"/>
      <c r="AH167" s="322"/>
      <c r="AI167" s="322"/>
    </row>
    <row r="168" spans="10:35">
      <c r="J168" s="309" t="s">
        <v>1534</v>
      </c>
      <c r="K168" s="312">
        <f>K161/K167</f>
        <v>258.57142857142861</v>
      </c>
      <c r="L168" s="312">
        <f>F41*P162^F78*C26</f>
        <v>2.5857142857142863</v>
      </c>
      <c r="M168" s="313">
        <f t="shared" si="37"/>
        <v>0.01</v>
      </c>
      <c r="N168" s="308" t="s">
        <v>1535</v>
      </c>
      <c r="O168" s="310"/>
      <c r="P168" s="310"/>
      <c r="Q168" s="310"/>
      <c r="R168" s="309" t="s">
        <v>1345</v>
      </c>
      <c r="S168" s="310">
        <f>L186-L185*COS(S163)</f>
        <v>0.44398397473830176</v>
      </c>
      <c r="T168" s="310"/>
      <c r="U168" s="322">
        <f>S168*T160</f>
        <v>1.1099599368457544E-4</v>
      </c>
      <c r="V168" s="322">
        <f t="shared" si="36"/>
        <v>4.4413343911675369E-4</v>
      </c>
      <c r="W168" s="310">
        <f t="shared" si="36"/>
        <v>0.22206671955837684</v>
      </c>
      <c r="X168" s="322"/>
      <c r="Z168" s="307" t="s">
        <v>1323</v>
      </c>
      <c r="AA168" s="322"/>
      <c r="AB168" s="322"/>
      <c r="AC168" s="322"/>
      <c r="AD168" s="322"/>
      <c r="AE168" s="326"/>
      <c r="AF168" s="322"/>
      <c r="AG168" s="309"/>
      <c r="AH168" s="322"/>
      <c r="AI168" s="322"/>
    </row>
    <row r="169" spans="10:35">
      <c r="J169" s="309" t="s">
        <v>1536</v>
      </c>
      <c r="K169" s="310">
        <f>F75</f>
        <v>3.4</v>
      </c>
      <c r="L169" s="310">
        <f>E41*P162^F77*I41*C26</f>
        <v>5.1000000000000004E-3</v>
      </c>
      <c r="M169" s="313">
        <f t="shared" si="37"/>
        <v>1.5000000000000002E-3</v>
      </c>
      <c r="N169" s="309" t="s">
        <v>1537</v>
      </c>
      <c r="O169" s="310">
        <f>C78</f>
        <v>0</v>
      </c>
      <c r="P169" s="310">
        <f>O169</f>
        <v>0</v>
      </c>
      <c r="Q169" s="310">
        <v>1</v>
      </c>
      <c r="R169" s="309">
        <v>66</v>
      </c>
      <c r="S169" s="310">
        <f>S168-L186+L187</f>
        <v>0.45876177740803159</v>
      </c>
      <c r="T169" s="310"/>
      <c r="U169" s="322">
        <f>S169*T160</f>
        <v>1.1469044435200789E-4</v>
      </c>
      <c r="V169" s="322">
        <f t="shared" si="36"/>
        <v>5.0200594305701445E-4</v>
      </c>
      <c r="W169" s="310">
        <f t="shared" si="36"/>
        <v>0.2510029715285072</v>
      </c>
      <c r="X169" s="310"/>
      <c r="Z169" s="309" t="s">
        <v>1324</v>
      </c>
      <c r="AA169" s="319">
        <f>(AF164+AF165*COS(AA160)+AF166*SIN(AA160))</f>
        <v>153.03071527573502</v>
      </c>
      <c r="AB169" s="319">
        <f>AA169+AH179</f>
        <v>153.03073321672235</v>
      </c>
      <c r="AC169" s="319">
        <f>IF(ABS(AB169/AB172)&lt;0.000000001,0,AB169)</f>
        <v>153.03073321672235</v>
      </c>
      <c r="AD169" s="319"/>
      <c r="AE169" s="326"/>
      <c r="AF169" s="322"/>
      <c r="AG169" s="307"/>
      <c r="AH169" s="326"/>
      <c r="AI169" s="322"/>
    </row>
    <row r="170" spans="10:35">
      <c r="J170" s="309" t="s">
        <v>1538</v>
      </c>
      <c r="K170" s="310">
        <f>E77</f>
        <v>0.51600000000000001</v>
      </c>
      <c r="L170" s="310">
        <f>K170*P162^G77</f>
        <v>0.51600000000000001</v>
      </c>
      <c r="M170" s="313">
        <f t="shared" si="37"/>
        <v>1</v>
      </c>
      <c r="N170" s="309" t="s">
        <v>1539</v>
      </c>
      <c r="O170" s="310">
        <f>D78</f>
        <v>0.6</v>
      </c>
      <c r="P170" s="310">
        <f>O170*(1-L167)/(1-K167)</f>
        <v>0.6</v>
      </c>
      <c r="Q170" s="310">
        <f>P170/O170</f>
        <v>1</v>
      </c>
      <c r="R170" s="309" t="s">
        <v>1347</v>
      </c>
      <c r="S170" s="310">
        <f>L184*SIN(S162)/2+L185*SIN(S163)</f>
        <v>-0.44623296048886246</v>
      </c>
      <c r="T170" s="310"/>
      <c r="U170" s="322">
        <f>S170*T160</f>
        <v>-1.1155824012221561E-4</v>
      </c>
      <c r="V170" s="322">
        <f t="shared" si="36"/>
        <v>6.9206013750663471E-23</v>
      </c>
      <c r="W170" s="310">
        <f t="shared" si="36"/>
        <v>3.4603006875331733E-20</v>
      </c>
      <c r="X170" s="314"/>
      <c r="Z170" s="309" t="s">
        <v>1332</v>
      </c>
      <c r="AA170" s="319">
        <f>2*AF164-AA169</f>
        <v>153.03071527573502</v>
      </c>
      <c r="AB170" s="319">
        <f>AA170+AH180</f>
        <v>153.02998121672235</v>
      </c>
      <c r="AC170" s="319">
        <f>IF(ABS(AB170/AB172)&lt;0.000000001,0,AB170)</f>
        <v>153.02998121672235</v>
      </c>
      <c r="AD170" s="319"/>
      <c r="AE170" s="322"/>
      <c r="AF170" s="322"/>
      <c r="AG170" s="309" t="s">
        <v>1333</v>
      </c>
      <c r="AH170" s="322">
        <f>P189*AH163^2+2*P191*AH163*AH164+P190*AH164^2+P192*AH165^2</f>
        <v>0.15199999835655281</v>
      </c>
      <c r="AI170" s="322"/>
    </row>
    <row r="171" spans="10:35">
      <c r="J171" s="309" t="s">
        <v>1547</v>
      </c>
      <c r="K171" s="310">
        <f>K170*(1-K167)/K167</f>
        <v>0.2211428571428572</v>
      </c>
      <c r="L171" s="310">
        <f>L170*(1-L167)/L167</f>
        <v>0.2211428571428572</v>
      </c>
      <c r="M171" s="313">
        <f t="shared" si="37"/>
        <v>1</v>
      </c>
      <c r="O171" s="310"/>
      <c r="P171" s="310"/>
      <c r="Q171" s="310"/>
      <c r="R171" s="309" t="s">
        <v>1349</v>
      </c>
      <c r="S171" s="310">
        <f>L184*SIN(S162)-S170</f>
        <v>-0.44623296048886246</v>
      </c>
      <c r="T171" s="310"/>
      <c r="U171" s="322">
        <f>S171*T160</f>
        <v>-1.1155824012221561E-4</v>
      </c>
      <c r="V171" s="322">
        <f t="shared" si="36"/>
        <v>5.43709294019984E-20</v>
      </c>
      <c r="W171" s="310">
        <f t="shared" si="36"/>
        <v>2.7185464700999198E-17</v>
      </c>
      <c r="X171" s="322"/>
      <c r="Z171" s="309" t="s">
        <v>1334</v>
      </c>
      <c r="AA171" s="319">
        <f>(2*(AF166*COS(AA160)-AF165*SIN(AA160)))</f>
        <v>1358.0975966811961</v>
      </c>
      <c r="AB171" s="319">
        <f>AA171+AH181</f>
        <v>1358.0975671928711</v>
      </c>
      <c r="AC171" s="319">
        <f>IF(ABS(AB171/AB172)&lt;0.000000001,0,AB171)</f>
        <v>1358.0975671928711</v>
      </c>
      <c r="AD171" s="319"/>
      <c r="AE171" s="322"/>
      <c r="AF171" s="322"/>
      <c r="AG171" s="309" t="s">
        <v>1335</v>
      </c>
      <c r="AH171" s="322">
        <f>P193*AH163+P194*AH164</f>
        <v>-7.7708785215848938E-2</v>
      </c>
      <c r="AI171" s="322"/>
    </row>
    <row r="172" spans="10:35">
      <c r="J172" s="309" t="s">
        <v>1643</v>
      </c>
      <c r="K172" s="310">
        <f>1/((1+K171)/K162-K171/K169)</f>
        <v>18.686160319541436</v>
      </c>
      <c r="L172" s="310">
        <f>K172*P162^F78*C26</f>
        <v>0.18686160319541437</v>
      </c>
      <c r="M172" s="313">
        <f t="shared" si="37"/>
        <v>0.01</v>
      </c>
      <c r="N172" s="308" t="s">
        <v>176</v>
      </c>
      <c r="O172" s="310"/>
      <c r="P172" s="310"/>
      <c r="Q172" s="310"/>
      <c r="S172" s="308"/>
      <c r="T172" s="314" t="s">
        <v>1353</v>
      </c>
      <c r="U172" s="311">
        <f>U166*U167*U169+2*U168*U170*U171-U167*U170^2-U169*U168^2-U166*U171^2</f>
        <v>1.0484320121443081E-14</v>
      </c>
      <c r="V172" s="311">
        <f>V166*V167*V169+2*V168*V170*V171-V167*V170^2-V169*V168^2-V166*V171^2</f>
        <v>8.9964279259162027E-10</v>
      </c>
      <c r="W172" s="308"/>
      <c r="X172" s="322"/>
      <c r="AA172" s="309" t="s">
        <v>1363</v>
      </c>
      <c r="AB172" s="322">
        <f>SQRT(AB169^2+AB170^2+AB171^2)</f>
        <v>1375.2329193541118</v>
      </c>
      <c r="AC172" s="322"/>
      <c r="AD172" s="322"/>
      <c r="AE172" s="322"/>
      <c r="AF172" s="322"/>
      <c r="AG172" s="309" t="s">
        <v>1344</v>
      </c>
      <c r="AH172" s="322">
        <f>AH171/2/AH170</f>
        <v>-0.25562100676331639</v>
      </c>
      <c r="AI172" s="322"/>
    </row>
    <row r="173" spans="10:35">
      <c r="J173" s="309" t="s">
        <v>295</v>
      </c>
      <c r="K173" s="310">
        <f>E78</f>
        <v>0.316</v>
      </c>
      <c r="L173" s="310">
        <f>K173*P162^G77</f>
        <v>0.316</v>
      </c>
      <c r="M173" s="313">
        <f t="shared" si="37"/>
        <v>1</v>
      </c>
      <c r="N173" s="309" t="s">
        <v>296</v>
      </c>
      <c r="O173" s="312">
        <f>A76</f>
        <v>1500</v>
      </c>
      <c r="P173" s="312">
        <f>P179*L167</f>
        <v>1500</v>
      </c>
      <c r="Q173" s="310">
        <f t="shared" ref="Q173:Q180" si="38">P173/O173</f>
        <v>1</v>
      </c>
      <c r="R173" s="309" t="s">
        <v>1355</v>
      </c>
      <c r="S173" s="314" t="s">
        <v>382</v>
      </c>
      <c r="T173" s="314" t="s">
        <v>182</v>
      </c>
      <c r="U173" s="314" t="s">
        <v>669</v>
      </c>
      <c r="V173" s="314" t="s">
        <v>670</v>
      </c>
      <c r="W173" s="308"/>
      <c r="X173" s="322"/>
      <c r="Z173" s="309"/>
      <c r="AA173" s="322"/>
      <c r="AB173" s="322"/>
      <c r="AC173" s="322"/>
      <c r="AD173" s="322"/>
      <c r="AE173" s="322"/>
      <c r="AF173" s="322"/>
      <c r="AG173" s="309"/>
      <c r="AH173" s="322"/>
      <c r="AI173" s="322"/>
    </row>
    <row r="174" spans="10:35">
      <c r="J174" s="309" t="s">
        <v>301</v>
      </c>
      <c r="K174" s="310">
        <f>K173*(1-K167)/K167</f>
        <v>0.13542857142857145</v>
      </c>
      <c r="L174" s="310">
        <f>L173*(1-L167)/L167</f>
        <v>0.13542857142857145</v>
      </c>
      <c r="M174" s="313">
        <f t="shared" si="37"/>
        <v>1</v>
      </c>
      <c r="N174" s="309" t="s">
        <v>302</v>
      </c>
      <c r="O174" s="312">
        <f>B76</f>
        <v>1500</v>
      </c>
      <c r="P174" s="312">
        <f>O174*Q173*M164^E79</f>
        <v>808.22310311930141</v>
      </c>
      <c r="Q174" s="310">
        <f t="shared" si="38"/>
        <v>0.53881540207953427</v>
      </c>
      <c r="R174" s="309">
        <v>11</v>
      </c>
      <c r="S174" s="311">
        <f>IF(U172=0,1E+99,(U167*U169-U171^2)/U172)</f>
        <v>108064.14040979848</v>
      </c>
      <c r="T174" s="310">
        <f t="shared" ref="T174:V179" si="39">T135</f>
        <v>797.98221853126245</v>
      </c>
      <c r="U174" s="310">
        <f t="shared" si="39"/>
        <v>1.595964437062525</v>
      </c>
      <c r="V174" s="310">
        <f t="shared" si="39"/>
        <v>0.62658037784385989</v>
      </c>
      <c r="W174" s="308"/>
      <c r="X174" s="322"/>
      <c r="Z174" s="309"/>
      <c r="AA174" s="322"/>
      <c r="AB174" s="322"/>
      <c r="AC174" s="322"/>
      <c r="AD174" s="322"/>
      <c r="AE174" s="322"/>
      <c r="AF174" s="322"/>
      <c r="AG174" s="309"/>
      <c r="AH174" s="322"/>
      <c r="AI174" s="322"/>
    </row>
    <row r="175" spans="10:35">
      <c r="J175" s="309" t="s">
        <v>304</v>
      </c>
      <c r="K175" s="310">
        <f>1/((1+K174)/K164-K174*2.7/K169)</f>
        <v>19.680382632972858</v>
      </c>
      <c r="L175" s="310">
        <f>K175*P162^F78*C26</f>
        <v>0.19680382632972859</v>
      </c>
      <c r="M175" s="313">
        <f t="shared" si="37"/>
        <v>0.01</v>
      </c>
      <c r="N175" s="309" t="s">
        <v>305</v>
      </c>
      <c r="O175" s="312">
        <f>C76</f>
        <v>40</v>
      </c>
      <c r="P175" s="312">
        <f>O175*Q180</f>
        <v>40</v>
      </c>
      <c r="Q175" s="310">
        <f t="shared" si="38"/>
        <v>1</v>
      </c>
      <c r="R175" s="309">
        <v>22</v>
      </c>
      <c r="S175" s="311">
        <f>IF(U172=0,1E+99,(U166*U169-U170^2)/U172)</f>
        <v>108064.1404097988</v>
      </c>
      <c r="T175" s="310">
        <f t="shared" si="39"/>
        <v>776.23921907317572</v>
      </c>
      <c r="U175" s="310">
        <f t="shared" si="39"/>
        <v>1.5524784381463514</v>
      </c>
      <c r="V175" s="310">
        <f t="shared" si="39"/>
        <v>0.64413132925310901</v>
      </c>
      <c r="W175" s="308"/>
      <c r="X175" s="322"/>
      <c r="AA175" s="322"/>
      <c r="AB175" s="322"/>
      <c r="AC175" s="322"/>
      <c r="AD175" s="322"/>
      <c r="AE175" s="322"/>
      <c r="AF175" s="322"/>
      <c r="AG175" s="309"/>
      <c r="AH175" s="322"/>
      <c r="AI175" s="326" t="s">
        <v>1348</v>
      </c>
    </row>
    <row r="176" spans="10:35">
      <c r="L176" s="310"/>
      <c r="N176" s="309" t="s">
        <v>1542</v>
      </c>
      <c r="O176" s="312">
        <f>D76</f>
        <v>246</v>
      </c>
      <c r="P176" s="312">
        <f>O176*Q180</f>
        <v>246</v>
      </c>
      <c r="Q176" s="310">
        <f t="shared" si="38"/>
        <v>1</v>
      </c>
      <c r="R176" s="309" t="s">
        <v>1345</v>
      </c>
      <c r="S176" s="311">
        <f>IF(U172=0,1E+99,(U170*U171-U168*U169)/U172)</f>
        <v>-27177.622822478501</v>
      </c>
      <c r="T176" s="310">
        <f t="shared" si="39"/>
        <v>-247.82905813615449</v>
      </c>
      <c r="U176" s="310">
        <f t="shared" si="39"/>
        <v>-0.49565811627230899</v>
      </c>
      <c r="V176" s="310">
        <f t="shared" si="39"/>
        <v>0.31056964977527918</v>
      </c>
      <c r="W176" s="308"/>
      <c r="X176" s="322"/>
      <c r="AF176" s="322"/>
      <c r="AG176" s="309" t="s">
        <v>1351</v>
      </c>
      <c r="AH176" s="319">
        <f>(AH172^2+1/AH170)^0.5-AH172</f>
        <v>2.8332729496470574</v>
      </c>
      <c r="AI176" s="319">
        <f>AH177</f>
        <v>2.8332729496470574</v>
      </c>
    </row>
    <row r="177" spans="10:35">
      <c r="J177" s="308" t="s">
        <v>1507</v>
      </c>
      <c r="N177" s="309" t="s">
        <v>1543</v>
      </c>
      <c r="O177" s="345">
        <f>E76</f>
        <v>68</v>
      </c>
      <c r="P177" s="345">
        <f>O177*Q180</f>
        <v>68</v>
      </c>
      <c r="Q177" s="310">
        <f t="shared" si="38"/>
        <v>1</v>
      </c>
      <c r="R177" s="309">
        <v>66</v>
      </c>
      <c r="S177" s="311">
        <f>IF(U172=0,1E+99,(U166*U167-U168^2)/U172)</f>
        <v>161776.74788182272</v>
      </c>
      <c r="T177" s="310">
        <f t="shared" si="39"/>
        <v>1992.0082896039078</v>
      </c>
      <c r="U177" s="310">
        <f t="shared" si="39"/>
        <v>3.9840165792078155</v>
      </c>
      <c r="V177" s="310">
        <f t="shared" si="39"/>
        <v>0.2510029715285072</v>
      </c>
      <c r="W177" s="308"/>
      <c r="AF177" s="322"/>
      <c r="AG177" s="309"/>
      <c r="AH177" s="319">
        <f>IF(AH159=0,1000000000,AH176)</f>
        <v>2.8332729496470574</v>
      </c>
    </row>
    <row r="178" spans="10:35">
      <c r="J178" s="309" t="s">
        <v>1354</v>
      </c>
      <c r="K178" s="310">
        <f>K161/(1-K163^2*K162/K161)</f>
        <v>181.81113884441791</v>
      </c>
      <c r="L178" s="310">
        <f>L161/(1-L163^2*L162/L161)</f>
        <v>1.8100000044220241</v>
      </c>
      <c r="M178" s="313">
        <f>L178/K178</f>
        <v>9.9553856596811922E-3</v>
      </c>
      <c r="N178" s="309" t="s">
        <v>1168</v>
      </c>
      <c r="O178" s="313">
        <f>A77</f>
        <v>-0.5</v>
      </c>
      <c r="P178" s="313">
        <f>O178*I41*C26</f>
        <v>-7.5000000000000002E-4</v>
      </c>
      <c r="Q178" s="310">
        <f t="shared" si="38"/>
        <v>1.5E-3</v>
      </c>
      <c r="R178" s="309" t="s">
        <v>1347</v>
      </c>
      <c r="S178" s="311">
        <f>IF(U172=0,1E+99,(U168*U171-U167*U170)/U172)</f>
        <v>78677.501012734589</v>
      </c>
      <c r="T178" s="310">
        <f t="shared" si="39"/>
        <v>2.6731697584249638E-14</v>
      </c>
      <c r="U178" s="310">
        <f t="shared" si="39"/>
        <v>5.3463395168499281E-17</v>
      </c>
      <c r="V178" s="310">
        <f t="shared" si="39"/>
        <v>3.3499114345493873E-17</v>
      </c>
      <c r="W178" s="308"/>
      <c r="X178" s="308"/>
      <c r="Y178" s="309"/>
      <c r="AF178" s="322"/>
      <c r="AG178" s="308" t="s">
        <v>1360</v>
      </c>
      <c r="AH178" s="319">
        <f>IF(AH159=0,0,AH176)</f>
        <v>2.8332729496470574</v>
      </c>
    </row>
    <row r="179" spans="10:35">
      <c r="J179" s="309" t="s">
        <v>1361</v>
      </c>
      <c r="K179" s="310">
        <f>K178*K162/K161</f>
        <v>10.346158729820468</v>
      </c>
      <c r="L179" s="310">
        <f>L178*L162/L161</f>
        <v>2.5068162466574194E-2</v>
      </c>
      <c r="M179" s="313">
        <f>L179/K179</f>
        <v>2.4229439274231191E-3</v>
      </c>
      <c r="N179" s="309" t="s">
        <v>1175</v>
      </c>
      <c r="O179" s="312">
        <f>O173/K167</f>
        <v>2142.8571428571431</v>
      </c>
      <c r="P179" s="312">
        <f>H41*P162^G78</f>
        <v>2142.8571428571431</v>
      </c>
      <c r="Q179" s="310">
        <f t="shared" si="38"/>
        <v>1</v>
      </c>
      <c r="R179" s="309" t="s">
        <v>1349</v>
      </c>
      <c r="S179" s="311">
        <f>IF(U172=0,1E+99,(U168*U170-U166*U171)/U172)</f>
        <v>78677.501012734909</v>
      </c>
      <c r="T179" s="310">
        <f t="shared" si="39"/>
        <v>-8.4038241183318863E-14</v>
      </c>
      <c r="U179" s="310">
        <f t="shared" si="39"/>
        <v>-1.6807648236663772E-16</v>
      </c>
      <c r="V179" s="310">
        <f t="shared" si="39"/>
        <v>-1.0531342582795471E-16</v>
      </c>
      <c r="W179" s="308"/>
      <c r="X179" s="308"/>
      <c r="Y179" s="310"/>
      <c r="AF179" s="322"/>
      <c r="AG179" s="309" t="s">
        <v>1364</v>
      </c>
      <c r="AH179" s="328">
        <f>IF(AH159=0,0,AI163+AI164*COS(AH160)+AI165*SIN(AH160)-V185)</f>
        <v>1.7940987336163725E-5</v>
      </c>
      <c r="AI179" s="322"/>
    </row>
    <row r="180" spans="10:35">
      <c r="J180" s="309" t="s">
        <v>1365</v>
      </c>
      <c r="K180" s="310">
        <f>K179*K163</f>
        <v>2.8969244443497315</v>
      </c>
      <c r="L180" s="310">
        <f>L179*L163</f>
        <v>1.0528628235961163E-5</v>
      </c>
      <c r="M180" s="313">
        <f>L180/K180</f>
        <v>3.6344158911346783E-6</v>
      </c>
      <c r="N180" s="309" t="s">
        <v>1176</v>
      </c>
      <c r="O180" s="312">
        <f>O175</f>
        <v>40</v>
      </c>
      <c r="P180" s="312">
        <f>G41*P162^H77</f>
        <v>40</v>
      </c>
      <c r="Q180" s="310">
        <f t="shared" si="38"/>
        <v>1</v>
      </c>
      <c r="S180" s="308"/>
      <c r="T180" s="337"/>
      <c r="W180" s="308"/>
      <c r="X180" s="308"/>
      <c r="Y180" s="310"/>
      <c r="AF180" s="322"/>
      <c r="AG180" s="309" t="s">
        <v>1367</v>
      </c>
      <c r="AH180" s="328">
        <f>IF(AH159=0,0,2*AI163-AH179-V186-V185)</f>
        <v>-7.3405901266383646E-4</v>
      </c>
      <c r="AI180" s="322"/>
    </row>
    <row r="181" spans="10:35">
      <c r="J181" s="309" t="s">
        <v>1370</v>
      </c>
      <c r="K181" s="310">
        <f>K164</f>
        <v>7.17</v>
      </c>
      <c r="L181" s="310">
        <f>L164</f>
        <v>1.4788331297965859E-2</v>
      </c>
      <c r="M181" s="313">
        <f>L181/K181</f>
        <v>2.0625287723801755E-3</v>
      </c>
      <c r="R181" s="309"/>
      <c r="S181" s="314" t="s">
        <v>1406</v>
      </c>
      <c r="T181" s="314" t="s">
        <v>1407</v>
      </c>
      <c r="U181" s="314" t="s">
        <v>1408</v>
      </c>
      <c r="V181" s="314" t="s">
        <v>1409</v>
      </c>
      <c r="W181" s="314" t="s">
        <v>1410</v>
      </c>
      <c r="X181" s="314" t="s">
        <v>1411</v>
      </c>
      <c r="Y181" s="314" t="s">
        <v>1394</v>
      </c>
      <c r="AF181" s="322"/>
      <c r="AG181" s="309" t="s">
        <v>1372</v>
      </c>
      <c r="AH181" s="328">
        <f>IF(AH159=0,0,2*(AI165*COS(AH160)-AI164*SIN(AH160)))</f>
        <v>-2.9488325113722757E-5</v>
      </c>
      <c r="AI181" s="322"/>
    </row>
    <row r="182" spans="10:35">
      <c r="J182" s="308" t="s">
        <v>1510</v>
      </c>
      <c r="K182" s="310"/>
      <c r="L182" s="310"/>
      <c r="N182" s="308" t="s">
        <v>1375</v>
      </c>
      <c r="R182" s="309">
        <v>1</v>
      </c>
      <c r="S182" s="322">
        <f>((L178+L180)/2*P166+(L180+L179)/2*P167)/1000000</f>
        <v>3.0023538014711688E-7</v>
      </c>
      <c r="T182" s="322">
        <f>((L178+L180)/2*P169+(L180+L179)/2*P170)</f>
        <v>7.5236073284430469E-3</v>
      </c>
      <c r="U182" s="328">
        <f>S182+S183*Y182</f>
        <v>3.0023538014711688E-7</v>
      </c>
      <c r="V182" s="319">
        <f>T182+T183*Y182</f>
        <v>7.5236073284430461E-3</v>
      </c>
      <c r="W182" s="319">
        <f>(U182*S174+U183*S176+U184*S178)*T160*1000000</f>
        <v>11.259999999999764</v>
      </c>
      <c r="X182" s="319">
        <f>(V182*S174+V183*S176+V184*S178)*T160</f>
        <v>0.29999999999999366</v>
      </c>
      <c r="Y182" s="319">
        <f>COS(S162)</f>
        <v>6.1257422745431001E-17</v>
      </c>
      <c r="AF182" s="322"/>
      <c r="AG182" s="322"/>
      <c r="AH182" s="322"/>
      <c r="AI182" s="322"/>
    </row>
    <row r="183" spans="10:35">
      <c r="J183" s="309" t="s">
        <v>1380</v>
      </c>
      <c r="K183" s="310">
        <f>(3*K178+3*K179+2*K180+4*K181)/8</f>
        <v>76.368217701426829</v>
      </c>
      <c r="L183" s="310">
        <f>(3*L178+3*L179+2*L180+4*L181)/8</f>
        <v>0.69554736038926623</v>
      </c>
      <c r="M183" s="313">
        <f>L183/K183</f>
        <v>9.1078118793948351E-3</v>
      </c>
      <c r="N183" s="309" t="s">
        <v>1381</v>
      </c>
      <c r="O183" s="310">
        <f>1/O173/O174*1000000</f>
        <v>0.44444444444444442</v>
      </c>
      <c r="P183" s="310">
        <f>1/P173/P174*1000000</f>
        <v>0.82485475123600904</v>
      </c>
      <c r="Q183" s="310">
        <f>P183/O183</f>
        <v>1.8559231902810205</v>
      </c>
      <c r="R183" s="309">
        <v>2</v>
      </c>
      <c r="S183" s="322">
        <f>((L178-L180)/2*P166+(L180-L179)/2*P167)/1000000</f>
        <v>-2.6379848592336727E-7</v>
      </c>
      <c r="T183" s="322">
        <f>((L178-L180)/2*P169+(L180-L179)/2*P170)</f>
        <v>-7.5172901515014687E-3</v>
      </c>
      <c r="U183" s="328">
        <f>S182-S183*Y182</f>
        <v>3.0023538014711688E-7</v>
      </c>
      <c r="V183" s="319">
        <f>T182-T183*Y182</f>
        <v>7.5236073284430478E-3</v>
      </c>
      <c r="W183" s="319">
        <f>(U182*S176+U183*S175+U184*S179)*T160*1000000</f>
        <v>11.25999999999981</v>
      </c>
      <c r="X183" s="319">
        <f>(V182*S176+V183*S175+V184*S179)*T160</f>
        <v>0.29999999999999488</v>
      </c>
      <c r="Y183" s="319">
        <f>SIN(S162)</f>
        <v>-1</v>
      </c>
      <c r="AF183" s="322"/>
      <c r="AG183" s="326" t="s">
        <v>1383</v>
      </c>
      <c r="AH183" s="349">
        <f>P189*AH179^2+2*P191*AH179*AH180+P190*AH180^2+P192*AH181^2</f>
        <v>3.5330179943531288E-8</v>
      </c>
      <c r="AI183" s="322"/>
    </row>
    <row r="184" spans="10:35">
      <c r="J184" s="309" t="s">
        <v>1384</v>
      </c>
      <c r="K184" s="310">
        <f>(K178-K179)/2</f>
        <v>85.732490057298719</v>
      </c>
      <c r="L184" s="310">
        <f>(L178-L179)/2</f>
        <v>0.89246592097772492</v>
      </c>
      <c r="M184" s="313">
        <f>L184/K184</f>
        <v>1.0409891516987917E-2</v>
      </c>
      <c r="N184" s="309" t="s">
        <v>1385</v>
      </c>
      <c r="O184" s="310">
        <f>1/O175/O176*1000000</f>
        <v>101.6260162601626</v>
      </c>
      <c r="P184" s="310">
        <f>1/P175/P176*1000000</f>
        <v>101.6260162601626</v>
      </c>
      <c r="Q184" s="310">
        <f>P184/O184</f>
        <v>1</v>
      </c>
      <c r="R184" s="309">
        <v>6</v>
      </c>
      <c r="S184" s="314" t="s">
        <v>1419</v>
      </c>
      <c r="T184" s="314" t="s">
        <v>1420</v>
      </c>
      <c r="U184" s="328">
        <f>S183*Y183</f>
        <v>2.6379848592336727E-7</v>
      </c>
      <c r="V184" s="319">
        <f>T183*Y183</f>
        <v>7.5172901515014687E-3</v>
      </c>
      <c r="W184" s="319">
        <f>(U182*S178+U183*S179+U184*S177)*T160*1000000</f>
        <v>22.479999999999585</v>
      </c>
      <c r="X184" s="319">
        <f>(V182*S178+V183*S179+V184*S177)*T160</f>
        <v>0.59999999999998865</v>
      </c>
      <c r="Y184" s="314" t="s">
        <v>406</v>
      </c>
      <c r="AF184" s="322"/>
      <c r="AG184" s="326" t="s">
        <v>1387</v>
      </c>
      <c r="AH184" s="349">
        <f>P193*AH179+P194*AH180</f>
        <v>-4.0375621423008421E-4</v>
      </c>
      <c r="AI184" s="322"/>
    </row>
    <row r="185" spans="10:35">
      <c r="J185" s="309" t="s">
        <v>1388</v>
      </c>
      <c r="K185" s="310">
        <f>(K178+K179-2*K180-4*K181)/8</f>
        <v>19.710431085692363</v>
      </c>
      <c r="L185" s="310">
        <f>(L178+L179-2*L180-4*L181)/8</f>
        <v>0.22198672305503289</v>
      </c>
      <c r="M185" s="313">
        <f>L185/K185</f>
        <v>1.1262398173329207E-2</v>
      </c>
      <c r="N185" s="309" t="s">
        <v>1389</v>
      </c>
      <c r="O185" s="310">
        <f>O178*(O183*O184)^0.5</f>
        <v>-3.3603243272729659</v>
      </c>
      <c r="P185" s="310">
        <f>P178*(P183*P184)^0.5</f>
        <v>-6.8667692605968601E-3</v>
      </c>
      <c r="Q185" s="310">
        <f>P185/O185</f>
        <v>2.043484078267383E-3</v>
      </c>
      <c r="R185" s="309">
        <v>1</v>
      </c>
      <c r="S185" s="337">
        <f>P163*U182+P159*V182</f>
        <v>7.5944986275035468E-6</v>
      </c>
      <c r="T185" s="311">
        <f>P163*W182/1000000+P159*X182</f>
        <v>3.7399999999999196E-4</v>
      </c>
      <c r="U185" s="314" t="s">
        <v>1423</v>
      </c>
      <c r="V185" s="311">
        <f>P163*P166/1000000+P159*P169</f>
        <v>-1.9999999999999999E-6</v>
      </c>
      <c r="W185" s="308"/>
      <c r="Y185" s="319">
        <f>Y182+Y221+Y260+Y299+W343+W382+W421+W460</f>
        <v>1.1102230246251565E-16</v>
      </c>
      <c r="AF185" s="322"/>
      <c r="AG185" s="326" t="s">
        <v>1390</v>
      </c>
      <c r="AH185" s="349">
        <f>AH183+AH184</f>
        <v>-4.037208840501407E-4</v>
      </c>
      <c r="AI185" s="322"/>
    </row>
    <row r="186" spans="10:35">
      <c r="J186" s="309" t="s">
        <v>1391</v>
      </c>
      <c r="K186" s="310">
        <f>(K178+K179+6*K180-4*K181)/8</f>
        <v>22.607355530042096</v>
      </c>
      <c r="L186" s="310">
        <f>(L178+L179+6*L180-4*L181)/8</f>
        <v>0.22199725168326884</v>
      </c>
      <c r="M186" s="313">
        <f>L186/K186</f>
        <v>9.819691267661303E-3</v>
      </c>
      <c r="N186" s="309" t="s">
        <v>1392</v>
      </c>
      <c r="O186" s="310">
        <f>1/O177^2*1000000</f>
        <v>216.26297577854672</v>
      </c>
      <c r="P186" s="310">
        <f>1/P177^2*1000000</f>
        <v>216.26297577854672</v>
      </c>
      <c r="Q186" s="310">
        <f>P186/O186</f>
        <v>1</v>
      </c>
      <c r="R186" s="309">
        <v>2</v>
      </c>
      <c r="S186" s="337">
        <f>P163*U183+P159*V183</f>
        <v>7.5944986275035535E-6</v>
      </c>
      <c r="T186" s="311">
        <f>P163*W183/1000000+P159*X183</f>
        <v>3.7399999999999348E-4</v>
      </c>
      <c r="U186" s="314" t="s">
        <v>1427</v>
      </c>
      <c r="V186" s="311">
        <f>P163*P167/1000000+P159*P170</f>
        <v>7.5000000000000023E-4</v>
      </c>
      <c r="W186" s="308"/>
      <c r="Y186" s="319">
        <f>Y183+Y222+Y261+Y300+W344+W383+W422+W461</f>
        <v>1.22514845490862E-16</v>
      </c>
      <c r="AA186" s="307" t="s">
        <v>699</v>
      </c>
      <c r="AB186" s="307" t="s">
        <v>701</v>
      </c>
      <c r="AC186" s="309" t="s">
        <v>408</v>
      </c>
      <c r="AD186" s="309" t="s">
        <v>409</v>
      </c>
      <c r="AE186" s="308" t="s">
        <v>410</v>
      </c>
      <c r="AF186" s="322"/>
      <c r="AG186" s="326" t="s">
        <v>1395</v>
      </c>
      <c r="AH186" s="349">
        <f>-1+AH185</f>
        <v>-1.0004037208840502</v>
      </c>
      <c r="AI186" s="322"/>
    </row>
    <row r="187" spans="10:35">
      <c r="J187" s="309" t="s">
        <v>1396</v>
      </c>
      <c r="K187" s="310">
        <f>(K183-K186)/2</f>
        <v>26.880431085692365</v>
      </c>
      <c r="L187" s="310">
        <f>(L183-L186)/2</f>
        <v>0.2367750543529987</v>
      </c>
      <c r="M187" s="313">
        <f>L187/K187</f>
        <v>8.8084545072280047E-3</v>
      </c>
      <c r="N187" s="309" t="s">
        <v>1397</v>
      </c>
      <c r="O187" s="310">
        <f>(1/O173-1/O174)*1000</f>
        <v>0</v>
      </c>
      <c r="P187" s="310">
        <f>(1/P173-1/P174)*1000</f>
        <v>-0.57061546018734688</v>
      </c>
      <c r="Q187" s="310">
        <f>IF(O187=0,1,P187/O187)</f>
        <v>1</v>
      </c>
      <c r="R187" s="309">
        <v>6</v>
      </c>
      <c r="S187" s="337">
        <f>P163*U184+P159*V184</f>
        <v>1.1206602165170619E-5</v>
      </c>
      <c r="T187" s="311">
        <f>P163*W184/1000000+P159*X184</f>
        <v>7.5199999999998445E-4</v>
      </c>
      <c r="U187" s="314" t="s">
        <v>1429</v>
      </c>
      <c r="V187" s="311">
        <f>0</f>
        <v>0</v>
      </c>
      <c r="W187" s="308"/>
      <c r="Y187" s="311"/>
      <c r="AA187" s="322">
        <f t="shared" ref="AA187:AE189" si="40">AA148</f>
        <v>3.0179841135253815E-7</v>
      </c>
      <c r="AB187" s="322">
        <f t="shared" si="40"/>
        <v>7.5652880535078352E-3</v>
      </c>
      <c r="AC187" s="322">
        <f t="shared" si="40"/>
        <v>0.11556465563659149</v>
      </c>
      <c r="AD187" s="322">
        <f t="shared" si="40"/>
        <v>2.5506580685922976E-3</v>
      </c>
      <c r="AE187" s="322">
        <f t="shared" si="40"/>
        <v>1.1968247793023403E-6</v>
      </c>
      <c r="AF187" s="322"/>
      <c r="AG187" s="326" t="s">
        <v>1399</v>
      </c>
      <c r="AH187" s="349">
        <f>2*(P189*AH163*AH179+P190*AH164*AH180+P191*(AH163*AH180+AH179*AH164)+P192*AH165*AH181)</f>
        <v>-3.2386772014627915E-6</v>
      </c>
      <c r="AI187" s="322"/>
    </row>
    <row r="188" spans="10:35">
      <c r="J188" s="308" t="s">
        <v>1400</v>
      </c>
      <c r="N188" s="309" t="s">
        <v>1401</v>
      </c>
      <c r="O188" s="310">
        <f>(1/O175-1/O176)*1000</f>
        <v>20.934959349593495</v>
      </c>
      <c r="P188" s="310">
        <f>(1/P175-1/P176)*1000</f>
        <v>20.934959349593495</v>
      </c>
      <c r="Q188" s="310">
        <f t="shared" ref="Q188:Q194" si="41">P188/O188</f>
        <v>1</v>
      </c>
      <c r="R188" s="309"/>
      <c r="S188" s="319"/>
      <c r="T188" s="319"/>
      <c r="U188" s="319"/>
      <c r="V188" s="319"/>
      <c r="W188" s="308"/>
      <c r="X188" s="308"/>
      <c r="Y188" s="311"/>
      <c r="AA188" s="322">
        <f t="shared" si="40"/>
        <v>7.3860361411472986E-7</v>
      </c>
      <c r="AB188" s="322">
        <f t="shared" si="40"/>
        <v>1.9213389851379336E-2</v>
      </c>
      <c r="AC188" s="322">
        <f t="shared" si="40"/>
        <v>0.9970773531851117</v>
      </c>
      <c r="AD188" s="322">
        <f t="shared" si="40"/>
        <v>2.6078577042307254E-2</v>
      </c>
      <c r="AE188" s="322">
        <f t="shared" si="40"/>
        <v>3.0685149893025098E-5</v>
      </c>
      <c r="AG188" s="326" t="s">
        <v>1403</v>
      </c>
      <c r="AH188" s="349">
        <f>AH187+AH171</f>
        <v>-7.7712023893050403E-2</v>
      </c>
      <c r="AI188" s="322"/>
    </row>
    <row r="189" spans="10:35">
      <c r="J189" s="309" t="s">
        <v>1404</v>
      </c>
      <c r="K189" s="310">
        <f>(1-(K186/K183)^2)*K183</f>
        <v>69.675740916648124</v>
      </c>
      <c r="L189" s="310">
        <f>(1-(L186/L183)^2)*L183</f>
        <v>0.62469268885785056</v>
      </c>
      <c r="M189" s="310">
        <f>L189/K189</f>
        <v>8.9657128957575001E-3</v>
      </c>
      <c r="N189" s="309" t="s">
        <v>1405</v>
      </c>
      <c r="O189" s="312">
        <f>(O183*K178^2+2*O185*K178*K180+O184*K180^2)</f>
        <v>12004.38353147296</v>
      </c>
      <c r="P189" s="312">
        <f>(P183*L178^2+2*P185*L178*L180+P184*L180^2)</f>
        <v>2.7023064132762555</v>
      </c>
      <c r="Q189" s="310">
        <f t="shared" si="41"/>
        <v>2.2510996971992592E-4</v>
      </c>
      <c r="S189" s="308"/>
      <c r="T189" s="308"/>
      <c r="W189" s="308"/>
      <c r="X189" s="308"/>
      <c r="Y189" s="311"/>
      <c r="AA189" s="322">
        <f t="shared" si="40"/>
        <v>-1.0657348743377306E-23</v>
      </c>
      <c r="AB189" s="322">
        <f t="shared" si="40"/>
        <v>-2.2354267242619807E-19</v>
      </c>
      <c r="AC189" s="322">
        <f t="shared" si="40"/>
        <v>-1.5046578368033799E-16</v>
      </c>
      <c r="AD189" s="322">
        <f t="shared" si="40"/>
        <v>-3.7154507088968738E-18</v>
      </c>
      <c r="AE189" s="322">
        <f t="shared" si="40"/>
        <v>-3.530675176450572E-21</v>
      </c>
      <c r="AG189" s="326" t="s">
        <v>1412</v>
      </c>
      <c r="AH189" s="349">
        <f>AH188/2/AH170</f>
        <v>-0.25563166030685747</v>
      </c>
      <c r="AI189" s="322"/>
    </row>
    <row r="190" spans="10:35">
      <c r="J190" s="309" t="s">
        <v>1414</v>
      </c>
      <c r="K190" s="310">
        <f>K186/K183</f>
        <v>0.29603094337527941</v>
      </c>
      <c r="L190" s="310">
        <f>L186/L183</f>
        <v>0.31916913833017363</v>
      </c>
      <c r="M190" s="310">
        <f>L190/K190</f>
        <v>1.0781614066795775</v>
      </c>
      <c r="N190" s="309" t="s">
        <v>1415</v>
      </c>
      <c r="O190" s="312">
        <f>(O183*K180^2+2*O185*K180*K179+O184*K179^2)</f>
        <v>10680.652008265077</v>
      </c>
      <c r="P190" s="312">
        <f>(P183*L180^2+2*P185*L180*L179+P184*L179^2)</f>
        <v>6.3863082792974132E-2</v>
      </c>
      <c r="Q190" s="310">
        <f t="shared" si="41"/>
        <v>5.9793243655494591E-6</v>
      </c>
      <c r="S190" s="308"/>
      <c r="T190" s="308"/>
      <c r="W190" s="308"/>
      <c r="X190" s="308"/>
      <c r="Y190" s="311"/>
      <c r="Z190" s="309"/>
      <c r="AG190" s="326"/>
      <c r="AH190" s="319"/>
      <c r="AI190" s="322"/>
    </row>
    <row r="191" spans="10:35">
      <c r="N191" s="309" t="s">
        <v>1416</v>
      </c>
      <c r="O191" s="312">
        <f>(O183*K178*K180+O185*(K178*K179+K180^2)+O184*K180*K179)</f>
        <v>-3069.103206291968</v>
      </c>
      <c r="P191" s="312">
        <f>(P183*L178*L180+P185*(L178*L179+L180^2)+P184*L180*L179)</f>
        <v>-2.6902688936839887E-4</v>
      </c>
      <c r="Q191" s="310">
        <f t="shared" si="41"/>
        <v>8.7656514390544736E-8</v>
      </c>
      <c r="S191" s="308"/>
      <c r="T191" s="308"/>
      <c r="W191" s="308"/>
      <c r="X191" s="308"/>
      <c r="Y191" s="311"/>
      <c r="AE191" s="314"/>
      <c r="AG191" s="326"/>
      <c r="AH191" s="319"/>
      <c r="AI191" s="322"/>
    </row>
    <row r="192" spans="10:35">
      <c r="J192" s="309" t="s">
        <v>1193</v>
      </c>
      <c r="K192" s="310">
        <f>D77</f>
        <v>1.6</v>
      </c>
      <c r="L192" s="310">
        <f>L193*(1-L167)+L194*L167</f>
        <v>1.6</v>
      </c>
      <c r="M192" s="310">
        <f>L192/K192</f>
        <v>1</v>
      </c>
      <c r="N192" s="309" t="s">
        <v>1418</v>
      </c>
      <c r="O192" s="312">
        <f>O186*K181^2</f>
        <v>11117.841695501729</v>
      </c>
      <c r="P192" s="312">
        <f>P186*L181^2</f>
        <v>4.7295575817127289E-2</v>
      </c>
      <c r="Q192" s="310">
        <f t="shared" si="41"/>
        <v>4.2540249368960746E-6</v>
      </c>
      <c r="S192" s="308"/>
      <c r="T192" s="308"/>
      <c r="W192" s="308"/>
      <c r="X192" s="308"/>
      <c r="Y192" s="331"/>
      <c r="Z192" s="307"/>
      <c r="AA192" s="307"/>
      <c r="AB192" s="307"/>
      <c r="AC192" s="309"/>
      <c r="AD192" s="309"/>
      <c r="AE192" s="311"/>
      <c r="AG192" s="326"/>
      <c r="AH192" s="319"/>
      <c r="AI192" s="326" t="s">
        <v>1421</v>
      </c>
    </row>
    <row r="193" spans="10:35">
      <c r="J193" s="309" t="s">
        <v>274</v>
      </c>
      <c r="K193" s="310">
        <f>F76</f>
        <v>1.2</v>
      </c>
      <c r="L193" s="310">
        <f>K193</f>
        <v>1.2</v>
      </c>
      <c r="M193" s="310">
        <f>L193/K193</f>
        <v>1</v>
      </c>
      <c r="N193" s="309" t="s">
        <v>1422</v>
      </c>
      <c r="O193" s="312">
        <f>(O187*K178+O188*K180)</f>
        <v>60.646995481305353</v>
      </c>
      <c r="P193" s="312">
        <f>(P187*L178+P188*L180)</f>
        <v>-1.0325935690582464</v>
      </c>
      <c r="Q193" s="310">
        <f t="shared" si="41"/>
        <v>-1.7026293897387662E-2</v>
      </c>
      <c r="S193" s="308"/>
      <c r="T193" s="308"/>
      <c r="W193" s="308"/>
      <c r="X193" s="308"/>
      <c r="Y193" s="337"/>
      <c r="Z193" s="337"/>
      <c r="AA193" s="319"/>
      <c r="AB193" s="319"/>
      <c r="AC193" s="319"/>
      <c r="AD193" s="319"/>
      <c r="AG193" s="309" t="s">
        <v>1424</v>
      </c>
      <c r="AH193" s="319">
        <f>(AH189^2-AH186/AH170)^0.5-AH189</f>
        <v>2.8337998169214123</v>
      </c>
      <c r="AI193" s="319">
        <f>AH194</f>
        <v>2.8337998169214123</v>
      </c>
    </row>
    <row r="194" spans="10:35">
      <c r="J194" s="309" t="s">
        <v>1195</v>
      </c>
      <c r="K194" s="310">
        <f>(K192-K193*(1-K167))/K167</f>
        <v>1.7714285714285716</v>
      </c>
      <c r="L194" s="310">
        <f>K194</f>
        <v>1.7714285714285716</v>
      </c>
      <c r="M194" s="310">
        <f>L194/K194</f>
        <v>1</v>
      </c>
      <c r="N194" s="309" t="s">
        <v>1426</v>
      </c>
      <c r="O194" s="312">
        <f>(O187*K180+O188*K179)</f>
        <v>216.59641243323335</v>
      </c>
      <c r="P194" s="312">
        <f>(P187*L180+P188*L179)</f>
        <v>0.52479495440869006</v>
      </c>
      <c r="Q194" s="310">
        <f t="shared" si="41"/>
        <v>2.4229161901306194E-3</v>
      </c>
      <c r="S194" s="308"/>
      <c r="T194" s="308"/>
      <c r="W194" s="308"/>
      <c r="X194" s="308"/>
      <c r="Y194" s="337"/>
      <c r="Z194" s="337"/>
      <c r="AA194" s="319"/>
      <c r="AB194" s="319"/>
      <c r="AC194" s="319"/>
      <c r="AD194" s="319"/>
      <c r="AG194" s="309" t="s">
        <v>194</v>
      </c>
      <c r="AH194" s="319">
        <f>IF(AH159=0,1000000000,AH193)</f>
        <v>2.8337998169214123</v>
      </c>
    </row>
    <row r="195" spans="10:35">
      <c r="L195" s="308" t="s">
        <v>1428</v>
      </c>
      <c r="S195" s="308"/>
      <c r="T195" s="308"/>
      <c r="W195" s="308"/>
      <c r="X195" s="308"/>
      <c r="Y195" s="337"/>
      <c r="Z195" s="337"/>
      <c r="AA195" s="319"/>
      <c r="AB195" s="319"/>
      <c r="AC195" s="319"/>
      <c r="AD195" s="319"/>
      <c r="AG195" s="309" t="s">
        <v>194</v>
      </c>
      <c r="AH195" s="319">
        <f>IF(AH159=0,0,AH193)</f>
        <v>2.8337998169214123</v>
      </c>
    </row>
    <row r="196" spans="10:35">
      <c r="J196" s="307" t="s">
        <v>850</v>
      </c>
      <c r="K196" s="309"/>
      <c r="L196" s="309"/>
      <c r="N196" s="308" t="s">
        <v>1551</v>
      </c>
      <c r="P196" s="310"/>
      <c r="R196" s="308" t="s">
        <v>634</v>
      </c>
      <c r="Z196" s="308" t="s">
        <v>635</v>
      </c>
      <c r="AG196" s="308" t="s">
        <v>636</v>
      </c>
    </row>
    <row r="197" spans="10:35">
      <c r="J197" s="309" t="str">
        <f>A80</f>
        <v>T3/N52[SI]</v>
      </c>
      <c r="K197" s="307"/>
      <c r="L197" s="309"/>
      <c r="N197" s="309" t="s">
        <v>596</v>
      </c>
      <c r="O197" s="312">
        <f>G81</f>
        <v>22</v>
      </c>
      <c r="P197" s="312">
        <f>B43</f>
        <v>22</v>
      </c>
      <c r="Q197" s="313">
        <f t="shared" ref="Q197:Q202" si="42">P197/O197</f>
        <v>1</v>
      </c>
      <c r="R197" s="307"/>
      <c r="X197" s="314"/>
      <c r="Z197" s="309" t="s">
        <v>531</v>
      </c>
      <c r="AA197" s="315">
        <f>S199</f>
        <v>45</v>
      </c>
      <c r="AB197" s="315"/>
      <c r="AC197" s="315"/>
      <c r="AD197" s="315"/>
      <c r="AE197" s="309" t="s">
        <v>532</v>
      </c>
      <c r="AF197" s="314" t="s">
        <v>533</v>
      </c>
      <c r="AG197" s="309" t="s">
        <v>531</v>
      </c>
      <c r="AH197" s="315">
        <f>AA197</f>
        <v>45</v>
      </c>
    </row>
    <row r="198" spans="10:35">
      <c r="J198" s="309"/>
      <c r="K198" s="309"/>
      <c r="L198" s="309"/>
      <c r="N198" s="309" t="s">
        <v>600</v>
      </c>
      <c r="O198" s="319">
        <f>H81</f>
        <v>5.0000000000000001E-3</v>
      </c>
      <c r="P198" s="319">
        <f>C43</f>
        <v>5.0000000000000001E-3</v>
      </c>
      <c r="Q198" s="313">
        <f t="shared" si="42"/>
        <v>1</v>
      </c>
      <c r="R198" s="309" t="s">
        <v>243</v>
      </c>
      <c r="S198" s="314" t="s">
        <v>531</v>
      </c>
      <c r="T198" s="314" t="s">
        <v>652</v>
      </c>
      <c r="U198" s="314" t="s">
        <v>646</v>
      </c>
      <c r="V198" s="314"/>
      <c r="W198" s="314"/>
      <c r="X198" s="314"/>
      <c r="Z198" s="309" t="s">
        <v>536</v>
      </c>
      <c r="AA198" s="315">
        <f>S200</f>
        <v>1</v>
      </c>
      <c r="AB198" s="315"/>
      <c r="AC198" s="315"/>
      <c r="AD198" s="315"/>
      <c r="AE198" s="309">
        <f>W200</f>
        <v>0</v>
      </c>
      <c r="AF198" s="315">
        <f>X200</f>
        <v>0</v>
      </c>
      <c r="AG198" s="309" t="s">
        <v>536</v>
      </c>
      <c r="AH198" s="315">
        <f>AA198</f>
        <v>1</v>
      </c>
    </row>
    <row r="199" spans="10:35">
      <c r="J199" s="309" t="s">
        <v>1553</v>
      </c>
      <c r="K199" s="309" t="s">
        <v>1554</v>
      </c>
      <c r="L199" s="309" t="s">
        <v>1555</v>
      </c>
      <c r="M199" s="320" t="s">
        <v>1556</v>
      </c>
      <c r="N199" s="309" t="s">
        <v>1557</v>
      </c>
      <c r="O199" s="312">
        <f>G80</f>
        <v>122</v>
      </c>
      <c r="P199" s="312">
        <f>O199</f>
        <v>122</v>
      </c>
      <c r="Q199" s="313">
        <f t="shared" si="42"/>
        <v>1</v>
      </c>
      <c r="R199" s="309" t="s">
        <v>537</v>
      </c>
      <c r="S199" s="321">
        <f>C8</f>
        <v>45</v>
      </c>
      <c r="T199" s="322">
        <f>E8*L204/1000000</f>
        <v>2.5000000000000001E-4</v>
      </c>
      <c r="U199" s="319">
        <f>U160</f>
        <v>2E-3</v>
      </c>
      <c r="V199" s="321"/>
      <c r="W199" s="314"/>
      <c r="X199" s="314"/>
      <c r="Z199" s="309" t="s">
        <v>539</v>
      </c>
      <c r="AA199" s="315">
        <f>S201</f>
        <v>1.5707963267948966</v>
      </c>
      <c r="AB199" s="315"/>
      <c r="AC199" s="315"/>
      <c r="AD199" s="315"/>
      <c r="AE199" s="309" t="s">
        <v>540</v>
      </c>
      <c r="AF199" s="311">
        <f>T199</f>
        <v>2.5000000000000001E-4</v>
      </c>
      <c r="AG199" s="309" t="s">
        <v>539</v>
      </c>
      <c r="AH199" s="315">
        <f>AA199</f>
        <v>1.5707963267948966</v>
      </c>
    </row>
    <row r="200" spans="10:35">
      <c r="J200" s="309" t="s">
        <v>298</v>
      </c>
      <c r="K200" s="310">
        <f>B80</f>
        <v>181</v>
      </c>
      <c r="L200" s="310">
        <f>L207*L206*D27</f>
        <v>1.8100000000000003</v>
      </c>
      <c r="M200" s="313">
        <f>L200/K200</f>
        <v>1.0000000000000002E-2</v>
      </c>
      <c r="N200" s="309" t="s">
        <v>299</v>
      </c>
      <c r="O200" s="312">
        <f>H80</f>
        <v>160</v>
      </c>
      <c r="P200" s="312">
        <f>O200-H83*(P198)</f>
        <v>150</v>
      </c>
      <c r="Q200" s="313">
        <f t="shared" si="42"/>
        <v>0.9375</v>
      </c>
      <c r="R200" s="309" t="s">
        <v>541</v>
      </c>
      <c r="S200" s="321">
        <f>D8</f>
        <v>1</v>
      </c>
      <c r="T200" s="310"/>
      <c r="U200" s="321">
        <f>T199/U199</f>
        <v>0.125</v>
      </c>
      <c r="V200" s="321"/>
      <c r="W200" s="323"/>
      <c r="X200" s="315"/>
      <c r="Z200" s="309"/>
      <c r="AA200" s="311"/>
      <c r="AB200" s="311"/>
      <c r="AC200" s="311"/>
      <c r="AD200" s="311"/>
      <c r="AE200" s="314"/>
      <c r="AI200" s="309" t="s">
        <v>109</v>
      </c>
    </row>
    <row r="201" spans="10:35">
      <c r="J201" s="309" t="s">
        <v>1579</v>
      </c>
      <c r="K201" s="310">
        <f>C80</f>
        <v>10.3</v>
      </c>
      <c r="L201" s="310">
        <f>(1+L210)/(1/L211+L210/L208)*E27</f>
        <v>2.5068162405329986E-2</v>
      </c>
      <c r="M201" s="313">
        <f>L201/K201</f>
        <v>2.4338021752747557E-3</v>
      </c>
      <c r="N201" s="309" t="s">
        <v>1580</v>
      </c>
      <c r="O201" s="310">
        <f>(O200-O197)/(O200-O197)</f>
        <v>1</v>
      </c>
      <c r="P201" s="310">
        <f>(P200-P197)/(P200-O197)</f>
        <v>1</v>
      </c>
      <c r="Q201" s="313">
        <f t="shared" si="42"/>
        <v>1</v>
      </c>
      <c r="R201" s="309" t="s">
        <v>1295</v>
      </c>
      <c r="S201" s="325">
        <f>S199*PI()/90</f>
        <v>1.5707963267948966</v>
      </c>
      <c r="T201" s="325"/>
      <c r="U201" s="325"/>
      <c r="V201" s="325"/>
      <c r="W201" s="314"/>
      <c r="X201" s="326"/>
      <c r="Y201" s="309"/>
      <c r="Z201" s="307" t="s">
        <v>1297</v>
      </c>
      <c r="AA201" s="314"/>
      <c r="AB201" s="314"/>
      <c r="AC201" s="311"/>
      <c r="AD201" s="311"/>
      <c r="AE201" s="311"/>
      <c r="AG201" s="307" t="s">
        <v>1298</v>
      </c>
      <c r="AI201" s="309" t="s">
        <v>1299</v>
      </c>
    </row>
    <row r="202" spans="10:35">
      <c r="J202" s="309" t="s">
        <v>259</v>
      </c>
      <c r="K202" s="310">
        <f>D80</f>
        <v>0.28000000000000003</v>
      </c>
      <c r="L202" s="310">
        <f>K202*I43*C27</f>
        <v>4.2000000000000002E-4</v>
      </c>
      <c r="M202" s="313">
        <f>L202/K202</f>
        <v>1.4999999999999998E-3</v>
      </c>
      <c r="N202" s="309" t="s">
        <v>260</v>
      </c>
      <c r="O202" s="312">
        <f>O197-O199</f>
        <v>-100</v>
      </c>
      <c r="P202" s="312">
        <f>P197-P199</f>
        <v>-100</v>
      </c>
      <c r="Q202" s="313">
        <f t="shared" si="42"/>
        <v>1</v>
      </c>
      <c r="R202" s="309" t="s">
        <v>1300</v>
      </c>
      <c r="S202" s="325">
        <f>2*S201</f>
        <v>3.1415926535897931</v>
      </c>
      <c r="T202" s="325"/>
      <c r="U202" s="325"/>
      <c r="V202" s="325"/>
      <c r="W202" s="323"/>
      <c r="X202" s="315"/>
      <c r="Y202" s="311"/>
      <c r="Z202" s="309"/>
      <c r="AA202" s="314" t="s">
        <v>1301</v>
      </c>
      <c r="AB202" s="314"/>
      <c r="AC202" s="327" t="s">
        <v>619</v>
      </c>
      <c r="AD202" s="327"/>
      <c r="AE202" s="314" t="s">
        <v>1303</v>
      </c>
      <c r="AF202" s="314" t="s">
        <v>1304</v>
      </c>
      <c r="AG202" s="309" t="s">
        <v>1305</v>
      </c>
      <c r="AH202" s="319">
        <f>AA208/1000</f>
        <v>0.15303071527573509</v>
      </c>
      <c r="AI202" s="328">
        <f>AI163</f>
        <v>1.5940987336163721E-5</v>
      </c>
    </row>
    <row r="203" spans="10:35">
      <c r="J203" s="309" t="s">
        <v>261</v>
      </c>
      <c r="K203" s="310">
        <f>E80</f>
        <v>7.17</v>
      </c>
      <c r="L203" s="310">
        <f>(1+L213)/(1/L214+L213*2.7/L208)</f>
        <v>1.4788331297965859E-2</v>
      </c>
      <c r="M203" s="313">
        <f>L203/K203</f>
        <v>2.0625287723801755E-3</v>
      </c>
      <c r="N203" s="309"/>
      <c r="O203" s="310"/>
      <c r="P203" s="310"/>
      <c r="Q203" s="310"/>
      <c r="S203" s="329"/>
      <c r="T203" s="329"/>
      <c r="U203" s="329"/>
      <c r="V203" s="333"/>
      <c r="W203" s="314"/>
      <c r="X203" s="314"/>
      <c r="Y203" s="311"/>
      <c r="Z203" s="309">
        <v>1</v>
      </c>
      <c r="AA203" s="310">
        <f>AA164</f>
        <v>0.92387953251128652</v>
      </c>
      <c r="AB203" s="322"/>
      <c r="AC203" s="310">
        <f>AC164</f>
        <v>832.07951361633309</v>
      </c>
      <c r="AD203" s="322"/>
      <c r="AE203" s="326" t="s">
        <v>1306</v>
      </c>
      <c r="AF203" s="322">
        <f>IF(T199=0,0,(AC203+AC204)/2)</f>
        <v>153.03071527573502</v>
      </c>
      <c r="AG203" s="309" t="s">
        <v>1307</v>
      </c>
      <c r="AH203" s="319">
        <f>AA209/1000</f>
        <v>0.15303071527573497</v>
      </c>
      <c r="AI203" s="328">
        <f>AI164</f>
        <v>-1.4744162556861379E-5</v>
      </c>
    </row>
    <row r="204" spans="10:35">
      <c r="J204" s="309" t="s">
        <v>262</v>
      </c>
      <c r="K204" s="312">
        <f>B82</f>
        <v>125</v>
      </c>
      <c r="L204" s="312">
        <f>K204/M206</f>
        <v>125</v>
      </c>
      <c r="M204" s="313">
        <f>L204/K204</f>
        <v>1</v>
      </c>
      <c r="N204" s="307" t="s">
        <v>1531</v>
      </c>
      <c r="O204" s="310"/>
      <c r="P204" s="310"/>
      <c r="Q204" s="310"/>
      <c r="R204" s="309" t="s">
        <v>1325</v>
      </c>
      <c r="S204" s="314" t="s">
        <v>1326</v>
      </c>
      <c r="T204" s="314"/>
      <c r="U204" s="314" t="s">
        <v>1330</v>
      </c>
      <c r="V204" s="309" t="s">
        <v>172</v>
      </c>
      <c r="W204" s="309" t="s">
        <v>187</v>
      </c>
      <c r="X204" s="314"/>
      <c r="Y204" s="319"/>
      <c r="Z204" s="309">
        <v>2</v>
      </c>
      <c r="AA204" s="310">
        <f>AA165</f>
        <v>-0.38268343236509039</v>
      </c>
      <c r="AB204" s="322"/>
      <c r="AC204" s="310">
        <f>AC165</f>
        <v>-526.01808306486305</v>
      </c>
      <c r="AD204" s="322"/>
      <c r="AE204" s="326" t="s">
        <v>1309</v>
      </c>
      <c r="AF204" s="322">
        <f>IF(T199=0,0,(AC203-AC204)/2)</f>
        <v>679.04879834059807</v>
      </c>
      <c r="AG204" s="309" t="s">
        <v>1310</v>
      </c>
      <c r="AH204" s="319">
        <f>AA210/1000</f>
        <v>-1.3580975966811961</v>
      </c>
      <c r="AI204" s="328">
        <f>AI165</f>
        <v>-1.765337588225286E-21</v>
      </c>
    </row>
    <row r="205" spans="10:35">
      <c r="J205" s="307" t="s">
        <v>264</v>
      </c>
      <c r="K205" s="310"/>
      <c r="L205" s="310"/>
      <c r="N205" s="309" t="s">
        <v>265</v>
      </c>
      <c r="O205" s="310">
        <f>A83</f>
        <v>0.02</v>
      </c>
      <c r="P205" s="310">
        <f>O205</f>
        <v>0.02</v>
      </c>
      <c r="Q205" s="310">
        <f>P205/O205</f>
        <v>1</v>
      </c>
      <c r="R205" s="309">
        <v>11</v>
      </c>
      <c r="S205" s="310">
        <f>L222+L223*COS(S201)+L224*COS(S202)</f>
        <v>0.47356063733423337</v>
      </c>
      <c r="T205" s="310"/>
      <c r="U205" s="322">
        <f>S205*T199</f>
        <v>1.1839015933355835E-4</v>
      </c>
      <c r="V205" s="322">
        <f t="shared" ref="V205:W210" si="43">V166</f>
        <v>1.3910951223277007E-3</v>
      </c>
      <c r="W205" s="310">
        <f t="shared" si="43"/>
        <v>0.6955475611638503</v>
      </c>
      <c r="X205" s="319"/>
      <c r="Y205" s="311"/>
      <c r="Z205" s="309">
        <v>6</v>
      </c>
      <c r="AA205" s="310">
        <f>AA166</f>
        <v>0</v>
      </c>
      <c r="AB205" s="322"/>
      <c r="AC205" s="310">
        <f>AC166</f>
        <v>5.6856910853327399E-14</v>
      </c>
      <c r="AD205" s="322"/>
      <c r="AE205" s="326" t="s">
        <v>1312</v>
      </c>
      <c r="AF205" s="322">
        <f>IF(T199=0,0,AC205/2)</f>
        <v>2.8428455426663699E-14</v>
      </c>
      <c r="AG205" s="309"/>
      <c r="AH205" s="322"/>
      <c r="AI205" s="322"/>
    </row>
    <row r="206" spans="10:35">
      <c r="J206" s="309" t="s">
        <v>1532</v>
      </c>
      <c r="K206" s="310">
        <f>C82</f>
        <v>0.7</v>
      </c>
      <c r="L206" s="310">
        <f>D43</f>
        <v>0.7</v>
      </c>
      <c r="M206" s="313">
        <f t="shared" ref="M206:M214" si="44">L206/K206</f>
        <v>1</v>
      </c>
      <c r="N206" s="309" t="s">
        <v>1533</v>
      </c>
      <c r="O206" s="310">
        <f>B83</f>
        <v>22.5</v>
      </c>
      <c r="P206" s="310">
        <f>O206*(1-L206)/(1-K206)</f>
        <v>22.5</v>
      </c>
      <c r="Q206" s="310">
        <f>P206/O206</f>
        <v>1</v>
      </c>
      <c r="R206" s="309">
        <v>22</v>
      </c>
      <c r="S206" s="310">
        <f>S205-2*L223*COS(S201)</f>
        <v>0.47356063733423326</v>
      </c>
      <c r="T206" s="310"/>
      <c r="U206" s="322">
        <f>S206*T199</f>
        <v>1.1839015933355832E-4</v>
      </c>
      <c r="V206" s="322">
        <f t="shared" si="43"/>
        <v>1.4300606625216533E-3</v>
      </c>
      <c r="W206" s="310">
        <f t="shared" si="43"/>
        <v>0.71503033126082671</v>
      </c>
      <c r="X206" s="314"/>
      <c r="AA206" s="322"/>
      <c r="AB206" s="322"/>
      <c r="AC206" s="322"/>
      <c r="AD206" s="322"/>
      <c r="AE206" s="326"/>
      <c r="AF206" s="322"/>
      <c r="AG206" s="309"/>
      <c r="AH206" s="322"/>
      <c r="AI206" s="322"/>
    </row>
    <row r="207" spans="10:35">
      <c r="J207" s="309" t="s">
        <v>1534</v>
      </c>
      <c r="K207" s="312">
        <f>K200/K206</f>
        <v>258.57142857142861</v>
      </c>
      <c r="L207" s="312">
        <f>F43*P201^F83*C27</f>
        <v>2.5857142857142863</v>
      </c>
      <c r="M207" s="313">
        <f t="shared" si="44"/>
        <v>0.01</v>
      </c>
      <c r="N207" s="308" t="s">
        <v>1535</v>
      </c>
      <c r="O207" s="310"/>
      <c r="P207" s="310"/>
      <c r="Q207" s="310"/>
      <c r="R207" s="309" t="s">
        <v>1345</v>
      </c>
      <c r="S207" s="310">
        <f>L225-L224*COS(S202)</f>
        <v>0.44398397473830176</v>
      </c>
      <c r="T207" s="310"/>
      <c r="U207" s="322">
        <f>S207*T199</f>
        <v>1.1099599368457544E-4</v>
      </c>
      <c r="V207" s="322">
        <f t="shared" si="43"/>
        <v>4.4413343911675369E-4</v>
      </c>
      <c r="W207" s="310">
        <f t="shared" si="43"/>
        <v>0.22206671955837684</v>
      </c>
      <c r="X207" s="322"/>
      <c r="Z207" s="307" t="s">
        <v>1323</v>
      </c>
      <c r="AA207" s="322"/>
      <c r="AB207" s="322"/>
      <c r="AC207" s="322"/>
      <c r="AD207" s="322"/>
      <c r="AE207" s="326"/>
      <c r="AF207" s="322"/>
      <c r="AG207" s="309"/>
      <c r="AH207" s="322"/>
      <c r="AI207" s="322"/>
    </row>
    <row r="208" spans="10:35">
      <c r="J208" s="309" t="s">
        <v>1536</v>
      </c>
      <c r="K208" s="310">
        <f>F80</f>
        <v>3.4</v>
      </c>
      <c r="L208" s="310">
        <f>E43*P201^F82*I43*C27</f>
        <v>5.1000000000000004E-3</v>
      </c>
      <c r="M208" s="313">
        <f t="shared" si="44"/>
        <v>1.5000000000000002E-3</v>
      </c>
      <c r="N208" s="309" t="s">
        <v>1537</v>
      </c>
      <c r="O208" s="310">
        <f>C83</f>
        <v>0</v>
      </c>
      <c r="P208" s="310">
        <f>O208</f>
        <v>0</v>
      </c>
      <c r="Q208" s="310">
        <v>1</v>
      </c>
      <c r="R208" s="309">
        <v>66</v>
      </c>
      <c r="S208" s="310">
        <f>S207-L225+L226</f>
        <v>0.45876177740803159</v>
      </c>
      <c r="T208" s="310"/>
      <c r="U208" s="322">
        <f>S208*T199</f>
        <v>1.1469044435200789E-4</v>
      </c>
      <c r="V208" s="322">
        <f t="shared" si="43"/>
        <v>5.0200594305701445E-4</v>
      </c>
      <c r="W208" s="310">
        <f t="shared" si="43"/>
        <v>0.2510029715285072</v>
      </c>
      <c r="X208" s="310"/>
      <c r="Z208" s="309" t="s">
        <v>1324</v>
      </c>
      <c r="AA208" s="319">
        <f>(AF203+AF204*COS(AA199)+AF205*SIN(AA199))</f>
        <v>153.03071527573508</v>
      </c>
      <c r="AB208" s="319">
        <f>AA208+AH218</f>
        <v>153.03073321672241</v>
      </c>
      <c r="AC208" s="319">
        <f>IF(ABS(AB208/AB211)&lt;0.000000001,0,AB208)</f>
        <v>153.03073321672241</v>
      </c>
      <c r="AD208" s="319"/>
      <c r="AE208" s="326"/>
      <c r="AF208" s="322"/>
      <c r="AG208" s="307"/>
      <c r="AH208" s="326"/>
      <c r="AI208" s="322"/>
    </row>
    <row r="209" spans="10:35">
      <c r="J209" s="309" t="s">
        <v>1538</v>
      </c>
      <c r="K209" s="310">
        <f>E82</f>
        <v>0.51600000000000001</v>
      </c>
      <c r="L209" s="310">
        <f>K209*P201^G82</f>
        <v>0.51600000000000001</v>
      </c>
      <c r="M209" s="313">
        <f t="shared" si="44"/>
        <v>1</v>
      </c>
      <c r="N209" s="309" t="s">
        <v>1539</v>
      </c>
      <c r="O209" s="310">
        <f>D83</f>
        <v>0.6</v>
      </c>
      <c r="P209" s="310">
        <f>O209*(1-L206)/(1-K206)</f>
        <v>0.6</v>
      </c>
      <c r="Q209" s="310">
        <f>P209/O209</f>
        <v>1</v>
      </c>
      <c r="R209" s="309" t="s">
        <v>1347</v>
      </c>
      <c r="S209" s="310">
        <f>L223*SIN(S201)/2+L224*SIN(S202)</f>
        <v>0.44623296048886246</v>
      </c>
      <c r="T209" s="310"/>
      <c r="U209" s="322">
        <f>S209*T199</f>
        <v>1.1155824012221561E-4</v>
      </c>
      <c r="V209" s="322">
        <f t="shared" si="43"/>
        <v>6.9206013750663471E-23</v>
      </c>
      <c r="W209" s="310">
        <f t="shared" si="43"/>
        <v>3.4603006875331733E-20</v>
      </c>
      <c r="X209" s="314"/>
      <c r="Z209" s="309" t="s">
        <v>1332</v>
      </c>
      <c r="AA209" s="319">
        <f>2*AF203-AA208</f>
        <v>153.03071527573496</v>
      </c>
      <c r="AB209" s="319">
        <f>AA209+AH219</f>
        <v>153.02998121672229</v>
      </c>
      <c r="AC209" s="319">
        <f>IF(ABS(AB209/AB211)&lt;0.000000001,0,AB209)</f>
        <v>153.02998121672229</v>
      </c>
      <c r="AD209" s="319"/>
      <c r="AE209" s="322"/>
      <c r="AF209" s="322"/>
      <c r="AG209" s="309" t="s">
        <v>1333</v>
      </c>
      <c r="AH209" s="322">
        <f>P228*AH202^2+2*P230*AH202*AH203+P229*AH203^2+P231*AH204^2</f>
        <v>0.15199999835655287</v>
      </c>
      <c r="AI209" s="322"/>
    </row>
    <row r="210" spans="10:35">
      <c r="J210" s="309" t="s">
        <v>1547</v>
      </c>
      <c r="K210" s="310">
        <f>K209*(1-K206)/K206</f>
        <v>0.2211428571428572</v>
      </c>
      <c r="L210" s="310">
        <f>L209*(1-L206)/L206</f>
        <v>0.2211428571428572</v>
      </c>
      <c r="M210" s="313">
        <f t="shared" si="44"/>
        <v>1</v>
      </c>
      <c r="O210" s="310"/>
      <c r="P210" s="310"/>
      <c r="Q210" s="310"/>
      <c r="R210" s="309" t="s">
        <v>1349</v>
      </c>
      <c r="S210" s="310">
        <f>L223*SIN(S201)-S209</f>
        <v>0.44623296048886246</v>
      </c>
      <c r="T210" s="310"/>
      <c r="U210" s="322">
        <f>S210*T199</f>
        <v>1.1155824012221561E-4</v>
      </c>
      <c r="V210" s="322">
        <f t="shared" si="43"/>
        <v>5.43709294019984E-20</v>
      </c>
      <c r="W210" s="310">
        <f t="shared" si="43"/>
        <v>2.7185464700999198E-17</v>
      </c>
      <c r="X210" s="322"/>
      <c r="Z210" s="309" t="s">
        <v>1334</v>
      </c>
      <c r="AA210" s="319">
        <f>(2*(AF205*COS(AA199)-AF204*SIN(AA199)))</f>
        <v>-1358.0975966811961</v>
      </c>
      <c r="AB210" s="319">
        <f>AA210+AH220</f>
        <v>-1358.0975671928711</v>
      </c>
      <c r="AC210" s="319">
        <f>IF(ABS(AB210/AB211)&lt;0.000000001,0,AB210)</f>
        <v>-1358.0975671928711</v>
      </c>
      <c r="AD210" s="319"/>
      <c r="AE210" s="322"/>
      <c r="AF210" s="322"/>
      <c r="AG210" s="309" t="s">
        <v>1335</v>
      </c>
      <c r="AH210" s="322">
        <f>P232*AH202+P233*AH203</f>
        <v>-7.7708785215849022E-2</v>
      </c>
      <c r="AI210" s="322"/>
    </row>
    <row r="211" spans="10:35">
      <c r="J211" s="309" t="s">
        <v>1643</v>
      </c>
      <c r="K211" s="310">
        <f>1/((1+K210)/K201-K210/K208)</f>
        <v>18.686160319541436</v>
      </c>
      <c r="L211" s="310">
        <f>K211*P201^F83*C27</f>
        <v>0.18686160319541437</v>
      </c>
      <c r="M211" s="313">
        <f t="shared" si="44"/>
        <v>0.01</v>
      </c>
      <c r="N211" s="308" t="s">
        <v>176</v>
      </c>
      <c r="O211" s="310"/>
      <c r="P211" s="310"/>
      <c r="Q211" s="310"/>
      <c r="S211" s="308"/>
      <c r="T211" s="314" t="s">
        <v>1353</v>
      </c>
      <c r="U211" s="311">
        <f>U205*U206*U208+2*U207*U209*U210-U206*U209^2-U208*U207^2-U205*U210^2</f>
        <v>1.0484320121443081E-14</v>
      </c>
      <c r="V211" s="311">
        <f>V205*V206*V208+2*V207*V209*V210-V206*V209^2-V208*V207^2-V205*V210^2</f>
        <v>8.9964279259162027E-10</v>
      </c>
      <c r="W211" s="308"/>
      <c r="X211" s="322"/>
      <c r="AA211" s="309" t="s">
        <v>1363</v>
      </c>
      <c r="AB211" s="322">
        <f>SQRT(AB208^2+AB209^2+AB210^2)</f>
        <v>1375.2329193541118</v>
      </c>
      <c r="AC211" s="322"/>
      <c r="AD211" s="322"/>
      <c r="AE211" s="322"/>
      <c r="AF211" s="322"/>
      <c r="AG211" s="309" t="s">
        <v>1344</v>
      </c>
      <c r="AH211" s="322">
        <f>AH210/2/AH209</f>
        <v>-0.25562100676331656</v>
      </c>
      <c r="AI211" s="322"/>
    </row>
    <row r="212" spans="10:35">
      <c r="J212" s="309" t="s">
        <v>295</v>
      </c>
      <c r="K212" s="310">
        <f>E83</f>
        <v>0.316</v>
      </c>
      <c r="L212" s="310">
        <f>K212*P201^G82</f>
        <v>0.316</v>
      </c>
      <c r="M212" s="313">
        <f t="shared" si="44"/>
        <v>1</v>
      </c>
      <c r="N212" s="309" t="s">
        <v>296</v>
      </c>
      <c r="O212" s="312">
        <f>A81</f>
        <v>1500</v>
      </c>
      <c r="P212" s="312">
        <f>P218*L206</f>
        <v>1500</v>
      </c>
      <c r="Q212" s="310">
        <f t="shared" ref="Q212:Q219" si="45">P212/O212</f>
        <v>1</v>
      </c>
      <c r="R212" s="309" t="s">
        <v>1355</v>
      </c>
      <c r="S212" s="314" t="s">
        <v>382</v>
      </c>
      <c r="T212" s="314" t="s">
        <v>182</v>
      </c>
      <c r="U212" s="314" t="s">
        <v>669</v>
      </c>
      <c r="V212" s="314" t="s">
        <v>670</v>
      </c>
      <c r="W212" s="308"/>
      <c r="X212" s="322"/>
      <c r="Z212" s="309"/>
      <c r="AA212" s="322"/>
      <c r="AB212" s="322"/>
      <c r="AC212" s="322"/>
      <c r="AD212" s="322"/>
      <c r="AE212" s="322"/>
      <c r="AF212" s="322"/>
      <c r="AG212" s="309"/>
      <c r="AH212" s="322"/>
      <c r="AI212" s="322"/>
    </row>
    <row r="213" spans="10:35">
      <c r="J213" s="309" t="s">
        <v>301</v>
      </c>
      <c r="K213" s="310">
        <f>K212*(1-K206)/K206</f>
        <v>0.13542857142857145</v>
      </c>
      <c r="L213" s="310">
        <f>L212*(1-L206)/L206</f>
        <v>0.13542857142857145</v>
      </c>
      <c r="M213" s="313">
        <f t="shared" si="44"/>
        <v>1</v>
      </c>
      <c r="N213" s="309" t="s">
        <v>302</v>
      </c>
      <c r="O213" s="312">
        <f>B81</f>
        <v>1500</v>
      </c>
      <c r="P213" s="312">
        <f>O213*Q212*M203^E84</f>
        <v>808.22310311930141</v>
      </c>
      <c r="Q213" s="310">
        <f t="shared" si="45"/>
        <v>0.53881540207953427</v>
      </c>
      <c r="R213" s="309">
        <v>11</v>
      </c>
      <c r="S213" s="311">
        <f>IF(U211=0,1E+99,(U206*U208-U210^2)/U211)</f>
        <v>108064.14040979848</v>
      </c>
      <c r="T213" s="310">
        <f t="shared" ref="T213:V218" si="46">T174</f>
        <v>797.98221853126245</v>
      </c>
      <c r="U213" s="310">
        <f t="shared" si="46"/>
        <v>1.595964437062525</v>
      </c>
      <c r="V213" s="310">
        <f t="shared" si="46"/>
        <v>0.62658037784385989</v>
      </c>
      <c r="W213" s="308"/>
      <c r="X213" s="322"/>
      <c r="Z213" s="309"/>
      <c r="AA213" s="322"/>
      <c r="AB213" s="322"/>
      <c r="AC213" s="322"/>
      <c r="AD213" s="322"/>
      <c r="AE213" s="322"/>
      <c r="AF213" s="322"/>
      <c r="AG213" s="309"/>
      <c r="AH213" s="322"/>
      <c r="AI213" s="322"/>
    </row>
    <row r="214" spans="10:35">
      <c r="J214" s="309" t="s">
        <v>304</v>
      </c>
      <c r="K214" s="310">
        <f>1/((1+K213)/K203-K213*2.7/K208)</f>
        <v>19.680382632972858</v>
      </c>
      <c r="L214" s="310">
        <f>K214*P201^F83*C27</f>
        <v>0.19680382632972859</v>
      </c>
      <c r="M214" s="313">
        <f t="shared" si="44"/>
        <v>0.01</v>
      </c>
      <c r="N214" s="309" t="s">
        <v>305</v>
      </c>
      <c r="O214" s="312">
        <f>C81</f>
        <v>40</v>
      </c>
      <c r="P214" s="312">
        <f>O214*Q219</f>
        <v>40</v>
      </c>
      <c r="Q214" s="310">
        <f t="shared" si="45"/>
        <v>1</v>
      </c>
      <c r="R214" s="309">
        <v>22</v>
      </c>
      <c r="S214" s="311">
        <f>IF(U211=0,1E+99,(U205*U208-U209^2)/U211)</f>
        <v>108064.1404097988</v>
      </c>
      <c r="T214" s="310">
        <f t="shared" si="46"/>
        <v>776.23921907317572</v>
      </c>
      <c r="U214" s="310">
        <f t="shared" si="46"/>
        <v>1.5524784381463514</v>
      </c>
      <c r="V214" s="310">
        <f t="shared" si="46"/>
        <v>0.64413132925310901</v>
      </c>
      <c r="W214" s="308"/>
      <c r="X214" s="322"/>
      <c r="AA214" s="322"/>
      <c r="AB214" s="322"/>
      <c r="AC214" s="322"/>
      <c r="AD214" s="322"/>
      <c r="AE214" s="322"/>
      <c r="AF214" s="322"/>
      <c r="AG214" s="309"/>
      <c r="AH214" s="322"/>
      <c r="AI214" s="326" t="s">
        <v>1348</v>
      </c>
    </row>
    <row r="215" spans="10:35">
      <c r="L215" s="310"/>
      <c r="N215" s="309" t="s">
        <v>1542</v>
      </c>
      <c r="O215" s="312">
        <f>D81</f>
        <v>246</v>
      </c>
      <c r="P215" s="312">
        <f>O215*Q219</f>
        <v>246</v>
      </c>
      <c r="Q215" s="310">
        <f t="shared" si="45"/>
        <v>1</v>
      </c>
      <c r="R215" s="309" t="s">
        <v>1345</v>
      </c>
      <c r="S215" s="311">
        <f>IF(U211=0,1E+99,(U209*U210-U207*U208)/U211)</f>
        <v>-27177.622822478501</v>
      </c>
      <c r="T215" s="310">
        <f t="shared" si="46"/>
        <v>-247.82905813615449</v>
      </c>
      <c r="U215" s="310">
        <f t="shared" si="46"/>
        <v>-0.49565811627230899</v>
      </c>
      <c r="V215" s="310">
        <f t="shared" si="46"/>
        <v>0.31056964977527918</v>
      </c>
      <c r="W215" s="308"/>
      <c r="X215" s="322"/>
      <c r="AF215" s="322"/>
      <c r="AG215" s="309" t="s">
        <v>1351</v>
      </c>
      <c r="AH215" s="319">
        <f>(AH211^2+1/AH209)^0.5-AH211</f>
        <v>2.8332729496470579</v>
      </c>
      <c r="AI215" s="319">
        <f>AH216</f>
        <v>2.8332729496470579</v>
      </c>
    </row>
    <row r="216" spans="10:35">
      <c r="J216" s="308" t="s">
        <v>1507</v>
      </c>
      <c r="N216" s="309" t="s">
        <v>1543</v>
      </c>
      <c r="O216" s="345">
        <f>E81</f>
        <v>68</v>
      </c>
      <c r="P216" s="345">
        <f>O216*Q219</f>
        <v>68</v>
      </c>
      <c r="Q216" s="310">
        <f t="shared" si="45"/>
        <v>1</v>
      </c>
      <c r="R216" s="309">
        <v>66</v>
      </c>
      <c r="S216" s="311">
        <f>IF(U211=0,1E+99,(U205*U206-U207^2)/U211)</f>
        <v>161776.74788182272</v>
      </c>
      <c r="T216" s="310">
        <f t="shared" si="46"/>
        <v>1992.0082896039078</v>
      </c>
      <c r="U216" s="310">
        <f t="shared" si="46"/>
        <v>3.9840165792078155</v>
      </c>
      <c r="V216" s="310">
        <f t="shared" si="46"/>
        <v>0.2510029715285072</v>
      </c>
      <c r="W216" s="308"/>
      <c r="AF216" s="322"/>
      <c r="AG216" s="309"/>
      <c r="AH216" s="319">
        <f>IF(AH198=0,1000000000,AH215)</f>
        <v>2.8332729496470579</v>
      </c>
    </row>
    <row r="217" spans="10:35">
      <c r="J217" s="309" t="s">
        <v>1354</v>
      </c>
      <c r="K217" s="310">
        <f>K200/(1-K202^2*K201/K200)</f>
        <v>181.81113884441791</v>
      </c>
      <c r="L217" s="310">
        <f>L200/(1-L202^2*L201/L200)</f>
        <v>1.8100000044220241</v>
      </c>
      <c r="M217" s="313">
        <f>L217/K217</f>
        <v>9.9553856596811922E-3</v>
      </c>
      <c r="N217" s="309" t="s">
        <v>1168</v>
      </c>
      <c r="O217" s="313">
        <f>A82</f>
        <v>-0.5</v>
      </c>
      <c r="P217" s="313">
        <f>O217*I43*C27</f>
        <v>-7.5000000000000002E-4</v>
      </c>
      <c r="Q217" s="310">
        <f t="shared" si="45"/>
        <v>1.5E-3</v>
      </c>
      <c r="R217" s="309" t="s">
        <v>1347</v>
      </c>
      <c r="S217" s="311">
        <f>IF(U211=0,1E+99,(U207*U210-U206*U209)/U211)</f>
        <v>-78677.501012734589</v>
      </c>
      <c r="T217" s="310">
        <f t="shared" si="46"/>
        <v>2.6731697584249638E-14</v>
      </c>
      <c r="U217" s="310">
        <f t="shared" si="46"/>
        <v>5.3463395168499281E-17</v>
      </c>
      <c r="V217" s="310">
        <f t="shared" si="46"/>
        <v>3.3499114345493873E-17</v>
      </c>
      <c r="W217" s="308"/>
      <c r="X217" s="308"/>
      <c r="Y217" s="309"/>
      <c r="AF217" s="322"/>
      <c r="AG217" s="308" t="s">
        <v>1360</v>
      </c>
      <c r="AH217" s="319">
        <f>IF(AH198=0,0,AH215)</f>
        <v>2.8332729496470579</v>
      </c>
    </row>
    <row r="218" spans="10:35">
      <c r="J218" s="309" t="s">
        <v>1361</v>
      </c>
      <c r="K218" s="310">
        <f>K217*K201/K200</f>
        <v>10.346158729820468</v>
      </c>
      <c r="L218" s="310">
        <f>L217*L201/L200</f>
        <v>2.5068162466574194E-2</v>
      </c>
      <c r="M218" s="313">
        <f>L218/K218</f>
        <v>2.4229439274231191E-3</v>
      </c>
      <c r="N218" s="309" t="s">
        <v>1175</v>
      </c>
      <c r="O218" s="312">
        <f>O212/K206</f>
        <v>2142.8571428571431</v>
      </c>
      <c r="P218" s="312">
        <f>H43*P201^G83</f>
        <v>2142.8571428571431</v>
      </c>
      <c r="Q218" s="310">
        <f t="shared" si="45"/>
        <v>1</v>
      </c>
      <c r="R218" s="309" t="s">
        <v>1349</v>
      </c>
      <c r="S218" s="311">
        <f>IF(U211=0,1E+99,(U207*U209-U205*U210)/U211)</f>
        <v>-78677.501012734909</v>
      </c>
      <c r="T218" s="310">
        <f t="shared" si="46"/>
        <v>-8.4038241183318863E-14</v>
      </c>
      <c r="U218" s="310">
        <f t="shared" si="46"/>
        <v>-1.6807648236663772E-16</v>
      </c>
      <c r="V218" s="310">
        <f t="shared" si="46"/>
        <v>-1.0531342582795471E-16</v>
      </c>
      <c r="W218" s="308"/>
      <c r="X218" s="308"/>
      <c r="Y218" s="310"/>
      <c r="AF218" s="322"/>
      <c r="AG218" s="309" t="s">
        <v>1364</v>
      </c>
      <c r="AH218" s="328">
        <f>IF(AH198=0,0,AI202+AI203*COS(AH199)+AI204*SIN(AH199)-V224)</f>
        <v>1.7940987336163718E-5</v>
      </c>
      <c r="AI218" s="322"/>
    </row>
    <row r="219" spans="10:35">
      <c r="J219" s="309" t="s">
        <v>1365</v>
      </c>
      <c r="K219" s="310">
        <f>K218*K202</f>
        <v>2.8969244443497315</v>
      </c>
      <c r="L219" s="310">
        <f>L218*L202</f>
        <v>1.0528628235961163E-5</v>
      </c>
      <c r="M219" s="313">
        <f>L219/K219</f>
        <v>3.6344158911346783E-6</v>
      </c>
      <c r="N219" s="309" t="s">
        <v>1176</v>
      </c>
      <c r="O219" s="312">
        <f>O214</f>
        <v>40</v>
      </c>
      <c r="P219" s="312">
        <f>G43*P201^H82</f>
        <v>40</v>
      </c>
      <c r="Q219" s="310">
        <f t="shared" si="45"/>
        <v>1</v>
      </c>
      <c r="S219" s="308"/>
      <c r="T219" s="337"/>
      <c r="W219" s="308"/>
      <c r="X219" s="308"/>
      <c r="Y219" s="310"/>
      <c r="AF219" s="322"/>
      <c r="AG219" s="309" t="s">
        <v>1367</v>
      </c>
      <c r="AH219" s="328">
        <f>IF(AH198=0,0,2*AI202-AH218-V225-V224)</f>
        <v>-7.3405901266383646E-4</v>
      </c>
      <c r="AI219" s="322"/>
    </row>
    <row r="220" spans="10:35">
      <c r="J220" s="309" t="s">
        <v>1370</v>
      </c>
      <c r="K220" s="310">
        <f>K203</f>
        <v>7.17</v>
      </c>
      <c r="L220" s="310">
        <f>L203</f>
        <v>1.4788331297965859E-2</v>
      </c>
      <c r="M220" s="313">
        <f>L220/K220</f>
        <v>2.0625287723801755E-3</v>
      </c>
      <c r="R220" s="309"/>
      <c r="S220" s="314" t="s">
        <v>1406</v>
      </c>
      <c r="T220" s="314" t="s">
        <v>1407</v>
      </c>
      <c r="U220" s="314" t="s">
        <v>1408</v>
      </c>
      <c r="V220" s="314" t="s">
        <v>1409</v>
      </c>
      <c r="W220" s="314" t="s">
        <v>1410</v>
      </c>
      <c r="X220" s="314" t="s">
        <v>1411</v>
      </c>
      <c r="Y220" s="314" t="s">
        <v>1394</v>
      </c>
      <c r="AF220" s="322"/>
      <c r="AG220" s="309" t="s">
        <v>1372</v>
      </c>
      <c r="AH220" s="328">
        <f>IF(AH198=0,0,2*(AI204*COS(AH199)-AI203*SIN(AH199)))</f>
        <v>2.9488325113722757E-5</v>
      </c>
      <c r="AI220" s="322"/>
    </row>
    <row r="221" spans="10:35">
      <c r="J221" s="308" t="s">
        <v>1510</v>
      </c>
      <c r="K221" s="310"/>
      <c r="L221" s="310"/>
      <c r="N221" s="308" t="s">
        <v>1375</v>
      </c>
      <c r="R221" s="309">
        <v>1</v>
      </c>
      <c r="S221" s="322">
        <f>((L217+L219)/2*P205+(L219+L218)/2*P206)/1000000</f>
        <v>3.0023538014711688E-7</v>
      </c>
      <c r="T221" s="322">
        <f>((L217+L219)/2*P208+(L219+L218)/2*P209)</f>
        <v>7.5236073284430469E-3</v>
      </c>
      <c r="U221" s="328">
        <f>S221+S222*Y221</f>
        <v>3.0023538014711688E-7</v>
      </c>
      <c r="V221" s="319">
        <f>T221+T222*Y221</f>
        <v>7.5236073284430461E-3</v>
      </c>
      <c r="W221" s="319">
        <f>(U221*S213+U222*S215+U223*S217)*T199*1000000</f>
        <v>11.259999999999764</v>
      </c>
      <c r="X221" s="319">
        <f>(V221*S213+V222*S215+V223*S217)*T199</f>
        <v>0.29999999999999366</v>
      </c>
      <c r="Y221" s="319">
        <f>COS(S201)</f>
        <v>6.1257422745431001E-17</v>
      </c>
      <c r="AF221" s="322"/>
      <c r="AG221" s="322"/>
      <c r="AH221" s="322"/>
      <c r="AI221" s="322"/>
    </row>
    <row r="222" spans="10:35">
      <c r="J222" s="309" t="s">
        <v>1380</v>
      </c>
      <c r="K222" s="310">
        <f>(3*K217+3*K218+2*K219+4*K220)/8</f>
        <v>76.368217701426829</v>
      </c>
      <c r="L222" s="310">
        <f>(3*L217+3*L218+2*L219+4*L220)/8</f>
        <v>0.69554736038926623</v>
      </c>
      <c r="M222" s="313">
        <f>L222/K222</f>
        <v>9.1078118793948351E-3</v>
      </c>
      <c r="N222" s="309" t="s">
        <v>1381</v>
      </c>
      <c r="O222" s="310">
        <f>1/O212/O213*1000000</f>
        <v>0.44444444444444442</v>
      </c>
      <c r="P222" s="310">
        <f>1/P212/P213*1000000</f>
        <v>0.82485475123600904</v>
      </c>
      <c r="Q222" s="310">
        <f>P222/O222</f>
        <v>1.8559231902810205</v>
      </c>
      <c r="R222" s="309">
        <v>2</v>
      </c>
      <c r="S222" s="322">
        <f>((L217-L219)/2*P205+(L219-L218)/2*P206)/1000000</f>
        <v>-2.6379848592336727E-7</v>
      </c>
      <c r="T222" s="322">
        <f>((L217-L219)/2*P208+(L219-L218)/2*P209)</f>
        <v>-7.5172901515014687E-3</v>
      </c>
      <c r="U222" s="328">
        <f>S221-S222*Y221</f>
        <v>3.0023538014711688E-7</v>
      </c>
      <c r="V222" s="319">
        <f>T221-T222*Y221</f>
        <v>7.5236073284430478E-3</v>
      </c>
      <c r="W222" s="319">
        <f>(U221*S215+U222*S214+U223*S218)*T199*1000000</f>
        <v>11.25999999999981</v>
      </c>
      <c r="X222" s="319">
        <f>(V221*S215+V222*S214+V223*S218)*T199</f>
        <v>0.29999999999999488</v>
      </c>
      <c r="Y222" s="319">
        <f>SIN(S201)</f>
        <v>1</v>
      </c>
      <c r="AF222" s="322"/>
      <c r="AG222" s="326" t="s">
        <v>1383</v>
      </c>
      <c r="AH222" s="349">
        <f>P228*AH218^2+2*P230*AH218*AH219+P229*AH219^2+P231*AH220^2</f>
        <v>3.5330179943531288E-8</v>
      </c>
      <c r="AI222" s="322"/>
    </row>
    <row r="223" spans="10:35">
      <c r="J223" s="309" t="s">
        <v>1384</v>
      </c>
      <c r="K223" s="310">
        <f>(K217-K218)/2</f>
        <v>85.732490057298719</v>
      </c>
      <c r="L223" s="310">
        <f>(L217-L218)/2</f>
        <v>0.89246592097772492</v>
      </c>
      <c r="M223" s="313">
        <f>L223/K223</f>
        <v>1.0409891516987917E-2</v>
      </c>
      <c r="N223" s="309" t="s">
        <v>1385</v>
      </c>
      <c r="O223" s="310">
        <f>1/O214/O215*1000000</f>
        <v>101.6260162601626</v>
      </c>
      <c r="P223" s="310">
        <f>1/P214/P215*1000000</f>
        <v>101.6260162601626</v>
      </c>
      <c r="Q223" s="310">
        <f>P223/O223</f>
        <v>1</v>
      </c>
      <c r="R223" s="309">
        <v>6</v>
      </c>
      <c r="S223" s="314" t="s">
        <v>1419</v>
      </c>
      <c r="T223" s="314" t="s">
        <v>1420</v>
      </c>
      <c r="U223" s="328">
        <f>S222*Y222</f>
        <v>-2.6379848592336727E-7</v>
      </c>
      <c r="V223" s="319">
        <f>T222*Y222</f>
        <v>-7.5172901515014687E-3</v>
      </c>
      <c r="W223" s="319">
        <f>(U221*S217+U222*S218+U223*S216)*T199*1000000</f>
        <v>-22.479999999999585</v>
      </c>
      <c r="X223" s="319">
        <f>(V221*S217+V222*S218+V223*S216)*T199</f>
        <v>-0.59999999999998865</v>
      </c>
      <c r="Y223" s="314" t="s">
        <v>406</v>
      </c>
      <c r="AF223" s="322"/>
      <c r="AG223" s="326" t="s">
        <v>1387</v>
      </c>
      <c r="AH223" s="349">
        <f>P232*AH218+P233*AH219</f>
        <v>-4.0375621423008415E-4</v>
      </c>
      <c r="AI223" s="322"/>
    </row>
    <row r="224" spans="10:35">
      <c r="J224" s="309" t="s">
        <v>1388</v>
      </c>
      <c r="K224" s="310">
        <f>(K217+K218-2*K219-4*K220)/8</f>
        <v>19.710431085692363</v>
      </c>
      <c r="L224" s="310">
        <f>(L217+L218-2*L219-4*L220)/8</f>
        <v>0.22198672305503289</v>
      </c>
      <c r="M224" s="313">
        <f>L224/K224</f>
        <v>1.1262398173329207E-2</v>
      </c>
      <c r="N224" s="309" t="s">
        <v>1389</v>
      </c>
      <c r="O224" s="310">
        <f>O217*(O222*O223)^0.5</f>
        <v>-3.3603243272729659</v>
      </c>
      <c r="P224" s="310">
        <f>P217*(P222*P223)^0.5</f>
        <v>-6.8667692605968601E-3</v>
      </c>
      <c r="Q224" s="310">
        <f>P224/O224</f>
        <v>2.043484078267383E-3</v>
      </c>
      <c r="R224" s="309">
        <v>1</v>
      </c>
      <c r="S224" s="337">
        <f>P202*U221+P198*V221</f>
        <v>7.5944986275035468E-6</v>
      </c>
      <c r="T224" s="311">
        <f>P202*W221/1000000+P198*X221</f>
        <v>3.7399999999999196E-4</v>
      </c>
      <c r="U224" s="314" t="s">
        <v>1423</v>
      </c>
      <c r="V224" s="311">
        <f>P202*P205/1000000+P198*P208</f>
        <v>-1.9999999999999999E-6</v>
      </c>
      <c r="W224" s="308"/>
      <c r="Y224" s="319">
        <f>Y221+Y260+Y299+W343+W382+W421+W460+W499</f>
        <v>1.1102230246251565E-16</v>
      </c>
      <c r="AF224" s="322"/>
      <c r="AG224" s="326" t="s">
        <v>1390</v>
      </c>
      <c r="AH224" s="349">
        <f>AH222+AH223</f>
        <v>-4.0372088405014065E-4</v>
      </c>
      <c r="AI224" s="322"/>
    </row>
    <row r="225" spans="10:35">
      <c r="J225" s="309" t="s">
        <v>1391</v>
      </c>
      <c r="K225" s="310">
        <f>(K217+K218+6*K219-4*K220)/8</f>
        <v>22.607355530042096</v>
      </c>
      <c r="L225" s="310">
        <f>(L217+L218+6*L219-4*L220)/8</f>
        <v>0.22199725168326884</v>
      </c>
      <c r="M225" s="313">
        <f>L225/K225</f>
        <v>9.819691267661303E-3</v>
      </c>
      <c r="N225" s="309" t="s">
        <v>1392</v>
      </c>
      <c r="O225" s="310">
        <f>1/O216^2*1000000</f>
        <v>216.26297577854672</v>
      </c>
      <c r="P225" s="310">
        <f>1/P216^2*1000000</f>
        <v>216.26297577854672</v>
      </c>
      <c r="Q225" s="310">
        <f>P225/O225</f>
        <v>1</v>
      </c>
      <c r="R225" s="309">
        <v>2</v>
      </c>
      <c r="S225" s="337">
        <f>P202*U222+P198*V222</f>
        <v>7.5944986275035535E-6</v>
      </c>
      <c r="T225" s="311">
        <f>P202*W222/1000000+P198*X222</f>
        <v>3.7399999999999348E-4</v>
      </c>
      <c r="U225" s="314" t="s">
        <v>1427</v>
      </c>
      <c r="V225" s="311">
        <f>P202*P206/1000000+P198*P209</f>
        <v>7.5000000000000023E-4</v>
      </c>
      <c r="W225" s="308"/>
      <c r="Y225" s="319">
        <f>Y222+Y261+Y300+W344+W383+W422+W461+W500</f>
        <v>1.0000000000000002</v>
      </c>
      <c r="AA225" s="307" t="s">
        <v>699</v>
      </c>
      <c r="AB225" s="307" t="s">
        <v>701</v>
      </c>
      <c r="AC225" s="309" t="s">
        <v>408</v>
      </c>
      <c r="AD225" s="309" t="s">
        <v>409</v>
      </c>
      <c r="AE225" s="308" t="s">
        <v>410</v>
      </c>
      <c r="AF225" s="322"/>
      <c r="AG225" s="326" t="s">
        <v>1395</v>
      </c>
      <c r="AH225" s="349">
        <f>-1+AH224</f>
        <v>-1.0004037208840502</v>
      </c>
      <c r="AI225" s="322"/>
    </row>
    <row r="226" spans="10:35">
      <c r="J226" s="309" t="s">
        <v>1396</v>
      </c>
      <c r="K226" s="310">
        <f>(K222-K225)/2</f>
        <v>26.880431085692365</v>
      </c>
      <c r="L226" s="310">
        <f>(L222-L225)/2</f>
        <v>0.2367750543529987</v>
      </c>
      <c r="M226" s="313">
        <f>L226/K226</f>
        <v>8.8084545072280047E-3</v>
      </c>
      <c r="N226" s="309" t="s">
        <v>1397</v>
      </c>
      <c r="O226" s="310">
        <f>(1/O212-1/O213)*1000</f>
        <v>0</v>
      </c>
      <c r="P226" s="310">
        <f>(1/P212-1/P213)*1000</f>
        <v>-0.57061546018734688</v>
      </c>
      <c r="Q226" s="310">
        <f>IF(O226=0,1,P226/O226)</f>
        <v>1</v>
      </c>
      <c r="R226" s="309">
        <v>6</v>
      </c>
      <c r="S226" s="337">
        <f>P202*U223+P198*V223</f>
        <v>-1.1206602165170619E-5</v>
      </c>
      <c r="T226" s="311">
        <f>P202*W223/1000000+P198*X223</f>
        <v>-7.5199999999998445E-4</v>
      </c>
      <c r="U226" s="314" t="s">
        <v>1429</v>
      </c>
      <c r="V226" s="311">
        <f>0</f>
        <v>0</v>
      </c>
      <c r="W226" s="308"/>
      <c r="Y226" s="311"/>
      <c r="AA226" s="322">
        <f t="shared" ref="AA226:AE228" si="47">AA187</f>
        <v>3.0179841135253815E-7</v>
      </c>
      <c r="AB226" s="322">
        <f t="shared" si="47"/>
        <v>7.5652880535078352E-3</v>
      </c>
      <c r="AC226" s="322">
        <f t="shared" si="47"/>
        <v>0.11556465563659149</v>
      </c>
      <c r="AD226" s="322">
        <f t="shared" si="47"/>
        <v>2.5506580685922976E-3</v>
      </c>
      <c r="AE226" s="322">
        <f t="shared" si="47"/>
        <v>1.1968247793023403E-6</v>
      </c>
      <c r="AF226" s="322"/>
      <c r="AG226" s="326" t="s">
        <v>1399</v>
      </c>
      <c r="AH226" s="349">
        <f>2*(P228*AH202*AH218+P229*AH203*AH219+P230*(AH202*AH219+AH218*AH203)+P231*AH204*AH220)</f>
        <v>-3.2386772014627864E-6</v>
      </c>
      <c r="AI226" s="322"/>
    </row>
    <row r="227" spans="10:35">
      <c r="J227" s="308" t="s">
        <v>1400</v>
      </c>
      <c r="N227" s="309" t="s">
        <v>1401</v>
      </c>
      <c r="O227" s="310">
        <f>(1/O214-1/O215)*1000</f>
        <v>20.934959349593495</v>
      </c>
      <c r="P227" s="310">
        <f>(1/P214-1/P215)*1000</f>
        <v>20.934959349593495</v>
      </c>
      <c r="Q227" s="310">
        <f t="shared" ref="Q227:Q233" si="48">P227/O227</f>
        <v>1</v>
      </c>
      <c r="R227" s="309"/>
      <c r="S227" s="319"/>
      <c r="T227" s="319"/>
      <c r="U227" s="319"/>
      <c r="V227" s="319"/>
      <c r="W227" s="308"/>
      <c r="X227" s="308"/>
      <c r="Y227" s="311"/>
      <c r="AA227" s="322">
        <f t="shared" si="47"/>
        <v>7.3860361411472986E-7</v>
      </c>
      <c r="AB227" s="322">
        <f t="shared" si="47"/>
        <v>1.9213389851379336E-2</v>
      </c>
      <c r="AC227" s="322">
        <f t="shared" si="47"/>
        <v>0.9970773531851117</v>
      </c>
      <c r="AD227" s="322">
        <f t="shared" si="47"/>
        <v>2.6078577042307254E-2</v>
      </c>
      <c r="AE227" s="322">
        <f t="shared" si="47"/>
        <v>3.0685149893025098E-5</v>
      </c>
      <c r="AG227" s="326" t="s">
        <v>1403</v>
      </c>
      <c r="AH227" s="349">
        <f>AH226+AH210</f>
        <v>-7.7712023893050486E-2</v>
      </c>
      <c r="AI227" s="322"/>
    </row>
    <row r="228" spans="10:35">
      <c r="J228" s="309" t="s">
        <v>1404</v>
      </c>
      <c r="K228" s="310">
        <f>(1-(K225/K222)^2)*K222</f>
        <v>69.675740916648124</v>
      </c>
      <c r="L228" s="310">
        <f>(1-(L225/L222)^2)*L222</f>
        <v>0.62469268885785056</v>
      </c>
      <c r="M228" s="310">
        <f>L228/K228</f>
        <v>8.9657128957575001E-3</v>
      </c>
      <c r="N228" s="309" t="s">
        <v>1405</v>
      </c>
      <c r="O228" s="312">
        <f>(O222*K217^2+2*O224*K217*K219+O223*K219^2)</f>
        <v>12004.38353147296</v>
      </c>
      <c r="P228" s="312">
        <f>(P222*L217^2+2*P224*L217*L219+P223*L219^2)</f>
        <v>2.7023064132762555</v>
      </c>
      <c r="Q228" s="310">
        <f t="shared" si="48"/>
        <v>2.2510996971992592E-4</v>
      </c>
      <c r="S228" s="308"/>
      <c r="T228" s="308"/>
      <c r="W228" s="308"/>
      <c r="X228" s="308"/>
      <c r="Y228" s="311"/>
      <c r="AA228" s="322">
        <f t="shared" si="47"/>
        <v>-1.0657348743377306E-23</v>
      </c>
      <c r="AB228" s="322">
        <f t="shared" si="47"/>
        <v>-2.2354267242619807E-19</v>
      </c>
      <c r="AC228" s="322">
        <f t="shared" si="47"/>
        <v>-1.5046578368033799E-16</v>
      </c>
      <c r="AD228" s="322">
        <f t="shared" si="47"/>
        <v>-3.7154507088968738E-18</v>
      </c>
      <c r="AE228" s="322">
        <f t="shared" si="47"/>
        <v>-3.530675176450572E-21</v>
      </c>
      <c r="AG228" s="326" t="s">
        <v>1412</v>
      </c>
      <c r="AH228" s="349">
        <f>AH227/2/AH209</f>
        <v>-0.25563166030685763</v>
      </c>
      <c r="AI228" s="322"/>
    </row>
    <row r="229" spans="10:35">
      <c r="J229" s="309" t="s">
        <v>1414</v>
      </c>
      <c r="K229" s="310">
        <f>K225/K222</f>
        <v>0.29603094337527941</v>
      </c>
      <c r="L229" s="310">
        <f>L225/L222</f>
        <v>0.31916913833017363</v>
      </c>
      <c r="M229" s="310">
        <f>L229/K229</f>
        <v>1.0781614066795775</v>
      </c>
      <c r="N229" s="309" t="s">
        <v>1415</v>
      </c>
      <c r="O229" s="312">
        <f>(O222*K219^2+2*O224*K219*K218+O223*K218^2)</f>
        <v>10680.652008265077</v>
      </c>
      <c r="P229" s="312">
        <f>(P222*L219^2+2*P224*L219*L218+P223*L218^2)</f>
        <v>6.3863082792974132E-2</v>
      </c>
      <c r="Q229" s="310">
        <f t="shared" si="48"/>
        <v>5.9793243655494591E-6</v>
      </c>
      <c r="S229" s="308"/>
      <c r="T229" s="308"/>
      <c r="W229" s="308"/>
      <c r="X229" s="308"/>
      <c r="Y229" s="311"/>
      <c r="Z229" s="309"/>
      <c r="AG229" s="326"/>
      <c r="AH229" s="319"/>
      <c r="AI229" s="322"/>
    </row>
    <row r="230" spans="10:35">
      <c r="N230" s="309" t="s">
        <v>1416</v>
      </c>
      <c r="O230" s="312">
        <f>(O222*K217*K219+O224*(K217*K218+K219^2)+O223*K219*K218)</f>
        <v>-3069.103206291968</v>
      </c>
      <c r="P230" s="312">
        <f>(P222*L217*L219+P224*(L217*L218+L219^2)+P223*L219*L218)</f>
        <v>-2.6902688936839887E-4</v>
      </c>
      <c r="Q230" s="310">
        <f t="shared" si="48"/>
        <v>8.7656514390544736E-8</v>
      </c>
      <c r="S230" s="308"/>
      <c r="T230" s="308"/>
      <c r="W230" s="308"/>
      <c r="X230" s="308"/>
      <c r="Y230" s="311"/>
      <c r="AA230" s="308" t="s">
        <v>188</v>
      </c>
      <c r="AE230" s="314"/>
      <c r="AG230" s="326"/>
      <c r="AH230" s="319"/>
      <c r="AI230" s="322"/>
    </row>
    <row r="231" spans="10:35">
      <c r="J231" s="309" t="s">
        <v>1193</v>
      </c>
      <c r="K231" s="310">
        <f>D82</f>
        <v>1.6</v>
      </c>
      <c r="L231" s="310">
        <f>L232*(1-L206)+L233*L206</f>
        <v>1.6</v>
      </c>
      <c r="M231" s="310">
        <f>L231/K231</f>
        <v>1</v>
      </c>
      <c r="N231" s="309" t="s">
        <v>1418</v>
      </c>
      <c r="O231" s="312">
        <f>O225*K220^2</f>
        <v>11117.841695501729</v>
      </c>
      <c r="P231" s="312">
        <f>P225*L220^2</f>
        <v>4.7295575817127289E-2</v>
      </c>
      <c r="Q231" s="310">
        <f t="shared" si="48"/>
        <v>4.2540249368960746E-6</v>
      </c>
      <c r="S231" s="308"/>
      <c r="T231" s="308"/>
      <c r="W231" s="308"/>
      <c r="X231" s="308"/>
      <c r="Y231" s="331"/>
      <c r="Z231" s="307"/>
      <c r="AA231" s="307"/>
      <c r="AB231" s="307"/>
      <c r="AC231" s="309"/>
      <c r="AD231" s="309"/>
      <c r="AE231" s="311"/>
      <c r="AG231" s="326"/>
      <c r="AH231" s="319"/>
      <c r="AI231" s="326" t="s">
        <v>1421</v>
      </c>
    </row>
    <row r="232" spans="10:35">
      <c r="J232" s="309" t="s">
        <v>274</v>
      </c>
      <c r="K232" s="310">
        <f>F81</f>
        <v>1.2</v>
      </c>
      <c r="L232" s="310">
        <f>K232</f>
        <v>1.2</v>
      </c>
      <c r="M232" s="310">
        <f>L232/K232</f>
        <v>1</v>
      </c>
      <c r="N232" s="309" t="s">
        <v>1422</v>
      </c>
      <c r="O232" s="312">
        <f>(O226*K217+O227*K219)</f>
        <v>60.646995481305353</v>
      </c>
      <c r="P232" s="312">
        <f>(P226*L217+P227*L219)</f>
        <v>-1.0325935690582464</v>
      </c>
      <c r="Q232" s="310">
        <f t="shared" si="48"/>
        <v>-1.7026293897387662E-2</v>
      </c>
      <c r="S232" s="308"/>
      <c r="T232" s="308"/>
      <c r="W232" s="308"/>
      <c r="X232" s="308"/>
      <c r="Y232" s="337"/>
      <c r="Z232" s="337"/>
      <c r="AA232" s="319"/>
      <c r="AB232" s="319"/>
      <c r="AC232" s="319"/>
      <c r="AD232" s="319"/>
      <c r="AG232" s="309" t="s">
        <v>1424</v>
      </c>
      <c r="AH232" s="319">
        <f>(AH228^2-AH225/AH209)^0.5-AH228</f>
        <v>2.8337998169214123</v>
      </c>
      <c r="AI232" s="319">
        <f>AH233</f>
        <v>2.8337998169214123</v>
      </c>
    </row>
    <row r="233" spans="10:35">
      <c r="J233" s="309" t="s">
        <v>1195</v>
      </c>
      <c r="K233" s="310">
        <f>(K231-K232*(1-K206))/K206</f>
        <v>1.7714285714285716</v>
      </c>
      <c r="L233" s="310">
        <f>K233</f>
        <v>1.7714285714285716</v>
      </c>
      <c r="M233" s="310">
        <f>L233/K233</f>
        <v>1</v>
      </c>
      <c r="N233" s="309" t="s">
        <v>1426</v>
      </c>
      <c r="O233" s="312">
        <f>(O226*K219+O227*K218)</f>
        <v>216.59641243323335</v>
      </c>
      <c r="P233" s="312">
        <f>(P226*L219+P227*L218)</f>
        <v>0.52479495440869006</v>
      </c>
      <c r="Q233" s="310">
        <f t="shared" si="48"/>
        <v>2.4229161901306194E-3</v>
      </c>
      <c r="S233" s="308"/>
      <c r="T233" s="308"/>
      <c r="W233" s="308"/>
      <c r="X233" s="308"/>
      <c r="Y233" s="337"/>
      <c r="Z233" s="337"/>
      <c r="AA233" s="319"/>
      <c r="AB233" s="319"/>
      <c r="AC233" s="319"/>
      <c r="AD233" s="319"/>
      <c r="AG233" s="309" t="s">
        <v>194</v>
      </c>
      <c r="AH233" s="319">
        <f>IF(AH198=0,1000000000,AH232)</f>
        <v>2.8337998169214123</v>
      </c>
    </row>
    <row r="234" spans="10:35">
      <c r="L234" s="308" t="s">
        <v>1428</v>
      </c>
      <c r="S234" s="308"/>
      <c r="T234" s="308"/>
      <c r="W234" s="308"/>
      <c r="X234" s="308"/>
      <c r="Y234" s="337"/>
      <c r="Z234" s="337"/>
      <c r="AA234" s="319"/>
      <c r="AB234" s="319"/>
      <c r="AC234" s="319"/>
      <c r="AD234" s="319"/>
      <c r="AG234" s="309" t="s">
        <v>194</v>
      </c>
      <c r="AH234" s="319">
        <f>IF(AH198=0,0,AH232)</f>
        <v>2.8337998169214123</v>
      </c>
    </row>
    <row r="235" spans="10:35">
      <c r="J235" s="307" t="s">
        <v>851</v>
      </c>
      <c r="K235" s="309"/>
      <c r="L235" s="309"/>
      <c r="N235" s="308" t="s">
        <v>1551</v>
      </c>
      <c r="P235" s="310"/>
      <c r="R235" s="308" t="s">
        <v>634</v>
      </c>
      <c r="Z235" s="308" t="s">
        <v>635</v>
      </c>
      <c r="AG235" s="308" t="s">
        <v>636</v>
      </c>
    </row>
    <row r="236" spans="10:35">
      <c r="J236" s="309" t="str">
        <f>A87</f>
        <v>T3/N52[SI]</v>
      </c>
      <c r="K236" s="307"/>
      <c r="L236" s="309"/>
      <c r="N236" s="309" t="s">
        <v>596</v>
      </c>
      <c r="O236" s="312">
        <f>G88</f>
        <v>22</v>
      </c>
      <c r="P236" s="312">
        <f>B45</f>
        <v>22</v>
      </c>
      <c r="Q236" s="313">
        <f t="shared" ref="Q236:Q241" si="49">P236/O236</f>
        <v>1</v>
      </c>
      <c r="R236" s="307"/>
      <c r="X236" s="314"/>
      <c r="Z236" s="309" t="s">
        <v>531</v>
      </c>
      <c r="AA236" s="315">
        <f>S238</f>
        <v>90</v>
      </c>
      <c r="AB236" s="315"/>
      <c r="AC236" s="315"/>
      <c r="AD236" s="315"/>
      <c r="AE236" s="309" t="s">
        <v>532</v>
      </c>
      <c r="AF236" s="314" t="s">
        <v>533</v>
      </c>
      <c r="AG236" s="309" t="s">
        <v>531</v>
      </c>
      <c r="AH236" s="315">
        <f>AA236</f>
        <v>90</v>
      </c>
    </row>
    <row r="237" spans="10:35">
      <c r="J237" s="309"/>
      <c r="K237" s="309"/>
      <c r="L237" s="309"/>
      <c r="N237" s="309" t="s">
        <v>600</v>
      </c>
      <c r="O237" s="319">
        <f>H88</f>
        <v>5.0000000000000001E-3</v>
      </c>
      <c r="P237" s="319">
        <f>C45</f>
        <v>5.0000000000000001E-3</v>
      </c>
      <c r="Q237" s="313">
        <f t="shared" si="49"/>
        <v>1</v>
      </c>
      <c r="R237" s="309" t="s">
        <v>243</v>
      </c>
      <c r="S237" s="314" t="s">
        <v>1562</v>
      </c>
      <c r="T237" s="314" t="s">
        <v>652</v>
      </c>
      <c r="U237" s="314" t="s">
        <v>646</v>
      </c>
      <c r="V237" s="314"/>
      <c r="W237" s="314"/>
      <c r="X237" s="314"/>
      <c r="Z237" s="309" t="s">
        <v>536</v>
      </c>
      <c r="AA237" s="315">
        <f>S239</f>
        <v>1</v>
      </c>
      <c r="AB237" s="315"/>
      <c r="AC237" s="315"/>
      <c r="AD237" s="315"/>
      <c r="AE237" s="309">
        <f>W239</f>
        <v>0</v>
      </c>
      <c r="AF237" s="315">
        <f>X239</f>
        <v>0</v>
      </c>
      <c r="AG237" s="309" t="s">
        <v>536</v>
      </c>
      <c r="AH237" s="315">
        <f>AA237</f>
        <v>1</v>
      </c>
    </row>
    <row r="238" spans="10:35">
      <c r="J238" s="309" t="s">
        <v>1553</v>
      </c>
      <c r="K238" s="309" t="s">
        <v>1554</v>
      </c>
      <c r="L238" s="309" t="s">
        <v>1555</v>
      </c>
      <c r="M238" s="320" t="s">
        <v>1556</v>
      </c>
      <c r="N238" s="309" t="s">
        <v>1557</v>
      </c>
      <c r="O238" s="312">
        <f>G87</f>
        <v>122</v>
      </c>
      <c r="P238" s="312">
        <f>O238</f>
        <v>122</v>
      </c>
      <c r="Q238" s="313">
        <f t="shared" si="49"/>
        <v>1</v>
      </c>
      <c r="R238" s="309" t="s">
        <v>537</v>
      </c>
      <c r="S238" s="321">
        <f>C9</f>
        <v>90</v>
      </c>
      <c r="T238" s="322">
        <f>E9*L243/1000000</f>
        <v>2.5000000000000001E-4</v>
      </c>
      <c r="U238" s="319">
        <f>U199</f>
        <v>2E-3</v>
      </c>
      <c r="V238" s="321"/>
      <c r="W238" s="314"/>
      <c r="X238" s="314"/>
      <c r="Z238" s="309" t="s">
        <v>539</v>
      </c>
      <c r="AA238" s="315">
        <f>S240</f>
        <v>3.1415926535897931</v>
      </c>
      <c r="AB238" s="315"/>
      <c r="AC238" s="315"/>
      <c r="AD238" s="315"/>
      <c r="AE238" s="309" t="s">
        <v>540</v>
      </c>
      <c r="AF238" s="311">
        <f>T238</f>
        <v>2.5000000000000001E-4</v>
      </c>
      <c r="AG238" s="309" t="s">
        <v>539</v>
      </c>
      <c r="AH238" s="315">
        <f>AA238</f>
        <v>3.1415926535897931</v>
      </c>
    </row>
    <row r="239" spans="10:35">
      <c r="J239" s="309" t="s">
        <v>298</v>
      </c>
      <c r="K239" s="310">
        <f>B87</f>
        <v>181</v>
      </c>
      <c r="L239" s="310">
        <f>L246*L245*D28</f>
        <v>1.8100000000000003</v>
      </c>
      <c r="M239" s="313">
        <f>L239/K239</f>
        <v>1.0000000000000002E-2</v>
      </c>
      <c r="N239" s="309" t="s">
        <v>299</v>
      </c>
      <c r="O239" s="312">
        <f>H87</f>
        <v>160</v>
      </c>
      <c r="P239" s="312">
        <f>O239-H90*(P237)</f>
        <v>150</v>
      </c>
      <c r="Q239" s="313">
        <f t="shared" si="49"/>
        <v>0.9375</v>
      </c>
      <c r="R239" s="309" t="s">
        <v>541</v>
      </c>
      <c r="S239" s="321">
        <f>D9</f>
        <v>1</v>
      </c>
      <c r="T239" s="310"/>
      <c r="U239" s="308">
        <f>T238/U238</f>
        <v>0.125</v>
      </c>
      <c r="V239" s="321"/>
      <c r="W239" s="323"/>
      <c r="X239" s="315"/>
      <c r="Z239" s="309"/>
      <c r="AA239" s="311"/>
      <c r="AB239" s="311"/>
      <c r="AC239" s="311"/>
      <c r="AD239" s="311"/>
      <c r="AE239" s="314"/>
      <c r="AI239" s="309" t="s">
        <v>109</v>
      </c>
    </row>
    <row r="240" spans="10:35">
      <c r="J240" s="309" t="s">
        <v>1579</v>
      </c>
      <c r="K240" s="310">
        <f>C87</f>
        <v>10.3</v>
      </c>
      <c r="L240" s="310">
        <f>(1+L249)/(1/L250+L249/L247)*E28</f>
        <v>2.5068162405329986E-2</v>
      </c>
      <c r="M240" s="313">
        <f>L240/K240</f>
        <v>2.4338021752747557E-3</v>
      </c>
      <c r="N240" s="309" t="s">
        <v>1580</v>
      </c>
      <c r="O240" s="310">
        <f>(O239-O236)/(O239-O236)</f>
        <v>1</v>
      </c>
      <c r="P240" s="310">
        <f>(P239-P236)/(P239-O236)</f>
        <v>1</v>
      </c>
      <c r="Q240" s="313">
        <f t="shared" si="49"/>
        <v>1</v>
      </c>
      <c r="R240" s="309" t="s">
        <v>1295</v>
      </c>
      <c r="S240" s="325">
        <f>S238*PI()/90</f>
        <v>3.1415926535897931</v>
      </c>
      <c r="T240" s="325"/>
      <c r="U240" s="325"/>
      <c r="V240" s="325"/>
      <c r="W240" s="314"/>
      <c r="X240" s="326"/>
      <c r="Y240" s="309"/>
      <c r="Z240" s="307" t="s">
        <v>1297</v>
      </c>
      <c r="AA240" s="314"/>
      <c r="AB240" s="314"/>
      <c r="AC240" s="311"/>
      <c r="AD240" s="311"/>
      <c r="AE240" s="311"/>
      <c r="AG240" s="307" t="s">
        <v>1298</v>
      </c>
      <c r="AI240" s="309" t="s">
        <v>1299</v>
      </c>
    </row>
    <row r="241" spans="10:35">
      <c r="J241" s="309" t="s">
        <v>259</v>
      </c>
      <c r="K241" s="310">
        <f>D87</f>
        <v>0.28000000000000003</v>
      </c>
      <c r="L241" s="310">
        <f>K241*I45*C28</f>
        <v>4.2000000000000002E-4</v>
      </c>
      <c r="M241" s="313">
        <f>L241/K241</f>
        <v>1.4999999999999998E-3</v>
      </c>
      <c r="N241" s="309" t="s">
        <v>260</v>
      </c>
      <c r="O241" s="312">
        <f>O236-O238</f>
        <v>-100</v>
      </c>
      <c r="P241" s="312">
        <f>P236-P238</f>
        <v>-100</v>
      </c>
      <c r="Q241" s="313">
        <f t="shared" si="49"/>
        <v>1</v>
      </c>
      <c r="R241" s="309" t="s">
        <v>1300</v>
      </c>
      <c r="S241" s="325">
        <f>2*S240</f>
        <v>6.2831853071795862</v>
      </c>
      <c r="T241" s="325"/>
      <c r="U241" s="325"/>
      <c r="V241" s="325"/>
      <c r="W241" s="323"/>
      <c r="X241" s="315"/>
      <c r="Y241" s="311"/>
      <c r="Z241" s="309"/>
      <c r="AA241" s="314" t="s">
        <v>1301</v>
      </c>
      <c r="AB241" s="314"/>
      <c r="AC241" s="327" t="s">
        <v>619</v>
      </c>
      <c r="AD241" s="327"/>
      <c r="AE241" s="314" t="s">
        <v>1303</v>
      </c>
      <c r="AF241" s="314" t="s">
        <v>1304</v>
      </c>
      <c r="AG241" s="309" t="s">
        <v>1305</v>
      </c>
      <c r="AH241" s="319">
        <f>AA247/1000</f>
        <v>-0.52601808306486308</v>
      </c>
      <c r="AI241" s="328">
        <f>AI202</f>
        <v>1.5940987336163721E-5</v>
      </c>
    </row>
    <row r="242" spans="10:35">
      <c r="J242" s="309" t="s">
        <v>261</v>
      </c>
      <c r="K242" s="310">
        <f>E87</f>
        <v>7.17</v>
      </c>
      <c r="L242" s="310">
        <f>(1+L252)/(1/L253+L252*2.7/L247)</f>
        <v>1.4788331297965859E-2</v>
      </c>
      <c r="M242" s="313">
        <f>L242/K242</f>
        <v>2.0625287723801755E-3</v>
      </c>
      <c r="N242" s="309"/>
      <c r="O242" s="310"/>
      <c r="P242" s="310"/>
      <c r="Q242" s="310"/>
      <c r="S242" s="329"/>
      <c r="T242" s="329"/>
      <c r="U242" s="329"/>
      <c r="V242" s="333"/>
      <c r="W242" s="314"/>
      <c r="X242" s="314"/>
      <c r="Y242" s="311"/>
      <c r="Z242" s="309">
        <v>1</v>
      </c>
      <c r="AA242" s="310">
        <f>AA203</f>
        <v>0.92387953251128652</v>
      </c>
      <c r="AB242" s="322"/>
      <c r="AC242" s="310">
        <f>AC203</f>
        <v>832.07951361633309</v>
      </c>
      <c r="AD242" s="322"/>
      <c r="AE242" s="326" t="s">
        <v>1306</v>
      </c>
      <c r="AF242" s="322">
        <f>IF(T238=0,0,(AC242+AC243)/2)</f>
        <v>153.03071527573502</v>
      </c>
      <c r="AG242" s="309" t="s">
        <v>1307</v>
      </c>
      <c r="AH242" s="319">
        <f>AA248/1000</f>
        <v>0.83207951361633303</v>
      </c>
      <c r="AI242" s="328">
        <f>AI203</f>
        <v>-1.4744162556861379E-5</v>
      </c>
    </row>
    <row r="243" spans="10:35">
      <c r="J243" s="309" t="s">
        <v>262</v>
      </c>
      <c r="K243" s="312">
        <f>B89</f>
        <v>125</v>
      </c>
      <c r="L243" s="312">
        <f>K243/M245</f>
        <v>125</v>
      </c>
      <c r="M243" s="313">
        <f>L243/K243</f>
        <v>1</v>
      </c>
      <c r="N243" s="307" t="s">
        <v>1531</v>
      </c>
      <c r="O243" s="310"/>
      <c r="P243" s="310"/>
      <c r="Q243" s="310"/>
      <c r="R243" s="309" t="s">
        <v>1325</v>
      </c>
      <c r="S243" s="314" t="s">
        <v>1326</v>
      </c>
      <c r="T243" s="314"/>
      <c r="U243" s="314" t="s">
        <v>1330</v>
      </c>
      <c r="V243" s="309" t="s">
        <v>172</v>
      </c>
      <c r="W243" s="309" t="s">
        <v>187</v>
      </c>
      <c r="X243" s="314"/>
      <c r="Y243" s="319"/>
      <c r="Z243" s="309">
        <v>2</v>
      </c>
      <c r="AA243" s="310">
        <f>AA204</f>
        <v>-0.38268343236509039</v>
      </c>
      <c r="AB243" s="322"/>
      <c r="AC243" s="310">
        <f>AC204</f>
        <v>-526.01808306486305</v>
      </c>
      <c r="AD243" s="322"/>
      <c r="AE243" s="326" t="s">
        <v>1309</v>
      </c>
      <c r="AF243" s="322">
        <f>IF(T238=0,0,(AC242-AC243)/2)</f>
        <v>679.04879834059807</v>
      </c>
      <c r="AG243" s="309" t="s">
        <v>1310</v>
      </c>
      <c r="AH243" s="319">
        <f>AA249/1000</f>
        <v>-2.2324402807223513E-16</v>
      </c>
      <c r="AI243" s="328">
        <f>AI204</f>
        <v>-1.765337588225286E-21</v>
      </c>
    </row>
    <row r="244" spans="10:35">
      <c r="J244" s="307" t="s">
        <v>264</v>
      </c>
      <c r="K244" s="310"/>
      <c r="L244" s="310"/>
      <c r="N244" s="309" t="s">
        <v>265</v>
      </c>
      <c r="O244" s="310">
        <f>A90</f>
        <v>0.02</v>
      </c>
      <c r="P244" s="310">
        <f>O244</f>
        <v>0.02</v>
      </c>
      <c r="Q244" s="310">
        <f>P244/O244</f>
        <v>1</v>
      </c>
      <c r="R244" s="309">
        <v>11</v>
      </c>
      <c r="S244" s="310">
        <f>L261+L262*COS(S240)+L263*COS(S241)</f>
        <v>2.5068162466574201E-2</v>
      </c>
      <c r="T244" s="310"/>
      <c r="U244" s="322">
        <f>S244*T238</f>
        <v>6.2670406166435505E-6</v>
      </c>
      <c r="V244" s="322">
        <f t="shared" ref="V244:W249" si="50">V205</f>
        <v>1.3910951223277007E-3</v>
      </c>
      <c r="W244" s="310">
        <f t="shared" si="50"/>
        <v>0.6955475611638503</v>
      </c>
      <c r="X244" s="319"/>
      <c r="Y244" s="311"/>
      <c r="Z244" s="309">
        <v>6</v>
      </c>
      <c r="AA244" s="310">
        <f>AA205</f>
        <v>0</v>
      </c>
      <c r="AB244" s="322"/>
      <c r="AC244" s="310">
        <f>AC205</f>
        <v>5.6856910853327399E-14</v>
      </c>
      <c r="AD244" s="322"/>
      <c r="AE244" s="326" t="s">
        <v>1312</v>
      </c>
      <c r="AF244" s="322">
        <f>IF(T238=0,0,AC244/2)</f>
        <v>2.8428455426663699E-14</v>
      </c>
      <c r="AG244" s="309"/>
      <c r="AH244" s="322"/>
      <c r="AI244" s="322"/>
    </row>
    <row r="245" spans="10:35">
      <c r="J245" s="309" t="s">
        <v>1532</v>
      </c>
      <c r="K245" s="310">
        <f>C89</f>
        <v>0.7</v>
      </c>
      <c r="L245" s="310">
        <f>D45</f>
        <v>0.7</v>
      </c>
      <c r="M245" s="313">
        <f t="shared" ref="M245:M253" si="51">L245/K245</f>
        <v>1</v>
      </c>
      <c r="N245" s="309" t="s">
        <v>1533</v>
      </c>
      <c r="O245" s="310">
        <f>B90</f>
        <v>22.5</v>
      </c>
      <c r="P245" s="310">
        <f>O245*(1-L245)/(1-K245)</f>
        <v>22.5</v>
      </c>
      <c r="Q245" s="310">
        <f>P245/O245</f>
        <v>1</v>
      </c>
      <c r="R245" s="309">
        <v>22</v>
      </c>
      <c r="S245" s="310">
        <f>S244-2*L262*COS(S240)</f>
        <v>1.8100000044220241</v>
      </c>
      <c r="T245" s="310"/>
      <c r="U245" s="322">
        <f>S245*T238</f>
        <v>4.5250000110550603E-4</v>
      </c>
      <c r="V245" s="322">
        <f t="shared" si="50"/>
        <v>1.4300606625216533E-3</v>
      </c>
      <c r="W245" s="310">
        <f t="shared" si="50"/>
        <v>0.71503033126082671</v>
      </c>
      <c r="X245" s="314"/>
      <c r="AA245" s="322"/>
      <c r="AB245" s="322"/>
      <c r="AC245" s="322"/>
      <c r="AD245" s="322"/>
      <c r="AE245" s="326"/>
      <c r="AF245" s="322"/>
      <c r="AG245" s="309"/>
      <c r="AH245" s="322"/>
      <c r="AI245" s="322"/>
    </row>
    <row r="246" spans="10:35">
      <c r="J246" s="309" t="s">
        <v>1534</v>
      </c>
      <c r="K246" s="312">
        <f>K239/K245</f>
        <v>258.57142857142861</v>
      </c>
      <c r="L246" s="312">
        <f>F45*P240^F90*C28</f>
        <v>2.5857142857142863</v>
      </c>
      <c r="M246" s="313">
        <f t="shared" si="51"/>
        <v>0.01</v>
      </c>
      <c r="N246" s="308" t="s">
        <v>1535</v>
      </c>
      <c r="O246" s="310"/>
      <c r="P246" s="310"/>
      <c r="Q246" s="310"/>
      <c r="R246" s="309" t="s">
        <v>1345</v>
      </c>
      <c r="S246" s="310">
        <f>L264-L263*COS(S241)</f>
        <v>1.0528628235945137E-5</v>
      </c>
      <c r="T246" s="310"/>
      <c r="U246" s="322">
        <f>S246*T238</f>
        <v>2.6321570589862842E-9</v>
      </c>
      <c r="V246" s="322">
        <f t="shared" si="50"/>
        <v>4.4413343911675369E-4</v>
      </c>
      <c r="W246" s="310">
        <f t="shared" si="50"/>
        <v>0.22206671955837684</v>
      </c>
      <c r="X246" s="322"/>
      <c r="Z246" s="307" t="s">
        <v>1323</v>
      </c>
      <c r="AA246" s="322"/>
      <c r="AB246" s="322"/>
      <c r="AC246" s="322"/>
      <c r="AD246" s="322"/>
      <c r="AE246" s="326"/>
      <c r="AF246" s="322"/>
      <c r="AG246" s="309"/>
      <c r="AH246" s="322"/>
      <c r="AI246" s="322"/>
    </row>
    <row r="247" spans="10:35">
      <c r="J247" s="309" t="s">
        <v>1536</v>
      </c>
      <c r="K247" s="310">
        <f>F87</f>
        <v>3.4</v>
      </c>
      <c r="L247" s="310">
        <f>E45*P240^F89*I45*C28</f>
        <v>5.1000000000000004E-3</v>
      </c>
      <c r="M247" s="313">
        <f t="shared" si="51"/>
        <v>1.5000000000000002E-3</v>
      </c>
      <c r="N247" s="309" t="s">
        <v>1537</v>
      </c>
      <c r="O247" s="310">
        <f>C90</f>
        <v>0</v>
      </c>
      <c r="P247" s="310">
        <f>O247</f>
        <v>0</v>
      </c>
      <c r="Q247" s="310">
        <v>1</v>
      </c>
      <c r="R247" s="309">
        <v>66</v>
      </c>
      <c r="S247" s="310">
        <f>S246-L264+L265</f>
        <v>1.4788331297965807E-2</v>
      </c>
      <c r="T247" s="310"/>
      <c r="U247" s="322">
        <f>S247*T238</f>
        <v>3.6970828244914516E-6</v>
      </c>
      <c r="V247" s="322">
        <f t="shared" si="50"/>
        <v>5.0200594305701445E-4</v>
      </c>
      <c r="W247" s="310">
        <f t="shared" si="50"/>
        <v>0.2510029715285072</v>
      </c>
      <c r="X247" s="310"/>
      <c r="Z247" s="309" t="s">
        <v>1324</v>
      </c>
      <c r="AA247" s="319">
        <f>(AF242+AF243*COS(AA238)+AF244*SIN(AA238))</f>
        <v>-526.01808306486305</v>
      </c>
      <c r="AB247" s="319">
        <f>AA247+AH257</f>
        <v>-526.01805037971315</v>
      </c>
      <c r="AC247" s="319">
        <f>IF(ABS(AB247/AB250)&lt;0.000000001,0,AB247)</f>
        <v>-526.01805037971315</v>
      </c>
      <c r="AD247" s="319"/>
      <c r="AE247" s="326"/>
      <c r="AF247" s="322"/>
      <c r="AG247" s="307"/>
      <c r="AH247" s="326"/>
      <c r="AI247" s="322"/>
    </row>
    <row r="248" spans="10:35">
      <c r="J248" s="309" t="s">
        <v>1538</v>
      </c>
      <c r="K248" s="310">
        <f>E89</f>
        <v>0.51600000000000001</v>
      </c>
      <c r="L248" s="310">
        <f>K248*P240^G89</f>
        <v>0.51600000000000001</v>
      </c>
      <c r="M248" s="313">
        <f t="shared" si="51"/>
        <v>1</v>
      </c>
      <c r="N248" s="309" t="s">
        <v>1539</v>
      </c>
      <c r="O248" s="310">
        <f>D90</f>
        <v>0.6</v>
      </c>
      <c r="P248" s="310">
        <f>O248*(1-L245)/(1-K245)</f>
        <v>0.6</v>
      </c>
      <c r="Q248" s="310">
        <f>P248/O248</f>
        <v>1</v>
      </c>
      <c r="R248" s="309" t="s">
        <v>1347</v>
      </c>
      <c r="S248" s="310">
        <f>L262*SIN(S240)/2+L263*SIN(S241)</f>
        <v>2.7682405500265387E-19</v>
      </c>
      <c r="T248" s="310"/>
      <c r="U248" s="322">
        <f>S248*T238</f>
        <v>6.9206013750663471E-23</v>
      </c>
      <c r="V248" s="322">
        <f t="shared" si="50"/>
        <v>6.9206013750663471E-23</v>
      </c>
      <c r="W248" s="310">
        <f t="shared" si="50"/>
        <v>3.4603006875331733E-20</v>
      </c>
      <c r="X248" s="314"/>
      <c r="Z248" s="309" t="s">
        <v>1332</v>
      </c>
      <c r="AA248" s="319">
        <f>2*AF242-AA247</f>
        <v>832.07951361633309</v>
      </c>
      <c r="AB248" s="319">
        <f>AA248+AH258</f>
        <v>832.07876481315782</v>
      </c>
      <c r="AC248" s="319">
        <f>IF(ABS(AB248/AB250)&lt;0.000000001,0,AB248)</f>
        <v>832.07876481315782</v>
      </c>
      <c r="AD248" s="319"/>
      <c r="AE248" s="322"/>
      <c r="AF248" s="322"/>
      <c r="AG248" s="309" t="s">
        <v>1333</v>
      </c>
      <c r="AH248" s="322">
        <f>P267*AH241^2+2*P269*AH241*AH242+P268*AH242^2+P270*AH243^2</f>
        <v>0.79216624604081964</v>
      </c>
      <c r="AI248" s="322"/>
    </row>
    <row r="249" spans="10:35">
      <c r="J249" s="309" t="s">
        <v>1547</v>
      </c>
      <c r="K249" s="310">
        <f>K248*(1-K245)/K245</f>
        <v>0.2211428571428572</v>
      </c>
      <c r="L249" s="310">
        <f>L248*(1-L245)/L245</f>
        <v>0.2211428571428572</v>
      </c>
      <c r="M249" s="313">
        <f t="shared" si="51"/>
        <v>1</v>
      </c>
      <c r="O249" s="310"/>
      <c r="P249" s="310"/>
      <c r="Q249" s="310"/>
      <c r="R249" s="309" t="s">
        <v>1349</v>
      </c>
      <c r="S249" s="310">
        <f>L262*SIN(S240)-S248</f>
        <v>1.0906350035944317E-16</v>
      </c>
      <c r="T249" s="310"/>
      <c r="U249" s="322">
        <f>S249*T238</f>
        <v>2.7265875089860789E-20</v>
      </c>
      <c r="V249" s="322">
        <f t="shared" si="50"/>
        <v>5.43709294019984E-20</v>
      </c>
      <c r="W249" s="310">
        <f t="shared" si="50"/>
        <v>2.7185464700999198E-17</v>
      </c>
      <c r="X249" s="322"/>
      <c r="Z249" s="309" t="s">
        <v>1334</v>
      </c>
      <c r="AA249" s="319">
        <f>(2*(AF244*COS(AA238)-AF243*SIN(AA238)))</f>
        <v>-2.2324402807223515E-13</v>
      </c>
      <c r="AB249" s="319">
        <f>AA249+AH259</f>
        <v>-2.2324402092880238E-13</v>
      </c>
      <c r="AC249" s="319">
        <f>IF(ABS(AB249/AB250)&lt;0.000000001,0,AB249)</f>
        <v>0</v>
      </c>
      <c r="AD249" s="319"/>
      <c r="AE249" s="322"/>
      <c r="AF249" s="322"/>
      <c r="AG249" s="309" t="s">
        <v>1335</v>
      </c>
      <c r="AH249" s="322">
        <f>P271*AH241+P272*AH242</f>
        <v>0.97983402019381249</v>
      </c>
      <c r="AI249" s="322"/>
    </row>
    <row r="250" spans="10:35">
      <c r="J250" s="309" t="s">
        <v>1643</v>
      </c>
      <c r="K250" s="310">
        <f>1/((1+K249)/K240-K249/K247)</f>
        <v>18.686160319541436</v>
      </c>
      <c r="L250" s="310">
        <f>K250*P240^F90*C28</f>
        <v>0.18686160319541437</v>
      </c>
      <c r="M250" s="313">
        <f t="shared" si="51"/>
        <v>0.01</v>
      </c>
      <c r="N250" s="308" t="s">
        <v>176</v>
      </c>
      <c r="O250" s="310"/>
      <c r="P250" s="310"/>
      <c r="Q250" s="310"/>
      <c r="S250" s="308"/>
      <c r="T250" s="314" t="s">
        <v>1353</v>
      </c>
      <c r="U250" s="311">
        <f>U244*U245*U247+2*U246*U248*U249-U245*U248^2-U247*U246^2-U244*U249^2</f>
        <v>1.0484320121442893E-14</v>
      </c>
      <c r="V250" s="311">
        <f>V244*V245*V247+2*V246*V248*V249-V245*V248^2-V247*V246^2-V244*V249^2</f>
        <v>8.9964279259162027E-10</v>
      </c>
      <c r="W250" s="308"/>
      <c r="X250" s="322"/>
      <c r="AA250" s="309" t="s">
        <v>1363</v>
      </c>
      <c r="AB250" s="322">
        <f>SQRT(AB247^2+AB248^2+AB249^2)</f>
        <v>984.4034031728379</v>
      </c>
      <c r="AC250" s="322"/>
      <c r="AD250" s="322"/>
      <c r="AE250" s="322"/>
      <c r="AF250" s="322"/>
      <c r="AG250" s="309" t="s">
        <v>1344</v>
      </c>
      <c r="AH250" s="322">
        <f>AH249/2/AH248</f>
        <v>0.61845226623258731</v>
      </c>
      <c r="AI250" s="322"/>
    </row>
    <row r="251" spans="10:35">
      <c r="J251" s="309" t="s">
        <v>295</v>
      </c>
      <c r="K251" s="310">
        <f>E90</f>
        <v>0.316</v>
      </c>
      <c r="L251" s="310">
        <f>K251*P240^G89</f>
        <v>0.316</v>
      </c>
      <c r="M251" s="313">
        <f t="shared" si="51"/>
        <v>1</v>
      </c>
      <c r="N251" s="309" t="s">
        <v>296</v>
      </c>
      <c r="O251" s="312">
        <f>A88</f>
        <v>1500</v>
      </c>
      <c r="P251" s="312">
        <f>P257*L245</f>
        <v>1500</v>
      </c>
      <c r="Q251" s="310">
        <f t="shared" ref="Q251:Q258" si="52">P251/O251</f>
        <v>1</v>
      </c>
      <c r="R251" s="309" t="s">
        <v>1355</v>
      </c>
      <c r="S251" s="314" t="s">
        <v>382</v>
      </c>
      <c r="T251" s="314" t="s">
        <v>182</v>
      </c>
      <c r="U251" s="314" t="s">
        <v>669</v>
      </c>
      <c r="V251" s="314" t="s">
        <v>670</v>
      </c>
      <c r="W251" s="308"/>
      <c r="X251" s="322"/>
      <c r="Z251" s="309"/>
      <c r="AA251" s="322"/>
      <c r="AB251" s="322"/>
      <c r="AC251" s="322"/>
      <c r="AD251" s="322"/>
      <c r="AE251" s="322"/>
      <c r="AF251" s="322"/>
      <c r="AG251" s="309"/>
      <c r="AH251" s="322"/>
      <c r="AI251" s="322"/>
    </row>
    <row r="252" spans="10:35">
      <c r="J252" s="309" t="s">
        <v>301</v>
      </c>
      <c r="K252" s="310">
        <f>K251*(1-K245)/K245</f>
        <v>0.13542857142857145</v>
      </c>
      <c r="L252" s="310">
        <f>L251*(1-L245)/L245</f>
        <v>0.13542857142857145</v>
      </c>
      <c r="M252" s="313">
        <f t="shared" si="51"/>
        <v>1</v>
      </c>
      <c r="N252" s="309" t="s">
        <v>302</v>
      </c>
      <c r="O252" s="312">
        <f>B88</f>
        <v>1500</v>
      </c>
      <c r="P252" s="312">
        <f>O252*Q251*M242^E91</f>
        <v>808.22310311930141</v>
      </c>
      <c r="Q252" s="310">
        <f t="shared" si="52"/>
        <v>0.53881540207953427</v>
      </c>
      <c r="R252" s="309">
        <v>11</v>
      </c>
      <c r="S252" s="311">
        <f>IF(U250=0,1E+99,(U245*U247-U249^2)/U250)</f>
        <v>159564.94677685347</v>
      </c>
      <c r="T252" s="310">
        <f t="shared" ref="T252:V257" si="53">T213</f>
        <v>797.98221853126245</v>
      </c>
      <c r="U252" s="310">
        <f t="shared" si="53"/>
        <v>1.595964437062525</v>
      </c>
      <c r="V252" s="310">
        <f t="shared" si="53"/>
        <v>0.62658037784385989</v>
      </c>
      <c r="W252" s="308"/>
      <c r="X252" s="322"/>
      <c r="Z252" s="309"/>
      <c r="AA252" s="322"/>
      <c r="AB252" s="322"/>
      <c r="AC252" s="322"/>
      <c r="AD252" s="322"/>
      <c r="AE252" s="322"/>
      <c r="AF252" s="322"/>
      <c r="AG252" s="309"/>
      <c r="AH252" s="322"/>
      <c r="AI252" s="322"/>
    </row>
    <row r="253" spans="10:35">
      <c r="J253" s="309" t="s">
        <v>304</v>
      </c>
      <c r="K253" s="310">
        <f>1/((1+K252)/K242-K252*2.7/K247)</f>
        <v>19.680382632972858</v>
      </c>
      <c r="L253" s="310">
        <f>K253*P240^F90*C28</f>
        <v>0.19680382632972859</v>
      </c>
      <c r="M253" s="313">
        <f t="shared" si="51"/>
        <v>0.01</v>
      </c>
      <c r="N253" s="309" t="s">
        <v>305</v>
      </c>
      <c r="O253" s="312">
        <f>C88</f>
        <v>40</v>
      </c>
      <c r="P253" s="312">
        <f>O253*Q258</f>
        <v>40</v>
      </c>
      <c r="Q253" s="310">
        <f t="shared" si="52"/>
        <v>1</v>
      </c>
      <c r="R253" s="309">
        <v>22</v>
      </c>
      <c r="S253" s="311">
        <f>IF(U250=0,1E+99,(U244*U247-U248^2)/U250)</f>
        <v>2209.9447513812152</v>
      </c>
      <c r="T253" s="310">
        <f t="shared" si="53"/>
        <v>776.23921907317572</v>
      </c>
      <c r="U253" s="310">
        <f t="shared" si="53"/>
        <v>1.5524784381463514</v>
      </c>
      <c r="V253" s="310">
        <f t="shared" si="53"/>
        <v>0.64413132925310901</v>
      </c>
      <c r="W253" s="308"/>
      <c r="X253" s="322"/>
      <c r="AA253" s="322"/>
      <c r="AB253" s="322"/>
      <c r="AC253" s="322"/>
      <c r="AD253" s="322"/>
      <c r="AE253" s="322"/>
      <c r="AF253" s="322"/>
      <c r="AG253" s="309"/>
      <c r="AH253" s="322"/>
      <c r="AI253" s="326" t="s">
        <v>1348</v>
      </c>
    </row>
    <row r="254" spans="10:35">
      <c r="L254" s="310"/>
      <c r="N254" s="309" t="s">
        <v>1542</v>
      </c>
      <c r="O254" s="312">
        <f>D88</f>
        <v>246</v>
      </c>
      <c r="P254" s="312">
        <f>O254*Q258</f>
        <v>246</v>
      </c>
      <c r="Q254" s="310">
        <f t="shared" si="52"/>
        <v>1</v>
      </c>
      <c r="R254" s="309" t="s">
        <v>1345</v>
      </c>
      <c r="S254" s="311">
        <f>IF(U250=0,1E+99,(U248*U249-U246*U247)/U250)</f>
        <v>-0.92817679557869748</v>
      </c>
      <c r="T254" s="310">
        <f t="shared" si="53"/>
        <v>-247.82905813615449</v>
      </c>
      <c r="U254" s="310">
        <f t="shared" si="53"/>
        <v>-0.49565811627230899</v>
      </c>
      <c r="V254" s="310">
        <f t="shared" si="53"/>
        <v>0.31056964977527918</v>
      </c>
      <c r="W254" s="308"/>
      <c r="X254" s="322"/>
      <c r="AF254" s="322"/>
      <c r="AG254" s="309" t="s">
        <v>1351</v>
      </c>
      <c r="AH254" s="319">
        <f>(AH250^2+1/AH248)^0.5-AH250</f>
        <v>0.66406264215933741</v>
      </c>
      <c r="AI254" s="319">
        <f>AH255</f>
        <v>0.66406264215933741</v>
      </c>
    </row>
    <row r="255" spans="10:35">
      <c r="J255" s="308" t="s">
        <v>1507</v>
      </c>
      <c r="N255" s="309" t="s">
        <v>1543</v>
      </c>
      <c r="O255" s="345">
        <f>E88</f>
        <v>68</v>
      </c>
      <c r="P255" s="345">
        <f>O255*Q258</f>
        <v>68</v>
      </c>
      <c r="Q255" s="310">
        <f t="shared" si="52"/>
        <v>1</v>
      </c>
      <c r="R255" s="309">
        <v>66</v>
      </c>
      <c r="S255" s="311">
        <f>IF(U250=0,1E+99,(U244*U245-U246^2)/U250)</f>
        <v>270483.52646455896</v>
      </c>
      <c r="T255" s="310">
        <f t="shared" si="53"/>
        <v>1992.0082896039078</v>
      </c>
      <c r="U255" s="310">
        <f t="shared" si="53"/>
        <v>3.9840165792078155</v>
      </c>
      <c r="V255" s="310">
        <f t="shared" si="53"/>
        <v>0.2510029715285072</v>
      </c>
      <c r="W255" s="308"/>
      <c r="AF255" s="322"/>
      <c r="AG255" s="309"/>
      <c r="AH255" s="319">
        <f>IF(AH237=0,1000000000,AH254)</f>
        <v>0.66406264215933741</v>
      </c>
    </row>
    <row r="256" spans="10:35">
      <c r="J256" s="309" t="s">
        <v>1354</v>
      </c>
      <c r="K256" s="310">
        <f>K239/(1-K241^2*K240/K239)</f>
        <v>181.81113884441791</v>
      </c>
      <c r="L256" s="310">
        <f>L239/(1-L241^2*L240/L239)</f>
        <v>1.8100000044220241</v>
      </c>
      <c r="M256" s="313">
        <f>L256/K256</f>
        <v>9.9553856596811922E-3</v>
      </c>
      <c r="N256" s="309" t="s">
        <v>1168</v>
      </c>
      <c r="O256" s="313">
        <f>A89</f>
        <v>-0.5</v>
      </c>
      <c r="P256" s="313">
        <f>O256*I45*C28</f>
        <v>-7.5000000000000002E-4</v>
      </c>
      <c r="Q256" s="310">
        <f t="shared" si="52"/>
        <v>1.5E-3</v>
      </c>
      <c r="R256" s="309" t="s">
        <v>1347</v>
      </c>
      <c r="S256" s="311">
        <f>IF(U250=0,1E+99,(U246*U249-U245*U248)/U250)</f>
        <v>-2.9800647892460341E-12</v>
      </c>
      <c r="T256" s="310">
        <f t="shared" si="53"/>
        <v>2.6731697584249638E-14</v>
      </c>
      <c r="U256" s="310">
        <f t="shared" si="53"/>
        <v>5.3463395168499281E-17</v>
      </c>
      <c r="V256" s="310">
        <f t="shared" si="53"/>
        <v>3.3499114345493873E-17</v>
      </c>
      <c r="W256" s="308"/>
      <c r="X256" s="308"/>
      <c r="Y256" s="309"/>
      <c r="AF256" s="322"/>
      <c r="AG256" s="308" t="s">
        <v>1360</v>
      </c>
      <c r="AH256" s="319">
        <f>IF(AH237=0,0,AH254)</f>
        <v>0.66406264215933741</v>
      </c>
    </row>
    <row r="257" spans="10:35">
      <c r="J257" s="309" t="s">
        <v>1361</v>
      </c>
      <c r="K257" s="310">
        <f>K256*K240/K239</f>
        <v>10.346158729820468</v>
      </c>
      <c r="L257" s="310">
        <f>L256*L240/L239</f>
        <v>2.5068162466574194E-2</v>
      </c>
      <c r="M257" s="313">
        <f>L257/K257</f>
        <v>2.4229439274231191E-3</v>
      </c>
      <c r="N257" s="309" t="s">
        <v>1175</v>
      </c>
      <c r="O257" s="312">
        <f>O251/K245</f>
        <v>2142.8571428571431</v>
      </c>
      <c r="P257" s="312">
        <f>H45*P240^G90</f>
        <v>2142.8571428571431</v>
      </c>
      <c r="Q257" s="310">
        <f t="shared" si="52"/>
        <v>1</v>
      </c>
      <c r="R257" s="309" t="s">
        <v>1349</v>
      </c>
      <c r="S257" s="311">
        <f>IF(U250=0,1E+99,(U246*U248-U244*U249)/U250)</f>
        <v>-1.6298258971118951E-11</v>
      </c>
      <c r="T257" s="310">
        <f t="shared" si="53"/>
        <v>-8.4038241183318863E-14</v>
      </c>
      <c r="U257" s="310">
        <f t="shared" si="53"/>
        <v>-1.6807648236663772E-16</v>
      </c>
      <c r="V257" s="310">
        <f t="shared" si="53"/>
        <v>-1.0531342582795471E-16</v>
      </c>
      <c r="W257" s="308"/>
      <c r="X257" s="308"/>
      <c r="Y257" s="310"/>
      <c r="AF257" s="322"/>
      <c r="AG257" s="309" t="s">
        <v>1364</v>
      </c>
      <c r="AH257" s="328">
        <f>IF(AH237=0,0,AI241+AI242*COS(AH238)+AI243*SIN(AH238)-V263)</f>
        <v>3.2685149893025099E-5</v>
      </c>
      <c r="AI257" s="322"/>
    </row>
    <row r="258" spans="10:35">
      <c r="J258" s="309" t="s">
        <v>1365</v>
      </c>
      <c r="K258" s="310">
        <f>K257*K241</f>
        <v>2.8969244443497315</v>
      </c>
      <c r="L258" s="310">
        <f>L257*L241</f>
        <v>1.0528628235961163E-5</v>
      </c>
      <c r="M258" s="313">
        <f>L258/K258</f>
        <v>3.6344158911346783E-6</v>
      </c>
      <c r="N258" s="309" t="s">
        <v>1176</v>
      </c>
      <c r="O258" s="312">
        <f>O253</f>
        <v>40</v>
      </c>
      <c r="P258" s="312">
        <f>G45*P240^H89</f>
        <v>40</v>
      </c>
      <c r="Q258" s="310">
        <f t="shared" si="52"/>
        <v>1</v>
      </c>
      <c r="S258" s="308"/>
      <c r="T258" s="337"/>
      <c r="W258" s="308"/>
      <c r="X258" s="308"/>
      <c r="Y258" s="310"/>
      <c r="AF258" s="322"/>
      <c r="AG258" s="309" t="s">
        <v>1367</v>
      </c>
      <c r="AH258" s="328">
        <f>IF(AH237=0,0,2*AI241-AH257-V264-V263)</f>
        <v>-7.4880317522069779E-4</v>
      </c>
      <c r="AI258" s="322"/>
    </row>
    <row r="259" spans="10:35">
      <c r="J259" s="309" t="s">
        <v>1370</v>
      </c>
      <c r="K259" s="310">
        <f>K242</f>
        <v>7.17</v>
      </c>
      <c r="L259" s="310">
        <f>L242</f>
        <v>1.4788331297965859E-2</v>
      </c>
      <c r="M259" s="313">
        <f>L259/K259</f>
        <v>2.0625287723801755E-3</v>
      </c>
      <c r="R259" s="309"/>
      <c r="S259" s="314" t="s">
        <v>1406</v>
      </c>
      <c r="T259" s="314" t="s">
        <v>1407</v>
      </c>
      <c r="U259" s="314" t="s">
        <v>1408</v>
      </c>
      <c r="V259" s="314" t="s">
        <v>1409</v>
      </c>
      <c r="W259" s="314" t="s">
        <v>1410</v>
      </c>
      <c r="X259" s="314" t="s">
        <v>1411</v>
      </c>
      <c r="Y259" s="314" t="s">
        <v>1394</v>
      </c>
      <c r="AF259" s="322"/>
      <c r="AG259" s="309" t="s">
        <v>1372</v>
      </c>
      <c r="AH259" s="328">
        <f>IF(AH237=0,0,2*(AI243*COS(AH238)-AI242*SIN(AH238)))</f>
        <v>7.1434327715426203E-21</v>
      </c>
      <c r="AI259" s="322"/>
    </row>
    <row r="260" spans="10:35">
      <c r="J260" s="308" t="s">
        <v>1510</v>
      </c>
      <c r="K260" s="310"/>
      <c r="L260" s="310"/>
      <c r="N260" s="308" t="s">
        <v>1375</v>
      </c>
      <c r="R260" s="309">
        <v>1</v>
      </c>
      <c r="S260" s="322">
        <f>((L256+L258)/2*P244+(L258+L257)/2*P245)/1000000</f>
        <v>3.0023538014711688E-7</v>
      </c>
      <c r="T260" s="322">
        <f>((L256+L258)/2*P247+(L258+L257)/2*P248)</f>
        <v>7.5236073284430469E-3</v>
      </c>
      <c r="U260" s="328">
        <f>S260+S261*Y260</f>
        <v>5.640338660704842E-7</v>
      </c>
      <c r="V260" s="319">
        <f>T260+T261*Y260</f>
        <v>1.5040897479944516E-2</v>
      </c>
      <c r="W260" s="319">
        <f>(U260*S252+U261*S254+U262*S256)*T238*1000000</f>
        <v>22.499999999999996</v>
      </c>
      <c r="X260" s="319">
        <f>(V260*S252+V261*S254+V262*S256)*T238</f>
        <v>0.59999999999999976</v>
      </c>
      <c r="Y260" s="319">
        <f>COS(S240)</f>
        <v>-1</v>
      </c>
      <c r="AF260" s="322"/>
      <c r="AG260" s="322"/>
      <c r="AH260" s="322"/>
      <c r="AI260" s="322"/>
    </row>
    <row r="261" spans="10:35">
      <c r="J261" s="309" t="s">
        <v>1380</v>
      </c>
      <c r="K261" s="310">
        <f>(3*K256+3*K257+2*K258+4*K259)/8</f>
        <v>76.368217701426829</v>
      </c>
      <c r="L261" s="310">
        <f>(3*L256+3*L257+2*L258+4*L259)/8</f>
        <v>0.69554736038926623</v>
      </c>
      <c r="M261" s="313">
        <f>L261/K261</f>
        <v>9.1078118793948351E-3</v>
      </c>
      <c r="N261" s="309" t="s">
        <v>1381</v>
      </c>
      <c r="O261" s="310">
        <f>1/O251/O252*1000000</f>
        <v>0.44444444444444442</v>
      </c>
      <c r="P261" s="310">
        <f>1/P251/P252*1000000</f>
        <v>0.82485475123600904</v>
      </c>
      <c r="Q261" s="310">
        <f>P261/O261</f>
        <v>1.8559231902810205</v>
      </c>
      <c r="R261" s="309">
        <v>2</v>
      </c>
      <c r="S261" s="322">
        <f>((L256-L258)/2*P244+(L258-L257)/2*P245)/1000000</f>
        <v>-2.6379848592336727E-7</v>
      </c>
      <c r="T261" s="322">
        <f>((L256-L258)/2*P247+(L258-L257)/2*P248)</f>
        <v>-7.5172901515014687E-3</v>
      </c>
      <c r="U261" s="328">
        <f>S260-S261*Y260</f>
        <v>3.6436894223749613E-8</v>
      </c>
      <c r="V261" s="319">
        <f>T260-T261*Y260</f>
        <v>6.3171769415781842E-6</v>
      </c>
      <c r="W261" s="319">
        <f>(U260*S254+U261*S253+U262*S257)*T238*1000000</f>
        <v>2.0000000000000202E-2</v>
      </c>
      <c r="X261" s="319">
        <f>(V260*S254+V261*S253+V262*S257)*T238</f>
        <v>6.1348495727919825E-18</v>
      </c>
      <c r="Y261" s="319">
        <f>SIN(S240)</f>
        <v>1.22514845490862E-16</v>
      </c>
      <c r="AF261" s="322"/>
      <c r="AG261" s="326" t="s">
        <v>1383</v>
      </c>
      <c r="AH261" s="349">
        <f>P267*AH257^2+2*P269*AH257*AH258+P268*AH258^2+P270*AH259^2</f>
        <v>3.8708520245120382E-8</v>
      </c>
      <c r="AI261" s="322"/>
    </row>
    <row r="262" spans="10:35">
      <c r="J262" s="309" t="s">
        <v>1384</v>
      </c>
      <c r="K262" s="310">
        <f>(K256-K257)/2</f>
        <v>85.732490057298719</v>
      </c>
      <c r="L262" s="310">
        <f>(L256-L257)/2</f>
        <v>0.89246592097772492</v>
      </c>
      <c r="M262" s="313">
        <f>L262/K262</f>
        <v>1.0409891516987917E-2</v>
      </c>
      <c r="N262" s="309" t="s">
        <v>1385</v>
      </c>
      <c r="O262" s="310">
        <f>1/O253/O254*1000000</f>
        <v>101.6260162601626</v>
      </c>
      <c r="P262" s="310">
        <f>1/P253/P254*1000000</f>
        <v>101.6260162601626</v>
      </c>
      <c r="Q262" s="310">
        <f>P262/O262</f>
        <v>1</v>
      </c>
      <c r="R262" s="309">
        <v>6</v>
      </c>
      <c r="S262" s="314" t="s">
        <v>1419</v>
      </c>
      <c r="T262" s="314" t="s">
        <v>1420</v>
      </c>
      <c r="U262" s="328">
        <f>S261*Y261</f>
        <v>-3.2319230743624673E-23</v>
      </c>
      <c r="V262" s="319">
        <f>T261*Y261</f>
        <v>-9.2097964142118098E-19</v>
      </c>
      <c r="W262" s="319">
        <f>(U260*S256+U261*S257+U262*S255)*T238*1000000</f>
        <v>-2.754133726634574E-15</v>
      </c>
      <c r="X262" s="319">
        <f>(V260*S256+V261*S257+V262*S255)*T238</f>
        <v>-7.3508907294517077E-17</v>
      </c>
      <c r="Y262" s="314" t="s">
        <v>406</v>
      </c>
      <c r="AF262" s="322"/>
      <c r="AG262" s="326" t="s">
        <v>1387</v>
      </c>
      <c r="AH262" s="349">
        <f>P271*AH257+P272*AH258</f>
        <v>-4.2671860378427098E-4</v>
      </c>
      <c r="AI262" s="322"/>
    </row>
    <row r="263" spans="10:35">
      <c r="J263" s="309" t="s">
        <v>1388</v>
      </c>
      <c r="K263" s="310">
        <f>(K256+K257-2*K258-4*K259)/8</f>
        <v>19.710431085692363</v>
      </c>
      <c r="L263" s="310">
        <f>(L256+L257-2*L258-4*L259)/8</f>
        <v>0.22198672305503289</v>
      </c>
      <c r="M263" s="313">
        <f>L263/K263</f>
        <v>1.1262398173329207E-2</v>
      </c>
      <c r="N263" s="309" t="s">
        <v>1389</v>
      </c>
      <c r="O263" s="310">
        <f>O256*(O261*O262)^0.5</f>
        <v>-3.3603243272729659</v>
      </c>
      <c r="P263" s="310">
        <f>P256*(P261*P262)^0.5</f>
        <v>-6.8667692605968601E-3</v>
      </c>
      <c r="Q263" s="310">
        <f>P263/O263</f>
        <v>2.043484078267383E-3</v>
      </c>
      <c r="R263" s="309">
        <v>1</v>
      </c>
      <c r="S263" s="337">
        <f>P241*U260+P237*V260</f>
        <v>1.8801100792674166E-5</v>
      </c>
      <c r="T263" s="311">
        <f>P241*W260/1000000+P237*X260</f>
        <v>7.4999999999999937E-4</v>
      </c>
      <c r="U263" s="314" t="s">
        <v>1423</v>
      </c>
      <c r="V263" s="311">
        <f>P241*P244/1000000+P237*P247</f>
        <v>-1.9999999999999999E-6</v>
      </c>
      <c r="W263" s="308"/>
      <c r="Y263" s="319">
        <f>Y260+Y299+W343+W382+W421+W460+W499+W538</f>
        <v>0</v>
      </c>
      <c r="AF263" s="322"/>
      <c r="AG263" s="326" t="s">
        <v>1390</v>
      </c>
      <c r="AH263" s="349">
        <f>AH261+AH262</f>
        <v>-4.2667989526402585E-4</v>
      </c>
      <c r="AI263" s="322"/>
    </row>
    <row r="264" spans="10:35">
      <c r="J264" s="309" t="s">
        <v>1391</v>
      </c>
      <c r="K264" s="310">
        <f>(K256+K257+6*K258-4*K259)/8</f>
        <v>22.607355530042096</v>
      </c>
      <c r="L264" s="310">
        <f>(L256+L257+6*L258-4*L259)/8</f>
        <v>0.22199725168326884</v>
      </c>
      <c r="M264" s="313">
        <f>L264/K264</f>
        <v>9.819691267661303E-3</v>
      </c>
      <c r="N264" s="309" t="s">
        <v>1392</v>
      </c>
      <c r="O264" s="310">
        <f>1/O255^2*1000000</f>
        <v>216.26297577854672</v>
      </c>
      <c r="P264" s="310">
        <f>1/P255^2*1000000</f>
        <v>216.26297577854672</v>
      </c>
      <c r="Q264" s="310">
        <f>P264/O264</f>
        <v>1</v>
      </c>
      <c r="R264" s="309">
        <v>2</v>
      </c>
      <c r="S264" s="337">
        <f>P241*U261+P237*V261</f>
        <v>-3.6121035376670708E-6</v>
      </c>
      <c r="T264" s="311">
        <f>P241*W261/1000000+P237*X261</f>
        <v>-1.9999999999999893E-6</v>
      </c>
      <c r="U264" s="314" t="s">
        <v>1427</v>
      </c>
      <c r="V264" s="311">
        <f>P241*P245/1000000+P237*P248</f>
        <v>7.5000000000000023E-4</v>
      </c>
      <c r="W264" s="308"/>
      <c r="Y264" s="319">
        <f>Y261+Y300+W344+W383+W422+W461+W500+W539</f>
        <v>1.22514845490862E-16</v>
      </c>
      <c r="AA264" s="307" t="s">
        <v>699</v>
      </c>
      <c r="AB264" s="307" t="s">
        <v>701</v>
      </c>
      <c r="AC264" s="309" t="s">
        <v>408</v>
      </c>
      <c r="AD264" s="309" t="s">
        <v>409</v>
      </c>
      <c r="AE264" s="308" t="s">
        <v>410</v>
      </c>
      <c r="AF264" s="322"/>
      <c r="AG264" s="326" t="s">
        <v>1395</v>
      </c>
      <c r="AH264" s="349">
        <f>-1+AH263</f>
        <v>-1.0004266798952641</v>
      </c>
      <c r="AI264" s="322"/>
    </row>
    <row r="265" spans="10:35">
      <c r="J265" s="309" t="s">
        <v>1396</v>
      </c>
      <c r="K265" s="310">
        <f>(K261-K264)/2</f>
        <v>26.880431085692365</v>
      </c>
      <c r="L265" s="310">
        <f>(L261-L264)/2</f>
        <v>0.2367750543529987</v>
      </c>
      <c r="M265" s="313">
        <f>L265/K265</f>
        <v>8.8084545072280047E-3</v>
      </c>
      <c r="N265" s="309" t="s">
        <v>1397</v>
      </c>
      <c r="O265" s="310">
        <f>(1/O251-1/O252)*1000</f>
        <v>0</v>
      </c>
      <c r="P265" s="310">
        <f>(1/P251-1/P252)*1000</f>
        <v>-0.57061546018734688</v>
      </c>
      <c r="Q265" s="310">
        <f>IF(O265=0,1,P265/O265)</f>
        <v>1</v>
      </c>
      <c r="R265" s="309">
        <v>6</v>
      </c>
      <c r="S265" s="337">
        <f>P241*U262+P237*V262</f>
        <v>-1.3729751327434381E-21</v>
      </c>
      <c r="T265" s="311">
        <f>P241*W262/1000000+P237*X262</f>
        <v>-9.2131163809128016E-20</v>
      </c>
      <c r="U265" s="314" t="s">
        <v>1429</v>
      </c>
      <c r="V265" s="311">
        <f>0</f>
        <v>0</v>
      </c>
      <c r="W265" s="308"/>
      <c r="Y265" s="311"/>
      <c r="AA265" s="322">
        <f t="shared" ref="AA265:AE267" si="54">AA226</f>
        <v>3.0179841135253815E-7</v>
      </c>
      <c r="AB265" s="322">
        <f t="shared" si="54"/>
        <v>7.5652880535078352E-3</v>
      </c>
      <c r="AC265" s="322">
        <f t="shared" si="54"/>
        <v>0.11556465563659149</v>
      </c>
      <c r="AD265" s="322">
        <f t="shared" si="54"/>
        <v>2.5506580685922976E-3</v>
      </c>
      <c r="AE265" s="322">
        <f t="shared" si="54"/>
        <v>1.1968247793023403E-6</v>
      </c>
      <c r="AF265" s="322"/>
      <c r="AG265" s="326" t="s">
        <v>1399</v>
      </c>
      <c r="AH265" s="349">
        <f>2*(P267*AH241*AH257+P268*AH242*AH258+P269*(AH241*AH258+AH257*AH242)+P270*AH243*AH259)</f>
        <v>-1.7272951145397086E-4</v>
      </c>
      <c r="AI265" s="322"/>
    </row>
    <row r="266" spans="10:35">
      <c r="J266" s="308" t="s">
        <v>1400</v>
      </c>
      <c r="N266" s="309" t="s">
        <v>1401</v>
      </c>
      <c r="O266" s="310">
        <f>(1/O253-1/O254)*1000</f>
        <v>20.934959349593495</v>
      </c>
      <c r="P266" s="310">
        <f>(1/P253-1/P254)*1000</f>
        <v>20.934959349593495</v>
      </c>
      <c r="Q266" s="310">
        <f t="shared" ref="Q266:Q272" si="55">P266/O266</f>
        <v>1</v>
      </c>
      <c r="R266" s="309"/>
      <c r="S266" s="319"/>
      <c r="T266" s="319"/>
      <c r="U266" s="319"/>
      <c r="V266" s="319"/>
      <c r="W266" s="308"/>
      <c r="X266" s="308"/>
      <c r="Y266" s="311"/>
      <c r="AA266" s="322">
        <f t="shared" si="54"/>
        <v>7.3860361411472986E-7</v>
      </c>
      <c r="AB266" s="322">
        <f t="shared" si="54"/>
        <v>1.9213389851379336E-2</v>
      </c>
      <c r="AC266" s="322">
        <f t="shared" si="54"/>
        <v>0.9970773531851117</v>
      </c>
      <c r="AD266" s="322">
        <f t="shared" si="54"/>
        <v>2.6078577042307254E-2</v>
      </c>
      <c r="AE266" s="322">
        <f t="shared" si="54"/>
        <v>3.0685149893025098E-5</v>
      </c>
      <c r="AG266" s="326" t="s">
        <v>1403</v>
      </c>
      <c r="AH266" s="349">
        <f>AH265+AH249</f>
        <v>0.97966129068235852</v>
      </c>
      <c r="AI266" s="322"/>
    </row>
    <row r="267" spans="10:35">
      <c r="J267" s="309" t="s">
        <v>1404</v>
      </c>
      <c r="K267" s="310">
        <f>(1-(K264/K261)^2)*K261</f>
        <v>69.675740916648124</v>
      </c>
      <c r="L267" s="310">
        <f>(1-(L264/L261)^2)*L261</f>
        <v>0.62469268885785056</v>
      </c>
      <c r="M267" s="310">
        <f>L267/K267</f>
        <v>8.9657128957575001E-3</v>
      </c>
      <c r="N267" s="309" t="s">
        <v>1405</v>
      </c>
      <c r="O267" s="312">
        <f>(O261*K256^2+2*O263*K256*K258+O262*K258^2)</f>
        <v>12004.38353147296</v>
      </c>
      <c r="P267" s="312">
        <f>(P261*L256^2+2*P263*L256*L258+P262*L258^2)</f>
        <v>2.7023064132762555</v>
      </c>
      <c r="Q267" s="310">
        <f t="shared" si="55"/>
        <v>2.2510996971992592E-4</v>
      </c>
      <c r="S267" s="308"/>
      <c r="T267" s="308"/>
      <c r="W267" s="308"/>
      <c r="X267" s="308"/>
      <c r="Y267" s="311"/>
      <c r="AA267" s="322">
        <f t="shared" si="54"/>
        <v>-1.0657348743377306E-23</v>
      </c>
      <c r="AB267" s="322">
        <f t="shared" si="54"/>
        <v>-2.2354267242619807E-19</v>
      </c>
      <c r="AC267" s="322">
        <f t="shared" si="54"/>
        <v>-1.5046578368033799E-16</v>
      </c>
      <c r="AD267" s="322">
        <f t="shared" si="54"/>
        <v>-3.7154507088968738E-18</v>
      </c>
      <c r="AE267" s="322">
        <f t="shared" si="54"/>
        <v>-3.530675176450572E-21</v>
      </c>
      <c r="AG267" s="326" t="s">
        <v>1412</v>
      </c>
      <c r="AH267" s="349">
        <f>AH266/2/AH248</f>
        <v>0.61834324270860019</v>
      </c>
      <c r="AI267" s="322"/>
    </row>
    <row r="268" spans="10:35">
      <c r="J268" s="309" t="s">
        <v>1414</v>
      </c>
      <c r="K268" s="310">
        <f>K264/K261</f>
        <v>0.29603094337527941</v>
      </c>
      <c r="L268" s="310">
        <f>L264/L261</f>
        <v>0.31916913833017363</v>
      </c>
      <c r="M268" s="310">
        <f>L268/K268</f>
        <v>1.0781614066795775</v>
      </c>
      <c r="N268" s="309" t="s">
        <v>1415</v>
      </c>
      <c r="O268" s="312">
        <f>(O261*K258^2+2*O263*K258*K257+O262*K257^2)</f>
        <v>10680.652008265077</v>
      </c>
      <c r="P268" s="312">
        <f>(P261*L258^2+2*P263*L258*L257+P262*L257^2)</f>
        <v>6.3863082792974132E-2</v>
      </c>
      <c r="Q268" s="310">
        <f t="shared" si="55"/>
        <v>5.9793243655494591E-6</v>
      </c>
      <c r="S268" s="308"/>
      <c r="T268" s="308"/>
      <c r="W268" s="308"/>
      <c r="X268" s="308"/>
      <c r="Y268" s="311"/>
      <c r="Z268" s="309"/>
      <c r="AG268" s="326"/>
      <c r="AH268" s="319"/>
      <c r="AI268" s="322"/>
    </row>
    <row r="269" spans="10:35">
      <c r="N269" s="309" t="s">
        <v>1416</v>
      </c>
      <c r="O269" s="312">
        <f>(O261*K256*K258+O263*(K256*K257+K258^2)+O262*K258*K257)</f>
        <v>-3069.103206291968</v>
      </c>
      <c r="P269" s="312">
        <f>(P261*L256*L258+P263*(L256*L257+L258^2)+P262*L258*L257)</f>
        <v>-2.6902688936839887E-4</v>
      </c>
      <c r="Q269" s="310">
        <f t="shared" si="55"/>
        <v>8.7656514390544736E-8</v>
      </c>
      <c r="S269" s="308"/>
      <c r="T269" s="308"/>
      <c r="W269" s="308"/>
      <c r="X269" s="308"/>
      <c r="Y269" s="311"/>
      <c r="AE269" s="314"/>
      <c r="AG269" s="326"/>
      <c r="AH269" s="319"/>
      <c r="AI269" s="322"/>
    </row>
    <row r="270" spans="10:35">
      <c r="J270" s="309" t="s">
        <v>1193</v>
      </c>
      <c r="K270" s="310">
        <f>D89</f>
        <v>1.6</v>
      </c>
      <c r="L270" s="310">
        <f>L271*(1-L245)+L272*L245</f>
        <v>1.6</v>
      </c>
      <c r="M270" s="310">
        <f>L270/K270</f>
        <v>1</v>
      </c>
      <c r="N270" s="309" t="s">
        <v>1418</v>
      </c>
      <c r="O270" s="312">
        <f>O264*K259^2</f>
        <v>11117.841695501729</v>
      </c>
      <c r="P270" s="312">
        <f>P264*L259^2</f>
        <v>4.7295575817127289E-2</v>
      </c>
      <c r="Q270" s="310">
        <f t="shared" si="55"/>
        <v>4.2540249368960746E-6</v>
      </c>
      <c r="S270" s="308"/>
      <c r="T270" s="308"/>
      <c r="W270" s="308"/>
      <c r="X270" s="308"/>
      <c r="Y270" s="331"/>
      <c r="Z270" s="307"/>
      <c r="AA270" s="307"/>
      <c r="AB270" s="307"/>
      <c r="AC270" s="309"/>
      <c r="AD270" s="309"/>
      <c r="AE270" s="311"/>
      <c r="AG270" s="326"/>
      <c r="AH270" s="319"/>
      <c r="AI270" s="326" t="s">
        <v>1421</v>
      </c>
    </row>
    <row r="271" spans="10:35">
      <c r="J271" s="309" t="s">
        <v>274</v>
      </c>
      <c r="K271" s="310">
        <f>F88</f>
        <v>1.2</v>
      </c>
      <c r="L271" s="310">
        <f>K271</f>
        <v>1.2</v>
      </c>
      <c r="M271" s="310">
        <f>L271/K271</f>
        <v>1</v>
      </c>
      <c r="N271" s="309" t="s">
        <v>1422</v>
      </c>
      <c r="O271" s="312">
        <f>(O265*K256+O266*K258)</f>
        <v>60.646995481305353</v>
      </c>
      <c r="P271" s="312">
        <f>(P265*L256+P266*L258)</f>
        <v>-1.0325935690582464</v>
      </c>
      <c r="Q271" s="310">
        <f t="shared" si="55"/>
        <v>-1.7026293897387662E-2</v>
      </c>
      <c r="S271" s="308"/>
      <c r="T271" s="308"/>
      <c r="W271" s="308"/>
      <c r="X271" s="308"/>
      <c r="Y271" s="337"/>
      <c r="Z271" s="337"/>
      <c r="AA271" s="319"/>
      <c r="AB271" s="319"/>
      <c r="AC271" s="319"/>
      <c r="AD271" s="319"/>
      <c r="AG271" s="309" t="s">
        <v>1424</v>
      </c>
      <c r="AH271" s="319">
        <f>(AH267^2-AH264/AH248)^0.5-AH267</f>
        <v>0.66432907500291338</v>
      </c>
      <c r="AI271" s="319">
        <f>AH272</f>
        <v>0.66432907500291338</v>
      </c>
    </row>
    <row r="272" spans="10:35">
      <c r="J272" s="309" t="s">
        <v>1195</v>
      </c>
      <c r="K272" s="310">
        <f>(K270-K271*(1-K245))/K245</f>
        <v>1.7714285714285716</v>
      </c>
      <c r="L272" s="310">
        <f>K272</f>
        <v>1.7714285714285716</v>
      </c>
      <c r="M272" s="310">
        <f>L272/K272</f>
        <v>1</v>
      </c>
      <c r="N272" s="309" t="s">
        <v>1426</v>
      </c>
      <c r="O272" s="312">
        <f>(O265*K258+O266*K257)</f>
        <v>216.59641243323335</v>
      </c>
      <c r="P272" s="312">
        <f>(P265*L258+P266*L257)</f>
        <v>0.52479495440869006</v>
      </c>
      <c r="Q272" s="310">
        <f t="shared" si="55"/>
        <v>2.4229161901306194E-3</v>
      </c>
      <c r="S272" s="308"/>
      <c r="T272" s="308"/>
      <c r="W272" s="308"/>
      <c r="X272" s="308"/>
      <c r="Y272" s="337"/>
      <c r="Z272" s="337"/>
      <c r="AA272" s="319"/>
      <c r="AB272" s="319"/>
      <c r="AC272" s="319"/>
      <c r="AD272" s="319"/>
      <c r="AG272" s="309" t="s">
        <v>194</v>
      </c>
      <c r="AH272" s="319">
        <f>IF(AH237=0,1000000000,AH271)</f>
        <v>0.66432907500291338</v>
      </c>
    </row>
    <row r="273" spans="10:35">
      <c r="L273" s="308" t="s">
        <v>1428</v>
      </c>
      <c r="S273" s="308"/>
      <c r="T273" s="308"/>
      <c r="W273" s="308"/>
      <c r="X273" s="308"/>
      <c r="Y273" s="337"/>
      <c r="Z273" s="337"/>
      <c r="AA273" s="319"/>
      <c r="AB273" s="319"/>
      <c r="AC273" s="319"/>
      <c r="AD273" s="319"/>
      <c r="AG273" s="309" t="s">
        <v>194</v>
      </c>
      <c r="AH273" s="319">
        <f>IF(AH237=0,0,AH271)</f>
        <v>0.66432907500291338</v>
      </c>
    </row>
    <row r="274" spans="10:35">
      <c r="J274" s="307" t="s">
        <v>852</v>
      </c>
      <c r="K274" s="309"/>
      <c r="L274" s="309"/>
      <c r="N274" s="308" t="s">
        <v>1551</v>
      </c>
      <c r="P274" s="310"/>
      <c r="R274" s="308" t="s">
        <v>634</v>
      </c>
      <c r="Z274" s="308" t="s">
        <v>635</v>
      </c>
      <c r="AG274" s="308" t="s">
        <v>636</v>
      </c>
    </row>
    <row r="275" spans="10:35">
      <c r="J275" s="309" t="str">
        <f>A92</f>
        <v>T3/N52[SI]</v>
      </c>
      <c r="K275" s="307"/>
      <c r="L275" s="309"/>
      <c r="N275" s="309" t="s">
        <v>596</v>
      </c>
      <c r="O275" s="312">
        <f>G93</f>
        <v>22</v>
      </c>
      <c r="P275" s="312">
        <f>B47</f>
        <v>22</v>
      </c>
      <c r="Q275" s="313">
        <f t="shared" ref="Q275:Q280" si="56">P275/O275</f>
        <v>1</v>
      </c>
      <c r="R275" s="307"/>
      <c r="X275" s="314"/>
      <c r="Z275" s="309" t="s">
        <v>531</v>
      </c>
      <c r="AA275" s="315">
        <f>S277</f>
        <v>0</v>
      </c>
      <c r="AB275" s="315"/>
      <c r="AC275" s="315"/>
      <c r="AD275" s="315"/>
      <c r="AE275" s="309" t="s">
        <v>532</v>
      </c>
      <c r="AF275" s="314" t="s">
        <v>533</v>
      </c>
      <c r="AG275" s="309" t="s">
        <v>531</v>
      </c>
      <c r="AH275" s="315">
        <f>AA275</f>
        <v>0</v>
      </c>
    </row>
    <row r="276" spans="10:35">
      <c r="J276" s="309"/>
      <c r="K276" s="309"/>
      <c r="L276" s="309"/>
      <c r="N276" s="309" t="s">
        <v>600</v>
      </c>
      <c r="O276" s="319">
        <f>H93</f>
        <v>5.0000000000000001E-3</v>
      </c>
      <c r="P276" s="319">
        <f>C47</f>
        <v>5.0000000000000001E-3</v>
      </c>
      <c r="Q276" s="313">
        <f t="shared" si="56"/>
        <v>1</v>
      </c>
      <c r="R276" s="309" t="s">
        <v>243</v>
      </c>
      <c r="S276" s="314" t="s">
        <v>1562</v>
      </c>
      <c r="T276" s="314" t="s">
        <v>652</v>
      </c>
      <c r="U276" s="314" t="s">
        <v>646</v>
      </c>
      <c r="V276" s="314"/>
      <c r="W276" s="314"/>
      <c r="X276" s="314"/>
      <c r="Z276" s="309" t="s">
        <v>536</v>
      </c>
      <c r="AA276" s="315">
        <f>S278</f>
        <v>1</v>
      </c>
      <c r="AB276" s="315"/>
      <c r="AC276" s="315"/>
      <c r="AD276" s="315"/>
      <c r="AE276" s="309">
        <f>W278</f>
        <v>0</v>
      </c>
      <c r="AF276" s="315">
        <f>X278</f>
        <v>0</v>
      </c>
      <c r="AG276" s="309" t="s">
        <v>536</v>
      </c>
      <c r="AH276" s="315">
        <f>AA276</f>
        <v>1</v>
      </c>
    </row>
    <row r="277" spans="10:35">
      <c r="J277" s="309" t="s">
        <v>1553</v>
      </c>
      <c r="K277" s="309" t="s">
        <v>1554</v>
      </c>
      <c r="L277" s="309" t="s">
        <v>1555</v>
      </c>
      <c r="M277" s="320" t="s">
        <v>1556</v>
      </c>
      <c r="N277" s="309" t="s">
        <v>1557</v>
      </c>
      <c r="O277" s="312">
        <f>G92</f>
        <v>122</v>
      </c>
      <c r="P277" s="312">
        <f>O277</f>
        <v>122</v>
      </c>
      <c r="Q277" s="313">
        <f t="shared" si="56"/>
        <v>1</v>
      </c>
      <c r="R277" s="309" t="s">
        <v>537</v>
      </c>
      <c r="S277" s="321">
        <f>C10</f>
        <v>0</v>
      </c>
      <c r="T277" s="322">
        <f>E10*L282/1000000</f>
        <v>2.5000000000000001E-4</v>
      </c>
      <c r="U277" s="319">
        <f>U238</f>
        <v>2E-3</v>
      </c>
      <c r="V277" s="321"/>
      <c r="W277" s="314"/>
      <c r="X277" s="314"/>
      <c r="Z277" s="309" t="s">
        <v>539</v>
      </c>
      <c r="AA277" s="315">
        <f>S279</f>
        <v>0</v>
      </c>
      <c r="AB277" s="315"/>
      <c r="AC277" s="315"/>
      <c r="AD277" s="315"/>
      <c r="AE277" s="309" t="s">
        <v>540</v>
      </c>
      <c r="AF277" s="311">
        <f>T277</f>
        <v>2.5000000000000001E-4</v>
      </c>
      <c r="AG277" s="309" t="s">
        <v>539</v>
      </c>
      <c r="AH277" s="315">
        <f>AA277</f>
        <v>0</v>
      </c>
    </row>
    <row r="278" spans="10:35">
      <c r="J278" s="309" t="s">
        <v>298</v>
      </c>
      <c r="K278" s="310">
        <f>B92</f>
        <v>181</v>
      </c>
      <c r="L278" s="310">
        <f>L285*L284*D29</f>
        <v>1.8100000000000003</v>
      </c>
      <c r="M278" s="313">
        <f>L278/K278</f>
        <v>1.0000000000000002E-2</v>
      </c>
      <c r="N278" s="309" t="s">
        <v>299</v>
      </c>
      <c r="O278" s="312">
        <f>H92</f>
        <v>160</v>
      </c>
      <c r="P278" s="312">
        <f>O278-H95*(P276)</f>
        <v>150</v>
      </c>
      <c r="Q278" s="313">
        <f t="shared" si="56"/>
        <v>0.9375</v>
      </c>
      <c r="R278" s="309" t="s">
        <v>541</v>
      </c>
      <c r="S278" s="321">
        <f>D10</f>
        <v>1</v>
      </c>
      <c r="T278" s="310"/>
      <c r="U278" s="308">
        <f>T277/U277</f>
        <v>0.125</v>
      </c>
      <c r="V278" s="321"/>
      <c r="W278" s="323"/>
      <c r="X278" s="315"/>
      <c r="Z278" s="309"/>
      <c r="AA278" s="311"/>
      <c r="AB278" s="311"/>
      <c r="AC278" s="311"/>
      <c r="AD278" s="311"/>
      <c r="AE278" s="314"/>
      <c r="AI278" s="309" t="s">
        <v>109</v>
      </c>
    </row>
    <row r="279" spans="10:35">
      <c r="J279" s="309" t="s">
        <v>1579</v>
      </c>
      <c r="K279" s="310">
        <f>C92</f>
        <v>10.3</v>
      </c>
      <c r="L279" s="310">
        <f>(1+L288)/(1/L289+L288/L286)*E29</f>
        <v>0.10300000000000002</v>
      </c>
      <c r="M279" s="313">
        <f>L279/K279</f>
        <v>1.0000000000000002E-2</v>
      </c>
      <c r="N279" s="309" t="s">
        <v>1580</v>
      </c>
      <c r="O279" s="310">
        <f>(O278-O275)/(O278-O275)</f>
        <v>1</v>
      </c>
      <c r="P279" s="310">
        <f>(P278-P275)/(P278-O275)</f>
        <v>1</v>
      </c>
      <c r="Q279" s="313">
        <f t="shared" si="56"/>
        <v>1</v>
      </c>
      <c r="R279" s="309" t="s">
        <v>1295</v>
      </c>
      <c r="S279" s="325">
        <f>S277*PI()/90</f>
        <v>0</v>
      </c>
      <c r="T279" s="325"/>
      <c r="U279" s="325"/>
      <c r="V279" s="325"/>
      <c r="W279" s="314"/>
      <c r="X279" s="326"/>
      <c r="Y279" s="309"/>
      <c r="Z279" s="307" t="s">
        <v>1297</v>
      </c>
      <c r="AA279" s="314"/>
      <c r="AB279" s="314"/>
      <c r="AC279" s="311"/>
      <c r="AD279" s="311"/>
      <c r="AE279" s="311"/>
      <c r="AG279" s="307" t="s">
        <v>1298</v>
      </c>
      <c r="AI279" s="309" t="s">
        <v>1299</v>
      </c>
    </row>
    <row r="280" spans="10:35">
      <c r="J280" s="309" t="s">
        <v>259</v>
      </c>
      <c r="K280" s="310">
        <f>D92</f>
        <v>0.28000000000000003</v>
      </c>
      <c r="L280" s="310">
        <f>K280*I47*C29</f>
        <v>2.8000000000000004E-3</v>
      </c>
      <c r="M280" s="313">
        <f>L280/K280</f>
        <v>0.01</v>
      </c>
      <c r="N280" s="309" t="s">
        <v>260</v>
      </c>
      <c r="O280" s="312">
        <f>O275-O277</f>
        <v>-100</v>
      </c>
      <c r="P280" s="312">
        <f>P275-P277</f>
        <v>-100</v>
      </c>
      <c r="Q280" s="313">
        <f t="shared" si="56"/>
        <v>1</v>
      </c>
      <c r="R280" s="309" t="s">
        <v>1300</v>
      </c>
      <c r="S280" s="325">
        <f>2*S279</f>
        <v>0</v>
      </c>
      <c r="T280" s="325"/>
      <c r="U280" s="325"/>
      <c r="V280" s="325"/>
      <c r="W280" s="323"/>
      <c r="X280" s="315"/>
      <c r="Y280" s="311"/>
      <c r="Z280" s="309"/>
      <c r="AA280" s="314" t="s">
        <v>1301</v>
      </c>
      <c r="AB280" s="314"/>
      <c r="AC280" s="327" t="s">
        <v>619</v>
      </c>
      <c r="AD280" s="327"/>
      <c r="AE280" s="314" t="s">
        <v>1303</v>
      </c>
      <c r="AF280" s="314" t="s">
        <v>1304</v>
      </c>
      <c r="AG280" s="309" t="s">
        <v>1305</v>
      </c>
      <c r="AH280" s="319">
        <f>AA286/1000</f>
        <v>0.83207951361633303</v>
      </c>
      <c r="AI280" s="328">
        <f>AI241</f>
        <v>1.5940987336163721E-5</v>
      </c>
    </row>
    <row r="281" spans="10:35">
      <c r="J281" s="309" t="s">
        <v>261</v>
      </c>
      <c r="K281" s="310">
        <f>E92</f>
        <v>7.17</v>
      </c>
      <c r="L281" s="310">
        <f>(1+L291)/(1/L292+L291*2.7/L286)</f>
        <v>7.17E-2</v>
      </c>
      <c r="M281" s="313">
        <f>L281/K281</f>
        <v>0.01</v>
      </c>
      <c r="N281" s="309"/>
      <c r="O281" s="310"/>
      <c r="P281" s="310"/>
      <c r="Q281" s="310"/>
      <c r="S281" s="329"/>
      <c r="T281" s="329"/>
      <c r="U281" s="329"/>
      <c r="V281" s="333"/>
      <c r="W281" s="314"/>
      <c r="X281" s="314"/>
      <c r="Y281" s="311"/>
      <c r="Z281" s="309">
        <v>1</v>
      </c>
      <c r="AA281" s="310">
        <f>AA242</f>
        <v>0.92387953251128652</v>
      </c>
      <c r="AB281" s="322"/>
      <c r="AC281" s="310">
        <f>AC242</f>
        <v>832.07951361633309</v>
      </c>
      <c r="AD281" s="322"/>
      <c r="AE281" s="326" t="s">
        <v>1306</v>
      </c>
      <c r="AF281" s="322">
        <f>IF(T277=0,0,(AC281+AC282)/2)</f>
        <v>153.03071527573502</v>
      </c>
      <c r="AG281" s="309" t="s">
        <v>1307</v>
      </c>
      <c r="AH281" s="319">
        <f>AA287/1000</f>
        <v>-0.52601808306486308</v>
      </c>
      <c r="AI281" s="328">
        <f>AI242</f>
        <v>-1.4744162556861379E-5</v>
      </c>
    </row>
    <row r="282" spans="10:35">
      <c r="J282" s="309" t="s">
        <v>262</v>
      </c>
      <c r="K282" s="312">
        <f>B94</f>
        <v>125</v>
      </c>
      <c r="L282" s="312">
        <f>K282/M284</f>
        <v>125</v>
      </c>
      <c r="M282" s="313">
        <f>L282/K282</f>
        <v>1</v>
      </c>
      <c r="N282" s="307" t="s">
        <v>1531</v>
      </c>
      <c r="O282" s="310"/>
      <c r="P282" s="310"/>
      <c r="Q282" s="310"/>
      <c r="R282" s="309" t="s">
        <v>1325</v>
      </c>
      <c r="S282" s="314" t="s">
        <v>1326</v>
      </c>
      <c r="T282" s="314"/>
      <c r="U282" s="314" t="s">
        <v>1330</v>
      </c>
      <c r="V282" s="309" t="s">
        <v>172</v>
      </c>
      <c r="W282" s="309" t="s">
        <v>187</v>
      </c>
      <c r="X282" s="314"/>
      <c r="Y282" s="319"/>
      <c r="Z282" s="309">
        <v>2</v>
      </c>
      <c r="AA282" s="310">
        <f>AA243</f>
        <v>-0.38268343236509039</v>
      </c>
      <c r="AB282" s="322"/>
      <c r="AC282" s="310">
        <f>AC243</f>
        <v>-526.01808306486305</v>
      </c>
      <c r="AD282" s="322"/>
      <c r="AE282" s="326" t="s">
        <v>1309</v>
      </c>
      <c r="AF282" s="322">
        <f>IF(T277=0,0,(AC281-AC282)/2)</f>
        <v>679.04879834059807</v>
      </c>
      <c r="AG282" s="309" t="s">
        <v>1310</v>
      </c>
      <c r="AH282" s="319">
        <f>AA288/1000</f>
        <v>5.6856910853327398E-17</v>
      </c>
      <c r="AI282" s="328">
        <f>AI243</f>
        <v>-1.765337588225286E-21</v>
      </c>
    </row>
    <row r="283" spans="10:35">
      <c r="J283" s="307" t="s">
        <v>264</v>
      </c>
      <c r="K283" s="310"/>
      <c r="L283" s="310"/>
      <c r="N283" s="309" t="s">
        <v>265</v>
      </c>
      <c r="O283" s="310">
        <f>A95</f>
        <v>0.02</v>
      </c>
      <c r="P283" s="310">
        <f>O283</f>
        <v>0.02</v>
      </c>
      <c r="Q283" s="310">
        <f>P283/O283</f>
        <v>1</v>
      </c>
      <c r="R283" s="309">
        <v>11</v>
      </c>
      <c r="S283" s="310">
        <f>L300+L301*COS(S279)+L302*COS(S280)</f>
        <v>1.8100008075203604</v>
      </c>
      <c r="T283" s="310"/>
      <c r="U283" s="322">
        <f>S283*T277</f>
        <v>4.5250020188009011E-4</v>
      </c>
      <c r="V283" s="322">
        <f t="shared" ref="V283:W288" si="57">V244</f>
        <v>1.3910951223277007E-3</v>
      </c>
      <c r="W283" s="310">
        <f t="shared" si="57"/>
        <v>0.6955475611638503</v>
      </c>
      <c r="X283" s="319"/>
      <c r="Y283" s="311"/>
      <c r="Z283" s="309">
        <v>6</v>
      </c>
      <c r="AA283" s="310">
        <f>AA244</f>
        <v>0</v>
      </c>
      <c r="AB283" s="322"/>
      <c r="AC283" s="310">
        <f>AC244</f>
        <v>5.6856910853327399E-14</v>
      </c>
      <c r="AD283" s="322"/>
      <c r="AE283" s="326" t="s">
        <v>1312</v>
      </c>
      <c r="AF283" s="322">
        <f>IF(T277=0,0,AC283/2)</f>
        <v>2.8428455426663699E-14</v>
      </c>
      <c r="AG283" s="309"/>
      <c r="AH283" s="322"/>
      <c r="AI283" s="322"/>
    </row>
    <row r="284" spans="10:35">
      <c r="J284" s="309" t="s">
        <v>1532</v>
      </c>
      <c r="K284" s="310">
        <f>C94</f>
        <v>0.7</v>
      </c>
      <c r="L284" s="310">
        <f>D47</f>
        <v>0.7</v>
      </c>
      <c r="M284" s="313">
        <f t="shared" ref="M284:M292" si="58">L284/K284</f>
        <v>1</v>
      </c>
      <c r="N284" s="309" t="s">
        <v>1533</v>
      </c>
      <c r="O284" s="310">
        <f>B95</f>
        <v>22.5</v>
      </c>
      <c r="P284" s="310">
        <f>O284*(1-L284)/(1-K284)</f>
        <v>22.5</v>
      </c>
      <c r="Q284" s="310">
        <f>P284/O284</f>
        <v>1</v>
      </c>
      <c r="R284" s="309">
        <v>22</v>
      </c>
      <c r="S284" s="310">
        <f>S283-2*L301*COS(S279)</f>
        <v>0.1030000459528162</v>
      </c>
      <c r="T284" s="310"/>
      <c r="U284" s="322">
        <f>S284*T277</f>
        <v>2.575001148820405E-5</v>
      </c>
      <c r="V284" s="322">
        <f t="shared" si="57"/>
        <v>1.4300606625216533E-3</v>
      </c>
      <c r="W284" s="310">
        <f t="shared" si="57"/>
        <v>0.71503033126082671</v>
      </c>
      <c r="X284" s="314"/>
      <c r="AA284" s="322"/>
      <c r="AB284" s="322"/>
      <c r="AC284" s="322"/>
      <c r="AD284" s="322"/>
      <c r="AE284" s="326"/>
      <c r="AF284" s="322"/>
      <c r="AG284" s="309"/>
      <c r="AH284" s="322"/>
      <c r="AI284" s="322"/>
    </row>
    <row r="285" spans="10:35">
      <c r="J285" s="309" t="s">
        <v>1534</v>
      </c>
      <c r="K285" s="312">
        <f>K278/K284</f>
        <v>258.57142857142861</v>
      </c>
      <c r="L285" s="312">
        <f>F47*P279^F95*C29</f>
        <v>2.5857142857142863</v>
      </c>
      <c r="M285" s="313">
        <f t="shared" si="58"/>
        <v>0.01</v>
      </c>
      <c r="N285" s="308" t="s">
        <v>1535</v>
      </c>
      <c r="O285" s="310"/>
      <c r="P285" s="310"/>
      <c r="Q285" s="310"/>
      <c r="R285" s="309" t="s">
        <v>1345</v>
      </c>
      <c r="S285" s="310">
        <f>L303-L302*COS(S280)</f>
        <v>2.8840012866790388E-4</v>
      </c>
      <c r="T285" s="310"/>
      <c r="U285" s="322">
        <f>S285*T277</f>
        <v>7.2100032166975976E-8</v>
      </c>
      <c r="V285" s="322">
        <f t="shared" si="57"/>
        <v>4.4413343911675369E-4</v>
      </c>
      <c r="W285" s="310">
        <f t="shared" si="57"/>
        <v>0.22206671955837684</v>
      </c>
      <c r="X285" s="322"/>
      <c r="Z285" s="307" t="s">
        <v>1323</v>
      </c>
      <c r="AA285" s="322"/>
      <c r="AB285" s="322"/>
      <c r="AC285" s="322"/>
      <c r="AD285" s="322"/>
      <c r="AE285" s="326"/>
      <c r="AF285" s="322"/>
      <c r="AG285" s="309"/>
      <c r="AH285" s="322"/>
      <c r="AI285" s="322"/>
    </row>
    <row r="286" spans="10:35">
      <c r="J286" s="309" t="s">
        <v>1536</v>
      </c>
      <c r="K286" s="310">
        <f>F92</f>
        <v>3.4</v>
      </c>
      <c r="L286" s="310">
        <f>E47*P279^F94*I47*C29</f>
        <v>3.4000000000000002E-2</v>
      </c>
      <c r="M286" s="313">
        <f t="shared" si="58"/>
        <v>0.01</v>
      </c>
      <c r="N286" s="309" t="s">
        <v>1537</v>
      </c>
      <c r="O286" s="310">
        <f>C95</f>
        <v>0</v>
      </c>
      <c r="P286" s="310">
        <f>O286</f>
        <v>0</v>
      </c>
      <c r="Q286" s="310">
        <v>1</v>
      </c>
      <c r="R286" s="309">
        <v>66</v>
      </c>
      <c r="S286" s="310">
        <f>S285-L303+L304</f>
        <v>7.1699999999999986E-2</v>
      </c>
      <c r="T286" s="310"/>
      <c r="U286" s="322">
        <f>S286*T277</f>
        <v>1.7924999999999995E-5</v>
      </c>
      <c r="V286" s="322">
        <f t="shared" si="57"/>
        <v>5.0200594305701445E-4</v>
      </c>
      <c r="W286" s="310">
        <f t="shared" si="57"/>
        <v>0.2510029715285072</v>
      </c>
      <c r="X286" s="310"/>
      <c r="Z286" s="309" t="s">
        <v>1324</v>
      </c>
      <c r="AA286" s="319">
        <f>(AF281+AF282*COS(AA277)+AF283*SIN(AA277))</f>
        <v>832.07951361633309</v>
      </c>
      <c r="AB286" s="319">
        <f>AA286+AH296</f>
        <v>832.07951681315785</v>
      </c>
      <c r="AC286" s="319">
        <f>IF(ABS(AB286/AB289)&lt;0.000000001,0,AB286)</f>
        <v>832.07951681315785</v>
      </c>
      <c r="AD286" s="319"/>
      <c r="AE286" s="326"/>
      <c r="AF286" s="322"/>
      <c r="AG286" s="307"/>
      <c r="AH286" s="326"/>
      <c r="AI286" s="322"/>
    </row>
    <row r="287" spans="10:35">
      <c r="J287" s="309" t="s">
        <v>1538</v>
      </c>
      <c r="K287" s="310">
        <f>E94</f>
        <v>0.51600000000000001</v>
      </c>
      <c r="L287" s="310">
        <f>K287*P279^G94</f>
        <v>0.51600000000000001</v>
      </c>
      <c r="M287" s="313">
        <f t="shared" si="58"/>
        <v>1</v>
      </c>
      <c r="N287" s="309" t="s">
        <v>1539</v>
      </c>
      <c r="O287" s="310">
        <f>D95</f>
        <v>0.6</v>
      </c>
      <c r="P287" s="310">
        <f>O287*(1-L284)/(1-K284)</f>
        <v>0.6</v>
      </c>
      <c r="Q287" s="310">
        <f>P287/O287</f>
        <v>1</v>
      </c>
      <c r="R287" s="309" t="s">
        <v>1347</v>
      </c>
      <c r="S287" s="310">
        <f>L301*SIN(S279)/2+L302*SIN(S280)</f>
        <v>0</v>
      </c>
      <c r="T287" s="310"/>
      <c r="U287" s="322">
        <f>S287*T277</f>
        <v>0</v>
      </c>
      <c r="V287" s="322">
        <f t="shared" si="57"/>
        <v>6.9206013750663471E-23</v>
      </c>
      <c r="W287" s="310">
        <f t="shared" si="57"/>
        <v>3.4603006875331733E-20</v>
      </c>
      <c r="X287" s="314"/>
      <c r="Z287" s="309" t="s">
        <v>1332</v>
      </c>
      <c r="AA287" s="319">
        <f>2*AF281-AA286</f>
        <v>-526.01808306486305</v>
      </c>
      <c r="AB287" s="319">
        <f>AA287+AH297</f>
        <v>-526.01880237971318</v>
      </c>
      <c r="AC287" s="319">
        <f>IF(ABS(AB287/AB289)&lt;0.000000001,0,AB287)</f>
        <v>-526.01880237971318</v>
      </c>
      <c r="AD287" s="319"/>
      <c r="AE287" s="322"/>
      <c r="AF287" s="322"/>
      <c r="AG287" s="309" t="s">
        <v>1333</v>
      </c>
      <c r="AH287" s="322">
        <f>P306*AH280^2+2*P308*AH280*AH281+P307*AH281^2+P309*AH282^2</f>
        <v>1.8999678439950516</v>
      </c>
      <c r="AI287" s="322"/>
    </row>
    <row r="288" spans="10:35">
      <c r="J288" s="309" t="s">
        <v>1547</v>
      </c>
      <c r="K288" s="310">
        <f>K287*(1-K284)/K284</f>
        <v>0.2211428571428572</v>
      </c>
      <c r="L288" s="310">
        <f>L287*(1-L284)/L284</f>
        <v>0.2211428571428572</v>
      </c>
      <c r="M288" s="313">
        <f t="shared" si="58"/>
        <v>1</v>
      </c>
      <c r="O288" s="310"/>
      <c r="P288" s="310"/>
      <c r="Q288" s="310"/>
      <c r="R288" s="309" t="s">
        <v>1349</v>
      </c>
      <c r="S288" s="310">
        <f>L301*SIN(S279)-S287</f>
        <v>0</v>
      </c>
      <c r="T288" s="310"/>
      <c r="U288" s="322">
        <f>S288*T277</f>
        <v>0</v>
      </c>
      <c r="V288" s="322">
        <f t="shared" si="57"/>
        <v>5.43709294019984E-20</v>
      </c>
      <c r="W288" s="310">
        <f t="shared" si="57"/>
        <v>2.7185464700999198E-17</v>
      </c>
      <c r="X288" s="322"/>
      <c r="Z288" s="309" t="s">
        <v>1334</v>
      </c>
      <c r="AA288" s="319">
        <f>(2*(AF283*COS(AA277)-AF282*SIN(AA277)))</f>
        <v>5.6856910853327399E-14</v>
      </c>
      <c r="AB288" s="319">
        <f>AA288+AH298</f>
        <v>5.6856907322652218E-14</v>
      </c>
      <c r="AC288" s="319">
        <f>IF(ABS(AB288/AB289)&lt;0.000000001,0,AB288)</f>
        <v>0</v>
      </c>
      <c r="AD288" s="319"/>
      <c r="AE288" s="322"/>
      <c r="AF288" s="322"/>
      <c r="AG288" s="309" t="s">
        <v>1335</v>
      </c>
      <c r="AH288" s="322">
        <f>P310*AH280+P311*AH281</f>
        <v>-1.7164287232282334</v>
      </c>
      <c r="AI288" s="322"/>
    </row>
    <row r="289" spans="10:35">
      <c r="J289" s="309" t="s">
        <v>1643</v>
      </c>
      <c r="K289" s="310">
        <f>1/((1+K288)/K279-K288/K286)</f>
        <v>18.686160319541436</v>
      </c>
      <c r="L289" s="310">
        <f>K289*P279^F95*C29</f>
        <v>0.18686160319541437</v>
      </c>
      <c r="M289" s="313">
        <f t="shared" si="58"/>
        <v>0.01</v>
      </c>
      <c r="N289" s="308" t="s">
        <v>176</v>
      </c>
      <c r="O289" s="310"/>
      <c r="P289" s="310"/>
      <c r="Q289" s="310"/>
      <c r="S289" s="308"/>
      <c r="T289" s="314" t="s">
        <v>1353</v>
      </c>
      <c r="U289" s="311">
        <f>U283*U284*U286+2*U285*U287*U288-U284*U287^2-U286*U285^2-U283*U288^2</f>
        <v>2.08859952556541E-13</v>
      </c>
      <c r="V289" s="311">
        <f>V283*V284*V286+2*V285*V287*V288-V284*V287^2-V286*V285^2-V283*V288^2</f>
        <v>8.9964279259162027E-10</v>
      </c>
      <c r="W289" s="308"/>
      <c r="X289" s="322"/>
      <c r="AA289" s="309" t="s">
        <v>1363</v>
      </c>
      <c r="AB289" s="322">
        <f>SQRT(AB286^2+AB287^2+AB288^2)</f>
        <v>984.40444064266899</v>
      </c>
      <c r="AC289" s="322"/>
      <c r="AD289" s="322"/>
      <c r="AE289" s="322"/>
      <c r="AF289" s="322"/>
      <c r="AG289" s="309" t="s">
        <v>1344</v>
      </c>
      <c r="AH289" s="322">
        <f>AH288/2/AH287</f>
        <v>-0.45169941392774005</v>
      </c>
      <c r="AI289" s="322"/>
    </row>
    <row r="290" spans="10:35">
      <c r="J290" s="309" t="s">
        <v>295</v>
      </c>
      <c r="K290" s="310">
        <f>E95</f>
        <v>0.316</v>
      </c>
      <c r="L290" s="310">
        <f>K290*P279^G94</f>
        <v>0.316</v>
      </c>
      <c r="M290" s="313">
        <f t="shared" si="58"/>
        <v>1</v>
      </c>
      <c r="N290" s="309" t="s">
        <v>296</v>
      </c>
      <c r="O290" s="312">
        <f>A93</f>
        <v>1500</v>
      </c>
      <c r="P290" s="312">
        <f>P296*L284</f>
        <v>1500</v>
      </c>
      <c r="Q290" s="310">
        <f t="shared" ref="Q290:Q297" si="59">P290/O290</f>
        <v>1</v>
      </c>
      <c r="R290" s="309" t="s">
        <v>1355</v>
      </c>
      <c r="S290" s="314" t="s">
        <v>382</v>
      </c>
      <c r="T290" s="314" t="s">
        <v>182</v>
      </c>
      <c r="U290" s="314" t="s">
        <v>669</v>
      </c>
      <c r="V290" s="314" t="s">
        <v>670</v>
      </c>
      <c r="W290" s="308"/>
      <c r="X290" s="322"/>
      <c r="Z290" s="309"/>
      <c r="AA290" s="322"/>
      <c r="AB290" s="322"/>
      <c r="AC290" s="322"/>
      <c r="AD290" s="322"/>
      <c r="AE290" s="322"/>
      <c r="AF290" s="322"/>
      <c r="AG290" s="309"/>
      <c r="AH290" s="322"/>
      <c r="AI290" s="322"/>
    </row>
    <row r="291" spans="10:35">
      <c r="J291" s="309" t="s">
        <v>301</v>
      </c>
      <c r="K291" s="310">
        <f>K290*(1-K284)/K284</f>
        <v>0.13542857142857145</v>
      </c>
      <c r="L291" s="310">
        <f>L290*(1-L284)/L284</f>
        <v>0.13542857142857145</v>
      </c>
      <c r="M291" s="313">
        <f t="shared" si="58"/>
        <v>1</v>
      </c>
      <c r="N291" s="309" t="s">
        <v>302</v>
      </c>
      <c r="O291" s="312">
        <f>B93</f>
        <v>1500</v>
      </c>
      <c r="P291" s="312">
        <f>O291*Q290*M281^E96</f>
        <v>946.4360167202899</v>
      </c>
      <c r="Q291" s="310">
        <f t="shared" si="59"/>
        <v>0.63095734448019325</v>
      </c>
      <c r="R291" s="309">
        <v>11</v>
      </c>
      <c r="S291" s="311">
        <f>IF(U289=0,1E+99,(U284*U286-U288^2)/U289)</f>
        <v>2209.9447513812156</v>
      </c>
      <c r="T291" s="310">
        <f t="shared" ref="T291:V296" si="60">T252</f>
        <v>797.98221853126245</v>
      </c>
      <c r="U291" s="310">
        <f t="shared" si="60"/>
        <v>1.595964437062525</v>
      </c>
      <c r="V291" s="310">
        <f t="shared" si="60"/>
        <v>0.62658037784385989</v>
      </c>
      <c r="W291" s="308"/>
      <c r="X291" s="322"/>
      <c r="Z291" s="309"/>
      <c r="AA291" s="322"/>
      <c r="AB291" s="322"/>
      <c r="AC291" s="322"/>
      <c r="AD291" s="322"/>
      <c r="AE291" s="322"/>
      <c r="AF291" s="322"/>
      <c r="AG291" s="309"/>
      <c r="AH291" s="322"/>
      <c r="AI291" s="322"/>
    </row>
    <row r="292" spans="10:35">
      <c r="J292" s="309" t="s">
        <v>304</v>
      </c>
      <c r="K292" s="310">
        <f>1/((1+K291)/K281-K291*2.7/K286)</f>
        <v>19.680382632972858</v>
      </c>
      <c r="L292" s="310">
        <f>K292*P279^F95*C29</f>
        <v>0.19680382632972859</v>
      </c>
      <c r="M292" s="313">
        <f t="shared" si="58"/>
        <v>0.01</v>
      </c>
      <c r="N292" s="309" t="s">
        <v>305</v>
      </c>
      <c r="O292" s="312">
        <f>C93</f>
        <v>40</v>
      </c>
      <c r="P292" s="312">
        <f>O292*Q297</f>
        <v>40</v>
      </c>
      <c r="Q292" s="310">
        <f t="shared" si="59"/>
        <v>1</v>
      </c>
      <c r="R292" s="309">
        <v>22</v>
      </c>
      <c r="S292" s="311">
        <f>IF(U289=0,1E+99,(U283*U286-U287^2)/U289)</f>
        <v>38834.951456310642</v>
      </c>
      <c r="T292" s="310">
        <f t="shared" si="60"/>
        <v>776.23921907317572</v>
      </c>
      <c r="U292" s="310">
        <f t="shared" si="60"/>
        <v>1.5524784381463514</v>
      </c>
      <c r="V292" s="310">
        <f t="shared" si="60"/>
        <v>0.64413132925310901</v>
      </c>
      <c r="W292" s="308"/>
      <c r="X292" s="322"/>
      <c r="AA292" s="322"/>
      <c r="AB292" s="322"/>
      <c r="AC292" s="322"/>
      <c r="AD292" s="322"/>
      <c r="AE292" s="322"/>
      <c r="AF292" s="322"/>
      <c r="AG292" s="309"/>
      <c r="AH292" s="322"/>
      <c r="AI292" s="326" t="s">
        <v>1348</v>
      </c>
    </row>
    <row r="293" spans="10:35">
      <c r="L293" s="310"/>
      <c r="N293" s="309" t="s">
        <v>1542</v>
      </c>
      <c r="O293" s="312">
        <f>D93</f>
        <v>246</v>
      </c>
      <c r="P293" s="312">
        <f>O293*Q297</f>
        <v>246</v>
      </c>
      <c r="Q293" s="310">
        <f t="shared" si="59"/>
        <v>1</v>
      </c>
      <c r="R293" s="309" t="s">
        <v>1345</v>
      </c>
      <c r="S293" s="311">
        <f>IF(U289=0,1E+99,(U287*U288-U285*U286)/U289)</f>
        <v>-6.1878453038678014</v>
      </c>
      <c r="T293" s="310">
        <f t="shared" si="60"/>
        <v>-247.82905813615449</v>
      </c>
      <c r="U293" s="310">
        <f t="shared" si="60"/>
        <v>-0.49565811627230899</v>
      </c>
      <c r="V293" s="310">
        <f t="shared" si="60"/>
        <v>0.31056964977527918</v>
      </c>
      <c r="W293" s="308"/>
      <c r="X293" s="322"/>
      <c r="AF293" s="322"/>
      <c r="AG293" s="309" t="s">
        <v>1351</v>
      </c>
      <c r="AH293" s="319">
        <f>(AH289^2+1/AH287)^0.5-AH289</f>
        <v>1.3063087150985719</v>
      </c>
      <c r="AI293" s="319">
        <f>AH294</f>
        <v>1.3063087150985719</v>
      </c>
    </row>
    <row r="294" spans="10:35">
      <c r="J294" s="308" t="s">
        <v>1507</v>
      </c>
      <c r="N294" s="309" t="s">
        <v>1543</v>
      </c>
      <c r="O294" s="345">
        <f>E93</f>
        <v>68</v>
      </c>
      <c r="P294" s="345">
        <f>O294*Q297</f>
        <v>68</v>
      </c>
      <c r="Q294" s="310">
        <f t="shared" si="59"/>
        <v>1</v>
      </c>
      <c r="R294" s="309">
        <v>66</v>
      </c>
      <c r="S294" s="311">
        <f>IF(U289=0,1E+99,(U283*U284-U285^2)/U289)</f>
        <v>55788.005578800577</v>
      </c>
      <c r="T294" s="310">
        <f t="shared" si="60"/>
        <v>1992.0082896039078</v>
      </c>
      <c r="U294" s="310">
        <f t="shared" si="60"/>
        <v>3.9840165792078155</v>
      </c>
      <c r="V294" s="310">
        <f t="shared" si="60"/>
        <v>0.2510029715285072</v>
      </c>
      <c r="W294" s="308"/>
      <c r="AF294" s="322"/>
      <c r="AG294" s="309"/>
      <c r="AH294" s="319">
        <f>IF(AH276=0,1000000000,AH293)</f>
        <v>1.3063087150985719</v>
      </c>
    </row>
    <row r="295" spans="10:35">
      <c r="J295" s="309" t="s">
        <v>1354</v>
      </c>
      <c r="K295" s="310">
        <f>K278/(1-K280^2*K279/K278)</f>
        <v>181.81113884441791</v>
      </c>
      <c r="L295" s="310">
        <f>L278/(1-L280^2*L279/L278)</f>
        <v>1.8100008075203604</v>
      </c>
      <c r="M295" s="313">
        <f>L295/K295</f>
        <v>9.9553900768931478E-3</v>
      </c>
      <c r="N295" s="309" t="s">
        <v>1168</v>
      </c>
      <c r="O295" s="313">
        <f>A94</f>
        <v>-0.5</v>
      </c>
      <c r="P295" s="313">
        <f>O295*I47*C29</f>
        <v>-5.0000000000000001E-3</v>
      </c>
      <c r="Q295" s="310">
        <f t="shared" si="59"/>
        <v>0.01</v>
      </c>
      <c r="R295" s="309" t="s">
        <v>1347</v>
      </c>
      <c r="S295" s="311">
        <f>IF(U289=0,1E+99,(U285*U288-U284*U287)/U289)</f>
        <v>0</v>
      </c>
      <c r="T295" s="310">
        <f t="shared" si="60"/>
        <v>2.6731697584249638E-14</v>
      </c>
      <c r="U295" s="310">
        <f t="shared" si="60"/>
        <v>5.3463395168499281E-17</v>
      </c>
      <c r="V295" s="310">
        <f t="shared" si="60"/>
        <v>3.3499114345493873E-17</v>
      </c>
      <c r="W295" s="308"/>
      <c r="X295" s="308"/>
      <c r="Y295" s="309"/>
      <c r="AF295" s="322"/>
      <c r="AG295" s="308" t="s">
        <v>1360</v>
      </c>
      <c r="AH295" s="319">
        <f>IF(AH276=0,0,AH293)</f>
        <v>1.3063087150985719</v>
      </c>
    </row>
    <row r="296" spans="10:35">
      <c r="J296" s="309" t="s">
        <v>1361</v>
      </c>
      <c r="K296" s="310">
        <f>K295*K279/K278</f>
        <v>10.346158729820468</v>
      </c>
      <c r="L296" s="310">
        <f>L295*L279/L278</f>
        <v>0.1030000459528161</v>
      </c>
      <c r="M296" s="313">
        <f>L296/K296</f>
        <v>9.9553900768931478E-3</v>
      </c>
      <c r="N296" s="309" t="s">
        <v>1175</v>
      </c>
      <c r="O296" s="312">
        <f>O290/K284</f>
        <v>2142.8571428571431</v>
      </c>
      <c r="P296" s="312">
        <f>H47*P279^G95</f>
        <v>2142.8571428571431</v>
      </c>
      <c r="Q296" s="310">
        <f t="shared" si="59"/>
        <v>1</v>
      </c>
      <c r="R296" s="309" t="s">
        <v>1349</v>
      </c>
      <c r="S296" s="311">
        <f>IF(U289=0,1E+99,(U285*U287-U283*U288)/U289)</f>
        <v>0</v>
      </c>
      <c r="T296" s="310">
        <f t="shared" si="60"/>
        <v>-8.4038241183318863E-14</v>
      </c>
      <c r="U296" s="310">
        <f t="shared" si="60"/>
        <v>-1.6807648236663772E-16</v>
      </c>
      <c r="V296" s="310">
        <f t="shared" si="60"/>
        <v>-1.0531342582795471E-16</v>
      </c>
      <c r="W296" s="308"/>
      <c r="X296" s="308"/>
      <c r="Y296" s="310"/>
      <c r="AF296" s="322"/>
      <c r="AG296" s="309" t="s">
        <v>1364</v>
      </c>
      <c r="AH296" s="328">
        <f>IF(AH276=0,0,AI280+AI281*COS(AH277)+AI282*SIN(AH277)-V302)</f>
        <v>3.1968247793023419E-6</v>
      </c>
      <c r="AI296" s="322"/>
    </row>
    <row r="297" spans="10:35">
      <c r="J297" s="309" t="s">
        <v>1365</v>
      </c>
      <c r="K297" s="310">
        <f>K296*K280</f>
        <v>2.8969244443497315</v>
      </c>
      <c r="L297" s="310">
        <f>L296*L280</f>
        <v>2.8840012866788512E-4</v>
      </c>
      <c r="M297" s="313">
        <f>L297/K297</f>
        <v>9.9553900768931477E-5</v>
      </c>
      <c r="N297" s="309" t="s">
        <v>1176</v>
      </c>
      <c r="O297" s="312">
        <f>O292</f>
        <v>40</v>
      </c>
      <c r="P297" s="312">
        <f>G47*P279^H94</f>
        <v>40</v>
      </c>
      <c r="Q297" s="310">
        <f t="shared" si="59"/>
        <v>1</v>
      </c>
      <c r="S297" s="308"/>
      <c r="T297" s="337"/>
      <c r="W297" s="308"/>
      <c r="X297" s="308"/>
      <c r="Y297" s="310"/>
      <c r="AF297" s="322"/>
      <c r="AG297" s="309" t="s">
        <v>1367</v>
      </c>
      <c r="AH297" s="328">
        <f>IF(AH276=0,0,2*AI280-AH296-V303-V302)</f>
        <v>-7.1931485010697513E-4</v>
      </c>
      <c r="AI297" s="322"/>
    </row>
    <row r="298" spans="10:35">
      <c r="J298" s="309" t="s">
        <v>1370</v>
      </c>
      <c r="K298" s="310">
        <f>K281</f>
        <v>7.17</v>
      </c>
      <c r="L298" s="310">
        <f>L281</f>
        <v>7.17E-2</v>
      </c>
      <c r="M298" s="313">
        <f>L298/K298</f>
        <v>0.01</v>
      </c>
      <c r="R298" s="309"/>
      <c r="S298" s="314" t="s">
        <v>1406</v>
      </c>
      <c r="T298" s="314" t="s">
        <v>1407</v>
      </c>
      <c r="U298" s="314" t="s">
        <v>1408</v>
      </c>
      <c r="V298" s="314" t="s">
        <v>1409</v>
      </c>
      <c r="W298" s="314" t="s">
        <v>1410</v>
      </c>
      <c r="X298" s="314" t="s">
        <v>1411</v>
      </c>
      <c r="Y298" s="314" t="s">
        <v>1394</v>
      </c>
      <c r="AF298" s="322"/>
      <c r="AG298" s="309" t="s">
        <v>1372</v>
      </c>
      <c r="AH298" s="328">
        <f>IF(AH276=0,0,2*(AI282*COS(AH277)-AI281*SIN(AH277)))</f>
        <v>-3.530675176450572E-21</v>
      </c>
      <c r="AI298" s="322"/>
    </row>
    <row r="299" spans="10:35">
      <c r="J299" s="308" t="s">
        <v>1510</v>
      </c>
      <c r="K299" s="310"/>
      <c r="L299" s="310"/>
      <c r="N299" s="308" t="s">
        <v>1375</v>
      </c>
      <c r="R299" s="309">
        <v>1</v>
      </c>
      <c r="S299" s="322">
        <f>((L295+L297)/2*P283+(L297+L296)/2*P284)/1000000</f>
        <v>1.1800979104931853E-6</v>
      </c>
      <c r="T299" s="322">
        <f>((L295+L297)/2*P286+(L297+L296)/2*P287)</f>
        <v>3.0986533824445196E-2</v>
      </c>
      <c r="U299" s="328">
        <f>S299+S300*Y299</f>
        <v>4.268901904543475E-8</v>
      </c>
      <c r="V299" s="319">
        <f>T299+T300*Y299</f>
        <v>1.7304007720073469E-4</v>
      </c>
      <c r="W299" s="319">
        <f>(U299*S291+U300*S293+U301*S295)*T277*1000000</f>
        <v>1.9999999999999841E-2</v>
      </c>
      <c r="X299" s="319">
        <f>(V299*S291+V300*S293+V301*S295)*T277</f>
        <v>-4.1355807667287079E-18</v>
      </c>
      <c r="Y299" s="319">
        <f>COS(S279)</f>
        <v>1</v>
      </c>
      <c r="AF299" s="322"/>
      <c r="AG299" s="322"/>
      <c r="AH299" s="322"/>
      <c r="AI299" s="322"/>
    </row>
    <row r="300" spans="10:35">
      <c r="J300" s="309" t="s">
        <v>1380</v>
      </c>
      <c r="K300" s="310">
        <f>(3*K295+3*K296+2*K297+4*K298)/8</f>
        <v>76.368217701426829</v>
      </c>
      <c r="L300" s="310">
        <f>(3*L295+3*L296+2*L297+4*L298)/8</f>
        <v>0.7532974200846082</v>
      </c>
      <c r="M300" s="313">
        <f>L300/K300</f>
        <v>9.8640172935518695E-3</v>
      </c>
      <c r="N300" s="309" t="s">
        <v>1381</v>
      </c>
      <c r="O300" s="310">
        <f>1/O290/O291*1000000</f>
        <v>0.44444444444444442</v>
      </c>
      <c r="P300" s="310">
        <f>1/P290/P291*1000000</f>
        <v>0.70439697442716154</v>
      </c>
      <c r="Q300" s="310">
        <f>P300/O300</f>
        <v>1.5848931924611136</v>
      </c>
      <c r="R300" s="309">
        <v>2</v>
      </c>
      <c r="S300" s="322">
        <f>((L295-L297)/2*P283+(L297-L296)/2*P284)/1000000</f>
        <v>-1.1374088914477506E-6</v>
      </c>
      <c r="T300" s="322">
        <f>((L295-L297)/2*P286+(L297-L296)/2*P287)</f>
        <v>-3.0813493747244462E-2</v>
      </c>
      <c r="U300" s="328">
        <f>S299-S300*Y299</f>
        <v>2.3175068019409357E-6</v>
      </c>
      <c r="V300" s="319">
        <f>T299-T300*Y299</f>
        <v>6.1800027571689661E-2</v>
      </c>
      <c r="W300" s="319">
        <f>(U299*S293+U300*S292+U301*S296)*T277*1000000</f>
        <v>22.499999999999986</v>
      </c>
      <c r="X300" s="319">
        <f>(V299*S293+V300*S292+V301*S296)*T277</f>
        <v>0.59999999999999953</v>
      </c>
      <c r="Y300" s="319">
        <f>SIN(S279)</f>
        <v>0</v>
      </c>
      <c r="AF300" s="322"/>
      <c r="AG300" s="326" t="s">
        <v>1383</v>
      </c>
      <c r="AH300" s="349">
        <f>P306*AH296^2+2*P308*AH296*AH297+P307*AH297^2+P309*AH298^2</f>
        <v>5.5789346432776553E-7</v>
      </c>
      <c r="AI300" s="322"/>
    </row>
    <row r="301" spans="10:35">
      <c r="J301" s="309" t="s">
        <v>1384</v>
      </c>
      <c r="K301" s="310">
        <f>(K295-K296)/2</f>
        <v>85.732490057298719</v>
      </c>
      <c r="L301" s="310">
        <f>(L295-L296)/2</f>
        <v>0.85350038078377211</v>
      </c>
      <c r="M301" s="313">
        <f>L301/K301</f>
        <v>9.9553900768931478E-3</v>
      </c>
      <c r="N301" s="309" t="s">
        <v>1385</v>
      </c>
      <c r="O301" s="310">
        <f>1/O292/O293*1000000</f>
        <v>101.6260162601626</v>
      </c>
      <c r="P301" s="310">
        <f>1/P292/P293*1000000</f>
        <v>101.6260162601626</v>
      </c>
      <c r="Q301" s="310">
        <f>P301/O301</f>
        <v>1</v>
      </c>
      <c r="R301" s="309">
        <v>6</v>
      </c>
      <c r="S301" s="314" t="s">
        <v>1419</v>
      </c>
      <c r="T301" s="314" t="s">
        <v>1420</v>
      </c>
      <c r="U301" s="328">
        <f>S300*Y300</f>
        <v>0</v>
      </c>
      <c r="V301" s="319">
        <f>T300*Y300</f>
        <v>0</v>
      </c>
      <c r="W301" s="319">
        <f>(U299*S295+U300*S296+U301*S294)*T277*1000000</f>
        <v>0</v>
      </c>
      <c r="X301" s="319">
        <f>(V299*S295+V300*S296+V301*S294)*T277</f>
        <v>0</v>
      </c>
      <c r="Y301" s="314" t="s">
        <v>406</v>
      </c>
      <c r="AF301" s="322"/>
      <c r="AG301" s="326" t="s">
        <v>1387</v>
      </c>
      <c r="AH301" s="349">
        <f>P310*AH296+P311*AH297</f>
        <v>-1.553215923483326E-3</v>
      </c>
      <c r="AI301" s="322"/>
    </row>
    <row r="302" spans="10:35">
      <c r="J302" s="309" t="s">
        <v>1388</v>
      </c>
      <c r="K302" s="310">
        <f>(K295+K296-2*K297-4*K298)/8</f>
        <v>19.710431085692363</v>
      </c>
      <c r="L302" s="310">
        <f>(L295+L296-2*L297-4*L298)/8</f>
        <v>0.2032030066519801</v>
      </c>
      <c r="M302" s="313">
        <f>L302/K302</f>
        <v>1.030941463271615E-2</v>
      </c>
      <c r="N302" s="309" t="s">
        <v>1389</v>
      </c>
      <c r="O302" s="310">
        <f>O295*(O300*O301)^0.5</f>
        <v>-3.3603243272729659</v>
      </c>
      <c r="P302" s="310">
        <f>P295*(P300*P301)^0.5</f>
        <v>-4.2303976874740766E-2</v>
      </c>
      <c r="Q302" s="310">
        <f>P302/O302</f>
        <v>1.2589254117941671E-2</v>
      </c>
      <c r="R302" s="309">
        <v>1</v>
      </c>
      <c r="S302" s="337">
        <f>P280*U299+P276*V299</f>
        <v>-3.4037015185398013E-6</v>
      </c>
      <c r="T302" s="311">
        <f>P280*W299/1000000+P276*X299</f>
        <v>-2.0000000000000046E-6</v>
      </c>
      <c r="U302" s="314" t="s">
        <v>1423</v>
      </c>
      <c r="V302" s="311">
        <f>P280*P283/1000000+P276*P286</f>
        <v>-1.9999999999999999E-6</v>
      </c>
      <c r="W302" s="308"/>
      <c r="Y302" s="319">
        <f>Y299+W343+W382+W421+W460+W499+W538+W577</f>
        <v>1</v>
      </c>
      <c r="AF302" s="322"/>
      <c r="AG302" s="326" t="s">
        <v>1390</v>
      </c>
      <c r="AH302" s="349">
        <f>AH300+AH301</f>
        <v>-1.5526580300189983E-3</v>
      </c>
      <c r="AI302" s="322"/>
    </row>
    <row r="303" spans="10:35">
      <c r="J303" s="309" t="s">
        <v>1391</v>
      </c>
      <c r="K303" s="310">
        <f>(K295+K296+6*K297-4*K298)/8</f>
        <v>22.607355530042096</v>
      </c>
      <c r="L303" s="310">
        <f>(L295+L296+6*L297-4*L298)/8</f>
        <v>0.203491406780648</v>
      </c>
      <c r="M303" s="313">
        <f>L303/K303</f>
        <v>9.0011149915449271E-3</v>
      </c>
      <c r="N303" s="309" t="s">
        <v>1392</v>
      </c>
      <c r="O303" s="310">
        <f>1/O294^2*1000000</f>
        <v>216.26297577854672</v>
      </c>
      <c r="P303" s="310">
        <f>1/P294^2*1000000</f>
        <v>216.26297577854672</v>
      </c>
      <c r="Q303" s="310">
        <f>P303/O303</f>
        <v>1</v>
      </c>
      <c r="R303" s="309">
        <v>2</v>
      </c>
      <c r="S303" s="337">
        <f>P280*U300+P276*V300</f>
        <v>7.7249457664354756E-5</v>
      </c>
      <c r="T303" s="311">
        <f>P280*W300/1000000+P276*X300</f>
        <v>7.4999999999999937E-4</v>
      </c>
      <c r="U303" s="314" t="s">
        <v>1427</v>
      </c>
      <c r="V303" s="311">
        <f>P280*P284/1000000+P276*P287</f>
        <v>7.5000000000000023E-4</v>
      </c>
      <c r="W303" s="308"/>
      <c r="Y303" s="319">
        <f>Y300+W344+W383+W422+W461+W500+W539+W578</f>
        <v>0</v>
      </c>
      <c r="AA303" s="307" t="s">
        <v>699</v>
      </c>
      <c r="AB303" s="307" t="s">
        <v>701</v>
      </c>
      <c r="AC303" s="309" t="s">
        <v>408</v>
      </c>
      <c r="AD303" s="309" t="s">
        <v>409</v>
      </c>
      <c r="AE303" s="308" t="s">
        <v>410</v>
      </c>
      <c r="AF303" s="322"/>
      <c r="AG303" s="326" t="s">
        <v>1395</v>
      </c>
      <c r="AH303" s="349">
        <f>-1+AH302</f>
        <v>-1.0015526580300189</v>
      </c>
      <c r="AI303" s="322"/>
    </row>
    <row r="304" spans="10:35">
      <c r="J304" s="309" t="s">
        <v>1396</v>
      </c>
      <c r="K304" s="310">
        <f>(K300-K303)/2</f>
        <v>26.880431085692365</v>
      </c>
      <c r="L304" s="310">
        <f>(L300-L303)/2</f>
        <v>0.27490300665198009</v>
      </c>
      <c r="M304" s="313">
        <f>L304/K304</f>
        <v>1.0226882365673911E-2</v>
      </c>
      <c r="N304" s="309" t="s">
        <v>1397</v>
      </c>
      <c r="O304" s="310">
        <f>(1/O290-1/O291)*1000</f>
        <v>0</v>
      </c>
      <c r="P304" s="310">
        <f>(1/P290-1/P291)*1000</f>
        <v>-0.38992879497407573</v>
      </c>
      <c r="Q304" s="310">
        <f>IF(O304=0,1,P304/O304)</f>
        <v>1</v>
      </c>
      <c r="R304" s="309">
        <v>6</v>
      </c>
      <c r="S304" s="337">
        <f>P280*U301+P276*V301</f>
        <v>0</v>
      </c>
      <c r="T304" s="311">
        <f>P280*W301/1000000+P276*X301</f>
        <v>0</v>
      </c>
      <c r="U304" s="314" t="s">
        <v>1429</v>
      </c>
      <c r="V304" s="311">
        <f>0</f>
        <v>0</v>
      </c>
      <c r="W304" s="308"/>
      <c r="Y304" s="311"/>
      <c r="AA304" s="322">
        <f t="shared" ref="AA304:AE306" si="61">AA265</f>
        <v>3.0179841135253815E-7</v>
      </c>
      <c r="AB304" s="322">
        <f t="shared" si="61"/>
        <v>7.5652880535078352E-3</v>
      </c>
      <c r="AC304" s="322">
        <f t="shared" si="61"/>
        <v>0.11556465563659149</v>
      </c>
      <c r="AD304" s="322">
        <f t="shared" si="61"/>
        <v>2.5506580685922976E-3</v>
      </c>
      <c r="AE304" s="322">
        <f t="shared" si="61"/>
        <v>1.1968247793023403E-6</v>
      </c>
      <c r="AF304" s="322"/>
      <c r="AG304" s="326" t="s">
        <v>1399</v>
      </c>
      <c r="AH304" s="349">
        <f>2*(P306*AH280*AH296+P307*AH281*AH297+P308*(AH280*AH297+AH296*AH281)+P309*AH282*AH298)</f>
        <v>8.3356290556083708E-4</v>
      </c>
      <c r="AI304" s="322"/>
    </row>
    <row r="305" spans="10:35">
      <c r="J305" s="308" t="s">
        <v>1400</v>
      </c>
      <c r="N305" s="309" t="s">
        <v>1401</v>
      </c>
      <c r="O305" s="310">
        <f>(1/O292-1/O293)*1000</f>
        <v>20.934959349593495</v>
      </c>
      <c r="P305" s="310">
        <f>(1/P292-1/P293)*1000</f>
        <v>20.934959349593495</v>
      </c>
      <c r="Q305" s="310">
        <f t="shared" ref="Q305:Q311" si="62">P305/O305</f>
        <v>1</v>
      </c>
      <c r="R305" s="309"/>
      <c r="S305" s="319"/>
      <c r="T305" s="319"/>
      <c r="U305" s="319"/>
      <c r="V305" s="319"/>
      <c r="W305" s="308"/>
      <c r="X305" s="308"/>
      <c r="Y305" s="311"/>
      <c r="AA305" s="322">
        <f t="shared" si="61"/>
        <v>7.3860361411472986E-7</v>
      </c>
      <c r="AB305" s="322">
        <f t="shared" si="61"/>
        <v>1.9213389851379336E-2</v>
      </c>
      <c r="AC305" s="322">
        <f t="shared" si="61"/>
        <v>0.9970773531851117</v>
      </c>
      <c r="AD305" s="322">
        <f t="shared" si="61"/>
        <v>2.6078577042307254E-2</v>
      </c>
      <c r="AE305" s="322">
        <f t="shared" si="61"/>
        <v>3.0685149893025098E-5</v>
      </c>
      <c r="AG305" s="326" t="s">
        <v>1403</v>
      </c>
      <c r="AH305" s="349">
        <f>AH304+AH288</f>
        <v>-1.7155951603226725</v>
      </c>
      <c r="AI305" s="322"/>
    </row>
    <row r="306" spans="10:35">
      <c r="J306" s="309" t="s">
        <v>1404</v>
      </c>
      <c r="K306" s="310">
        <f>(1-(K303/K300)^2)*K300</f>
        <v>69.675740916648124</v>
      </c>
      <c r="L306" s="310">
        <f>(1-(L303/L300)^2)*L300</f>
        <v>0.69832742877770015</v>
      </c>
      <c r="M306" s="310">
        <f>L306/K306</f>
        <v>1.0022533231660889E-2</v>
      </c>
      <c r="N306" s="309" t="s">
        <v>1405</v>
      </c>
      <c r="O306" s="312">
        <f>(O300*K295^2+2*O302*K295*K297+O301*K297^2)</f>
        <v>12004.38353147296</v>
      </c>
      <c r="P306" s="312">
        <f>(P300*L295^2+2*P302*L295*L297+P301*L297^2)</f>
        <v>2.3076412740082484</v>
      </c>
      <c r="Q306" s="310">
        <f t="shared" si="62"/>
        <v>1.9223321780398802E-4</v>
      </c>
      <c r="S306" s="308"/>
      <c r="T306" s="308"/>
      <c r="W306" s="308"/>
      <c r="X306" s="308"/>
      <c r="Y306" s="311"/>
      <c r="AA306" s="322">
        <f t="shared" si="61"/>
        <v>-1.0657348743377306E-23</v>
      </c>
      <c r="AB306" s="322">
        <f t="shared" si="61"/>
        <v>-2.2354267242619807E-19</v>
      </c>
      <c r="AC306" s="322">
        <f t="shared" si="61"/>
        <v>-1.5046578368033799E-16</v>
      </c>
      <c r="AD306" s="322">
        <f t="shared" si="61"/>
        <v>-3.7154507088968738E-18</v>
      </c>
      <c r="AE306" s="322">
        <f t="shared" si="61"/>
        <v>-3.530675176450572E-21</v>
      </c>
      <c r="AG306" s="326" t="s">
        <v>1412</v>
      </c>
      <c r="AH306" s="349">
        <f>AH305/2/AH287</f>
        <v>-0.45148005155584642</v>
      </c>
      <c r="AI306" s="322"/>
    </row>
    <row r="307" spans="10:35">
      <c r="J307" s="309" t="s">
        <v>1414</v>
      </c>
      <c r="K307" s="310">
        <f>K303/K300</f>
        <v>0.29603094337527941</v>
      </c>
      <c r="L307" s="310">
        <f>L303/L300</f>
        <v>0.2701342143954143</v>
      </c>
      <c r="M307" s="310">
        <f>L307/K307</f>
        <v>0.91252019574509224</v>
      </c>
      <c r="N307" s="309" t="s">
        <v>1415</v>
      </c>
      <c r="O307" s="312">
        <f>(O300*K297^2+2*O302*K297*K296+O301*K296^2)</f>
        <v>10680.652008265077</v>
      </c>
      <c r="P307" s="312">
        <f>(P300*L297^2+2*P302*L297*L296+P301*L296^2)</f>
        <v>1.0781489138141471</v>
      </c>
      <c r="Q307" s="310">
        <f t="shared" si="62"/>
        <v>1.0094411024531426E-4</v>
      </c>
      <c r="S307" s="308"/>
      <c r="T307" s="308"/>
      <c r="W307" s="308"/>
      <c r="X307" s="308"/>
      <c r="Y307" s="311"/>
      <c r="Z307" s="309"/>
      <c r="AG307" s="326"/>
      <c r="AH307" s="319"/>
      <c r="AI307" s="322"/>
    </row>
    <row r="308" spans="10:35">
      <c r="N308" s="309" t="s">
        <v>1416</v>
      </c>
      <c r="O308" s="312">
        <f>(O300*K295*K297+O302*(K295*K296+K297^2)+O301*K297*K296)</f>
        <v>-3069.103206291968</v>
      </c>
      <c r="P308" s="312">
        <f>(P300*L295*L297+P302*(L295*L296+L297^2)+P301*L297*L296)</f>
        <v>-4.5002187664094501E-3</v>
      </c>
      <c r="Q308" s="310">
        <f t="shared" si="62"/>
        <v>1.4662976328666798E-6</v>
      </c>
      <c r="S308" s="308"/>
      <c r="T308" s="308"/>
      <c r="W308" s="308"/>
      <c r="X308" s="308"/>
      <c r="Y308" s="311"/>
      <c r="AE308" s="314"/>
      <c r="AG308" s="326"/>
      <c r="AH308" s="319"/>
      <c r="AI308" s="322"/>
    </row>
    <row r="309" spans="10:35">
      <c r="J309" s="309" t="s">
        <v>1193</v>
      </c>
      <c r="K309" s="310">
        <f>D94</f>
        <v>1.6</v>
      </c>
      <c r="L309" s="310">
        <f>L310*(1-L284)+L311*L284</f>
        <v>1.6</v>
      </c>
      <c r="M309" s="310">
        <f>L309/K309</f>
        <v>1</v>
      </c>
      <c r="N309" s="309" t="s">
        <v>1418</v>
      </c>
      <c r="O309" s="312">
        <f>O303*K298^2</f>
        <v>11117.841695501729</v>
      </c>
      <c r="P309" s="312">
        <f>P303*L298^2</f>
        <v>1.1117841695501731</v>
      </c>
      <c r="Q309" s="310">
        <f t="shared" si="62"/>
        <v>1.0000000000000002E-4</v>
      </c>
      <c r="S309" s="308"/>
      <c r="T309" s="308"/>
      <c r="W309" s="308"/>
      <c r="X309" s="308"/>
      <c r="Y309" s="331"/>
      <c r="Z309" s="307"/>
      <c r="AA309" s="307"/>
      <c r="AB309" s="307"/>
      <c r="AC309" s="309"/>
      <c r="AD309" s="309"/>
      <c r="AE309" s="311"/>
      <c r="AG309" s="326"/>
      <c r="AH309" s="319"/>
      <c r="AI309" s="326" t="s">
        <v>1421</v>
      </c>
    </row>
    <row r="310" spans="10:35">
      <c r="J310" s="309" t="s">
        <v>274</v>
      </c>
      <c r="K310" s="310">
        <f>F93</f>
        <v>1.2</v>
      </c>
      <c r="L310" s="310">
        <f>K310</f>
        <v>1.2</v>
      </c>
      <c r="M310" s="310">
        <f>L310/K310</f>
        <v>1</v>
      </c>
      <c r="N310" s="309" t="s">
        <v>1422</v>
      </c>
      <c r="O310" s="312">
        <f>(O304*K295+O305*K297)</f>
        <v>60.646995481305353</v>
      </c>
      <c r="P310" s="312">
        <f>(P304*L295+P305*L297)</f>
        <v>-0.6997337888084384</v>
      </c>
      <c r="Q310" s="310">
        <f t="shared" si="62"/>
        <v>-1.1537814581830914E-2</v>
      </c>
      <c r="S310" s="308"/>
      <c r="T310" s="308"/>
      <c r="W310" s="308"/>
      <c r="X310" s="308"/>
      <c r="Y310" s="337"/>
      <c r="Z310" s="337"/>
      <c r="AA310" s="319"/>
      <c r="AB310" s="319"/>
      <c r="AC310" s="319"/>
      <c r="AD310" s="319"/>
      <c r="AG310" s="309" t="s">
        <v>1424</v>
      </c>
      <c r="AH310" s="319">
        <f>(AH306^2-AH303/AH287)^0.5-AH306</f>
        <v>1.3064514758299335</v>
      </c>
      <c r="AI310" s="319">
        <f>AH311</f>
        <v>1.3064514758299335</v>
      </c>
    </row>
    <row r="311" spans="10:35">
      <c r="J311" s="309" t="s">
        <v>1195</v>
      </c>
      <c r="K311" s="310">
        <f>(K309-K310*(1-K284))/K284</f>
        <v>1.7714285714285716</v>
      </c>
      <c r="L311" s="310">
        <f>K311</f>
        <v>1.7714285714285716</v>
      </c>
      <c r="M311" s="310">
        <f>L311/K311</f>
        <v>1</v>
      </c>
      <c r="N311" s="309" t="s">
        <v>1426</v>
      </c>
      <c r="O311" s="312">
        <f>(O304*K297+O305*K296)</f>
        <v>216.59641243323335</v>
      </c>
      <c r="P311" s="312">
        <f>(P304*L297+P305*L296)</f>
        <v>2.1561893195138255</v>
      </c>
      <c r="Q311" s="310">
        <f t="shared" si="62"/>
        <v>9.9548708830922063E-3</v>
      </c>
      <c r="S311" s="308"/>
      <c r="T311" s="308"/>
      <c r="W311" s="308"/>
      <c r="X311" s="308"/>
      <c r="Y311" s="337"/>
      <c r="Z311" s="337"/>
      <c r="AA311" s="319"/>
      <c r="AB311" s="319"/>
      <c r="AC311" s="319"/>
      <c r="AD311" s="319"/>
      <c r="AG311" s="309" t="s">
        <v>194</v>
      </c>
      <c r="AH311" s="319">
        <f>IF(AH276=0,1000000000,AH310)</f>
        <v>1.3064514758299335</v>
      </c>
    </row>
    <row r="312" spans="10:35">
      <c r="L312" s="308" t="s">
        <v>1428</v>
      </c>
      <c r="S312" s="308"/>
      <c r="T312" s="308"/>
      <c r="W312" s="308"/>
      <c r="X312" s="308"/>
      <c r="Y312" s="337"/>
      <c r="Z312" s="337"/>
      <c r="AA312" s="319"/>
      <c r="AB312" s="319"/>
      <c r="AC312" s="319"/>
      <c r="AD312" s="319"/>
      <c r="AG312" s="309" t="s">
        <v>194</v>
      </c>
      <c r="AH312" s="319">
        <f>IF(AH276=0,0,AH310)</f>
        <v>1.3064514758299335</v>
      </c>
    </row>
    <row r="313" spans="10:35">
      <c r="S313" s="308"/>
      <c r="T313" s="308"/>
      <c r="W313" s="308"/>
      <c r="X313" s="308"/>
      <c r="AF313" s="308"/>
    </row>
    <row r="314" spans="10:35">
      <c r="S314" s="308"/>
      <c r="T314" s="308"/>
      <c r="W314" s="308"/>
      <c r="X314" s="308"/>
      <c r="AF314" s="308"/>
    </row>
    <row r="315" spans="10:35">
      <c r="S315" s="308"/>
      <c r="T315" s="308"/>
      <c r="W315" s="308"/>
      <c r="X315" s="308"/>
      <c r="AF315" s="308"/>
    </row>
    <row r="316" spans="10:35">
      <c r="S316" s="308"/>
      <c r="T316" s="308"/>
      <c r="W316" s="308"/>
      <c r="X316" s="308"/>
      <c r="AF316" s="308"/>
    </row>
    <row r="317" spans="10:35">
      <c r="S317" s="308"/>
      <c r="T317" s="308"/>
      <c r="W317" s="308"/>
      <c r="X317" s="308"/>
      <c r="AF317" s="308"/>
    </row>
    <row r="318" spans="10:35">
      <c r="S318" s="308"/>
      <c r="T318" s="308"/>
      <c r="W318" s="308"/>
      <c r="X318" s="308"/>
      <c r="AF318" s="308"/>
    </row>
    <row r="319" spans="10:35">
      <c r="S319" s="308"/>
      <c r="T319" s="308"/>
      <c r="W319" s="308"/>
      <c r="X319" s="308"/>
      <c r="AF319" s="308"/>
    </row>
    <row r="320" spans="10:35">
      <c r="S320" s="308"/>
      <c r="T320" s="308"/>
      <c r="W320" s="308"/>
      <c r="X320" s="308"/>
      <c r="AF320" s="308"/>
    </row>
    <row r="321" s="308" customFormat="1"/>
    <row r="322" s="308" customFormat="1"/>
    <row r="323" s="308" customFormat="1"/>
    <row r="324" s="308" customFormat="1"/>
    <row r="325" s="308" customFormat="1"/>
    <row r="326" s="308" customFormat="1"/>
    <row r="327" s="308" customFormat="1"/>
    <row r="328" s="308" customFormat="1"/>
    <row r="329" s="308" customFormat="1"/>
    <row r="330" s="308" customFormat="1"/>
    <row r="331" s="308" customFormat="1"/>
    <row r="332" s="308" customFormat="1"/>
    <row r="333" s="308" customFormat="1"/>
    <row r="334" s="308" customFormat="1"/>
    <row r="335" s="308" customFormat="1"/>
    <row r="336" s="308" customFormat="1"/>
    <row r="337" s="308" customFormat="1"/>
    <row r="338" s="308" customFormat="1"/>
    <row r="339" s="308" customFormat="1"/>
    <row r="340" s="308" customFormat="1"/>
    <row r="341" s="308" customFormat="1"/>
    <row r="342" s="308" customFormat="1"/>
    <row r="343" s="308" customFormat="1"/>
    <row r="344" s="308" customFormat="1"/>
    <row r="345" s="308" customFormat="1"/>
    <row r="346" s="308" customFormat="1"/>
    <row r="347" s="308" customFormat="1"/>
    <row r="348" s="308" customFormat="1"/>
    <row r="349" s="308" customFormat="1"/>
    <row r="350" s="308" customFormat="1"/>
    <row r="351" s="308" customFormat="1"/>
    <row r="352" s="308" customFormat="1"/>
    <row r="353" s="308" customFormat="1"/>
    <row r="354" s="308" customFormat="1"/>
    <row r="355" s="308" customFormat="1"/>
    <row r="356" s="308" customFormat="1"/>
    <row r="357" s="308" customFormat="1"/>
    <row r="358" s="308" customFormat="1"/>
    <row r="359" s="308" customFormat="1"/>
    <row r="360" s="308" customFormat="1"/>
    <row r="361" s="308" customFormat="1"/>
    <row r="362" s="308" customFormat="1"/>
    <row r="363" s="308" customFormat="1"/>
    <row r="364" s="308" customFormat="1"/>
    <row r="365" s="308" customFormat="1"/>
    <row r="366" s="308" customFormat="1"/>
    <row r="367" s="308" customFormat="1"/>
    <row r="368" s="308" customFormat="1"/>
    <row r="369" s="308" customFormat="1"/>
    <row r="370" s="308" customFormat="1"/>
    <row r="371" s="308" customFormat="1"/>
    <row r="372" s="308" customFormat="1"/>
    <row r="373" s="308" customFormat="1"/>
    <row r="374" s="308" customFormat="1"/>
    <row r="375" s="308" customFormat="1"/>
    <row r="376" s="308" customFormat="1"/>
    <row r="377" s="308" customFormat="1"/>
    <row r="378" s="308" customFormat="1"/>
    <row r="379" s="308" customFormat="1"/>
    <row r="380" s="308" customFormat="1"/>
    <row r="381" s="308" customFormat="1"/>
    <row r="382" s="308" customFormat="1"/>
    <row r="383" s="308" customFormat="1"/>
    <row r="384" s="308" customFormat="1"/>
    <row r="385" s="308" customFormat="1"/>
    <row r="386" s="308" customFormat="1"/>
    <row r="387" s="308" customFormat="1"/>
    <row r="388" s="308" customFormat="1"/>
    <row r="389" s="308" customFormat="1"/>
    <row r="390" s="308" customFormat="1"/>
    <row r="391" s="308" customFormat="1"/>
    <row r="392" s="308" customFormat="1"/>
    <row r="393" s="308" customFormat="1"/>
    <row r="394" s="308" customFormat="1"/>
    <row r="395" s="308" customFormat="1"/>
    <row r="396" s="308" customFormat="1"/>
    <row r="397" s="308" customFormat="1"/>
    <row r="398" s="308" customFormat="1"/>
    <row r="399" s="308" customFormat="1"/>
    <row r="400" s="308" customFormat="1"/>
    <row r="401" s="308" customFormat="1"/>
    <row r="402" s="308" customFormat="1"/>
    <row r="403" s="308" customFormat="1"/>
    <row r="404" s="308" customFormat="1"/>
    <row r="405" s="308" customFormat="1"/>
    <row r="406" s="308" customFormat="1"/>
    <row r="407" s="308" customFormat="1"/>
    <row r="408" s="308" customFormat="1"/>
    <row r="409" s="308" customFormat="1"/>
    <row r="410" s="308" customFormat="1"/>
    <row r="411" s="308" customFormat="1"/>
    <row r="412" s="308" customFormat="1"/>
    <row r="413" s="308" customFormat="1"/>
    <row r="414" s="308" customFormat="1"/>
    <row r="415" s="308" customFormat="1"/>
    <row r="416" s="308" customFormat="1"/>
    <row r="417" s="308" customFormat="1"/>
    <row r="418" s="308" customFormat="1"/>
    <row r="419" s="308" customFormat="1"/>
    <row r="420" s="308" customFormat="1"/>
    <row r="421" s="308" customFormat="1"/>
    <row r="422" s="308" customFormat="1"/>
    <row r="423" s="308" customFormat="1"/>
    <row r="424" s="308" customFormat="1"/>
    <row r="425" s="308" customFormat="1"/>
    <row r="426" s="308" customFormat="1"/>
    <row r="427" s="308" customFormat="1"/>
    <row r="428" s="308" customFormat="1"/>
    <row r="429" s="308" customFormat="1"/>
    <row r="430" s="308" customFormat="1"/>
    <row r="431" s="308" customFormat="1"/>
    <row r="432" s="308" customFormat="1"/>
    <row r="433" s="308" customFormat="1"/>
    <row r="434" s="308" customFormat="1"/>
    <row r="435" s="308" customFormat="1"/>
    <row r="436" s="308" customFormat="1"/>
    <row r="437" s="308" customFormat="1"/>
    <row r="438" s="308" customFormat="1"/>
    <row r="439" s="308" customFormat="1"/>
    <row r="440" s="308" customFormat="1"/>
    <row r="441" s="308" customFormat="1"/>
    <row r="442" s="308" customFormat="1"/>
    <row r="443" s="308" customFormat="1"/>
    <row r="444" s="308" customFormat="1"/>
    <row r="445" s="308" customFormat="1"/>
    <row r="446" s="308" customFormat="1"/>
    <row r="447" s="308" customFormat="1"/>
    <row r="448" s="308" customFormat="1"/>
    <row r="449" s="308" customFormat="1"/>
    <row r="450" s="308" customFormat="1"/>
    <row r="451" s="308" customFormat="1"/>
    <row r="452" s="308" customFormat="1"/>
    <row r="453" s="308" customFormat="1"/>
    <row r="454" s="308" customFormat="1"/>
    <row r="455" s="308" customFormat="1"/>
    <row r="456" s="308" customFormat="1"/>
    <row r="457" s="308" customFormat="1"/>
    <row r="458" s="308" customFormat="1"/>
    <row r="459" s="308" customFormat="1"/>
    <row r="460" s="308" customFormat="1"/>
    <row r="461" s="308" customFormat="1"/>
    <row r="462" s="308" customFormat="1"/>
    <row r="463" s="308" customFormat="1"/>
    <row r="464" s="308" customFormat="1"/>
    <row r="465" s="308" customFormat="1"/>
    <row r="466" s="308" customFormat="1"/>
    <row r="467" s="308" customFormat="1"/>
    <row r="468" s="308" customFormat="1"/>
    <row r="469" s="308" customFormat="1"/>
    <row r="470" s="308" customFormat="1"/>
    <row r="471" s="308" customFormat="1"/>
    <row r="472" s="308" customFormat="1"/>
    <row r="473" s="308" customFormat="1"/>
    <row r="474" s="308" customFormat="1"/>
    <row r="475" s="308" customFormat="1"/>
    <row r="476" s="308" customFormat="1"/>
    <row r="477" s="308" customFormat="1"/>
    <row r="478" s="308" customFormat="1"/>
    <row r="479" s="308" customFormat="1"/>
    <row r="480" s="308" customFormat="1"/>
    <row r="481" s="308" customFormat="1"/>
    <row r="482" s="308" customFormat="1"/>
    <row r="483" s="308" customFormat="1"/>
    <row r="484" s="308" customFormat="1"/>
    <row r="485" s="308" customFormat="1"/>
    <row r="486" s="308" customFormat="1"/>
    <row r="487" s="308" customFormat="1"/>
    <row r="488" s="308" customFormat="1"/>
    <row r="489" s="308" customFormat="1"/>
    <row r="490" s="308" customFormat="1"/>
    <row r="491" s="308" customFormat="1"/>
    <row r="492" s="308" customFormat="1"/>
    <row r="493" s="308" customFormat="1"/>
    <row r="494" s="308" customFormat="1"/>
    <row r="495" s="308" customFormat="1"/>
    <row r="496" s="308" customFormat="1"/>
    <row r="497" s="308" customFormat="1"/>
    <row r="498" s="308" customFormat="1"/>
    <row r="499" s="308" customFormat="1"/>
    <row r="500" s="308" customFormat="1"/>
    <row r="501" s="308" customFormat="1"/>
    <row r="502" s="308" customFormat="1"/>
    <row r="503" s="308" customFormat="1"/>
    <row r="504" s="308" customFormat="1"/>
    <row r="505" s="308" customFormat="1"/>
    <row r="506" s="308" customFormat="1"/>
    <row r="507" s="308" customFormat="1"/>
    <row r="508" s="308" customFormat="1"/>
    <row r="509" s="308" customFormat="1"/>
    <row r="510" s="308" customFormat="1"/>
    <row r="511" s="308" customFormat="1"/>
    <row r="512" s="308" customFormat="1"/>
    <row r="513" s="308" customFormat="1"/>
    <row r="514" s="308" customFormat="1"/>
    <row r="515" s="308" customFormat="1"/>
    <row r="516" s="308" customFormat="1"/>
    <row r="517" s="308" customFormat="1"/>
    <row r="518" s="308" customFormat="1"/>
    <row r="519" s="308" customFormat="1"/>
    <row r="520" s="308" customFormat="1"/>
    <row r="521" s="308" customFormat="1"/>
    <row r="522" s="308" customFormat="1"/>
    <row r="523" s="308" customFormat="1"/>
    <row r="524" s="308" customFormat="1"/>
    <row r="525" s="308" customFormat="1"/>
    <row r="526" s="308" customFormat="1"/>
    <row r="527" s="308" customFormat="1"/>
    <row r="528" s="308" customFormat="1"/>
    <row r="529" s="308" customFormat="1"/>
    <row r="530" s="308" customFormat="1"/>
    <row r="531" s="308" customFormat="1"/>
    <row r="532" s="308" customFormat="1"/>
    <row r="533" s="308" customFormat="1"/>
    <row r="534" s="308" customFormat="1"/>
    <row r="535" s="308" customFormat="1"/>
    <row r="536" s="308" customFormat="1"/>
    <row r="537" s="308" customFormat="1"/>
    <row r="538" s="308" customFormat="1"/>
    <row r="539" s="308" customFormat="1"/>
    <row r="540" s="308" customFormat="1"/>
    <row r="541" s="308" customFormat="1"/>
    <row r="542" s="308" customFormat="1"/>
    <row r="543" s="308" customFormat="1"/>
    <row r="544" s="308" customFormat="1"/>
    <row r="545" s="308" customFormat="1"/>
    <row r="546" s="308" customFormat="1"/>
    <row r="547" s="308" customFormat="1"/>
    <row r="548" s="308" customFormat="1"/>
    <row r="549" s="308" customFormat="1"/>
    <row r="550" s="308" customFormat="1"/>
    <row r="551" s="308" customFormat="1"/>
    <row r="552" s="308" customFormat="1"/>
    <row r="553" s="308" customFormat="1"/>
    <row r="554" s="308" customFormat="1"/>
    <row r="555" s="308" customFormat="1"/>
    <row r="556" s="308" customFormat="1"/>
    <row r="557" s="308" customFormat="1"/>
    <row r="558" s="308" customFormat="1"/>
    <row r="559" s="308" customFormat="1"/>
    <row r="560" s="308" customFormat="1"/>
    <row r="561" s="308" customFormat="1"/>
    <row r="562" s="308" customFormat="1"/>
    <row r="563" s="308" customFormat="1"/>
    <row r="564" s="308" customFormat="1"/>
    <row r="565" s="308" customFormat="1"/>
    <row r="566" s="308" customFormat="1"/>
    <row r="567" s="308" customFormat="1"/>
    <row r="568" s="308" customFormat="1"/>
    <row r="569" s="308" customFormat="1"/>
    <row r="570" s="308" customFormat="1"/>
    <row r="571" s="308" customFormat="1"/>
    <row r="572" s="308" customFormat="1"/>
    <row r="573" s="308" customFormat="1"/>
    <row r="574" s="308" customFormat="1"/>
    <row r="575" s="308" customFormat="1"/>
    <row r="576" s="308" customFormat="1"/>
    <row r="577" s="308" customFormat="1"/>
    <row r="578" s="308" customFormat="1"/>
    <row r="579" s="308" customFormat="1"/>
    <row r="580" s="308" customFormat="1"/>
    <row r="581" s="308" customFormat="1"/>
    <row r="582" s="308" customFormat="1"/>
    <row r="583" s="308" customFormat="1"/>
    <row r="584" s="308" customFormat="1"/>
    <row r="585" s="308" customFormat="1"/>
    <row r="586" s="308" customFormat="1"/>
    <row r="587" s="308" customFormat="1"/>
    <row r="588" s="308" customFormat="1"/>
    <row r="589" s="308" customFormat="1"/>
    <row r="590" s="308" customFormat="1"/>
    <row r="591" s="308" customFormat="1"/>
    <row r="592" s="308" customFormat="1"/>
    <row r="593" s="308" customFormat="1"/>
    <row r="594" s="308" customFormat="1"/>
    <row r="595" s="308" customFormat="1"/>
    <row r="596" s="308" customFormat="1"/>
    <row r="597" s="308" customFormat="1"/>
    <row r="598" s="308" customFormat="1"/>
    <row r="599" s="308" customFormat="1"/>
    <row r="600" s="308" customFormat="1"/>
    <row r="601" s="308" customFormat="1"/>
    <row r="602" s="308" customFormat="1"/>
    <row r="603" s="308" customFormat="1"/>
    <row r="604" s="308" customFormat="1"/>
    <row r="605" s="308" customFormat="1"/>
    <row r="606" s="308" customFormat="1"/>
    <row r="607" s="308" customFormat="1"/>
    <row r="608" s="308" customFormat="1"/>
    <row r="609" s="308" customFormat="1"/>
    <row r="610" s="308" customFormat="1"/>
    <row r="611" s="308" customFormat="1"/>
    <row r="612" s="308" customFormat="1"/>
    <row r="613" s="308" customFormat="1"/>
    <row r="614" s="308" customFormat="1"/>
    <row r="615" s="308" customFormat="1"/>
    <row r="616" s="308" customFormat="1"/>
    <row r="617" s="308" customFormat="1"/>
    <row r="618" s="308" customFormat="1"/>
    <row r="619" s="308" customFormat="1"/>
    <row r="620" s="308" customFormat="1"/>
    <row r="621" s="308" customFormat="1"/>
    <row r="622" s="308" customFormat="1"/>
    <row r="623" s="308" customFormat="1"/>
    <row r="624" s="308" customFormat="1"/>
    <row r="625" s="308" customFormat="1"/>
    <row r="626" s="308" customFormat="1"/>
    <row r="627" s="308" customFormat="1"/>
    <row r="628" s="308" customFormat="1"/>
    <row r="629" s="308" customFormat="1"/>
    <row r="630" s="308" customFormat="1"/>
    <row r="631" s="308" customFormat="1"/>
    <row r="632" s="308" customFormat="1"/>
    <row r="633" s="308" customFormat="1"/>
    <row r="634" s="308" customFormat="1"/>
    <row r="635" s="308" customFormat="1"/>
    <row r="636" s="308" customFormat="1"/>
    <row r="637" s="308" customFormat="1"/>
    <row r="638" s="308" customFormat="1"/>
    <row r="639" s="308" customFormat="1"/>
    <row r="640" s="308" customFormat="1"/>
    <row r="641" s="308" customFormat="1"/>
    <row r="642" s="308" customFormat="1"/>
    <row r="643" s="308" customFormat="1"/>
    <row r="644" s="308" customFormat="1"/>
    <row r="645" s="308" customFormat="1"/>
    <row r="646" s="308" customFormat="1"/>
    <row r="647" s="308" customFormat="1"/>
    <row r="648" s="308" customFormat="1"/>
    <row r="649" s="308" customFormat="1"/>
    <row r="650" s="308" customFormat="1"/>
    <row r="651" s="308" customFormat="1"/>
    <row r="652" s="308" customFormat="1"/>
    <row r="653" s="308" customFormat="1"/>
    <row r="654" s="308" customFormat="1"/>
    <row r="655" s="308" customFormat="1"/>
    <row r="656" s="308" customFormat="1"/>
    <row r="657" s="308" customFormat="1"/>
    <row r="658" s="308" customFormat="1"/>
    <row r="659" s="308" customFormat="1"/>
    <row r="660" s="308" customFormat="1"/>
    <row r="661" s="308" customFormat="1"/>
    <row r="662" s="308" customFormat="1"/>
    <row r="663" s="308" customFormat="1"/>
    <row r="664" s="308" customFormat="1"/>
    <row r="665" s="308" customFormat="1"/>
    <row r="666" s="308" customFormat="1"/>
    <row r="667" s="308" customFormat="1"/>
    <row r="668" s="308" customFormat="1"/>
    <row r="669" s="308" customFormat="1"/>
    <row r="670" s="308" customFormat="1"/>
    <row r="671" s="308" customFormat="1"/>
    <row r="672" s="308" customFormat="1"/>
    <row r="673" s="308" customFormat="1"/>
    <row r="674" s="308" customFormat="1"/>
  </sheetData>
  <dataConsolidate/>
  <phoneticPr fontId="0" type="noConversion"/>
  <printOptions headings="1" gridLines="1" gridLinesSet="0"/>
  <pageMargins left="0.75" right="0.75" top="1" bottom="1" header="0.5" footer="0.5"/>
  <pageSetup orientation="portrait" horizontalDpi="300" verticalDpi="4294967292"/>
  <headerFooter alignWithMargins="0">
    <oddHeader>&amp;F</oddHeader>
    <oddFooter>Page &amp;P</oddFooter>
  </headerFooter>
  <rowBreaks count="3" manualBreakCount="3">
    <brk id="39" max="65535" man="1"/>
    <brk id="59" max="65535" man="1"/>
    <brk id="78" max="65535" man="1"/>
  </rowBreaks>
  <colBreaks count="4" manualBreakCount="4">
    <brk id="9" max="1048575" man="1"/>
    <brk id="17" max="1048575" man="1"/>
    <brk id="25" max="1048575" man="1"/>
    <brk id="32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E1:E43"/>
  <sheetViews>
    <sheetView workbookViewId="0"/>
  </sheetViews>
  <sheetFormatPr defaultColWidth="8.6328125" defaultRowHeight="15" outlineLevelRow="1"/>
  <sheetData>
    <row r="1" outlineLevel="1"/>
    <row r="2" outlineLevel="1"/>
    <row r="3" outlineLevel="1"/>
    <row r="4" outlineLevel="1"/>
    <row r="5" outlineLevel="1"/>
    <row r="6" outlineLevel="1"/>
    <row r="7" outlineLevel="1"/>
    <row r="8" outlineLevel="1"/>
    <row r="9" outlineLevel="1"/>
    <row r="10" outlineLevel="1"/>
    <row r="11" outlineLevel="1"/>
    <row r="12" outlineLevel="1"/>
    <row r="13" outlineLevel="1"/>
    <row r="14" outlineLevel="1"/>
    <row r="15" outlineLevel="1"/>
    <row r="16" outlineLevel="1"/>
    <row r="17" spans="5:5" outlineLevel="1"/>
    <row r="18" spans="5:5" outlineLevel="1"/>
    <row r="19" spans="5:5" outlineLevel="1"/>
    <row r="20" spans="5:5" outlineLevel="1"/>
    <row r="21" spans="5:5" outlineLevel="1"/>
    <row r="23" spans="5:5" outlineLevel="1"/>
    <row r="24" spans="5:5" outlineLevel="1"/>
    <row r="25" spans="5:5" outlineLevel="1"/>
    <row r="26" spans="5:5" outlineLevel="1"/>
    <row r="27" spans="5:5" outlineLevel="1"/>
    <row r="28" spans="5:5" outlineLevel="1">
      <c r="E28">
        <v>3</v>
      </c>
    </row>
    <row r="29" spans="5:5" outlineLevel="1"/>
    <row r="30" spans="5:5" outlineLevel="1"/>
    <row r="31" spans="5:5" outlineLevel="1"/>
    <row r="32" spans="5:5" outlineLevel="1"/>
    <row r="33" outlineLevel="1"/>
    <row r="34" outlineLevel="1"/>
    <row r="35" outlineLevel="1"/>
    <row r="36" outlineLevel="1"/>
    <row r="37" outlineLevel="1"/>
    <row r="38" outlineLevel="1"/>
    <row r="39" outlineLevel="1"/>
    <row r="40" outlineLevel="1"/>
    <row r="41" outlineLevel="1"/>
    <row r="42" outlineLevel="1"/>
    <row r="43" outlineLevel="1"/>
  </sheetData>
  <phoneticPr fontId="5" type="noConversion"/>
  <pageMargins left="0.75" right="0.75" top="1" bottom="1" header="0.5" footer="0.5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>
    <pageSetUpPr autoPageBreaks="0"/>
  </sheetPr>
  <dimension ref="A1:AI674"/>
  <sheetViews>
    <sheetView workbookViewId="0"/>
  </sheetViews>
  <sheetFormatPr defaultColWidth="10.6328125" defaultRowHeight="12.6"/>
  <cols>
    <col min="1" max="1" width="7.08984375" style="443" customWidth="1"/>
    <col min="2" max="2" width="7.90625" style="443" customWidth="1"/>
    <col min="3" max="3" width="7.6328125" style="443" customWidth="1"/>
    <col min="4" max="4" width="6.6328125" style="443" customWidth="1"/>
    <col min="5" max="5" width="7.453125" style="443" customWidth="1"/>
    <col min="6" max="6" width="8" style="443" customWidth="1"/>
    <col min="7" max="7" width="7.08984375" style="443" customWidth="1"/>
    <col min="8" max="8" width="7.90625" style="443" customWidth="1"/>
    <col min="9" max="9" width="7.6328125" style="443" customWidth="1"/>
    <col min="10" max="10" width="6.36328125" style="443" customWidth="1"/>
    <col min="11" max="12" width="7" style="443" customWidth="1"/>
    <col min="13" max="14" width="6.36328125" style="443" customWidth="1"/>
    <col min="15" max="16" width="6.90625" style="443" customWidth="1"/>
    <col min="17" max="18" width="6.36328125" style="443" customWidth="1"/>
    <col min="19" max="19" width="7.6328125" style="446" customWidth="1"/>
    <col min="20" max="20" width="7.08984375" style="446" customWidth="1"/>
    <col min="21" max="21" width="8.6328125" style="443" customWidth="1"/>
    <col min="22" max="22" width="7.08984375" style="443" customWidth="1"/>
    <col min="23" max="24" width="7.08984375" style="446" customWidth="1"/>
    <col min="25" max="25" width="7.08984375" style="443" customWidth="1"/>
    <col min="26" max="26" width="7.6328125" style="443" customWidth="1"/>
    <col min="27" max="29" width="8.36328125" style="443" customWidth="1"/>
    <col min="30" max="30" width="11.08984375" style="443" customWidth="1"/>
    <col min="31" max="31" width="7.6328125" style="443" customWidth="1"/>
    <col min="32" max="32" width="7.453125" style="446" customWidth="1"/>
    <col min="33" max="33" width="7.6328125" style="443" customWidth="1"/>
    <col min="34" max="34" width="9.90625" style="443" customWidth="1"/>
    <col min="35" max="35" width="7.6328125" style="443" customWidth="1"/>
    <col min="36" max="47" width="16.453125" style="443" customWidth="1"/>
    <col min="48" max="253" width="14" style="443" customWidth="1"/>
    <col min="254" max="16384" width="10.6328125" style="443"/>
  </cols>
  <sheetData>
    <row r="1" spans="1:35">
      <c r="A1" s="442" t="s">
        <v>367</v>
      </c>
      <c r="J1" s="442" t="s">
        <v>633</v>
      </c>
      <c r="K1" s="444"/>
      <c r="L1" s="444"/>
      <c r="N1" s="443" t="s">
        <v>1551</v>
      </c>
      <c r="P1" s="445"/>
      <c r="R1" s="443" t="s">
        <v>634</v>
      </c>
      <c r="Z1" s="443" t="s">
        <v>635</v>
      </c>
      <c r="AG1" s="443" t="s">
        <v>636</v>
      </c>
    </row>
    <row r="2" spans="1:35">
      <c r="A2" s="443" t="s">
        <v>638</v>
      </c>
      <c r="C2" s="442" t="s">
        <v>368</v>
      </c>
      <c r="D2" s="442" t="s">
        <v>369</v>
      </c>
      <c r="E2" s="447" t="s">
        <v>370</v>
      </c>
      <c r="F2" s="443" t="s">
        <v>371</v>
      </c>
      <c r="G2" s="444" t="s">
        <v>372</v>
      </c>
      <c r="H2" s="444" t="s">
        <v>1144</v>
      </c>
      <c r="I2" s="443" t="s">
        <v>1145</v>
      </c>
      <c r="J2" s="444" t="str">
        <f>A54</f>
        <v>T3/N52[SI]</v>
      </c>
      <c r="K2" s="442"/>
      <c r="L2" s="444"/>
      <c r="N2" s="444" t="s">
        <v>596</v>
      </c>
      <c r="O2" s="448">
        <f>G55</f>
        <v>22</v>
      </c>
      <c r="P2" s="448">
        <f>B36</f>
        <v>22</v>
      </c>
      <c r="Q2" s="449">
        <f t="shared" ref="Q2:Q7" si="0">P2/O2</f>
        <v>1</v>
      </c>
      <c r="R2" s="442"/>
      <c r="T2" s="443"/>
      <c r="X2" s="450"/>
      <c r="Z2" s="444" t="s">
        <v>531</v>
      </c>
      <c r="AA2" s="451">
        <f>S4</f>
        <v>0</v>
      </c>
      <c r="AB2" s="451"/>
      <c r="AC2" s="451"/>
      <c r="AD2" s="451"/>
      <c r="AE2" s="444" t="s">
        <v>532</v>
      </c>
      <c r="AF2" s="450" t="s">
        <v>533</v>
      </c>
      <c r="AG2" s="444" t="s">
        <v>531</v>
      </c>
      <c r="AH2" s="451">
        <f>AA2</f>
        <v>0</v>
      </c>
    </row>
    <row r="3" spans="1:35">
      <c r="A3" s="444" t="s">
        <v>639</v>
      </c>
      <c r="B3" s="442" t="str">
        <f>J2</f>
        <v>T3/N52[SI]</v>
      </c>
      <c r="C3" s="452">
        <v>0</v>
      </c>
      <c r="D3" s="452">
        <v>2</v>
      </c>
      <c r="E3" s="453">
        <f t="shared" ref="E3:E10" si="1">2*D3</f>
        <v>4</v>
      </c>
      <c r="F3" s="444">
        <v>1</v>
      </c>
      <c r="G3" s="454">
        <v>0.5</v>
      </c>
      <c r="H3" s="454" t="s">
        <v>403</v>
      </c>
      <c r="I3" s="443">
        <v>1000</v>
      </c>
      <c r="J3" s="444"/>
      <c r="K3" s="444"/>
      <c r="L3" s="444"/>
      <c r="N3" s="444" t="s">
        <v>600</v>
      </c>
      <c r="O3" s="455">
        <f>H55</f>
        <v>5.0000000000000001E-3</v>
      </c>
      <c r="P3" s="455">
        <f>C36</f>
        <v>5.0000000000000001E-3</v>
      </c>
      <c r="Q3" s="449">
        <f t="shared" si="0"/>
        <v>1</v>
      </c>
      <c r="R3" s="444" t="s">
        <v>243</v>
      </c>
      <c r="S3" s="450" t="s">
        <v>531</v>
      </c>
      <c r="T3" s="450" t="s">
        <v>652</v>
      </c>
      <c r="U3" s="450" t="s">
        <v>646</v>
      </c>
      <c r="W3" s="450"/>
      <c r="X3" s="450"/>
      <c r="Z3" s="444" t="s">
        <v>536</v>
      </c>
      <c r="AA3" s="451">
        <f>S5</f>
        <v>2</v>
      </c>
      <c r="AB3" s="451"/>
      <c r="AC3" s="451"/>
      <c r="AD3" s="451"/>
      <c r="AE3" s="444">
        <f>W5</f>
        <v>0</v>
      </c>
      <c r="AF3" s="451">
        <f>X5</f>
        <v>0</v>
      </c>
      <c r="AG3" s="444" t="s">
        <v>536</v>
      </c>
      <c r="AH3" s="451">
        <f>AA3</f>
        <v>2</v>
      </c>
    </row>
    <row r="4" spans="1:35">
      <c r="A4" s="444" t="s">
        <v>647</v>
      </c>
      <c r="B4" s="442" t="str">
        <f>J41</f>
        <v>T3/N52[SI]</v>
      </c>
      <c r="C4" s="452">
        <v>90</v>
      </c>
      <c r="D4" s="452">
        <v>2</v>
      </c>
      <c r="E4" s="453">
        <f t="shared" si="1"/>
        <v>4</v>
      </c>
      <c r="F4" s="444">
        <v>2</v>
      </c>
      <c r="G4" s="454">
        <v>0</v>
      </c>
      <c r="H4" s="454" t="s">
        <v>403</v>
      </c>
      <c r="J4" s="444" t="s">
        <v>1553</v>
      </c>
      <c r="K4" s="444" t="s">
        <v>1554</v>
      </c>
      <c r="L4" s="444" t="s">
        <v>1555</v>
      </c>
      <c r="M4" s="456" t="s">
        <v>1556</v>
      </c>
      <c r="N4" s="444" t="s">
        <v>1557</v>
      </c>
      <c r="O4" s="448">
        <f>G54</f>
        <v>122</v>
      </c>
      <c r="P4" s="448">
        <f>O4</f>
        <v>122</v>
      </c>
      <c r="Q4" s="449">
        <f t="shared" si="0"/>
        <v>1</v>
      </c>
      <c r="R4" s="444" t="s">
        <v>537</v>
      </c>
      <c r="S4" s="457">
        <f>C3</f>
        <v>0</v>
      </c>
      <c r="T4" s="458">
        <f>E3*L9/1000000</f>
        <v>5.0000000000000001E-4</v>
      </c>
      <c r="U4" s="455">
        <f>T4+T43+T82+T121+T160+T199+T238+T277</f>
        <v>2E-3</v>
      </c>
      <c r="W4" s="450"/>
      <c r="X4" s="450"/>
      <c r="Z4" s="444" t="s">
        <v>539</v>
      </c>
      <c r="AA4" s="451">
        <f>S6</f>
        <v>0</v>
      </c>
      <c r="AB4" s="451"/>
      <c r="AC4" s="451"/>
      <c r="AD4" s="451"/>
      <c r="AE4" s="444" t="s">
        <v>540</v>
      </c>
      <c r="AF4" s="446">
        <f>T4</f>
        <v>5.0000000000000001E-4</v>
      </c>
      <c r="AG4" s="444" t="s">
        <v>539</v>
      </c>
      <c r="AH4" s="451">
        <f>AA4</f>
        <v>0</v>
      </c>
    </row>
    <row r="5" spans="1:35">
      <c r="A5" s="444" t="s">
        <v>650</v>
      </c>
      <c r="B5" s="442" t="str">
        <f>J80</f>
        <v>T3/N52[SI]</v>
      </c>
      <c r="C5" s="452">
        <v>45</v>
      </c>
      <c r="D5" s="452">
        <v>2</v>
      </c>
      <c r="E5" s="453">
        <f t="shared" si="1"/>
        <v>4</v>
      </c>
      <c r="F5" s="444">
        <v>6</v>
      </c>
      <c r="G5" s="454">
        <v>0</v>
      </c>
      <c r="H5" s="454" t="s">
        <v>403</v>
      </c>
      <c r="J5" s="444" t="s">
        <v>298</v>
      </c>
      <c r="K5" s="445">
        <f>B54</f>
        <v>181</v>
      </c>
      <c r="L5" s="445">
        <f>L12*L11*I74</f>
        <v>1.8100000000000003</v>
      </c>
      <c r="M5" s="449">
        <f>L5/K5</f>
        <v>1.0000000000000002E-2</v>
      </c>
      <c r="N5" s="444" t="s">
        <v>299</v>
      </c>
      <c r="O5" s="448">
        <f>H54</f>
        <v>160</v>
      </c>
      <c r="P5" s="448">
        <f>O5-H57*(P3)</f>
        <v>150</v>
      </c>
      <c r="Q5" s="449">
        <f t="shared" si="0"/>
        <v>0.9375</v>
      </c>
      <c r="R5" s="444" t="s">
        <v>541</v>
      </c>
      <c r="S5" s="457">
        <f>D3</f>
        <v>2</v>
      </c>
      <c r="T5" s="443"/>
      <c r="U5" s="443">
        <f>T4/U4</f>
        <v>0.25</v>
      </c>
      <c r="W5" s="459"/>
      <c r="X5" s="451"/>
      <c r="Z5" s="444"/>
      <c r="AA5" s="446"/>
      <c r="AB5" s="446"/>
      <c r="AC5" s="446"/>
      <c r="AD5" s="446"/>
      <c r="AE5" s="450"/>
      <c r="AI5" s="444" t="s">
        <v>109</v>
      </c>
    </row>
    <row r="6" spans="1:35">
      <c r="A6" s="444" t="s">
        <v>656</v>
      </c>
      <c r="B6" s="442" t="str">
        <f>J119</f>
        <v>T3/N52[SI]</v>
      </c>
      <c r="C6" s="452">
        <v>-45</v>
      </c>
      <c r="D6" s="452">
        <v>2</v>
      </c>
      <c r="E6" s="453">
        <f t="shared" si="1"/>
        <v>4</v>
      </c>
      <c r="F6" s="460"/>
      <c r="J6" s="444" t="s">
        <v>1579</v>
      </c>
      <c r="K6" s="445">
        <f>C54</f>
        <v>10.3</v>
      </c>
      <c r="L6" s="445">
        <f>(1+L15)/(1/L16+L15/L13)*I84</f>
        <v>0.10300000000000002</v>
      </c>
      <c r="M6" s="449">
        <f>L6/K6</f>
        <v>1.0000000000000002E-2</v>
      </c>
      <c r="N6" s="444" t="s">
        <v>1580</v>
      </c>
      <c r="O6" s="445">
        <f>(O5-O2)/(O5-O2)</f>
        <v>1</v>
      </c>
      <c r="P6" s="445">
        <f>(P5-P2)/(P5-O2)</f>
        <v>1</v>
      </c>
      <c r="Q6" s="449">
        <f t="shared" si="0"/>
        <v>1</v>
      </c>
      <c r="R6" s="444" t="s">
        <v>1295</v>
      </c>
      <c r="S6" s="461">
        <f>S4*PI()/90</f>
        <v>0</v>
      </c>
      <c r="T6" s="443"/>
      <c r="W6" s="450"/>
      <c r="X6" s="462"/>
      <c r="Y6" s="444"/>
      <c r="Z6" s="442" t="s">
        <v>1297</v>
      </c>
      <c r="AA6" s="450"/>
      <c r="AB6" s="450"/>
      <c r="AC6" s="446"/>
      <c r="AD6" s="446"/>
      <c r="AE6" s="446"/>
      <c r="AG6" s="442" t="s">
        <v>1298</v>
      </c>
      <c r="AI6" s="444" t="s">
        <v>1299</v>
      </c>
    </row>
    <row r="7" spans="1:35">
      <c r="A7" s="444" t="s">
        <v>659</v>
      </c>
      <c r="B7" s="442" t="str">
        <f>J158</f>
        <v>T3/N52[SI]</v>
      </c>
      <c r="C7" s="452">
        <v>60</v>
      </c>
      <c r="D7" s="452">
        <v>0</v>
      </c>
      <c r="E7" s="453">
        <f t="shared" si="1"/>
        <v>0</v>
      </c>
      <c r="F7" s="447"/>
      <c r="J7" s="444" t="s">
        <v>259</v>
      </c>
      <c r="K7" s="445">
        <f>D54</f>
        <v>0.28000000000000003</v>
      </c>
      <c r="L7" s="445">
        <f>K7*I36*I64</f>
        <v>2.8000000000000004E-3</v>
      </c>
      <c r="M7" s="449">
        <f>L7/K7</f>
        <v>0.01</v>
      </c>
      <c r="N7" s="444" t="s">
        <v>260</v>
      </c>
      <c r="O7" s="448">
        <f>O2-O4</f>
        <v>-100</v>
      </c>
      <c r="P7" s="448">
        <f>P2-P4</f>
        <v>-100</v>
      </c>
      <c r="Q7" s="449">
        <f t="shared" si="0"/>
        <v>1</v>
      </c>
      <c r="R7" s="444" t="s">
        <v>1300</v>
      </c>
      <c r="S7" s="461">
        <f>2*S6</f>
        <v>0</v>
      </c>
      <c r="T7" s="443"/>
      <c r="W7" s="459"/>
      <c r="X7" s="451"/>
      <c r="Y7" s="446"/>
      <c r="Z7" s="444" t="s">
        <v>1546</v>
      </c>
      <c r="AA7" s="450" t="s">
        <v>1301</v>
      </c>
      <c r="AB7" s="450"/>
      <c r="AC7" s="463" t="s">
        <v>619</v>
      </c>
      <c r="AE7" s="450" t="s">
        <v>1303</v>
      </c>
      <c r="AF7" s="450" t="s">
        <v>1304</v>
      </c>
      <c r="AG7" s="444" t="s">
        <v>1305</v>
      </c>
      <c r="AH7" s="455">
        <f>AA13/1000</f>
        <v>1.4199945665574337E-2</v>
      </c>
      <c r="AI7" s="464">
        <f>($AE$31+$AE$32)/2</f>
        <v>1.7068551681092488E-5</v>
      </c>
    </row>
    <row r="8" spans="1:35">
      <c r="A8" s="444" t="s">
        <v>663</v>
      </c>
      <c r="B8" s="442" t="str">
        <f>J197</f>
        <v>T3/N52[SI]</v>
      </c>
      <c r="C8" s="452">
        <v>-60</v>
      </c>
      <c r="D8" s="452">
        <v>0</v>
      </c>
      <c r="E8" s="453">
        <f t="shared" si="1"/>
        <v>0</v>
      </c>
      <c r="F8" s="460"/>
      <c r="J8" s="444" t="s">
        <v>261</v>
      </c>
      <c r="K8" s="445">
        <f>E54</f>
        <v>7.17</v>
      </c>
      <c r="L8" s="445">
        <f>(1+L18)/(1/L19+L18*2.7/L13)</f>
        <v>7.17E-2</v>
      </c>
      <c r="M8" s="449">
        <f>L8/K8</f>
        <v>0.01</v>
      </c>
      <c r="N8" s="444"/>
      <c r="O8" s="445"/>
      <c r="P8" s="445"/>
      <c r="Q8" s="445"/>
      <c r="S8" s="465"/>
      <c r="T8" s="443"/>
      <c r="W8" s="450"/>
      <c r="X8" s="450"/>
      <c r="Y8" s="446"/>
      <c r="Z8" s="444">
        <v>1</v>
      </c>
      <c r="AA8" s="445">
        <f>IF(AA18=FALSE,-AE27,AA18)</f>
        <v>0.5</v>
      </c>
      <c r="AB8" s="458"/>
      <c r="AC8" s="445">
        <f>IF(AB18=FALSE,AE27,AB18)</f>
        <v>14.199945665574337</v>
      </c>
      <c r="AD8" s="464"/>
      <c r="AE8" s="462" t="s">
        <v>1306</v>
      </c>
      <c r="AF8" s="458">
        <f>IF(T4=0,0,(AC8+AC9)/2)</f>
        <v>4.8096473383334226</v>
      </c>
      <c r="AG8" s="444" t="s">
        <v>1307</v>
      </c>
      <c r="AH8" s="455">
        <f>AA14/1000</f>
        <v>-4.580650988907491E-3</v>
      </c>
      <c r="AI8" s="464">
        <f>($AE$31-$AE$32)/2</f>
        <v>2.5882036539697636E-5</v>
      </c>
    </row>
    <row r="9" spans="1:35">
      <c r="A9" s="444" t="s">
        <v>667</v>
      </c>
      <c r="B9" s="442" t="str">
        <f>J236</f>
        <v>T3/N52[SI]</v>
      </c>
      <c r="C9" s="452">
        <v>30</v>
      </c>
      <c r="D9" s="452">
        <v>0</v>
      </c>
      <c r="E9" s="453">
        <f t="shared" si="1"/>
        <v>0</v>
      </c>
      <c r="F9" s="447"/>
      <c r="J9" s="444" t="s">
        <v>262</v>
      </c>
      <c r="K9" s="448">
        <f>B56</f>
        <v>125</v>
      </c>
      <c r="L9" s="448">
        <f>K9/M11</f>
        <v>125</v>
      </c>
      <c r="M9" s="449">
        <f>L9/K9</f>
        <v>1</v>
      </c>
      <c r="N9" s="442" t="s">
        <v>1531</v>
      </c>
      <c r="O9" s="445"/>
      <c r="P9" s="445"/>
      <c r="Q9" s="445"/>
      <c r="R9" s="444" t="s">
        <v>1325</v>
      </c>
      <c r="S9" s="450" t="s">
        <v>1326</v>
      </c>
      <c r="T9" s="443"/>
      <c r="U9" s="450" t="s">
        <v>1330</v>
      </c>
      <c r="V9" s="444" t="s">
        <v>172</v>
      </c>
      <c r="W9" s="444" t="s">
        <v>187</v>
      </c>
      <c r="X9" s="450"/>
      <c r="Y9" s="455"/>
      <c r="Z9" s="444">
        <v>2</v>
      </c>
      <c r="AA9" s="445">
        <f>IF(AA19=FALSE,-AE28,AA19)</f>
        <v>0</v>
      </c>
      <c r="AB9" s="458"/>
      <c r="AC9" s="445">
        <f>IF(AB19=FALSE,AE28,AB19)</f>
        <v>-4.5806509889074913</v>
      </c>
      <c r="AD9" s="464"/>
      <c r="AE9" s="462" t="s">
        <v>1309</v>
      </c>
      <c r="AF9" s="458">
        <f>IF(T4=0,0,(AC8-AC9)/2)</f>
        <v>9.3902983272409131</v>
      </c>
      <c r="AG9" s="444" t="s">
        <v>1310</v>
      </c>
      <c r="AH9" s="455">
        <f>AA15/1000</f>
        <v>6.820675173794282E-19</v>
      </c>
      <c r="AI9" s="464">
        <f>$AE$33/2</f>
        <v>-5.0421544567267384E-22</v>
      </c>
    </row>
    <row r="10" spans="1:35">
      <c r="A10" s="444" t="s">
        <v>673</v>
      </c>
      <c r="B10" s="442" t="str">
        <f>J275</f>
        <v>T3/N52[SI]</v>
      </c>
      <c r="C10" s="452">
        <v>-30</v>
      </c>
      <c r="D10" s="466">
        <v>0</v>
      </c>
      <c r="E10" s="453">
        <f t="shared" si="1"/>
        <v>0</v>
      </c>
      <c r="F10" s="460"/>
      <c r="J10" s="442" t="s">
        <v>264</v>
      </c>
      <c r="K10" s="445"/>
      <c r="L10" s="445"/>
      <c r="N10" s="444" t="s">
        <v>265</v>
      </c>
      <c r="O10" s="445">
        <f>A57</f>
        <v>0.02</v>
      </c>
      <c r="P10" s="445">
        <f>O10</f>
        <v>0.02</v>
      </c>
      <c r="Q10" s="445">
        <f>P10/O10</f>
        <v>1</v>
      </c>
      <c r="R10" s="444">
        <v>11</v>
      </c>
      <c r="S10" s="445">
        <f>L27+L28*COS(S6)+L29*COS(S7)</f>
        <v>1.8100008075203604</v>
      </c>
      <c r="T10" s="443"/>
      <c r="U10" s="458">
        <f>S10*T4</f>
        <v>9.0500040376018023E-4</v>
      </c>
      <c r="V10" s="458">
        <f t="shared" ref="V10:V15" si="2">U10+U49+U88+U127+U166+U205+U244+U283</f>
        <v>4.9567741608415233E-2</v>
      </c>
      <c r="W10" s="445">
        <f>V10/U4</f>
        <v>24.783870804207616</v>
      </c>
      <c r="X10" s="455"/>
      <c r="Y10" s="446"/>
      <c r="Z10" s="444">
        <v>6</v>
      </c>
      <c r="AA10" s="445">
        <f>IF(AA20=FALSE,-AE29,AA20)</f>
        <v>0</v>
      </c>
      <c r="AB10" s="458"/>
      <c r="AC10" s="445">
        <f>IF(AB20=FALSE,AE29,AB20)</f>
        <v>6.8206751737942824E-16</v>
      </c>
      <c r="AD10" s="464"/>
      <c r="AE10" s="462" t="s">
        <v>1312</v>
      </c>
      <c r="AF10" s="458">
        <f>IF(T4=0,0,AC10/2)</f>
        <v>3.4103375868971412E-16</v>
      </c>
      <c r="AG10" s="444"/>
      <c r="AH10" s="458"/>
      <c r="AI10" s="458"/>
    </row>
    <row r="11" spans="1:35">
      <c r="A11" s="442" t="s">
        <v>718</v>
      </c>
      <c r="B11" s="462"/>
      <c r="C11" s="467" t="s">
        <v>719</v>
      </c>
      <c r="D11" s="468" t="s">
        <v>1146</v>
      </c>
      <c r="E11" s="468" t="s">
        <v>721</v>
      </c>
      <c r="F11" s="468" t="s">
        <v>157</v>
      </c>
      <c r="G11" s="468" t="s">
        <v>723</v>
      </c>
      <c r="H11" s="467" t="s">
        <v>122</v>
      </c>
      <c r="I11" s="442" t="s">
        <v>375</v>
      </c>
      <c r="J11" s="444" t="s">
        <v>1532</v>
      </c>
      <c r="K11" s="445">
        <f>C56</f>
        <v>0.7</v>
      </c>
      <c r="L11" s="445">
        <f>D36</f>
        <v>0.7</v>
      </c>
      <c r="M11" s="449">
        <f t="shared" ref="M11:M19" si="3">L11/K11</f>
        <v>1</v>
      </c>
      <c r="N11" s="444" t="s">
        <v>1533</v>
      </c>
      <c r="O11" s="445">
        <f>B57</f>
        <v>22.5</v>
      </c>
      <c r="P11" s="445">
        <f>O11*(1-L11)/(1-K11)</f>
        <v>22.5</v>
      </c>
      <c r="Q11" s="445">
        <f>P11/O11</f>
        <v>1</v>
      </c>
      <c r="R11" s="444">
        <v>22</v>
      </c>
      <c r="S11" s="445">
        <f>S10-2*L28*COS(S6)</f>
        <v>0.1030000459528162</v>
      </c>
      <c r="T11" s="443"/>
      <c r="U11" s="458">
        <f>S11*T4</f>
        <v>5.1500022976408101E-5</v>
      </c>
      <c r="V11" s="458">
        <f t="shared" si="2"/>
        <v>0.13796301355045693</v>
      </c>
      <c r="W11" s="445">
        <f>V11/U4</f>
        <v>68.981506775228468</v>
      </c>
      <c r="X11" s="450"/>
      <c r="AA11" s="458"/>
      <c r="AB11" s="463"/>
      <c r="AC11" s="458"/>
      <c r="AD11" s="458"/>
      <c r="AE11" s="462"/>
      <c r="AF11" s="458"/>
      <c r="AG11" s="444"/>
      <c r="AH11" s="458"/>
      <c r="AI11" s="458"/>
    </row>
    <row r="12" spans="1:35">
      <c r="A12" s="442" t="s">
        <v>214</v>
      </c>
      <c r="B12" s="445">
        <f>AA8</f>
        <v>0.5</v>
      </c>
      <c r="C12" s="457">
        <f>B12/U4</f>
        <v>250</v>
      </c>
      <c r="D12" s="469">
        <f>C12*C33</f>
        <v>208.29065270667894</v>
      </c>
      <c r="E12" s="449">
        <f>AC8</f>
        <v>14.199945665574337</v>
      </c>
      <c r="F12" s="470">
        <f>E12*C33</f>
        <v>11.83086380432742</v>
      </c>
      <c r="G12" s="455">
        <f>AE31*1000</f>
        <v>4.2950588220790127E-2</v>
      </c>
      <c r="H12" s="449">
        <f>V18</f>
        <v>17.605701168708549</v>
      </c>
      <c r="I12" s="445">
        <f>AC31</f>
        <v>1.363735669153409</v>
      </c>
      <c r="J12" s="444" t="s">
        <v>1534</v>
      </c>
      <c r="K12" s="448">
        <f>K5/K11</f>
        <v>258.57142857142861</v>
      </c>
      <c r="L12" s="448">
        <f>F36*P6^F57*I64</f>
        <v>2.5857142857142863</v>
      </c>
      <c r="M12" s="449">
        <f t="shared" si="3"/>
        <v>0.01</v>
      </c>
      <c r="N12" s="443" t="s">
        <v>1535</v>
      </c>
      <c r="O12" s="445"/>
      <c r="P12" s="445"/>
      <c r="Q12" s="445"/>
      <c r="R12" s="444" t="s">
        <v>1345</v>
      </c>
      <c r="S12" s="445">
        <f>L30-L29*COS(S7)</f>
        <v>2.8840012866790388E-4</v>
      </c>
      <c r="T12" s="443"/>
      <c r="U12" s="458">
        <f>S12*T4</f>
        <v>1.4420006433395195E-7</v>
      </c>
      <c r="V12" s="458">
        <f t="shared" si="2"/>
        <v>4.4504424829219763E-2</v>
      </c>
      <c r="W12" s="445">
        <f>V12/U4</f>
        <v>22.252212414609883</v>
      </c>
      <c r="X12" s="458"/>
      <c r="Z12" s="442" t="s">
        <v>1323</v>
      </c>
      <c r="AA12" s="458"/>
      <c r="AB12" s="458"/>
      <c r="AC12" s="458"/>
      <c r="AD12" s="458"/>
      <c r="AE12" s="462"/>
      <c r="AF12" s="458"/>
      <c r="AG12" s="444"/>
      <c r="AH12" s="458"/>
      <c r="AI12" s="458"/>
    </row>
    <row r="13" spans="1:35">
      <c r="A13" s="442" t="s">
        <v>215</v>
      </c>
      <c r="B13" s="445">
        <f>AA9</f>
        <v>0</v>
      </c>
      <c r="C13" s="457">
        <f>B13/U4</f>
        <v>0</v>
      </c>
      <c r="D13" s="469">
        <f>C13*C33</f>
        <v>0</v>
      </c>
      <c r="E13" s="449">
        <f>AC9</f>
        <v>-4.5806509889074913</v>
      </c>
      <c r="F13" s="449">
        <f>E13*C33</f>
        <v>-3.8164271372041427</v>
      </c>
      <c r="G13" s="455">
        <f>AE32*1000</f>
        <v>-8.813484858605147E-3</v>
      </c>
      <c r="H13" s="449">
        <f>V19</f>
        <v>49.002345277144251</v>
      </c>
      <c r="I13" s="445">
        <f>AC32</f>
        <v>-0.1836797069434101</v>
      </c>
      <c r="J13" s="444" t="s">
        <v>1536</v>
      </c>
      <c r="K13" s="445">
        <f>F54</f>
        <v>3.4</v>
      </c>
      <c r="L13" s="445">
        <f>E36*P6^F56*I36*I64</f>
        <v>3.4000000000000002E-2</v>
      </c>
      <c r="M13" s="449">
        <f t="shared" si="3"/>
        <v>0.01</v>
      </c>
      <c r="N13" s="444" t="s">
        <v>1537</v>
      </c>
      <c r="O13" s="445">
        <f>C57</f>
        <v>0</v>
      </c>
      <c r="P13" s="445">
        <f>O13</f>
        <v>0</v>
      </c>
      <c r="Q13" s="445">
        <v>1</v>
      </c>
      <c r="R13" s="444">
        <v>66</v>
      </c>
      <c r="S13" s="445">
        <f>S12-L30+L31</f>
        <v>7.1699999999999986E-2</v>
      </c>
      <c r="T13" s="443"/>
      <c r="U13" s="458">
        <f>S13*T4</f>
        <v>3.584999999999999E-5</v>
      </c>
      <c r="V13" s="458">
        <f t="shared" si="2"/>
        <v>4.6600447042217497E-2</v>
      </c>
      <c r="W13" s="445">
        <f>V13/U4</f>
        <v>23.300223521108748</v>
      </c>
      <c r="X13" s="445"/>
      <c r="Z13" s="444" t="s">
        <v>1324</v>
      </c>
      <c r="AA13" s="455">
        <f>(AF8+AF9*COS(AA4)+AF10*SIN(AA4))</f>
        <v>14.199945665574337</v>
      </c>
      <c r="AB13" s="455">
        <f>IF(ABS(AA13/AA16)&lt;0.0000000001,0,AA13)</f>
        <v>14.199945665574337</v>
      </c>
      <c r="AC13" s="455"/>
      <c r="AD13" s="455"/>
      <c r="AE13" s="462"/>
      <c r="AF13" s="458"/>
      <c r="AG13" s="442"/>
      <c r="AH13" s="462"/>
      <c r="AI13" s="458"/>
    </row>
    <row r="14" spans="1:35">
      <c r="A14" s="442" t="s">
        <v>216</v>
      </c>
      <c r="B14" s="445">
        <f>AA10</f>
        <v>0</v>
      </c>
      <c r="C14" s="457">
        <f>B14/U4</f>
        <v>0</v>
      </c>
      <c r="D14" s="469">
        <f>C14*C33</f>
        <v>0</v>
      </c>
      <c r="E14" s="449">
        <f>AC10</f>
        <v>6.8206751737942824E-16</v>
      </c>
      <c r="F14" s="449">
        <f>E14*C33</f>
        <v>5.6827315353994072E-16</v>
      </c>
      <c r="G14" s="455">
        <f>AE33*1000</f>
        <v>-1.0084308913453477E-18</v>
      </c>
      <c r="H14" s="449">
        <f>V21</f>
        <v>23.300223521108748</v>
      </c>
      <c r="I14" s="445">
        <f>AC33</f>
        <v>-9.002744015469067E-18</v>
      </c>
      <c r="J14" s="444" t="s">
        <v>1538</v>
      </c>
      <c r="K14" s="445">
        <f>E56</f>
        <v>0.51600000000000001</v>
      </c>
      <c r="L14" s="445">
        <f>K14*P6^G56</f>
        <v>0.51600000000000001</v>
      </c>
      <c r="M14" s="449">
        <f t="shared" si="3"/>
        <v>1</v>
      </c>
      <c r="N14" s="444" t="s">
        <v>1539</v>
      </c>
      <c r="O14" s="445">
        <f>D57</f>
        <v>0.6</v>
      </c>
      <c r="P14" s="445">
        <f>O14*(1-L11)/(1-K11)</f>
        <v>0.6</v>
      </c>
      <c r="Q14" s="445">
        <f>P14/O14</f>
        <v>1</v>
      </c>
      <c r="R14" s="444" t="s">
        <v>1347</v>
      </c>
      <c r="S14" s="445">
        <f>L28*SIN(S6)/2+L29*SIN(S7)</f>
        <v>0</v>
      </c>
      <c r="T14" s="443"/>
      <c r="U14" s="458">
        <f>S14*T4</f>
        <v>0</v>
      </c>
      <c r="V14" s="458">
        <f t="shared" si="2"/>
        <v>0</v>
      </c>
      <c r="W14" s="445">
        <f>V14/U4</f>
        <v>0</v>
      </c>
      <c r="X14" s="450"/>
      <c r="Z14" s="444" t="s">
        <v>1332</v>
      </c>
      <c r="AA14" s="455">
        <f>2*AF8-AA13</f>
        <v>-4.5806509889074913</v>
      </c>
      <c r="AB14" s="455">
        <f>IF(ABS(AA14/AA16)&lt;0.0000000001,0,AA14)</f>
        <v>-4.5806509889074913</v>
      </c>
      <c r="AC14" s="455"/>
      <c r="AD14" s="455"/>
      <c r="AE14" s="458"/>
      <c r="AF14" s="458"/>
      <c r="AG14" s="444" t="s">
        <v>1333</v>
      </c>
      <c r="AH14" s="443">
        <f>P33*AH7^2+2*P35*AH7*AH8+P34*AH8^2+P36*AH9^2</f>
        <v>4.885167713952035E-4</v>
      </c>
      <c r="AI14" s="458"/>
    </row>
    <row r="15" spans="1:35">
      <c r="A15" s="443" t="s">
        <v>377</v>
      </c>
      <c r="G15" s="443" t="s">
        <v>133</v>
      </c>
      <c r="H15" s="449">
        <f>V20</f>
        <v>0.32258228987541837</v>
      </c>
      <c r="J15" s="444" t="s">
        <v>1547</v>
      </c>
      <c r="K15" s="445">
        <f>K14*(1-K11)/K11</f>
        <v>0.2211428571428572</v>
      </c>
      <c r="L15" s="445">
        <f>L14*(1-L11)/L11</f>
        <v>0.2211428571428572</v>
      </c>
      <c r="M15" s="449">
        <f t="shared" si="3"/>
        <v>1</v>
      </c>
      <c r="O15" s="445"/>
      <c r="P15" s="445"/>
      <c r="Q15" s="445"/>
      <c r="R15" s="444" t="s">
        <v>1349</v>
      </c>
      <c r="S15" s="445">
        <f>L28*SIN(S6)-S14</f>
        <v>0</v>
      </c>
      <c r="T15" s="443"/>
      <c r="U15" s="458">
        <f>S15*T4</f>
        <v>0</v>
      </c>
      <c r="V15" s="458">
        <f t="shared" si="2"/>
        <v>6.9388939039072284E-18</v>
      </c>
      <c r="W15" s="445">
        <f>V15/U4</f>
        <v>3.4694469519536142E-15</v>
      </c>
      <c r="X15" s="458"/>
      <c r="Z15" s="444" t="s">
        <v>1334</v>
      </c>
      <c r="AA15" s="455">
        <f>(2*(AF10*COS(AA4)-AF9*SIN(AA4)))</f>
        <v>6.8206751737942824E-16</v>
      </c>
      <c r="AB15" s="455">
        <f>IF(ABS(AA15/AA16)&lt;0.0000000001,0,AA15)</f>
        <v>0</v>
      </c>
      <c r="AC15" s="455"/>
      <c r="AD15" s="455"/>
      <c r="AE15" s="458"/>
      <c r="AF15" s="458"/>
      <c r="AG15" s="444" t="s">
        <v>1335</v>
      </c>
      <c r="AH15" s="443">
        <f>P37*AH7+P38*AH8</f>
        <v>-1.9812932520149068E-2</v>
      </c>
      <c r="AI15" s="458"/>
    </row>
    <row r="16" spans="1:35">
      <c r="A16" s="444" t="s">
        <v>378</v>
      </c>
      <c r="B16" s="444" t="s">
        <v>995</v>
      </c>
      <c r="C16" s="444" t="s">
        <v>379</v>
      </c>
      <c r="D16" s="444" t="s">
        <v>997</v>
      </c>
      <c r="E16" s="444" t="s">
        <v>380</v>
      </c>
      <c r="F16" s="444" t="s">
        <v>999</v>
      </c>
      <c r="G16" s="444" t="s">
        <v>41</v>
      </c>
      <c r="H16" s="444" t="s">
        <v>381</v>
      </c>
      <c r="I16" s="444" t="s">
        <v>1058</v>
      </c>
      <c r="J16" s="444" t="s">
        <v>1643</v>
      </c>
      <c r="K16" s="445">
        <f>1/((1+K15)/K6-K15/K13)</f>
        <v>18.686160319541436</v>
      </c>
      <c r="L16" s="445">
        <f>K16*P6^F57*I64</f>
        <v>0.18686160319541437</v>
      </c>
      <c r="M16" s="449">
        <f t="shared" si="3"/>
        <v>0.01</v>
      </c>
      <c r="N16" s="443" t="s">
        <v>176</v>
      </c>
      <c r="O16" s="445"/>
      <c r="P16" s="445"/>
      <c r="Q16" s="445"/>
      <c r="S16" s="443"/>
      <c r="T16" s="450" t="s">
        <v>1353</v>
      </c>
      <c r="U16" s="446">
        <f>U10*U11*U13+2*U12*U14*U15-U11*U14^2-U13*U12^2-U10*U15^2</f>
        <v>1.670879620452328E-12</v>
      </c>
      <c r="V16" s="446">
        <f>V10*V11*V13+2*V12*V14*V15-V11*V14^2-V13*V12^2-V10*V15^2</f>
        <v>2.2637896855934086E-4</v>
      </c>
      <c r="W16" s="443"/>
      <c r="X16" s="458"/>
      <c r="Z16" s="444" t="s">
        <v>1363</v>
      </c>
      <c r="AA16" s="458">
        <f>SQRT(AA13^2+AA14^2+AA15^2)</f>
        <v>14.920483249125766</v>
      </c>
      <c r="AB16" s="458"/>
      <c r="AC16" s="458"/>
      <c r="AD16" s="458"/>
      <c r="AE16" s="458"/>
      <c r="AF16" s="458"/>
      <c r="AG16" s="444" t="s">
        <v>1344</v>
      </c>
      <c r="AH16" s="443">
        <f>AH15/2/AH14</f>
        <v>-20.278661532503122</v>
      </c>
      <c r="AI16" s="458"/>
    </row>
    <row r="17" spans="1:35">
      <c r="A17" s="443">
        <f>F12</f>
        <v>11.83086380432742</v>
      </c>
      <c r="B17" s="443">
        <f>D12</f>
        <v>208.29065270667894</v>
      </c>
      <c r="C17" s="443">
        <f>F13</f>
        <v>-3.8164271372041427</v>
      </c>
      <c r="D17" s="443">
        <f>D13</f>
        <v>0</v>
      </c>
      <c r="E17" s="443">
        <f>F14</f>
        <v>5.6827315353994072E-16</v>
      </c>
      <c r="F17" s="443">
        <f>D14</f>
        <v>0</v>
      </c>
      <c r="G17" s="443">
        <f>(A17*B17+C17*D17+E17*F17)/2</f>
        <v>1232.1291719435906</v>
      </c>
      <c r="H17" s="443">
        <f>C33</f>
        <v>0.83316261082671572</v>
      </c>
      <c r="I17" s="443">
        <f>2*(D3*B56*D56+D4*B61*D61+D5*B68*D68+D6*B73*D73+D7*B80*D80+D8*B85*D85+D9*B92*D92+D10*B97*D97)*0.000001/H17*I3</f>
        <v>3.8407868505102032</v>
      </c>
      <c r="J17" s="444" t="s">
        <v>295</v>
      </c>
      <c r="K17" s="445">
        <f>E57</f>
        <v>0.316</v>
      </c>
      <c r="L17" s="445">
        <f>K17*P6^G56</f>
        <v>0.316</v>
      </c>
      <c r="M17" s="449">
        <f t="shared" si="3"/>
        <v>1</v>
      </c>
      <c r="N17" s="444" t="s">
        <v>296</v>
      </c>
      <c r="O17" s="448">
        <f>A55</f>
        <v>1500</v>
      </c>
      <c r="P17" s="448">
        <f>P23*L11</f>
        <v>1500</v>
      </c>
      <c r="Q17" s="445">
        <f t="shared" ref="Q17:Q24" si="4">P17/O17</f>
        <v>1</v>
      </c>
      <c r="R17" s="444" t="s">
        <v>1355</v>
      </c>
      <c r="S17" s="450" t="s">
        <v>382</v>
      </c>
      <c r="T17" s="450" t="s">
        <v>182</v>
      </c>
      <c r="U17" s="450" t="s">
        <v>669</v>
      </c>
      <c r="V17" s="450" t="s">
        <v>670</v>
      </c>
      <c r="W17" s="443"/>
      <c r="X17" s="458"/>
      <c r="Z17" s="444" t="s">
        <v>1545</v>
      </c>
      <c r="AA17" s="462" t="s">
        <v>1301</v>
      </c>
      <c r="AB17" s="462" t="s">
        <v>383</v>
      </c>
      <c r="AF17" s="443"/>
      <c r="AG17" s="444"/>
      <c r="AH17" s="458"/>
      <c r="AI17" s="458"/>
    </row>
    <row r="18" spans="1:35">
      <c r="A18" s="444"/>
      <c r="B18" s="444"/>
      <c r="C18" s="444"/>
      <c r="D18" s="444"/>
      <c r="E18" s="444"/>
      <c r="J18" s="444" t="s">
        <v>301</v>
      </c>
      <c r="K18" s="445">
        <f>K17*(1-K11)/K11</f>
        <v>0.13542857142857145</v>
      </c>
      <c r="L18" s="445">
        <f>L17*(1-L11)/L11</f>
        <v>0.13542857142857145</v>
      </c>
      <c r="M18" s="449">
        <f t="shared" si="3"/>
        <v>1</v>
      </c>
      <c r="N18" s="444" t="s">
        <v>302</v>
      </c>
      <c r="O18" s="448">
        <f>B55</f>
        <v>1500</v>
      </c>
      <c r="P18" s="448">
        <f>O18*Q17*M8^E58</f>
        <v>946.4360167202899</v>
      </c>
      <c r="Q18" s="445">
        <f t="shared" si="4"/>
        <v>0.63095734448019325</v>
      </c>
      <c r="R18" s="444">
        <v>11</v>
      </c>
      <c r="S18" s="446">
        <f>IF(U16=0,1E+99,(U11*U13-U15^2)/U16)</f>
        <v>1104.9723756906078</v>
      </c>
      <c r="T18" s="446">
        <f>IF(V16=0,1E+99,(V11*V13-V15^2)/V16)</f>
        <v>28.399891331148673</v>
      </c>
      <c r="U18" s="471">
        <f>T18*U4</f>
        <v>5.6799782662297349E-2</v>
      </c>
      <c r="V18" s="445">
        <f>1/U18</f>
        <v>17.605701168708549</v>
      </c>
      <c r="W18" s="443"/>
      <c r="X18" s="458"/>
      <c r="Z18" s="444">
        <v>1</v>
      </c>
      <c r="AA18" s="445">
        <f t="shared" ref="AA18:AB20" si="5">IF(G3="x",FALSE,G3)</f>
        <v>0.5</v>
      </c>
      <c r="AB18" s="445" t="b">
        <f t="shared" si="5"/>
        <v>0</v>
      </c>
      <c r="AC18" s="443">
        <f>IF(AB18=FALSE,0,AB18)</f>
        <v>0</v>
      </c>
      <c r="AF18" s="443"/>
      <c r="AG18" s="444"/>
      <c r="AH18" s="458"/>
      <c r="AI18" s="458"/>
    </row>
    <row r="19" spans="1:35">
      <c r="B19" s="443" t="s">
        <v>1093</v>
      </c>
      <c r="C19" s="443" t="s">
        <v>1094</v>
      </c>
      <c r="D19" s="443" t="s">
        <v>158</v>
      </c>
      <c r="E19" s="443" t="s">
        <v>159</v>
      </c>
      <c r="F19" s="443" t="s">
        <v>160</v>
      </c>
      <c r="J19" s="444" t="s">
        <v>304</v>
      </c>
      <c r="K19" s="445">
        <f>1/((1+K18)/K8-K18*2.7/K13)</f>
        <v>19.680382632972858</v>
      </c>
      <c r="L19" s="445">
        <f>K19*P6^F57*I64</f>
        <v>0.19680382632972859</v>
      </c>
      <c r="M19" s="449">
        <f t="shared" si="3"/>
        <v>0.01</v>
      </c>
      <c r="N19" s="444" t="s">
        <v>305</v>
      </c>
      <c r="O19" s="448">
        <f>C55</f>
        <v>40</v>
      </c>
      <c r="P19" s="448">
        <f>O19*Q24</f>
        <v>40</v>
      </c>
      <c r="Q19" s="445">
        <f t="shared" si="4"/>
        <v>1</v>
      </c>
      <c r="R19" s="444">
        <v>22</v>
      </c>
      <c r="S19" s="446">
        <f>IF(U16=0,1E+99,(U10*U13-U14^2)/U16)</f>
        <v>19417.475728155321</v>
      </c>
      <c r="T19" s="446">
        <f>IF(V16=0,1E+99,(V10*V13-V14^2)/V16)</f>
        <v>10.203593260121179</v>
      </c>
      <c r="U19" s="471">
        <f>T19*U4</f>
        <v>2.040718652024236E-2</v>
      </c>
      <c r="V19" s="445">
        <f>1/U19</f>
        <v>49.002345277144251</v>
      </c>
      <c r="W19" s="443"/>
      <c r="X19" s="458"/>
      <c r="Z19" s="444">
        <v>2</v>
      </c>
      <c r="AA19" s="445">
        <f t="shared" si="5"/>
        <v>0</v>
      </c>
      <c r="AB19" s="445" t="b">
        <f t="shared" si="5"/>
        <v>0</v>
      </c>
      <c r="AC19" s="443">
        <f>IF(AB19=FALSE,0,AB19)</f>
        <v>0</v>
      </c>
      <c r="AF19" s="443"/>
      <c r="AG19" s="444"/>
      <c r="AH19" s="458"/>
      <c r="AI19" s="462" t="s">
        <v>1348</v>
      </c>
    </row>
    <row r="20" spans="1:35" ht="13.2" thickBot="1">
      <c r="A20" s="443">
        <v>1</v>
      </c>
      <c r="B20" s="472">
        <v>1</v>
      </c>
      <c r="C20" s="473">
        <v>0</v>
      </c>
      <c r="D20" s="443">
        <f>B20/2+C20/$F$20/2</f>
        <v>0.5</v>
      </c>
      <c r="E20" s="443">
        <f>B20/2-C20/$F$20/2</f>
        <v>0.5</v>
      </c>
      <c r="F20" s="474">
        <v>0.01</v>
      </c>
      <c r="L20" s="445"/>
      <c r="N20" s="444" t="s">
        <v>1542</v>
      </c>
      <c r="O20" s="448">
        <f>D55</f>
        <v>246</v>
      </c>
      <c r="P20" s="448">
        <f>O20*Q24</f>
        <v>246</v>
      </c>
      <c r="Q20" s="445">
        <f t="shared" si="4"/>
        <v>1</v>
      </c>
      <c r="R20" s="444" t="s">
        <v>1345</v>
      </c>
      <c r="S20" s="446">
        <f>IF(U16=0,1E+99,(U14*U15-U12*U13)/U16)</f>
        <v>-3.0939226519339007</v>
      </c>
      <c r="T20" s="446">
        <f>IF(V16=0,1E+99,(V14*V15-V12*V13)/V16)</f>
        <v>-9.1613019778149827</v>
      </c>
      <c r="U20" s="471">
        <f>T20*U4</f>
        <v>-1.8322603955629967E-2</v>
      </c>
      <c r="V20" s="445">
        <f>-U20/U18</f>
        <v>0.32258228987541837</v>
      </c>
      <c r="W20" s="443"/>
      <c r="X20" s="458"/>
      <c r="Z20" s="444">
        <v>6</v>
      </c>
      <c r="AA20" s="445">
        <f t="shared" si="5"/>
        <v>0</v>
      </c>
      <c r="AB20" s="445" t="b">
        <f t="shared" si="5"/>
        <v>0</v>
      </c>
      <c r="AC20" s="443">
        <f>IF(AB20=FALSE,0,AB20)</f>
        <v>0</v>
      </c>
      <c r="AF20" s="443"/>
      <c r="AG20" s="444" t="s">
        <v>1351</v>
      </c>
      <c r="AH20" s="455">
        <f>(AH16^2+1/AH14)^0.5-AH16</f>
        <v>69.859270055156401</v>
      </c>
      <c r="AI20" s="455">
        <f>AH21</f>
        <v>69.859270055156401</v>
      </c>
    </row>
    <row r="21" spans="1:35">
      <c r="A21" s="443">
        <v>2</v>
      </c>
      <c r="B21" s="472">
        <v>0</v>
      </c>
      <c r="C21" s="473">
        <v>0</v>
      </c>
      <c r="D21" s="443">
        <f>B21/2+C21/$F$20/2</f>
        <v>0</v>
      </c>
      <c r="E21" s="443">
        <f>B21/2-C21/$F$20/2</f>
        <v>0</v>
      </c>
      <c r="J21" s="443" t="s">
        <v>1507</v>
      </c>
      <c r="N21" s="444" t="s">
        <v>1543</v>
      </c>
      <c r="O21" s="475">
        <f>E55</f>
        <v>68</v>
      </c>
      <c r="P21" s="475">
        <f>O21*Q24</f>
        <v>68</v>
      </c>
      <c r="Q21" s="445">
        <f t="shared" si="4"/>
        <v>1</v>
      </c>
      <c r="R21" s="444">
        <v>66</v>
      </c>
      <c r="S21" s="446">
        <f>IF(U16=0,1E+99,(U10*U11-U12^2)/U16)</f>
        <v>27894.002789400289</v>
      </c>
      <c r="T21" s="446">
        <f>IF(V16=0,1E+99,(V10*V11-V12^2)/V16)</f>
        <v>21.45902160754067</v>
      </c>
      <c r="U21" s="471">
        <f>T21*U4</f>
        <v>4.2918043215081345E-2</v>
      </c>
      <c r="V21" s="445">
        <f>1/U21</f>
        <v>23.300223521108748</v>
      </c>
      <c r="W21" s="443"/>
      <c r="Z21" s="462" t="s">
        <v>394</v>
      </c>
      <c r="AA21" s="459">
        <v>1</v>
      </c>
      <c r="AB21" s="459">
        <v>2</v>
      </c>
      <c r="AC21" s="459">
        <v>6</v>
      </c>
      <c r="AF21" s="458"/>
      <c r="AG21" s="444"/>
      <c r="AH21" s="455">
        <f>IF(AH3=0,1000000000,AH20)</f>
        <v>69.859270055156401</v>
      </c>
    </row>
    <row r="22" spans="1:35" ht="13.2" thickBot="1">
      <c r="A22" s="443">
        <v>6</v>
      </c>
      <c r="B22" s="476">
        <v>0</v>
      </c>
      <c r="C22" s="477">
        <v>0</v>
      </c>
      <c r="D22" s="443">
        <f>B22/2+C22/$F$20/2</f>
        <v>0</v>
      </c>
      <c r="E22" s="443">
        <f>B22/2-C22/$F$20/2</f>
        <v>0</v>
      </c>
      <c r="J22" s="444" t="s">
        <v>1354</v>
      </c>
      <c r="K22" s="445">
        <f>K5/(1-K7^2*K6/K5)</f>
        <v>181.81113884441791</v>
      </c>
      <c r="L22" s="445">
        <f>L5/(1-L7^2*L6/L5)</f>
        <v>1.8100008075203604</v>
      </c>
      <c r="M22" s="449">
        <f>L22/K22</f>
        <v>9.9553900768931478E-3</v>
      </c>
      <c r="N22" s="444" t="s">
        <v>1168</v>
      </c>
      <c r="O22" s="449">
        <f>A56</f>
        <v>-0.5</v>
      </c>
      <c r="P22" s="449">
        <f>O22*I36*I64</f>
        <v>-5.0000000000000001E-3</v>
      </c>
      <c r="Q22" s="445">
        <f t="shared" si="4"/>
        <v>0.01</v>
      </c>
      <c r="R22" s="444" t="s">
        <v>1347</v>
      </c>
      <c r="S22" s="446">
        <f>IF(U16=0,1E+99,(U12*U15-U11*U14)/U16)</f>
        <v>0</v>
      </c>
      <c r="T22" s="446">
        <f>IF(V16=0,1E+99,(V12*V15-V11*V14)/V16)</f>
        <v>1.3641350347588565E-15</v>
      </c>
      <c r="U22" s="471">
        <f>T22*U4</f>
        <v>2.7282700695177132E-18</v>
      </c>
      <c r="V22" s="445">
        <f>U22/U18</f>
        <v>4.8033107551460555E-17</v>
      </c>
      <c r="W22" s="443"/>
      <c r="X22" s="443"/>
      <c r="Y22" s="444"/>
      <c r="Z22" s="444">
        <v>1</v>
      </c>
      <c r="AA22" s="446">
        <f>IF(AA18=FALSE,1,V10)</f>
        <v>4.9567741608415233E-2</v>
      </c>
      <c r="AB22" s="446">
        <f>IF(AA19=FALSE,0,V12)</f>
        <v>4.4504424829219763E-2</v>
      </c>
      <c r="AC22" s="446">
        <f>IF(AA20=FALSE,0,V14)</f>
        <v>0</v>
      </c>
      <c r="AF22" s="458"/>
      <c r="AG22" s="443" t="s">
        <v>1360</v>
      </c>
      <c r="AH22" s="455">
        <f>IF(AH3=0,0,AH20)</f>
        <v>69.859270055156401</v>
      </c>
    </row>
    <row r="23" spans="1:35">
      <c r="J23" s="444" t="s">
        <v>1361</v>
      </c>
      <c r="K23" s="445">
        <f>K22*K6/K5</f>
        <v>10.346158729820468</v>
      </c>
      <c r="L23" s="445">
        <f>L22*L6/L5</f>
        <v>0.1030000459528161</v>
      </c>
      <c r="M23" s="449">
        <f>L23/K23</f>
        <v>9.9553900768931478E-3</v>
      </c>
      <c r="N23" s="444" t="s">
        <v>1175</v>
      </c>
      <c r="O23" s="448">
        <f>O17/K11</f>
        <v>2142.8571428571431</v>
      </c>
      <c r="P23" s="448">
        <f>H36*P6^G57</f>
        <v>2142.8571428571431</v>
      </c>
      <c r="Q23" s="445">
        <f t="shared" si="4"/>
        <v>1</v>
      </c>
      <c r="R23" s="444" t="s">
        <v>1349</v>
      </c>
      <c r="S23" s="446">
        <f>IF(U16=0,1E+99,(U12*U14-U10*U15)/U16)</f>
        <v>0</v>
      </c>
      <c r="T23" s="446">
        <f>IF(V16=0,1E+99,(V12*V14-V10*V15)/V16)</f>
        <v>-1.5193341601736405E-15</v>
      </c>
      <c r="U23" s="471">
        <f>T23*U4</f>
        <v>-3.0386683203472813E-18</v>
      </c>
      <c r="V23" s="445">
        <f>U23/U18</f>
        <v>-5.3497886398855771E-17</v>
      </c>
      <c r="W23" s="443"/>
      <c r="X23" s="443"/>
      <c r="Y23" s="445"/>
      <c r="Z23" s="444">
        <v>2</v>
      </c>
      <c r="AA23" s="446">
        <f>IF(AA18=FALSE,0,V12)</f>
        <v>4.4504424829219763E-2</v>
      </c>
      <c r="AB23" s="446">
        <f>IF(AA19=FALSE,1,V11)</f>
        <v>0.13796301355045693</v>
      </c>
      <c r="AC23" s="446">
        <f>IF(AA20=FALSE,0,V15)</f>
        <v>6.9388939039072284E-18</v>
      </c>
      <c r="AF23" s="458"/>
      <c r="AG23" s="444" t="s">
        <v>1364</v>
      </c>
      <c r="AH23" s="464">
        <f>AI7+AI8*COS(AH4)+AI9*SIN(AH4)-V29</f>
        <v>4.4950588220790125E-5</v>
      </c>
      <c r="AI23" s="458"/>
    </row>
    <row r="24" spans="1:35">
      <c r="A24" s="443" t="s">
        <v>1683</v>
      </c>
      <c r="C24" s="450" t="s">
        <v>1562</v>
      </c>
      <c r="D24" s="450"/>
      <c r="E24" s="450"/>
      <c r="F24" s="450"/>
      <c r="J24" s="444" t="s">
        <v>1365</v>
      </c>
      <c r="K24" s="445">
        <f>K23*K7</f>
        <v>2.8969244443497315</v>
      </c>
      <c r="L24" s="445">
        <f>L23*L7</f>
        <v>2.8840012866788512E-4</v>
      </c>
      <c r="M24" s="449">
        <f>L24/K24</f>
        <v>9.9553900768931477E-5</v>
      </c>
      <c r="N24" s="444" t="s">
        <v>1176</v>
      </c>
      <c r="O24" s="448">
        <f>O19</f>
        <v>40</v>
      </c>
      <c r="P24" s="448">
        <f>G36*P6^H56</f>
        <v>40</v>
      </c>
      <c r="Q24" s="445">
        <f t="shared" si="4"/>
        <v>1</v>
      </c>
      <c r="R24" s="442" t="s">
        <v>1185</v>
      </c>
      <c r="S24" s="443"/>
      <c r="T24" s="443"/>
      <c r="W24" s="443"/>
      <c r="X24" s="443"/>
      <c r="Y24" s="445"/>
      <c r="Z24" s="444">
        <v>6</v>
      </c>
      <c r="AA24" s="446">
        <f>IF(AA18=FALSE,0,V14)</f>
        <v>0</v>
      </c>
      <c r="AB24" s="446">
        <f>IF(AA19=FALSE,0,V15)</f>
        <v>6.9388939039072284E-18</v>
      </c>
      <c r="AC24" s="446">
        <f>IF(AA20=FALSE,1,V13)</f>
        <v>4.6600447042217497E-2</v>
      </c>
      <c r="AF24" s="458"/>
      <c r="AG24" s="444" t="s">
        <v>1367</v>
      </c>
      <c r="AH24" s="464">
        <f>2*AI7-AH23-V30-V29</f>
        <v>-7.5881348485860531E-4</v>
      </c>
      <c r="AI24" s="458"/>
    </row>
    <row r="25" spans="1:35">
      <c r="B25" s="442" t="s">
        <v>35</v>
      </c>
      <c r="C25" s="449">
        <f>AH38</f>
        <v>69.878474335864695</v>
      </c>
      <c r="D25" s="449"/>
      <c r="E25" s="449"/>
      <c r="F25" s="449"/>
      <c r="G25" s="478"/>
      <c r="H25" s="449"/>
      <c r="J25" s="444" t="s">
        <v>1370</v>
      </c>
      <c r="K25" s="445">
        <f>K8</f>
        <v>7.17</v>
      </c>
      <c r="L25" s="445">
        <f>L8</f>
        <v>7.17E-2</v>
      </c>
      <c r="M25" s="449">
        <f>L25/K25</f>
        <v>0.01</v>
      </c>
      <c r="R25" s="444"/>
      <c r="S25" s="450" t="s">
        <v>1406</v>
      </c>
      <c r="T25" s="450" t="s">
        <v>1407</v>
      </c>
      <c r="U25" s="450" t="s">
        <v>1408</v>
      </c>
      <c r="V25" s="450" t="s">
        <v>1409</v>
      </c>
      <c r="W25" s="450" t="s">
        <v>1410</v>
      </c>
      <c r="X25" s="450" t="s">
        <v>1411</v>
      </c>
      <c r="Y25" s="450" t="s">
        <v>1394</v>
      </c>
      <c r="Z25" s="444" t="s">
        <v>399</v>
      </c>
      <c r="AA25" s="446">
        <f>AA22*AB23*AC24+AA23*AB24*AC22+AA24*AC23*AB22-AC22*AB23*AA24-AC23*AB24*AA22-AC24*AA23*AB22</f>
        <v>2.2637896855934086E-4</v>
      </c>
      <c r="AB25" s="446"/>
      <c r="AC25" s="446"/>
      <c r="AF25" s="458"/>
      <c r="AG25" s="444" t="s">
        <v>1372</v>
      </c>
      <c r="AH25" s="464">
        <f>2*(AI9*COS(AH4)-AI8*SIN(AH4))</f>
        <v>-1.0084308913453477E-21</v>
      </c>
      <c r="AI25" s="458"/>
    </row>
    <row r="26" spans="1:35">
      <c r="B26" s="442" t="s">
        <v>37</v>
      </c>
      <c r="C26" s="449">
        <f>AH77</f>
        <v>0.83316261082671572</v>
      </c>
      <c r="D26" s="449"/>
      <c r="E26" s="449"/>
      <c r="F26" s="449"/>
      <c r="G26" s="478"/>
      <c r="H26" s="449"/>
      <c r="J26" s="443" t="s">
        <v>1510</v>
      </c>
      <c r="K26" s="445"/>
      <c r="L26" s="445"/>
      <c r="N26" s="443" t="s">
        <v>1375</v>
      </c>
      <c r="R26" s="444">
        <v>1</v>
      </c>
      <c r="S26" s="458">
        <f>((L22+L24)/2*P10+(L24+L23)/2*P11)/1000000</f>
        <v>1.1800979104931853E-6</v>
      </c>
      <c r="T26" s="458">
        <f>((L22+L24)/2*P13+(L24+L23)/2*P14)</f>
        <v>3.0986533824445196E-2</v>
      </c>
      <c r="U26" s="464">
        <f>S26+S27*Y26</f>
        <v>4.268901904543475E-8</v>
      </c>
      <c r="V26" s="455">
        <f>T26+T27*Y26</f>
        <v>1.7304007720073469E-4</v>
      </c>
      <c r="W26" s="455">
        <f>(U26*S18+U27*S20+U28*S22)*T4*1000000</f>
        <v>1.9999999999999841E-2</v>
      </c>
      <c r="X26" s="455">
        <f>(V26*S18+V27*S20+V28*S22)*T4</f>
        <v>-4.1355807667287079E-18</v>
      </c>
      <c r="Y26" s="455">
        <f>COS(S6)</f>
        <v>1</v>
      </c>
      <c r="Z26" s="462" t="s">
        <v>401</v>
      </c>
      <c r="AA26" s="459"/>
      <c r="AB26" s="459"/>
      <c r="AC26" s="459"/>
      <c r="AD26" s="444" t="s">
        <v>402</v>
      </c>
      <c r="AE26" s="444" t="s">
        <v>403</v>
      </c>
      <c r="AF26" s="458"/>
      <c r="AG26" s="458"/>
      <c r="AH26" s="458"/>
      <c r="AI26" s="458"/>
    </row>
    <row r="27" spans="1:35">
      <c r="B27" s="442" t="s">
        <v>39</v>
      </c>
      <c r="C27" s="449">
        <f>AH116</f>
        <v>1.216987871456531</v>
      </c>
      <c r="D27" s="449"/>
      <c r="E27" s="449"/>
      <c r="F27" s="449"/>
      <c r="G27" s="478"/>
      <c r="H27" s="449"/>
      <c r="J27" s="444" t="s">
        <v>1380</v>
      </c>
      <c r="K27" s="445">
        <f>(3*K22+3*K23+2*K24+4*K25)/8</f>
        <v>76.368217701426829</v>
      </c>
      <c r="L27" s="445">
        <f>(3*L22+3*L23+2*L24+4*L25)/8</f>
        <v>0.7532974200846082</v>
      </c>
      <c r="M27" s="449">
        <f>L27/K27</f>
        <v>9.8640172935518695E-3</v>
      </c>
      <c r="N27" s="444" t="s">
        <v>1381</v>
      </c>
      <c r="O27" s="445">
        <f>1/O17/O18*1000000</f>
        <v>0.44444444444444442</v>
      </c>
      <c r="P27" s="445">
        <f>1/P17/P18*1000000</f>
        <v>0.70439697442716154</v>
      </c>
      <c r="Q27" s="445">
        <f>P27/O27</f>
        <v>1.5848931924611136</v>
      </c>
      <c r="R27" s="444">
        <v>2</v>
      </c>
      <c r="S27" s="458">
        <f>((L22-L24)/2*P10+(L24-L23)/2*P11)/1000000</f>
        <v>-1.1374088914477506E-6</v>
      </c>
      <c r="T27" s="458">
        <f>((L22-L24)/2*P13+(L24-L23)/2*P14)</f>
        <v>-3.0813493747244462E-2</v>
      </c>
      <c r="U27" s="464">
        <f>S26-S27*Y26</f>
        <v>2.3175068019409357E-6</v>
      </c>
      <c r="V27" s="455">
        <f>T26-T27*Y26</f>
        <v>6.1800027571689661E-2</v>
      </c>
      <c r="W27" s="455">
        <f>(U26*S20+U27*S19+U28*S23)*T4*1000000</f>
        <v>22.499999999999986</v>
      </c>
      <c r="X27" s="455">
        <f>(V26*S20+V27*S19+V28*S23)*T4</f>
        <v>0.59999999999999953</v>
      </c>
      <c r="Y27" s="455">
        <f>SIN(S6)</f>
        <v>0</v>
      </c>
      <c r="Z27" s="444">
        <v>1</v>
      </c>
      <c r="AA27" s="446">
        <f>(AB23*AC24-AC23*AB24)/AA25</f>
        <v>28.399891331148673</v>
      </c>
      <c r="AB27" s="446">
        <f>-(AB22*AC24-AC22*AB24)/AA25</f>
        <v>-9.1613019778149827</v>
      </c>
      <c r="AC27" s="446">
        <f>(AB22*AC23-AC22*AB23)/AA25</f>
        <v>1.3641350347588565E-15</v>
      </c>
      <c r="AD27" s="446">
        <f>IF(AA18=FALSE,-(V10*AC18+V12*AC19+V14*AC20),AA18-(V10*AC18+V12*AC19+V14*AC20))</f>
        <v>0.5</v>
      </c>
      <c r="AE27" s="446">
        <f>AA27*AD27+AB27*AD28+AC27*AD29</f>
        <v>14.199945665574337</v>
      </c>
      <c r="AF27" s="458"/>
      <c r="AG27" s="462" t="s">
        <v>1383</v>
      </c>
      <c r="AH27" s="479">
        <f>P33*AH23^2+2*P35*AH23*AH24+P34*AH24^2+P36*AH25^2</f>
        <v>6.2576559957092852E-7</v>
      </c>
      <c r="AI27" s="458"/>
    </row>
    <row r="28" spans="1:35">
      <c r="B28" s="442" t="s">
        <v>1036</v>
      </c>
      <c r="C28" s="449">
        <f>AH155</f>
        <v>1.216987871456531</v>
      </c>
      <c r="D28" s="449"/>
      <c r="E28" s="449"/>
      <c r="F28" s="449"/>
      <c r="G28" s="478"/>
      <c r="H28" s="449"/>
      <c r="J28" s="444" t="s">
        <v>1384</v>
      </c>
      <c r="K28" s="445">
        <f>(K22-K23)/2</f>
        <v>85.732490057298719</v>
      </c>
      <c r="L28" s="445">
        <f>(L22-L23)/2</f>
        <v>0.85350038078377211</v>
      </c>
      <c r="M28" s="449">
        <f>L28/K28</f>
        <v>9.9553900768931478E-3</v>
      </c>
      <c r="N28" s="444" t="s">
        <v>1385</v>
      </c>
      <c r="O28" s="445">
        <f>1/O19/O20*1000000</f>
        <v>101.6260162601626</v>
      </c>
      <c r="P28" s="445">
        <f>1/P19/P20*1000000</f>
        <v>101.6260162601626</v>
      </c>
      <c r="Q28" s="445">
        <f>P28/O28</f>
        <v>1</v>
      </c>
      <c r="R28" s="444">
        <v>6</v>
      </c>
      <c r="S28" s="450" t="s">
        <v>1419</v>
      </c>
      <c r="T28" s="450" t="s">
        <v>1420</v>
      </c>
      <c r="U28" s="464">
        <f>S27*Y27</f>
        <v>0</v>
      </c>
      <c r="V28" s="455">
        <f>T27*Y27</f>
        <v>0</v>
      </c>
      <c r="W28" s="455">
        <f>(U26*S22+U27*S23+U28*S21)*T4*1000000</f>
        <v>0</v>
      </c>
      <c r="X28" s="455">
        <f>(V26*S22+V27*S23+V28*S21)*T4</f>
        <v>0</v>
      </c>
      <c r="Y28" s="450" t="s">
        <v>406</v>
      </c>
      <c r="Z28" s="444">
        <v>2</v>
      </c>
      <c r="AA28" s="446">
        <f>-(AA23*AC24-AC23*AA24)/AA25</f>
        <v>-9.1613019778149827</v>
      </c>
      <c r="AB28" s="446">
        <f>(AA22*AC24-AC22*AA24)/AA25</f>
        <v>10.203593260121179</v>
      </c>
      <c r="AC28" s="446">
        <f>-(AA22*AC23-AC22*AA23)/AA25</f>
        <v>-1.5193341601736405E-15</v>
      </c>
      <c r="AD28" s="446">
        <f>IF(AA19=FALSE,-(V12*AC18+V11*AC19+V15*AC20),AA19-(V12*AC18+V11*AC19+V15*AC20))</f>
        <v>0</v>
      </c>
      <c r="AE28" s="446">
        <f>AA28*AD27+AB28*AD28+AC28*AD29</f>
        <v>-4.5806509889074913</v>
      </c>
      <c r="AF28" s="458"/>
      <c r="AG28" s="462" t="s">
        <v>1387</v>
      </c>
      <c r="AH28" s="479">
        <f>P37*AH23+P38*AH24</f>
        <v>-1.6675989769600922E-3</v>
      </c>
      <c r="AI28" s="458"/>
    </row>
    <row r="29" spans="1:35">
      <c r="A29" s="442"/>
      <c r="B29" s="442" t="s">
        <v>1038</v>
      </c>
      <c r="C29" s="449">
        <f>AH194</f>
        <v>1000000000</v>
      </c>
      <c r="D29" s="449"/>
      <c r="E29" s="449"/>
      <c r="F29" s="449"/>
      <c r="G29" s="478"/>
      <c r="H29" s="449"/>
      <c r="J29" s="444" t="s">
        <v>1388</v>
      </c>
      <c r="K29" s="445">
        <f>(K22+K23-2*K24-4*K25)/8</f>
        <v>19.710431085692363</v>
      </c>
      <c r="L29" s="445">
        <f>(L22+L23-2*L24-4*L25)/8</f>
        <v>0.2032030066519801</v>
      </c>
      <c r="M29" s="449">
        <f>L29/K29</f>
        <v>1.030941463271615E-2</v>
      </c>
      <c r="N29" s="444" t="s">
        <v>1389</v>
      </c>
      <c r="O29" s="445">
        <f>O22*(O27*O28)^0.5</f>
        <v>-3.3603243272729659</v>
      </c>
      <c r="P29" s="445">
        <f>P22*(P27*P28)^0.5</f>
        <v>-4.2303976874740766E-2</v>
      </c>
      <c r="Q29" s="445">
        <f>P29/O29</f>
        <v>1.2589254117941671E-2</v>
      </c>
      <c r="R29" s="444">
        <v>1</v>
      </c>
      <c r="S29" s="471">
        <f>P7*U26+P3*V26</f>
        <v>-3.4037015185398013E-6</v>
      </c>
      <c r="T29" s="446">
        <f>P7*W26/1000000+P3*X26</f>
        <v>-2.0000000000000046E-6</v>
      </c>
      <c r="U29" s="450" t="s">
        <v>1423</v>
      </c>
      <c r="V29" s="446">
        <f>P7*P10/1000000+P3*P13</f>
        <v>-1.9999999999999999E-6</v>
      </c>
      <c r="W29" s="443"/>
      <c r="Y29" s="455">
        <f>Y26+Y65+Y104+Y143+Y182+Y221+Y260+Y299</f>
        <v>7.7715611723760958E-16</v>
      </c>
      <c r="Z29" s="444">
        <v>6</v>
      </c>
      <c r="AA29" s="446">
        <f>(AA23*AB24-AB23*AA24)/AA25</f>
        <v>1.3641350347588565E-15</v>
      </c>
      <c r="AB29" s="446">
        <f>-(AA22*AB24-AB22*AA24)/AA25</f>
        <v>-1.5193341601736405E-15</v>
      </c>
      <c r="AC29" s="446">
        <f>(AA22*AB23-AB22*AA23)/AA25</f>
        <v>21.45902160754067</v>
      </c>
      <c r="AD29" s="446">
        <f>IF(AA20=FALSE,-(V14*AC18+V15*AC19+V13*AC20),AA20-(V14*AC18+V15*AC19+V13*AC20))</f>
        <v>0</v>
      </c>
      <c r="AE29" s="446">
        <f>AA29*AD27+AB29*AD28+AC29*AD29</f>
        <v>6.8206751737942824E-16</v>
      </c>
      <c r="AF29" s="458"/>
      <c r="AG29" s="462" t="s">
        <v>1390</v>
      </c>
      <c r="AH29" s="479">
        <f>AH27+AH28</f>
        <v>-1.6669732113605213E-3</v>
      </c>
      <c r="AI29" s="458"/>
    </row>
    <row r="30" spans="1:35">
      <c r="B30" s="442" t="s">
        <v>1040</v>
      </c>
      <c r="C30" s="449">
        <f>AH233</f>
        <v>1000000000</v>
      </c>
      <c r="D30" s="449"/>
      <c r="E30" s="449"/>
      <c r="F30" s="449"/>
      <c r="G30" s="478"/>
      <c r="H30" s="449"/>
      <c r="J30" s="444" t="s">
        <v>1391</v>
      </c>
      <c r="K30" s="445">
        <f>(K22+K23+6*K24-4*K25)/8</f>
        <v>22.607355530042096</v>
      </c>
      <c r="L30" s="445">
        <f>(L22+L23+6*L24-4*L25)/8</f>
        <v>0.203491406780648</v>
      </c>
      <c r="M30" s="449">
        <f>L30/K30</f>
        <v>9.0011149915449271E-3</v>
      </c>
      <c r="N30" s="444" t="s">
        <v>1392</v>
      </c>
      <c r="O30" s="445">
        <f>1/O21^2*1000000</f>
        <v>216.26297577854672</v>
      </c>
      <c r="P30" s="445">
        <f>1/P21^2*1000000</f>
        <v>216.26297577854672</v>
      </c>
      <c r="Q30" s="445">
        <f>P30/O30</f>
        <v>1</v>
      </c>
      <c r="R30" s="444">
        <v>2</v>
      </c>
      <c r="S30" s="471">
        <f>P7*U27+P3*V27</f>
        <v>7.7249457664354756E-5</v>
      </c>
      <c r="T30" s="446">
        <f>P7*W27/1000000+P3*X27</f>
        <v>7.4999999999999937E-4</v>
      </c>
      <c r="U30" s="450" t="s">
        <v>1427</v>
      </c>
      <c r="V30" s="446">
        <f>P7*P11/1000000+P3*P14</f>
        <v>7.5000000000000023E-4</v>
      </c>
      <c r="W30" s="443"/>
      <c r="Y30" s="455">
        <f>Y27+Y66+Y105+Y144+Y183+Y222+Y261+Y300</f>
        <v>0</v>
      </c>
      <c r="AA30" s="442" t="s">
        <v>699</v>
      </c>
      <c r="AB30" s="442" t="s">
        <v>701</v>
      </c>
      <c r="AC30" s="444" t="s">
        <v>408</v>
      </c>
      <c r="AD30" s="444" t="s">
        <v>409</v>
      </c>
      <c r="AE30" s="443" t="s">
        <v>706</v>
      </c>
      <c r="AF30" s="458"/>
      <c r="AG30" s="462" t="s">
        <v>1395</v>
      </c>
      <c r="AH30" s="479">
        <f>-1+AH29</f>
        <v>-1.0016669732113606</v>
      </c>
      <c r="AI30" s="458"/>
    </row>
    <row r="31" spans="1:35">
      <c r="B31" s="442" t="s">
        <v>1042</v>
      </c>
      <c r="C31" s="449">
        <f>AH272</f>
        <v>1000000000</v>
      </c>
      <c r="D31" s="449"/>
      <c r="E31" s="449"/>
      <c r="F31" s="449"/>
      <c r="G31" s="478"/>
      <c r="H31" s="449"/>
      <c r="J31" s="444" t="s">
        <v>1396</v>
      </c>
      <c r="K31" s="445">
        <f>(K27-K30)/2</f>
        <v>26.880431085692365</v>
      </c>
      <c r="L31" s="445">
        <f>(L27-L30)/2</f>
        <v>0.27490300665198009</v>
      </c>
      <c r="M31" s="449">
        <f>L31/K31</f>
        <v>1.0226882365673911E-2</v>
      </c>
      <c r="N31" s="444" t="s">
        <v>1397</v>
      </c>
      <c r="O31" s="445">
        <f>(1/O17-1/O18)*1000</f>
        <v>0</v>
      </c>
      <c r="P31" s="445">
        <f>(1/P17-1/P18)*1000</f>
        <v>-0.38992879497407573</v>
      </c>
      <c r="Q31" s="445">
        <f>IF(O31=0,1,P31/O31)</f>
        <v>1</v>
      </c>
      <c r="R31" s="444">
        <v>6</v>
      </c>
      <c r="S31" s="471">
        <f>P7*U28+P3*V28</f>
        <v>0</v>
      </c>
      <c r="T31" s="446">
        <f>P7*W28/1000000+P3*X28</f>
        <v>0</v>
      </c>
      <c r="U31" s="450" t="s">
        <v>1429</v>
      </c>
      <c r="V31" s="446">
        <f>0</f>
        <v>0</v>
      </c>
      <c r="W31" s="443"/>
      <c r="Y31" s="446"/>
      <c r="AA31" s="446">
        <f>U5*U26+U44*U65+U83*U104+U122*U143+U161*U182+U200*U221+U239*U260+U278*U299</f>
        <v>2.9711368780229658E-5</v>
      </c>
      <c r="AB31" s="446">
        <f>$U$5*V26+$U$44*V65+$U$83*V104+$U$122*V143+$U$161*V182+$U$200*V221+$U$239*V260+$U$278*V299</f>
        <v>0.7678998340530242</v>
      </c>
      <c r="AC31" s="455">
        <f>(AA31*U18+AA32*U20+AA33*U22)*1000000</f>
        <v>1.363735669153409</v>
      </c>
      <c r="AD31" s="455">
        <f>(AB31*U18+AB32*U20+AB33*U22)</f>
        <v>3.5864831027226207E-2</v>
      </c>
      <c r="AE31" s="455">
        <f>(P7*AC31/1000000+P3*AD31)</f>
        <v>4.2950588220790124E-5</v>
      </c>
      <c r="AF31" s="458"/>
      <c r="AG31" s="462" t="s">
        <v>1399</v>
      </c>
      <c r="AH31" s="479">
        <f>2*(P33*AH7*AH23+P34*AH8*AH24+P35*(AH7*AH24+AH23*AH8)+P36*AH9*AH25)</f>
        <v>1.0539738705164965E-5</v>
      </c>
      <c r="AI31" s="458"/>
    </row>
    <row r="32" spans="1:35">
      <c r="B32" s="442" t="s">
        <v>1044</v>
      </c>
      <c r="C32" s="449">
        <f>AH311</f>
        <v>1000000000</v>
      </c>
      <c r="D32" s="449"/>
      <c r="E32" s="449"/>
      <c r="F32" s="449"/>
      <c r="G32" s="478"/>
      <c r="H32" s="480"/>
      <c r="J32" s="443" t="s">
        <v>1400</v>
      </c>
      <c r="N32" s="444" t="s">
        <v>1401</v>
      </c>
      <c r="O32" s="445">
        <f>(1/O19-1/O20)*1000</f>
        <v>20.934959349593495</v>
      </c>
      <c r="P32" s="445">
        <f>(1/P19-1/P20)*1000</f>
        <v>20.934959349593495</v>
      </c>
      <c r="Q32" s="445">
        <f t="shared" ref="Q32:Q38" si="6">P32/O32</f>
        <v>1</v>
      </c>
      <c r="R32" s="444"/>
      <c r="S32" s="455"/>
      <c r="T32" s="455"/>
      <c r="U32" s="455"/>
      <c r="V32" s="455"/>
      <c r="W32" s="443"/>
      <c r="X32" s="443"/>
      <c r="Y32" s="446"/>
      <c r="AA32" s="446">
        <f>U5*U27+U44*U66+U83*U105+U122*U144+U161*U183+U200*U222+U239*U261+U278*U300</f>
        <v>1.7675632838392989E-5</v>
      </c>
      <c r="AB32" s="446">
        <f>$U$5*V27+$U$44*V66+$U$83*V105+$U$122*V144+$U$161*V183+$U$200*V222+$U$239*V261+$U$278*V300</f>
        <v>0.42306828615470354</v>
      </c>
      <c r="AC32" s="455">
        <f>(AA31*U20+AA32*U19+AA33*U23)*1000000</f>
        <v>-0.1836797069434101</v>
      </c>
      <c r="AD32" s="455">
        <f>(AB31*U20+AB32*U19+AB33*U23)</f>
        <v>-5.4362911105892316E-3</v>
      </c>
      <c r="AE32" s="455">
        <f>(P7*AC32/1000000+P3*AD32)</f>
        <v>-8.8134848586051478E-6</v>
      </c>
      <c r="AG32" s="462" t="s">
        <v>1403</v>
      </c>
      <c r="AH32" s="479">
        <f>AH31+AH15</f>
        <v>-1.9802392781443905E-2</v>
      </c>
      <c r="AI32" s="458"/>
    </row>
    <row r="33" spans="1:35">
      <c r="B33" s="443" t="s">
        <v>419</v>
      </c>
      <c r="C33" s="445">
        <f>MIN(C25:C32)</f>
        <v>0.83316261082671572</v>
      </c>
      <c r="J33" s="444" t="s">
        <v>1404</v>
      </c>
      <c r="K33" s="445">
        <f>(1-(K30/K27)^2)*K27</f>
        <v>69.675740916648124</v>
      </c>
      <c r="L33" s="445">
        <f>(1-(L30/L27)^2)*L27</f>
        <v>0.69832742877770015</v>
      </c>
      <c r="M33" s="445">
        <f>L33/K33</f>
        <v>1.0022533231660889E-2</v>
      </c>
      <c r="N33" s="444" t="s">
        <v>1405</v>
      </c>
      <c r="O33" s="448">
        <f>(O27*K22^2+2*O29*K22*K24+O28*K24^2)</f>
        <v>12004.38353147296</v>
      </c>
      <c r="P33" s="448">
        <f>(P27*L22^2+2*P29*L22*L24+P28*L24^2)</f>
        <v>2.3076412740082484</v>
      </c>
      <c r="Q33" s="445">
        <f t="shared" si="6"/>
        <v>1.9223321780398802E-4</v>
      </c>
      <c r="S33" s="443"/>
      <c r="T33" s="443"/>
      <c r="W33" s="443"/>
      <c r="X33" s="443"/>
      <c r="Y33" s="446"/>
      <c r="AA33" s="446">
        <f>$U$5*U28+$U$44*U67+$U$83*U106+$U$122*U145+$U$161*U184+$U$200*U223+$U$239*U262+$U$278*U301</f>
        <v>-8.4703294725430034E-22</v>
      </c>
      <c r="AB33" s="446">
        <f>$U$5*V28+$U$44*V67+$U$83*V106+$U$122*V145+$U$161*V184+$U$200*V223+$U$239*V262+$U$278*V301</f>
        <v>-2.7755575615628914E-17</v>
      </c>
      <c r="AC33" s="455">
        <f>(AA31*U22+AA32*U23+AA33*U21)*1000000</f>
        <v>-9.002744015469067E-18</v>
      </c>
      <c r="AD33" s="455">
        <f>(AB31*U22+AB32*U23+AB33*U21)</f>
        <v>-3.8174105857845086E-19</v>
      </c>
      <c r="AE33" s="455">
        <f>(P7*AC33/1000000+P3*AD33)</f>
        <v>-1.0084308913453477E-21</v>
      </c>
      <c r="AG33" s="462" t="s">
        <v>1412</v>
      </c>
      <c r="AH33" s="479">
        <f>AH32/2/AH14</f>
        <v>-20.267874043390862</v>
      </c>
      <c r="AI33" s="458"/>
    </row>
    <row r="34" spans="1:35">
      <c r="A34" s="444" t="s">
        <v>813</v>
      </c>
      <c r="B34" s="442" t="s">
        <v>561</v>
      </c>
      <c r="C34" s="442" t="s">
        <v>174</v>
      </c>
      <c r="D34" s="468" t="s">
        <v>563</v>
      </c>
      <c r="E34" s="442" t="s">
        <v>1339</v>
      </c>
      <c r="F34" s="442" t="s">
        <v>564</v>
      </c>
      <c r="G34" s="442" t="s">
        <v>565</v>
      </c>
      <c r="H34" s="442" t="s">
        <v>566</v>
      </c>
      <c r="I34" s="442" t="s">
        <v>814</v>
      </c>
      <c r="J34" s="444" t="s">
        <v>1414</v>
      </c>
      <c r="K34" s="445">
        <f>K30/K27</f>
        <v>0.29603094337527941</v>
      </c>
      <c r="L34" s="445">
        <f>L30/L27</f>
        <v>0.2701342143954143</v>
      </c>
      <c r="M34" s="445">
        <f>L34/K34</f>
        <v>0.91252019574509224</v>
      </c>
      <c r="N34" s="444" t="s">
        <v>1415</v>
      </c>
      <c r="O34" s="448">
        <f>(O27*K24^2+2*O29*K24*K23+O28*K23^2)</f>
        <v>10680.652008265077</v>
      </c>
      <c r="P34" s="448">
        <f>(P27*L24^2+2*P29*L24*L23+P28*L23^2)</f>
        <v>1.0781489138141471</v>
      </c>
      <c r="Q34" s="445">
        <f t="shared" si="6"/>
        <v>1.0094411024531426E-4</v>
      </c>
      <c r="S34" s="443"/>
      <c r="T34" s="443"/>
      <c r="W34" s="443"/>
      <c r="X34" s="443"/>
      <c r="Y34" s="446"/>
      <c r="Z34" s="444"/>
      <c r="AG34" s="462"/>
      <c r="AH34" s="455"/>
      <c r="AI34" s="458"/>
    </row>
    <row r="35" spans="1:35">
      <c r="A35" s="442" t="s">
        <v>815</v>
      </c>
      <c r="B35" s="457">
        <f>O2</f>
        <v>22</v>
      </c>
      <c r="C35" s="461">
        <f>O3</f>
        <v>5.0000000000000001E-3</v>
      </c>
      <c r="D35" s="449">
        <f>K11</f>
        <v>0.7</v>
      </c>
      <c r="E35" s="449">
        <f>K13</f>
        <v>3.4</v>
      </c>
      <c r="F35" s="457">
        <f>K12</f>
        <v>258.57142857142861</v>
      </c>
      <c r="G35" s="457">
        <f>O24</f>
        <v>40</v>
      </c>
      <c r="H35" s="469">
        <f>O23</f>
        <v>2142.8571428571431</v>
      </c>
      <c r="I35" s="445">
        <f>A58</f>
        <v>0.15</v>
      </c>
      <c r="N35" s="444" t="s">
        <v>1416</v>
      </c>
      <c r="O35" s="448">
        <f>(O27*K22*K24+O29*(K22*K23+K24^2)+O28*K24*K23)</f>
        <v>-3069.103206291968</v>
      </c>
      <c r="P35" s="448">
        <f>(P27*L22*L24+P29*(L22*L23+L24^2)+P28*L24*L23)</f>
        <v>-4.5002187664094501E-3</v>
      </c>
      <c r="Q35" s="445">
        <f t="shared" si="6"/>
        <v>1.4662976328666798E-6</v>
      </c>
      <c r="S35" s="443"/>
      <c r="T35" s="443"/>
      <c r="W35" s="443"/>
      <c r="X35" s="443"/>
      <c r="Y35" s="446"/>
      <c r="AE35" s="450"/>
      <c r="AG35" s="462"/>
      <c r="AH35" s="455"/>
      <c r="AI35" s="458"/>
    </row>
    <row r="36" spans="1:35">
      <c r="A36" s="442" t="s">
        <v>0</v>
      </c>
      <c r="B36" s="466">
        <f t="shared" ref="B36:H36" si="7">B35</f>
        <v>22</v>
      </c>
      <c r="C36" s="481">
        <f t="shared" si="7"/>
        <v>5.0000000000000001E-3</v>
      </c>
      <c r="D36" s="482">
        <f t="shared" si="7"/>
        <v>0.7</v>
      </c>
      <c r="E36" s="482">
        <f t="shared" si="7"/>
        <v>3.4</v>
      </c>
      <c r="F36" s="466">
        <f t="shared" si="7"/>
        <v>258.57142857142861</v>
      </c>
      <c r="G36" s="466">
        <f t="shared" si="7"/>
        <v>40</v>
      </c>
      <c r="H36" s="483">
        <f t="shared" si="7"/>
        <v>2142.8571428571431</v>
      </c>
      <c r="I36" s="482">
        <f>I54</f>
        <v>1</v>
      </c>
      <c r="J36" s="444" t="s">
        <v>1193</v>
      </c>
      <c r="K36" s="445">
        <f>D56</f>
        <v>1.6</v>
      </c>
      <c r="L36" s="445">
        <f>L37*(1-L11)+L38*L11</f>
        <v>1.6</v>
      </c>
      <c r="M36" s="445">
        <f>L36/K36</f>
        <v>1</v>
      </c>
      <c r="N36" s="444" t="s">
        <v>1418</v>
      </c>
      <c r="O36" s="448">
        <f>O30*K25^2</f>
        <v>11117.841695501729</v>
      </c>
      <c r="P36" s="448">
        <f>P30*L25^2</f>
        <v>1.1117841695501731</v>
      </c>
      <c r="Q36" s="445">
        <f t="shared" si="6"/>
        <v>1.0000000000000002E-4</v>
      </c>
      <c r="S36" s="443"/>
      <c r="T36" s="443"/>
      <c r="W36" s="443"/>
      <c r="X36" s="443"/>
      <c r="Y36" s="468"/>
      <c r="Z36" s="442"/>
      <c r="AA36" s="442"/>
      <c r="AB36" s="442"/>
      <c r="AC36" s="444"/>
      <c r="AD36" s="444"/>
      <c r="AE36" s="446"/>
      <c r="AG36" s="462"/>
      <c r="AH36" s="455"/>
      <c r="AI36" s="462" t="s">
        <v>1421</v>
      </c>
    </row>
    <row r="37" spans="1:35">
      <c r="A37" s="442" t="s">
        <v>1</v>
      </c>
      <c r="B37" s="457">
        <f>O41</f>
        <v>22</v>
      </c>
      <c r="C37" s="461">
        <f>O42</f>
        <v>5.0000000000000001E-3</v>
      </c>
      <c r="D37" s="449">
        <f>K50</f>
        <v>0.7</v>
      </c>
      <c r="E37" s="449">
        <f>K52</f>
        <v>3.4</v>
      </c>
      <c r="F37" s="457">
        <f>K51</f>
        <v>258.57142857142861</v>
      </c>
      <c r="G37" s="457">
        <f>O63</f>
        <v>40</v>
      </c>
      <c r="H37" s="469">
        <f>O62</f>
        <v>2142.8571428571431</v>
      </c>
      <c r="I37" s="445">
        <f>A63</f>
        <v>0.15</v>
      </c>
      <c r="J37" s="444" t="s">
        <v>274</v>
      </c>
      <c r="K37" s="445">
        <f>F55</f>
        <v>1.2</v>
      </c>
      <c r="L37" s="445">
        <f>K37</f>
        <v>1.2</v>
      </c>
      <c r="M37" s="445">
        <f>L37/K37</f>
        <v>1</v>
      </c>
      <c r="N37" s="444" t="s">
        <v>1422</v>
      </c>
      <c r="O37" s="448">
        <f>(O31*K22+O32*K24)</f>
        <v>60.646995481305353</v>
      </c>
      <c r="P37" s="448">
        <f>(P31*L22+P32*L24)</f>
        <v>-0.6997337888084384</v>
      </c>
      <c r="Q37" s="445">
        <f t="shared" si="6"/>
        <v>-1.1537814581830914E-2</v>
      </c>
      <c r="S37" s="443"/>
      <c r="T37" s="443"/>
      <c r="W37" s="443"/>
      <c r="X37" s="443"/>
      <c r="Y37" s="471"/>
      <c r="Z37" s="471"/>
      <c r="AA37" s="455"/>
      <c r="AB37" s="455"/>
      <c r="AC37" s="455"/>
      <c r="AD37" s="455"/>
      <c r="AG37" s="444" t="s">
        <v>1424</v>
      </c>
      <c r="AH37" s="455">
        <f>(AH33^2-AH30/AH14)^0.5-AH33</f>
        <v>69.878474335864695</v>
      </c>
      <c r="AI37" s="455">
        <f>AH38</f>
        <v>69.878474335864695</v>
      </c>
    </row>
    <row r="38" spans="1:35">
      <c r="A38" s="442" t="s">
        <v>2</v>
      </c>
      <c r="B38" s="466">
        <f t="shared" ref="B38:H38" si="8">B37</f>
        <v>22</v>
      </c>
      <c r="C38" s="481">
        <f t="shared" si="8"/>
        <v>5.0000000000000001E-3</v>
      </c>
      <c r="D38" s="482">
        <f t="shared" si="8"/>
        <v>0.7</v>
      </c>
      <c r="E38" s="482">
        <f t="shared" si="8"/>
        <v>3.4</v>
      </c>
      <c r="F38" s="466">
        <f t="shared" si="8"/>
        <v>258.57142857142861</v>
      </c>
      <c r="G38" s="466">
        <f t="shared" si="8"/>
        <v>40</v>
      </c>
      <c r="H38" s="483">
        <f t="shared" si="8"/>
        <v>2142.8571428571431</v>
      </c>
      <c r="I38" s="482">
        <f>I55</f>
        <v>0.15</v>
      </c>
      <c r="J38" s="444" t="s">
        <v>1195</v>
      </c>
      <c r="K38" s="445">
        <f>(K36-K37*(1-K11))/K11</f>
        <v>1.7714285714285716</v>
      </c>
      <c r="L38" s="445">
        <f>K38</f>
        <v>1.7714285714285716</v>
      </c>
      <c r="M38" s="445">
        <f>L38/K38</f>
        <v>1</v>
      </c>
      <c r="N38" s="444" t="s">
        <v>1426</v>
      </c>
      <c r="O38" s="448">
        <f>(O31*K24+O32*K23)</f>
        <v>216.59641243323335</v>
      </c>
      <c r="P38" s="448">
        <f>(P31*L24+P32*L23)</f>
        <v>2.1561893195138255</v>
      </c>
      <c r="Q38" s="445">
        <f t="shared" si="6"/>
        <v>9.9548708830922063E-3</v>
      </c>
      <c r="S38" s="443"/>
      <c r="T38" s="443"/>
      <c r="W38" s="443"/>
      <c r="X38" s="443"/>
      <c r="Y38" s="471"/>
      <c r="Z38" s="471"/>
      <c r="AA38" s="455"/>
      <c r="AB38" s="455"/>
      <c r="AC38" s="455"/>
      <c r="AD38" s="455"/>
      <c r="AG38" s="444" t="s">
        <v>194</v>
      </c>
      <c r="AH38" s="455">
        <f>IF(AH3=0,1000000000,AH37)</f>
        <v>69.878474335864695</v>
      </c>
    </row>
    <row r="39" spans="1:35">
      <c r="A39" s="442" t="s">
        <v>3</v>
      </c>
      <c r="B39" s="457">
        <f>O80</f>
        <v>22</v>
      </c>
      <c r="C39" s="461">
        <f>O81</f>
        <v>5.0000000000000001E-3</v>
      </c>
      <c r="D39" s="449">
        <f>K89</f>
        <v>0.7</v>
      </c>
      <c r="E39" s="449">
        <f>K91</f>
        <v>3.4</v>
      </c>
      <c r="F39" s="457">
        <f>K90</f>
        <v>258.57142857142861</v>
      </c>
      <c r="G39" s="457">
        <f>O102</f>
        <v>40</v>
      </c>
      <c r="H39" s="469">
        <f>O101</f>
        <v>2142.8571428571431</v>
      </c>
      <c r="I39" s="445">
        <f>A70</f>
        <v>0.15</v>
      </c>
      <c r="L39" s="443" t="s">
        <v>1428</v>
      </c>
      <c r="S39" s="443"/>
      <c r="T39" s="443"/>
      <c r="W39" s="443"/>
      <c r="X39" s="443"/>
      <c r="Y39" s="471"/>
      <c r="Z39" s="471"/>
      <c r="AA39" s="455"/>
      <c r="AB39" s="455"/>
      <c r="AC39" s="455"/>
      <c r="AD39" s="455"/>
      <c r="AG39" s="444" t="s">
        <v>194</v>
      </c>
      <c r="AH39" s="455">
        <f>IF(AH3=0,0,AH37)</f>
        <v>69.878474335864695</v>
      </c>
    </row>
    <row r="40" spans="1:35">
      <c r="A40" s="442" t="s">
        <v>4</v>
      </c>
      <c r="B40" s="466">
        <f t="shared" ref="B40:H40" si="9">B39</f>
        <v>22</v>
      </c>
      <c r="C40" s="481">
        <f t="shared" si="9"/>
        <v>5.0000000000000001E-3</v>
      </c>
      <c r="D40" s="482">
        <f t="shared" si="9"/>
        <v>0.7</v>
      </c>
      <c r="E40" s="482">
        <f t="shared" si="9"/>
        <v>3.4</v>
      </c>
      <c r="F40" s="466">
        <f t="shared" si="9"/>
        <v>258.57142857142861</v>
      </c>
      <c r="G40" s="466">
        <f t="shared" si="9"/>
        <v>40</v>
      </c>
      <c r="H40" s="483">
        <f t="shared" si="9"/>
        <v>2142.8571428571431</v>
      </c>
      <c r="I40" s="482">
        <f>I56</f>
        <v>0.15</v>
      </c>
      <c r="J40" s="442" t="s">
        <v>807</v>
      </c>
      <c r="K40" s="444"/>
      <c r="L40" s="444"/>
      <c r="N40" s="443" t="s">
        <v>1551</v>
      </c>
      <c r="P40" s="445"/>
      <c r="R40" s="443" t="s">
        <v>634</v>
      </c>
      <c r="Z40" s="443" t="s">
        <v>635</v>
      </c>
      <c r="AG40" s="443" t="s">
        <v>636</v>
      </c>
    </row>
    <row r="41" spans="1:35">
      <c r="A41" s="442" t="s">
        <v>5</v>
      </c>
      <c r="B41" s="457">
        <f>O119</f>
        <v>22</v>
      </c>
      <c r="C41" s="461">
        <f>O120</f>
        <v>5.0000000000000001E-3</v>
      </c>
      <c r="D41" s="449">
        <f>K128</f>
        <v>0.7</v>
      </c>
      <c r="E41" s="449">
        <f>K130</f>
        <v>3.4</v>
      </c>
      <c r="F41" s="457">
        <f>K129</f>
        <v>258.57142857142861</v>
      </c>
      <c r="G41" s="457">
        <f>O141</f>
        <v>40</v>
      </c>
      <c r="H41" s="469">
        <f>O140</f>
        <v>2142.8571428571431</v>
      </c>
      <c r="I41" s="445">
        <f>A75</f>
        <v>0.15</v>
      </c>
      <c r="J41" s="444" t="str">
        <f>A59</f>
        <v>T3/N52[SI]</v>
      </c>
      <c r="K41" s="442"/>
      <c r="L41" s="444"/>
      <c r="N41" s="444" t="s">
        <v>596</v>
      </c>
      <c r="O41" s="448">
        <f>G60</f>
        <v>22</v>
      </c>
      <c r="P41" s="448">
        <f>B38</f>
        <v>22</v>
      </c>
      <c r="Q41" s="449">
        <f t="shared" ref="Q41:Q46" si="10">P41/O41</f>
        <v>1</v>
      </c>
      <c r="R41" s="442"/>
      <c r="X41" s="450"/>
      <c r="Z41" s="444" t="s">
        <v>531</v>
      </c>
      <c r="AA41" s="451">
        <f>S43</f>
        <v>90</v>
      </c>
      <c r="AB41" s="451"/>
      <c r="AC41" s="451"/>
      <c r="AD41" s="451"/>
      <c r="AE41" s="444" t="s">
        <v>532</v>
      </c>
      <c r="AF41" s="450" t="s">
        <v>533</v>
      </c>
      <c r="AG41" s="444" t="s">
        <v>531</v>
      </c>
      <c r="AH41" s="451">
        <f>AA41</f>
        <v>90</v>
      </c>
    </row>
    <row r="42" spans="1:35">
      <c r="A42" s="442" t="s">
        <v>6</v>
      </c>
      <c r="B42" s="466">
        <f t="shared" ref="B42:H42" si="11">B41</f>
        <v>22</v>
      </c>
      <c r="C42" s="481">
        <f t="shared" si="11"/>
        <v>5.0000000000000001E-3</v>
      </c>
      <c r="D42" s="482">
        <f t="shared" si="11"/>
        <v>0.7</v>
      </c>
      <c r="E42" s="482">
        <f t="shared" si="11"/>
        <v>3.4</v>
      </c>
      <c r="F42" s="466">
        <f t="shared" si="11"/>
        <v>258.57142857142861</v>
      </c>
      <c r="G42" s="466">
        <f t="shared" si="11"/>
        <v>40</v>
      </c>
      <c r="H42" s="483">
        <f t="shared" si="11"/>
        <v>2142.8571428571431</v>
      </c>
      <c r="I42" s="482">
        <f>I57</f>
        <v>0.15</v>
      </c>
      <c r="J42" s="444"/>
      <c r="K42" s="444"/>
      <c r="L42" s="444"/>
      <c r="N42" s="444" t="s">
        <v>600</v>
      </c>
      <c r="O42" s="455">
        <f>H60</f>
        <v>5.0000000000000001E-3</v>
      </c>
      <c r="P42" s="455">
        <f>C38</f>
        <v>5.0000000000000001E-3</v>
      </c>
      <c r="Q42" s="449">
        <f t="shared" si="10"/>
        <v>1</v>
      </c>
      <c r="R42" s="444" t="s">
        <v>243</v>
      </c>
      <c r="S42" s="450" t="s">
        <v>1562</v>
      </c>
      <c r="T42" s="450" t="s">
        <v>652</v>
      </c>
      <c r="U42" s="450" t="s">
        <v>646</v>
      </c>
      <c r="V42" s="450"/>
      <c r="W42" s="450"/>
      <c r="X42" s="450"/>
      <c r="Z42" s="444" t="s">
        <v>536</v>
      </c>
      <c r="AA42" s="451">
        <f>S44</f>
        <v>2</v>
      </c>
      <c r="AB42" s="451"/>
      <c r="AC42" s="451"/>
      <c r="AD42" s="451"/>
      <c r="AE42" s="444">
        <f>W44</f>
        <v>0</v>
      </c>
      <c r="AF42" s="451">
        <f>X44</f>
        <v>0</v>
      </c>
      <c r="AG42" s="444" t="s">
        <v>536</v>
      </c>
      <c r="AH42" s="451">
        <f>AA42</f>
        <v>2</v>
      </c>
    </row>
    <row r="43" spans="1:35">
      <c r="A43" s="442" t="s">
        <v>7</v>
      </c>
      <c r="B43" s="457">
        <f>O158</f>
        <v>22</v>
      </c>
      <c r="C43" s="461">
        <f>O159</f>
        <v>5.0000000000000001E-3</v>
      </c>
      <c r="D43" s="449">
        <f>K167</f>
        <v>0.7</v>
      </c>
      <c r="E43" s="449">
        <f>K169</f>
        <v>3.4</v>
      </c>
      <c r="F43" s="457">
        <f>K168</f>
        <v>258.57142857142861</v>
      </c>
      <c r="G43" s="457">
        <f>O180</f>
        <v>40</v>
      </c>
      <c r="H43" s="469">
        <f>O179</f>
        <v>2142.8571428571431</v>
      </c>
      <c r="I43" s="445">
        <f>A82</f>
        <v>0.15</v>
      </c>
      <c r="J43" s="444" t="s">
        <v>1553</v>
      </c>
      <c r="K43" s="444" t="s">
        <v>1554</v>
      </c>
      <c r="L43" s="444" t="s">
        <v>1555</v>
      </c>
      <c r="M43" s="456" t="s">
        <v>1556</v>
      </c>
      <c r="N43" s="444" t="s">
        <v>1557</v>
      </c>
      <c r="O43" s="448">
        <f>G59</f>
        <v>122</v>
      </c>
      <c r="P43" s="448">
        <f>O43</f>
        <v>122</v>
      </c>
      <c r="Q43" s="449">
        <f t="shared" si="10"/>
        <v>1</v>
      </c>
      <c r="R43" s="444" t="s">
        <v>537</v>
      </c>
      <c r="S43" s="457">
        <f>C4</f>
        <v>90</v>
      </c>
      <c r="T43" s="458">
        <f>E4*L48/1000000</f>
        <v>5.0000000000000001E-4</v>
      </c>
      <c r="U43" s="455">
        <f>U4</f>
        <v>2E-3</v>
      </c>
      <c r="V43" s="457"/>
      <c r="W43" s="450"/>
      <c r="X43" s="450"/>
      <c r="Z43" s="444" t="s">
        <v>539</v>
      </c>
      <c r="AA43" s="451">
        <f>S45</f>
        <v>3.1415926535897931</v>
      </c>
      <c r="AB43" s="451"/>
      <c r="AC43" s="451"/>
      <c r="AD43" s="451"/>
      <c r="AE43" s="444" t="s">
        <v>540</v>
      </c>
      <c r="AF43" s="446">
        <f>T43</f>
        <v>5.0000000000000001E-4</v>
      </c>
      <c r="AG43" s="444" t="s">
        <v>539</v>
      </c>
      <c r="AH43" s="451">
        <f>AA43</f>
        <v>3.1415926535897931</v>
      </c>
    </row>
    <row r="44" spans="1:35">
      <c r="A44" s="442" t="s">
        <v>8</v>
      </c>
      <c r="B44" s="466">
        <f t="shared" ref="B44:H44" si="12">B43</f>
        <v>22</v>
      </c>
      <c r="C44" s="481">
        <f t="shared" si="12"/>
        <v>5.0000000000000001E-3</v>
      </c>
      <c r="D44" s="482">
        <f t="shared" si="12"/>
        <v>0.7</v>
      </c>
      <c r="E44" s="482">
        <f t="shared" si="12"/>
        <v>3.4</v>
      </c>
      <c r="F44" s="466">
        <f t="shared" si="12"/>
        <v>258.57142857142861</v>
      </c>
      <c r="G44" s="466">
        <f t="shared" si="12"/>
        <v>40</v>
      </c>
      <c r="H44" s="483">
        <f t="shared" si="12"/>
        <v>2142.8571428571431</v>
      </c>
      <c r="I44" s="482">
        <f>I58</f>
        <v>1</v>
      </c>
      <c r="J44" s="444" t="s">
        <v>298</v>
      </c>
      <c r="K44" s="445">
        <f>B59</f>
        <v>181</v>
      </c>
      <c r="L44" s="445">
        <f>L51*L50*I75</f>
        <v>181.00000000000003</v>
      </c>
      <c r="M44" s="449">
        <f>L44/K44</f>
        <v>1.0000000000000002</v>
      </c>
      <c r="N44" s="444" t="s">
        <v>299</v>
      </c>
      <c r="O44" s="448">
        <f>H59</f>
        <v>160</v>
      </c>
      <c r="P44" s="448">
        <f>O44-H62*(P42)</f>
        <v>150</v>
      </c>
      <c r="Q44" s="449">
        <f t="shared" si="10"/>
        <v>0.9375</v>
      </c>
      <c r="R44" s="444" t="s">
        <v>541</v>
      </c>
      <c r="S44" s="457">
        <f>D4</f>
        <v>2</v>
      </c>
      <c r="T44" s="457"/>
      <c r="U44" s="457">
        <f>T43/U43</f>
        <v>0.25</v>
      </c>
      <c r="V44" s="457"/>
      <c r="W44" s="459"/>
      <c r="X44" s="451"/>
      <c r="Z44" s="444"/>
      <c r="AA44" s="446"/>
      <c r="AB44" s="446"/>
      <c r="AC44" s="446"/>
      <c r="AD44" s="446"/>
      <c r="AE44" s="450"/>
      <c r="AI44" s="444" t="s">
        <v>109</v>
      </c>
    </row>
    <row r="45" spans="1:35">
      <c r="A45" s="442" t="s">
        <v>9</v>
      </c>
      <c r="B45" s="457">
        <f>O197</f>
        <v>22</v>
      </c>
      <c r="C45" s="461">
        <f>O198</f>
        <v>5.0000000000000001E-3</v>
      </c>
      <c r="D45" s="449">
        <f>K206</f>
        <v>0.7</v>
      </c>
      <c r="E45" s="449">
        <f>K208</f>
        <v>3.4</v>
      </c>
      <c r="F45" s="457">
        <f>K207</f>
        <v>258.57142857142861</v>
      </c>
      <c r="G45" s="457">
        <f>O219</f>
        <v>40</v>
      </c>
      <c r="H45" s="469">
        <f>O218</f>
        <v>2142.8571428571431</v>
      </c>
      <c r="I45" s="445">
        <f>A87</f>
        <v>0.15</v>
      </c>
      <c r="J45" s="444" t="s">
        <v>1579</v>
      </c>
      <c r="K45" s="445">
        <f>C59</f>
        <v>10.3</v>
      </c>
      <c r="L45" s="445">
        <f>(1+L54)/(1/L55+L54/L52)*I85</f>
        <v>2.5068162405329986</v>
      </c>
      <c r="M45" s="449">
        <f>L45/K45</f>
        <v>0.24338021752747557</v>
      </c>
      <c r="N45" s="444" t="s">
        <v>1580</v>
      </c>
      <c r="O45" s="445">
        <f>(O44-O41)/(O44-O41)</f>
        <v>1</v>
      </c>
      <c r="P45" s="445">
        <f>(P44-P41)/(P44-O41)</f>
        <v>1</v>
      </c>
      <c r="Q45" s="449">
        <f t="shared" si="10"/>
        <v>1</v>
      </c>
      <c r="R45" s="444" t="s">
        <v>1295</v>
      </c>
      <c r="S45" s="461">
        <f>S43*PI()/90</f>
        <v>3.1415926535897931</v>
      </c>
      <c r="T45" s="461"/>
      <c r="U45" s="461"/>
      <c r="V45" s="461"/>
      <c r="W45" s="450"/>
      <c r="X45" s="462"/>
      <c r="Y45" s="444"/>
      <c r="Z45" s="442" t="s">
        <v>1297</v>
      </c>
      <c r="AA45" s="450"/>
      <c r="AB45" s="450"/>
      <c r="AC45" s="446"/>
      <c r="AD45" s="446"/>
      <c r="AE45" s="446"/>
      <c r="AG45" s="442" t="s">
        <v>1298</v>
      </c>
      <c r="AI45" s="444" t="s">
        <v>1299</v>
      </c>
    </row>
    <row r="46" spans="1:35">
      <c r="A46" s="442" t="s">
        <v>10</v>
      </c>
      <c r="B46" s="466">
        <f t="shared" ref="B46:H46" si="13">B45</f>
        <v>22</v>
      </c>
      <c r="C46" s="481">
        <f t="shared" si="13"/>
        <v>5.0000000000000001E-3</v>
      </c>
      <c r="D46" s="482">
        <f t="shared" si="13"/>
        <v>0.7</v>
      </c>
      <c r="E46" s="482">
        <f t="shared" si="13"/>
        <v>3.4</v>
      </c>
      <c r="F46" s="466">
        <f t="shared" si="13"/>
        <v>258.57142857142861</v>
      </c>
      <c r="G46" s="466">
        <f t="shared" si="13"/>
        <v>40</v>
      </c>
      <c r="H46" s="483">
        <f t="shared" si="13"/>
        <v>2142.8571428571431</v>
      </c>
      <c r="I46" s="482">
        <f>I59</f>
        <v>1</v>
      </c>
      <c r="J46" s="444" t="s">
        <v>259</v>
      </c>
      <c r="K46" s="445">
        <f>D59</f>
        <v>0.28000000000000003</v>
      </c>
      <c r="L46" s="445">
        <f>K46*I38*I65</f>
        <v>4.2000000000000003E-2</v>
      </c>
      <c r="M46" s="449">
        <f>L46/K46</f>
        <v>0.15</v>
      </c>
      <c r="N46" s="444" t="s">
        <v>260</v>
      </c>
      <c r="O46" s="448">
        <f>O41-O43</f>
        <v>-100</v>
      </c>
      <c r="P46" s="448">
        <f>P41-P43</f>
        <v>-100</v>
      </c>
      <c r="Q46" s="449">
        <f t="shared" si="10"/>
        <v>1</v>
      </c>
      <c r="R46" s="444" t="s">
        <v>1300</v>
      </c>
      <c r="S46" s="461">
        <f>2*S45</f>
        <v>6.2831853071795862</v>
      </c>
      <c r="T46" s="461"/>
      <c r="U46" s="461"/>
      <c r="V46" s="461"/>
      <c r="W46" s="459"/>
      <c r="X46" s="451"/>
      <c r="Y46" s="446"/>
      <c r="Z46" s="444"/>
      <c r="AA46" s="450" t="s">
        <v>1301</v>
      </c>
      <c r="AB46" s="450"/>
      <c r="AC46" s="463" t="s">
        <v>619</v>
      </c>
      <c r="AD46" s="463"/>
      <c r="AE46" s="450" t="s">
        <v>1303</v>
      </c>
      <c r="AF46" s="450" t="s">
        <v>1304</v>
      </c>
      <c r="AG46" s="444" t="s">
        <v>1305</v>
      </c>
      <c r="AH46" s="455">
        <f>AA52/1000</f>
        <v>-4.5806509889074901E-3</v>
      </c>
      <c r="AI46" s="464">
        <f>($AE$31+$AE$32)/2</f>
        <v>1.7068551681092488E-5</v>
      </c>
    </row>
    <row r="47" spans="1:35">
      <c r="A47" s="442" t="s">
        <v>11</v>
      </c>
      <c r="B47" s="457">
        <f>O236</f>
        <v>22</v>
      </c>
      <c r="C47" s="461">
        <f>O237</f>
        <v>5.0000000000000001E-3</v>
      </c>
      <c r="D47" s="449">
        <f>K245</f>
        <v>0.7</v>
      </c>
      <c r="E47" s="449">
        <f>K247</f>
        <v>3.4</v>
      </c>
      <c r="F47" s="457">
        <f>K246</f>
        <v>258.57142857142861</v>
      </c>
      <c r="G47" s="457">
        <f>O258</f>
        <v>40</v>
      </c>
      <c r="H47" s="469">
        <f>O257</f>
        <v>2142.8571428571431</v>
      </c>
      <c r="I47" s="445">
        <f>A94</f>
        <v>0.15</v>
      </c>
      <c r="J47" s="444" t="s">
        <v>261</v>
      </c>
      <c r="K47" s="445">
        <f>E59</f>
        <v>7.17</v>
      </c>
      <c r="L47" s="445">
        <f>(1+L57)/(1/L58+L57*2.7/L52)</f>
        <v>1.478833129796586</v>
      </c>
      <c r="M47" s="449">
        <f>L47/K47</f>
        <v>0.20625287723801758</v>
      </c>
      <c r="N47" s="444"/>
      <c r="O47" s="445"/>
      <c r="P47" s="445"/>
      <c r="Q47" s="445"/>
      <c r="S47" s="465"/>
      <c r="T47" s="465"/>
      <c r="U47" s="465"/>
      <c r="V47" s="484"/>
      <c r="W47" s="450"/>
      <c r="X47" s="450"/>
      <c r="Y47" s="446"/>
      <c r="Z47" s="444">
        <v>1</v>
      </c>
      <c r="AA47" s="445">
        <f>AA8</f>
        <v>0.5</v>
      </c>
      <c r="AB47" s="458"/>
      <c r="AC47" s="445">
        <f>AC8</f>
        <v>14.199945665574337</v>
      </c>
      <c r="AD47" s="458"/>
      <c r="AE47" s="462" t="s">
        <v>1306</v>
      </c>
      <c r="AF47" s="458">
        <f>IF(T43=0,0,(AC47+AC48)/2)</f>
        <v>4.8096473383334226</v>
      </c>
      <c r="AG47" s="444" t="s">
        <v>1307</v>
      </c>
      <c r="AH47" s="455">
        <f>AA53/1000</f>
        <v>1.4199945665574337E-2</v>
      </c>
      <c r="AI47" s="464">
        <f>($AE$31-$AE$32)/2</f>
        <v>2.5882036539697636E-5</v>
      </c>
    </row>
    <row r="48" spans="1:35">
      <c r="A48" s="442" t="s">
        <v>12</v>
      </c>
      <c r="B48" s="466">
        <f t="shared" ref="B48:H48" si="14">B47</f>
        <v>22</v>
      </c>
      <c r="C48" s="481">
        <f t="shared" si="14"/>
        <v>5.0000000000000001E-3</v>
      </c>
      <c r="D48" s="482">
        <f t="shared" si="14"/>
        <v>0.7</v>
      </c>
      <c r="E48" s="482">
        <f t="shared" si="14"/>
        <v>3.4</v>
      </c>
      <c r="F48" s="466">
        <f t="shared" si="14"/>
        <v>258.57142857142861</v>
      </c>
      <c r="G48" s="466">
        <f t="shared" si="14"/>
        <v>40</v>
      </c>
      <c r="H48" s="483">
        <f t="shared" si="14"/>
        <v>2142.8571428571431</v>
      </c>
      <c r="I48" s="482">
        <f>I60</f>
        <v>1</v>
      </c>
      <c r="J48" s="444" t="s">
        <v>262</v>
      </c>
      <c r="K48" s="448">
        <f>B61</f>
        <v>125</v>
      </c>
      <c r="L48" s="448">
        <f>K48/M50</f>
        <v>125</v>
      </c>
      <c r="M48" s="449">
        <f>L48/K48</f>
        <v>1</v>
      </c>
      <c r="N48" s="442" t="s">
        <v>1531</v>
      </c>
      <c r="O48" s="445"/>
      <c r="P48" s="445"/>
      <c r="Q48" s="445"/>
      <c r="R48" s="444" t="s">
        <v>1325</v>
      </c>
      <c r="S48" s="450" t="s">
        <v>1326</v>
      </c>
      <c r="T48" s="450"/>
      <c r="U48" s="450" t="s">
        <v>1330</v>
      </c>
      <c r="V48" s="444" t="s">
        <v>172</v>
      </c>
      <c r="W48" s="444" t="s">
        <v>187</v>
      </c>
      <c r="X48" s="450"/>
      <c r="Y48" s="455"/>
      <c r="Z48" s="444">
        <v>2</v>
      </c>
      <c r="AA48" s="445">
        <f>AA9</f>
        <v>0</v>
      </c>
      <c r="AB48" s="458"/>
      <c r="AC48" s="445">
        <f>AC9</f>
        <v>-4.5806509889074913</v>
      </c>
      <c r="AD48" s="458"/>
      <c r="AE48" s="462" t="s">
        <v>1309</v>
      </c>
      <c r="AF48" s="458">
        <f>IF(T43=0,0,(AC47-AC48)/2)</f>
        <v>9.3902983272409131</v>
      </c>
      <c r="AG48" s="444" t="s">
        <v>1310</v>
      </c>
      <c r="AH48" s="455">
        <f>AA54/1000</f>
        <v>-2.9829694147294691E-18</v>
      </c>
      <c r="AI48" s="464">
        <f>$AE$33/2</f>
        <v>-5.0421544567267384E-22</v>
      </c>
    </row>
    <row r="49" spans="1:35">
      <c r="A49" s="442" t="s">
        <v>13</v>
      </c>
      <c r="B49" s="457">
        <f>O275</f>
        <v>22</v>
      </c>
      <c r="C49" s="461">
        <f>O276</f>
        <v>5.0000000000000001E-3</v>
      </c>
      <c r="D49" s="449">
        <f>K284</f>
        <v>0.7</v>
      </c>
      <c r="E49" s="449">
        <f>K286</f>
        <v>3.4</v>
      </c>
      <c r="F49" s="457">
        <f>K285</f>
        <v>258.57142857142861</v>
      </c>
      <c r="G49" s="457">
        <f>O297</f>
        <v>40</v>
      </c>
      <c r="H49" s="469">
        <f>O296</f>
        <v>2142.8571428571431</v>
      </c>
      <c r="I49" s="445">
        <f>A99</f>
        <v>0.15</v>
      </c>
      <c r="J49" s="442" t="s">
        <v>264</v>
      </c>
      <c r="K49" s="445"/>
      <c r="L49" s="445"/>
      <c r="N49" s="444" t="s">
        <v>265</v>
      </c>
      <c r="O49" s="445">
        <f>A62</f>
        <v>0.02</v>
      </c>
      <c r="P49" s="445">
        <f>O49</f>
        <v>0.02</v>
      </c>
      <c r="Q49" s="445">
        <f>P49/O49</f>
        <v>1</v>
      </c>
      <c r="R49" s="444">
        <v>11</v>
      </c>
      <c r="S49" s="445">
        <f>L66+L67*COS(S45)+L68*COS(S46)</f>
        <v>2.5068774862348171</v>
      </c>
      <c r="T49" s="445"/>
      <c r="U49" s="458">
        <f>S49*T43</f>
        <v>1.2534387431174085E-3</v>
      </c>
      <c r="V49" s="458">
        <f t="shared" ref="V49:W54" si="15">V10</f>
        <v>4.9567741608415233E-2</v>
      </c>
      <c r="W49" s="445">
        <f t="shared" si="15"/>
        <v>24.783870804207616</v>
      </c>
      <c r="X49" s="455"/>
      <c r="Y49" s="446"/>
      <c r="Z49" s="444">
        <v>6</v>
      </c>
      <c r="AA49" s="445">
        <f>AA10</f>
        <v>0</v>
      </c>
      <c r="AB49" s="458"/>
      <c r="AC49" s="445">
        <f>AC10</f>
        <v>6.8206751737942824E-16</v>
      </c>
      <c r="AD49" s="458"/>
      <c r="AE49" s="462" t="s">
        <v>1312</v>
      </c>
      <c r="AF49" s="458">
        <f>IF(T43=0,0,AC49/2)</f>
        <v>3.4103375868971412E-16</v>
      </c>
      <c r="AG49" s="444"/>
      <c r="AH49" s="458"/>
      <c r="AI49" s="458"/>
    </row>
    <row r="50" spans="1:35">
      <c r="A50" s="442" t="s">
        <v>14</v>
      </c>
      <c r="B50" s="466">
        <f t="shared" ref="B50:H50" si="16">B49</f>
        <v>22</v>
      </c>
      <c r="C50" s="481">
        <f t="shared" si="16"/>
        <v>5.0000000000000001E-3</v>
      </c>
      <c r="D50" s="482">
        <f t="shared" si="16"/>
        <v>0.7</v>
      </c>
      <c r="E50" s="482">
        <f t="shared" si="16"/>
        <v>3.4</v>
      </c>
      <c r="F50" s="466">
        <f t="shared" si="16"/>
        <v>258.57142857142861</v>
      </c>
      <c r="G50" s="466">
        <f t="shared" si="16"/>
        <v>40</v>
      </c>
      <c r="H50" s="483">
        <f t="shared" si="16"/>
        <v>2142.8571428571431</v>
      </c>
      <c r="I50" s="482">
        <f>I61</f>
        <v>1</v>
      </c>
      <c r="J50" s="444" t="s">
        <v>1532</v>
      </c>
      <c r="K50" s="445">
        <f>C61</f>
        <v>0.7</v>
      </c>
      <c r="L50" s="445">
        <f>D38</f>
        <v>0.7</v>
      </c>
      <c r="M50" s="449">
        <f t="shared" ref="M50:M58" si="17">L50/K50</f>
        <v>1</v>
      </c>
      <c r="N50" s="444" t="s">
        <v>1533</v>
      </c>
      <c r="O50" s="445">
        <f>B62</f>
        <v>22.5</v>
      </c>
      <c r="P50" s="445">
        <f>O50*(1-L50)/(1-K50)</f>
        <v>22.5</v>
      </c>
      <c r="Q50" s="445">
        <f>P50/O50</f>
        <v>1</v>
      </c>
      <c r="R50" s="444">
        <v>22</v>
      </c>
      <c r="S50" s="445">
        <f>S49-2*L67*COS(S45)</f>
        <v>181.00442213188575</v>
      </c>
      <c r="T50" s="445"/>
      <c r="U50" s="458">
        <f>S50*T43</f>
        <v>9.0502211065942875E-2</v>
      </c>
      <c r="V50" s="458">
        <f t="shared" si="15"/>
        <v>0.13796301355045693</v>
      </c>
      <c r="W50" s="445">
        <f t="shared" si="15"/>
        <v>68.981506775228468</v>
      </c>
      <c r="X50" s="450"/>
      <c r="AA50" s="458"/>
      <c r="AB50" s="458"/>
      <c r="AC50" s="458"/>
      <c r="AD50" s="458"/>
      <c r="AE50" s="462"/>
      <c r="AF50" s="458"/>
      <c r="AG50" s="444"/>
      <c r="AH50" s="458"/>
      <c r="AI50" s="458"/>
    </row>
    <row r="51" spans="1:35">
      <c r="J51" s="444" t="s">
        <v>1534</v>
      </c>
      <c r="K51" s="448">
        <f>K44/K50</f>
        <v>258.57142857142861</v>
      </c>
      <c r="L51" s="448">
        <f>F38*P45^F62*I65</f>
        <v>258.57142857142861</v>
      </c>
      <c r="M51" s="449">
        <f t="shared" si="17"/>
        <v>1</v>
      </c>
      <c r="N51" s="443" t="s">
        <v>1535</v>
      </c>
      <c r="O51" s="445"/>
      <c r="P51" s="445"/>
      <c r="Q51" s="445"/>
      <c r="R51" s="444" t="s">
        <v>1345</v>
      </c>
      <c r="S51" s="445">
        <f>L69-L68*COS(S46)</f>
        <v>0.10528885442186109</v>
      </c>
      <c r="T51" s="445"/>
      <c r="U51" s="458">
        <f>S51*T43</f>
        <v>5.2644427210930544E-5</v>
      </c>
      <c r="V51" s="458">
        <f t="shared" si="15"/>
        <v>4.4504424829219763E-2</v>
      </c>
      <c r="W51" s="445">
        <f t="shared" si="15"/>
        <v>22.252212414609883</v>
      </c>
      <c r="X51" s="458"/>
      <c r="Z51" s="442" t="s">
        <v>1323</v>
      </c>
      <c r="AA51" s="458"/>
      <c r="AB51" s="458"/>
      <c r="AC51" s="458"/>
      <c r="AD51" s="458"/>
      <c r="AE51" s="462"/>
      <c r="AF51" s="458"/>
      <c r="AG51" s="444"/>
      <c r="AH51" s="458"/>
      <c r="AI51" s="458"/>
    </row>
    <row r="52" spans="1:35">
      <c r="J52" s="444" t="s">
        <v>1536</v>
      </c>
      <c r="K52" s="445">
        <f>F59</f>
        <v>3.4</v>
      </c>
      <c r="L52" s="445">
        <f>E38*P45^F61*I38*I65</f>
        <v>0.51</v>
      </c>
      <c r="M52" s="449">
        <f t="shared" si="17"/>
        <v>0.15</v>
      </c>
      <c r="N52" s="444" t="s">
        <v>1537</v>
      </c>
      <c r="O52" s="445">
        <f>C62</f>
        <v>0</v>
      </c>
      <c r="P52" s="445">
        <f>O52</f>
        <v>0</v>
      </c>
      <c r="Q52" s="445">
        <v>1</v>
      </c>
      <c r="R52" s="444">
        <v>66</v>
      </c>
      <c r="S52" s="445">
        <f>S51-L69+L70</f>
        <v>1.4788331297965769</v>
      </c>
      <c r="T52" s="445"/>
      <c r="U52" s="458">
        <f>S52*T43</f>
        <v>7.3941656489828842E-4</v>
      </c>
      <c r="V52" s="458">
        <f t="shared" si="15"/>
        <v>4.6600447042217497E-2</v>
      </c>
      <c r="W52" s="445">
        <f t="shared" si="15"/>
        <v>23.300223521108748</v>
      </c>
      <c r="X52" s="445"/>
      <c r="Z52" s="444" t="s">
        <v>1324</v>
      </c>
      <c r="AA52" s="455">
        <f>(AF47+AF48*COS(AA43)+AF49*SIN(AA43))</f>
        <v>-4.5806509889074905</v>
      </c>
      <c r="AB52" s="455">
        <f>IF(ABS(AA52/AA55)&lt;0.0000000001,0,AA52)</f>
        <v>-4.5806509889074905</v>
      </c>
      <c r="AC52" s="455"/>
      <c r="AD52" s="455"/>
      <c r="AE52" s="462"/>
      <c r="AF52" s="458"/>
      <c r="AG52" s="442"/>
      <c r="AH52" s="462"/>
      <c r="AI52" s="458"/>
    </row>
    <row r="53" spans="1:35">
      <c r="A53" s="485" t="s">
        <v>420</v>
      </c>
      <c r="I53" s="486" t="s">
        <v>392</v>
      </c>
      <c r="J53" s="444" t="s">
        <v>1538</v>
      </c>
      <c r="K53" s="445">
        <f>E61</f>
        <v>0.51600000000000001</v>
      </c>
      <c r="L53" s="445">
        <f>K53*P45^G61</f>
        <v>0.51600000000000001</v>
      </c>
      <c r="M53" s="449">
        <f t="shared" si="17"/>
        <v>1</v>
      </c>
      <c r="N53" s="444" t="s">
        <v>1539</v>
      </c>
      <c r="O53" s="445">
        <f>D62</f>
        <v>0.6</v>
      </c>
      <c r="P53" s="445">
        <f>O53*(1-L50)/(1-K50)</f>
        <v>0.6</v>
      </c>
      <c r="Q53" s="445">
        <f>P53/O53</f>
        <v>1</v>
      </c>
      <c r="R53" s="444" t="s">
        <v>1347</v>
      </c>
      <c r="S53" s="445">
        <f>L67*SIN(S45)/2+L68*SIN(S46)</f>
        <v>3.4063882324207964E-17</v>
      </c>
      <c r="T53" s="445"/>
      <c r="U53" s="458">
        <f>S53*T43</f>
        <v>1.7031941162103983E-20</v>
      </c>
      <c r="V53" s="458">
        <f t="shared" si="15"/>
        <v>0</v>
      </c>
      <c r="W53" s="445">
        <f t="shared" si="15"/>
        <v>0</v>
      </c>
      <c r="X53" s="450"/>
      <c r="Z53" s="444" t="s">
        <v>1332</v>
      </c>
      <c r="AA53" s="455">
        <f>2*AF47-AA52</f>
        <v>14.199945665574337</v>
      </c>
      <c r="AB53" s="455">
        <f>IF(ABS(AA53/AA55)&lt;0.0000000001,0,AA53)</f>
        <v>14.199945665574337</v>
      </c>
      <c r="AC53" s="455"/>
      <c r="AD53" s="455"/>
      <c r="AE53" s="458"/>
      <c r="AF53" s="458"/>
      <c r="AG53" s="444" t="s">
        <v>1333</v>
      </c>
      <c r="AH53" s="458">
        <f>P72*AH46^2+2*P74*AH46*AH47+P73*AH47^2+P75*AH48^2</f>
        <v>0.51350278325983945</v>
      </c>
      <c r="AI53" s="458"/>
    </row>
    <row r="54" spans="1:35">
      <c r="A54" s="447" t="s">
        <v>1582</v>
      </c>
      <c r="B54" s="487">
        <v>181</v>
      </c>
      <c r="C54" s="487">
        <v>10.3</v>
      </c>
      <c r="D54" s="487">
        <v>0.28000000000000003</v>
      </c>
      <c r="E54" s="487">
        <v>7.17</v>
      </c>
      <c r="F54" s="487">
        <v>3.4</v>
      </c>
      <c r="G54" s="487">
        <v>122</v>
      </c>
      <c r="H54" s="487">
        <v>160</v>
      </c>
      <c r="I54" s="488">
        <v>1</v>
      </c>
      <c r="J54" s="444" t="s">
        <v>1547</v>
      </c>
      <c r="K54" s="445">
        <f>K53*(1-K50)/K50</f>
        <v>0.2211428571428572</v>
      </c>
      <c r="L54" s="445">
        <f>L53*(1-L50)/L50</f>
        <v>0.2211428571428572</v>
      </c>
      <c r="M54" s="449">
        <f t="shared" si="17"/>
        <v>1</v>
      </c>
      <c r="O54" s="445"/>
      <c r="P54" s="445"/>
      <c r="Q54" s="445"/>
      <c r="R54" s="444" t="s">
        <v>1349</v>
      </c>
      <c r="S54" s="445">
        <f>L67*SIN(S45)-S53</f>
        <v>1.0900235669055874E-14</v>
      </c>
      <c r="T54" s="445"/>
      <c r="U54" s="458">
        <f>S54*T43</f>
        <v>5.4501178345279368E-18</v>
      </c>
      <c r="V54" s="458">
        <f t="shared" si="15"/>
        <v>6.9388939039072284E-18</v>
      </c>
      <c r="W54" s="445">
        <f t="shared" si="15"/>
        <v>3.4694469519536142E-15</v>
      </c>
      <c r="X54" s="458"/>
      <c r="Z54" s="444" t="s">
        <v>1334</v>
      </c>
      <c r="AA54" s="455">
        <f>(2*(AF49*COS(AA43)-AF48*SIN(AA43)))</f>
        <v>-2.982969414729469E-15</v>
      </c>
      <c r="AB54" s="455">
        <f>IF(ABS(AA54/AA55)&lt;0.0000000001,0,AA54)</f>
        <v>0</v>
      </c>
      <c r="AC54" s="455"/>
      <c r="AD54" s="455"/>
      <c r="AE54" s="458"/>
      <c r="AF54" s="458"/>
      <c r="AG54" s="444" t="s">
        <v>1335</v>
      </c>
      <c r="AH54" s="458">
        <f>P76*AH46+P77*AH47</f>
        <v>0.82948960466344324</v>
      </c>
      <c r="AI54" s="458"/>
    </row>
    <row r="55" spans="1:35">
      <c r="A55" s="487">
        <v>1500</v>
      </c>
      <c r="B55" s="487">
        <v>1500</v>
      </c>
      <c r="C55" s="487">
        <v>40</v>
      </c>
      <c r="D55" s="487">
        <v>246</v>
      </c>
      <c r="E55" s="487">
        <v>68</v>
      </c>
      <c r="F55" s="487">
        <v>1.2</v>
      </c>
      <c r="G55" s="487">
        <v>22</v>
      </c>
      <c r="H55" s="487">
        <v>5.0000000000000001E-3</v>
      </c>
      <c r="I55" s="489">
        <v>0.15</v>
      </c>
      <c r="J55" s="444" t="s">
        <v>1643</v>
      </c>
      <c r="K55" s="445">
        <f>1/((1+K54)/K45-K54/K52)</f>
        <v>18.686160319541436</v>
      </c>
      <c r="L55" s="445">
        <f>K55*P45^F62*I65</f>
        <v>18.686160319541436</v>
      </c>
      <c r="M55" s="449">
        <f t="shared" si="17"/>
        <v>1</v>
      </c>
      <c r="N55" s="443" t="s">
        <v>176</v>
      </c>
      <c r="O55" s="445"/>
      <c r="P55" s="445"/>
      <c r="Q55" s="445"/>
      <c r="S55" s="443"/>
      <c r="T55" s="450" t="s">
        <v>1353</v>
      </c>
      <c r="U55" s="446">
        <f>U49*U50*U52+2*U51*U53*U54-U50*U53^2-U52*U51^2-U49*U54^2</f>
        <v>8.3876609962040369E-8</v>
      </c>
      <c r="V55" s="446">
        <f>V49*V50*V52+2*V51*V53*V54-V50*V53^2-V52*V51^2-V49*V54^2</f>
        <v>2.2637896855934086E-4</v>
      </c>
      <c r="W55" s="443"/>
      <c r="X55" s="458"/>
      <c r="Z55" s="444" t="s">
        <v>1363</v>
      </c>
      <c r="AA55" s="458">
        <f>SQRT(AA52^2+AA53^2+AA54^2)</f>
        <v>14.920483249125766</v>
      </c>
      <c r="AB55" s="458"/>
      <c r="AC55" s="458"/>
      <c r="AD55" s="458"/>
      <c r="AE55" s="458"/>
      <c r="AF55" s="458"/>
      <c r="AG55" s="444" t="s">
        <v>1344</v>
      </c>
      <c r="AH55" s="458">
        <f>AH54/2/AH53</f>
        <v>0.80767780789584365</v>
      </c>
      <c r="AI55" s="458"/>
    </row>
    <row r="56" spans="1:35">
      <c r="A56" s="487">
        <v>-0.5</v>
      </c>
      <c r="B56" s="487">
        <v>125</v>
      </c>
      <c r="C56" s="487">
        <v>0.7</v>
      </c>
      <c r="D56" s="487">
        <v>1.6</v>
      </c>
      <c r="E56" s="487">
        <v>0.51600000000000001</v>
      </c>
      <c r="F56" s="487">
        <v>0.5</v>
      </c>
      <c r="G56" s="487">
        <v>0.2</v>
      </c>
      <c r="H56" s="487">
        <v>0.9</v>
      </c>
      <c r="I56" s="489">
        <v>0.15</v>
      </c>
      <c r="J56" s="444" t="s">
        <v>295</v>
      </c>
      <c r="K56" s="445">
        <f>E62</f>
        <v>0.316</v>
      </c>
      <c r="L56" s="445">
        <f>K56*P45^G61</f>
        <v>0.316</v>
      </c>
      <c r="M56" s="449">
        <f t="shared" si="17"/>
        <v>1</v>
      </c>
      <c r="N56" s="444" t="s">
        <v>296</v>
      </c>
      <c r="O56" s="448">
        <f>A60</f>
        <v>1500</v>
      </c>
      <c r="P56" s="448">
        <f>P62*L50</f>
        <v>1500</v>
      </c>
      <c r="Q56" s="445">
        <f t="shared" ref="Q56:Q63" si="18">P56/O56</f>
        <v>1</v>
      </c>
      <c r="R56" s="444" t="s">
        <v>1355</v>
      </c>
      <c r="S56" s="450" t="s">
        <v>382</v>
      </c>
      <c r="T56" s="450" t="s">
        <v>182</v>
      </c>
      <c r="U56" s="450" t="s">
        <v>669</v>
      </c>
      <c r="V56" s="450" t="s">
        <v>670</v>
      </c>
      <c r="W56" s="443"/>
      <c r="X56" s="458"/>
      <c r="Z56" s="444"/>
      <c r="AA56" s="458"/>
      <c r="AB56" s="458"/>
      <c r="AC56" s="458"/>
      <c r="AD56" s="458"/>
      <c r="AE56" s="458"/>
      <c r="AF56" s="458"/>
      <c r="AG56" s="444"/>
      <c r="AH56" s="458"/>
      <c r="AI56" s="458"/>
    </row>
    <row r="57" spans="1:35">
      <c r="A57" s="487">
        <v>0.02</v>
      </c>
      <c r="B57" s="487">
        <v>22.5</v>
      </c>
      <c r="C57" s="490">
        <v>0</v>
      </c>
      <c r="D57" s="487">
        <v>0.6</v>
      </c>
      <c r="E57" s="487">
        <v>0.316</v>
      </c>
      <c r="F57" s="487">
        <v>4.0000000000000001E-3</v>
      </c>
      <c r="G57" s="487">
        <v>4.0000000000000001E-3</v>
      </c>
      <c r="H57" s="487">
        <v>2000</v>
      </c>
      <c r="I57" s="489">
        <v>0.15</v>
      </c>
      <c r="J57" s="444" t="s">
        <v>301</v>
      </c>
      <c r="K57" s="445">
        <f>K56*(1-K50)/K50</f>
        <v>0.13542857142857145</v>
      </c>
      <c r="L57" s="445">
        <f>L56*(1-L50)/L50</f>
        <v>0.13542857142857145</v>
      </c>
      <c r="M57" s="449">
        <f t="shared" si="17"/>
        <v>1</v>
      </c>
      <c r="N57" s="444" t="s">
        <v>302</v>
      </c>
      <c r="O57" s="448">
        <f>B60</f>
        <v>1500</v>
      </c>
      <c r="P57" s="448">
        <f>O57*Q56*M47^E63</f>
        <v>1280.9472941235774</v>
      </c>
      <c r="Q57" s="445">
        <f t="shared" si="18"/>
        <v>0.85396486274905159</v>
      </c>
      <c r="R57" s="444">
        <v>11</v>
      </c>
      <c r="S57" s="446">
        <f>IF(U55=0,1E+99,(U50*U52-U54^2)/U55)</f>
        <v>797.82473388426729</v>
      </c>
      <c r="T57" s="445">
        <f t="shared" ref="T57:V62" si="19">T18</f>
        <v>28.399891331148673</v>
      </c>
      <c r="U57" s="445">
        <f t="shared" si="19"/>
        <v>5.6799782662297349E-2</v>
      </c>
      <c r="V57" s="445">
        <f t="shared" si="19"/>
        <v>17.605701168708549</v>
      </c>
      <c r="W57" s="443"/>
      <c r="X57" s="458"/>
      <c r="Z57" s="444"/>
      <c r="AA57" s="458"/>
      <c r="AB57" s="458"/>
      <c r="AC57" s="458"/>
      <c r="AD57" s="458"/>
      <c r="AE57" s="458"/>
      <c r="AF57" s="458"/>
      <c r="AG57" s="444"/>
      <c r="AH57" s="458"/>
      <c r="AI57" s="458"/>
    </row>
    <row r="58" spans="1:35">
      <c r="A58" s="487">
        <v>0.15</v>
      </c>
      <c r="B58" s="487">
        <v>0.01</v>
      </c>
      <c r="C58" s="487">
        <v>1</v>
      </c>
      <c r="D58" s="487">
        <v>1</v>
      </c>
      <c r="E58" s="487">
        <v>0.1</v>
      </c>
      <c r="F58" s="487">
        <v>0.5</v>
      </c>
      <c r="G58" s="487"/>
      <c r="H58" s="487"/>
      <c r="I58" s="489">
        <v>1</v>
      </c>
      <c r="J58" s="444" t="s">
        <v>304</v>
      </c>
      <c r="K58" s="445">
        <f>1/((1+K57)/K47-K57*2.7/K52)</f>
        <v>19.680382632972858</v>
      </c>
      <c r="L58" s="445">
        <f>K58*P45^F62*I65</f>
        <v>19.680382632972858</v>
      </c>
      <c r="M58" s="449">
        <f t="shared" si="17"/>
        <v>1</v>
      </c>
      <c r="N58" s="444" t="s">
        <v>305</v>
      </c>
      <c r="O58" s="448">
        <f>C60</f>
        <v>40</v>
      </c>
      <c r="P58" s="448">
        <f>O58*Q63</f>
        <v>40</v>
      </c>
      <c r="Q58" s="445">
        <f t="shared" si="18"/>
        <v>1</v>
      </c>
      <c r="R58" s="444">
        <v>22</v>
      </c>
      <c r="S58" s="446">
        <f>IF(U55=0,1E+99,(U49*U52-U53^2)/U55)</f>
        <v>11.049723756906078</v>
      </c>
      <c r="T58" s="445">
        <f t="shared" si="19"/>
        <v>10.203593260121179</v>
      </c>
      <c r="U58" s="445">
        <f t="shared" si="19"/>
        <v>2.040718652024236E-2</v>
      </c>
      <c r="V58" s="445">
        <f t="shared" si="19"/>
        <v>49.002345277144251</v>
      </c>
      <c r="W58" s="443"/>
      <c r="X58" s="458"/>
      <c r="AA58" s="458"/>
      <c r="AB58" s="458"/>
      <c r="AC58" s="458"/>
      <c r="AD58" s="458"/>
      <c r="AE58" s="458"/>
      <c r="AF58" s="458"/>
      <c r="AG58" s="444"/>
      <c r="AH58" s="458"/>
      <c r="AI58" s="462" t="s">
        <v>1348</v>
      </c>
    </row>
    <row r="59" spans="1:35">
      <c r="A59" s="447" t="s">
        <v>1582</v>
      </c>
      <c r="B59" s="487">
        <v>181</v>
      </c>
      <c r="C59" s="487">
        <v>10.3</v>
      </c>
      <c r="D59" s="487">
        <v>0.28000000000000003</v>
      </c>
      <c r="E59" s="487">
        <v>7.17</v>
      </c>
      <c r="F59" s="487">
        <v>3.4</v>
      </c>
      <c r="G59" s="487">
        <v>122</v>
      </c>
      <c r="H59" s="487">
        <v>160</v>
      </c>
      <c r="I59" s="489">
        <v>1</v>
      </c>
      <c r="L59" s="445"/>
      <c r="N59" s="444" t="s">
        <v>1542</v>
      </c>
      <c r="O59" s="448">
        <f>D60</f>
        <v>246</v>
      </c>
      <c r="P59" s="448">
        <f>O59*Q63</f>
        <v>246</v>
      </c>
      <c r="Q59" s="445">
        <f t="shared" si="18"/>
        <v>1</v>
      </c>
      <c r="R59" s="444" t="s">
        <v>1345</v>
      </c>
      <c r="S59" s="446">
        <f>IF(U55=0,1E+99,(U53*U54-U51*U52)/U55)</f>
        <v>-0.46408839779004979</v>
      </c>
      <c r="T59" s="445">
        <f t="shared" si="19"/>
        <v>-9.1613019778149827</v>
      </c>
      <c r="U59" s="445">
        <f t="shared" si="19"/>
        <v>-1.8322603955629967E-2</v>
      </c>
      <c r="V59" s="445">
        <f t="shared" si="19"/>
        <v>0.32258228987541837</v>
      </c>
      <c r="W59" s="443"/>
      <c r="X59" s="458"/>
      <c r="AF59" s="458"/>
      <c r="AG59" s="444" t="s">
        <v>1351</v>
      </c>
      <c r="AH59" s="455">
        <f>(AH55^2+1/AH53)^0.5-AH55</f>
        <v>0.80469701050339759</v>
      </c>
      <c r="AI59" s="455">
        <f>AH60</f>
        <v>0.80469701050339759</v>
      </c>
    </row>
    <row r="60" spans="1:35">
      <c r="A60" s="487">
        <v>1500</v>
      </c>
      <c r="B60" s="487">
        <v>1500</v>
      </c>
      <c r="C60" s="487">
        <v>40</v>
      </c>
      <c r="D60" s="487">
        <v>246</v>
      </c>
      <c r="E60" s="487">
        <v>68</v>
      </c>
      <c r="F60" s="487">
        <v>1.2</v>
      </c>
      <c r="G60" s="487">
        <v>22</v>
      </c>
      <c r="H60" s="487">
        <v>5.0000000000000001E-3</v>
      </c>
      <c r="I60" s="489">
        <v>1</v>
      </c>
      <c r="J60" s="443" t="s">
        <v>1507</v>
      </c>
      <c r="N60" s="444" t="s">
        <v>1543</v>
      </c>
      <c r="O60" s="475">
        <f>E60</f>
        <v>68</v>
      </c>
      <c r="P60" s="475">
        <f>O60*Q63</f>
        <v>68</v>
      </c>
      <c r="Q60" s="445">
        <f t="shared" si="18"/>
        <v>1</v>
      </c>
      <c r="R60" s="444">
        <v>66</v>
      </c>
      <c r="S60" s="446">
        <f>IF(U55=0,1E+99,(U49*U50-U51^2)/U55)</f>
        <v>1352.4176323227985</v>
      </c>
      <c r="T60" s="445">
        <f t="shared" si="19"/>
        <v>21.45902160754067</v>
      </c>
      <c r="U60" s="445">
        <f t="shared" si="19"/>
        <v>4.2918043215081345E-2</v>
      </c>
      <c r="V60" s="445">
        <f t="shared" si="19"/>
        <v>23.300223521108748</v>
      </c>
      <c r="W60" s="443"/>
      <c r="AF60" s="458"/>
      <c r="AG60" s="444"/>
      <c r="AH60" s="455">
        <f>IF(AH42=0,1000000000,AH59)</f>
        <v>0.80469701050339759</v>
      </c>
    </row>
    <row r="61" spans="1:35">
      <c r="A61" s="487">
        <v>-0.5</v>
      </c>
      <c r="B61" s="487">
        <v>125</v>
      </c>
      <c r="C61" s="487">
        <v>0.7</v>
      </c>
      <c r="D61" s="487">
        <v>1.6</v>
      </c>
      <c r="E61" s="487">
        <v>0.51600000000000001</v>
      </c>
      <c r="F61" s="487">
        <v>0.5</v>
      </c>
      <c r="G61" s="487">
        <v>0.2</v>
      </c>
      <c r="H61" s="487">
        <v>0.9</v>
      </c>
      <c r="I61" s="491">
        <v>1</v>
      </c>
      <c r="J61" s="444" t="s">
        <v>1354</v>
      </c>
      <c r="K61" s="445">
        <f>K44/(1-K46^2*K45/K44)</f>
        <v>181.81113884441791</v>
      </c>
      <c r="L61" s="445">
        <f>L44/(1-L46^2*L45/L44)</f>
        <v>181.00442213188575</v>
      </c>
      <c r="M61" s="449">
        <f>L61/K61</f>
        <v>0.99556288620345479</v>
      </c>
      <c r="N61" s="444" t="s">
        <v>1168</v>
      </c>
      <c r="O61" s="449">
        <f>A61</f>
        <v>-0.5</v>
      </c>
      <c r="P61" s="449">
        <f>O61*I38*I65</f>
        <v>-7.4999999999999997E-2</v>
      </c>
      <c r="Q61" s="445">
        <f t="shared" si="18"/>
        <v>0.15</v>
      </c>
      <c r="R61" s="444" t="s">
        <v>1347</v>
      </c>
      <c r="S61" s="446">
        <f>IF(U55=0,1E+99,(U51*U54-U50*U53)/U55)</f>
        <v>-1.4956613087395903E-14</v>
      </c>
      <c r="T61" s="445">
        <f t="shared" si="19"/>
        <v>1.3641350347588565E-15</v>
      </c>
      <c r="U61" s="445">
        <f t="shared" si="19"/>
        <v>2.7282700695177132E-18</v>
      </c>
      <c r="V61" s="445">
        <f t="shared" si="19"/>
        <v>4.8033107551460555E-17</v>
      </c>
      <c r="W61" s="443"/>
      <c r="X61" s="443"/>
      <c r="Y61" s="444"/>
      <c r="AF61" s="458"/>
      <c r="AG61" s="443" t="s">
        <v>1360</v>
      </c>
      <c r="AH61" s="455">
        <f>IF(AH42=0,0,AH59)</f>
        <v>0.80469701050339759</v>
      </c>
    </row>
    <row r="62" spans="1:35">
      <c r="A62" s="487">
        <v>0.02</v>
      </c>
      <c r="B62" s="487">
        <v>22.5</v>
      </c>
      <c r="C62" s="490">
        <v>0</v>
      </c>
      <c r="D62" s="487">
        <v>0.6</v>
      </c>
      <c r="E62" s="487">
        <v>0.316</v>
      </c>
      <c r="F62" s="487">
        <v>4.0000000000000001E-3</v>
      </c>
      <c r="G62" s="487">
        <v>4.0000000000000001E-3</v>
      </c>
      <c r="H62" s="487">
        <v>2000</v>
      </c>
      <c r="J62" s="444" t="s">
        <v>1361</v>
      </c>
      <c r="K62" s="445">
        <f>K61*K45/K44</f>
        <v>10.346158729820468</v>
      </c>
      <c r="L62" s="445">
        <f>L61*L45/L44</f>
        <v>2.5068774862348158</v>
      </c>
      <c r="M62" s="449">
        <f>L62/K62</f>
        <v>0.24230031180647818</v>
      </c>
      <c r="N62" s="444" t="s">
        <v>1175</v>
      </c>
      <c r="O62" s="448">
        <f>O56/K50</f>
        <v>2142.8571428571431</v>
      </c>
      <c r="P62" s="448">
        <f>H38*P45^G62</f>
        <v>2142.8571428571431</v>
      </c>
      <c r="Q62" s="445">
        <f t="shared" si="18"/>
        <v>1</v>
      </c>
      <c r="R62" s="444" t="s">
        <v>1349</v>
      </c>
      <c r="S62" s="446">
        <f>IF(U55=0,1E+99,(U51*U53-U49*U54)/U55)</f>
        <v>-8.1435005714429128E-14</v>
      </c>
      <c r="T62" s="445">
        <f t="shared" si="19"/>
        <v>-1.5193341601736405E-15</v>
      </c>
      <c r="U62" s="445">
        <f t="shared" si="19"/>
        <v>-3.0386683203472813E-18</v>
      </c>
      <c r="V62" s="445">
        <f t="shared" si="19"/>
        <v>-5.3497886398855771E-17</v>
      </c>
      <c r="W62" s="443"/>
      <c r="X62" s="443"/>
      <c r="Y62" s="445"/>
      <c r="AF62" s="458"/>
      <c r="AG62" s="444" t="s">
        <v>1364</v>
      </c>
      <c r="AH62" s="464">
        <f>AI46+AI47*COS(AH43)+AI48*SIN(AH43)-V68</f>
        <v>-6.8134848586051483E-6</v>
      </c>
      <c r="AI62" s="458"/>
    </row>
    <row r="63" spans="1:35">
      <c r="A63" s="487">
        <v>0.15</v>
      </c>
      <c r="B63" s="487">
        <v>0.01</v>
      </c>
      <c r="C63" s="487">
        <v>1</v>
      </c>
      <c r="D63" s="487">
        <v>1</v>
      </c>
      <c r="E63" s="487">
        <v>0.1</v>
      </c>
      <c r="F63" s="487">
        <v>0.5</v>
      </c>
      <c r="G63" s="487"/>
      <c r="H63" s="487"/>
      <c r="I63" s="486" t="s">
        <v>393</v>
      </c>
      <c r="J63" s="444" t="s">
        <v>1365</v>
      </c>
      <c r="K63" s="445">
        <f>K62*K46</f>
        <v>2.8969244443497315</v>
      </c>
      <c r="L63" s="445">
        <f>L62*L46</f>
        <v>0.10528885442186227</v>
      </c>
      <c r="M63" s="449">
        <f>L63/K63</f>
        <v>3.6345046770971723E-2</v>
      </c>
      <c r="N63" s="444" t="s">
        <v>1176</v>
      </c>
      <c r="O63" s="448">
        <f>O58</f>
        <v>40</v>
      </c>
      <c r="P63" s="448">
        <f>G38*P45^H61</f>
        <v>40</v>
      </c>
      <c r="Q63" s="445">
        <f t="shared" si="18"/>
        <v>1</v>
      </c>
      <c r="R63" s="442" t="s">
        <v>1185</v>
      </c>
      <c r="S63" s="443"/>
      <c r="T63" s="443"/>
      <c r="W63" s="443"/>
      <c r="X63" s="443"/>
      <c r="Y63" s="445"/>
      <c r="AF63" s="458"/>
      <c r="AG63" s="444" t="s">
        <v>1367</v>
      </c>
      <c r="AH63" s="464">
        <f>2*AI46-AH62-V69-V68</f>
        <v>-7.0704941177921008E-4</v>
      </c>
      <c r="AI63" s="458"/>
    </row>
    <row r="64" spans="1:35">
      <c r="I64" s="492">
        <v>0.01</v>
      </c>
      <c r="J64" s="444" t="s">
        <v>1370</v>
      </c>
      <c r="K64" s="445">
        <f>K47</f>
        <v>7.17</v>
      </c>
      <c r="L64" s="445">
        <f>L47</f>
        <v>1.478833129796586</v>
      </c>
      <c r="M64" s="449">
        <f>L64/K64</f>
        <v>0.20625287723801758</v>
      </c>
      <c r="R64" s="444"/>
      <c r="S64" s="450" t="s">
        <v>1406</v>
      </c>
      <c r="T64" s="450" t="s">
        <v>1407</v>
      </c>
      <c r="U64" s="450" t="s">
        <v>1408</v>
      </c>
      <c r="V64" s="450" t="s">
        <v>1409</v>
      </c>
      <c r="W64" s="450" t="s">
        <v>1410</v>
      </c>
      <c r="X64" s="450" t="s">
        <v>1411</v>
      </c>
      <c r="Y64" s="450" t="s">
        <v>1394</v>
      </c>
      <c r="AF64" s="458"/>
      <c r="AG64" s="444" t="s">
        <v>1372</v>
      </c>
      <c r="AH64" s="464">
        <f>2*(AI48*COS(AH43)-AI47*SIN(AH43))</f>
        <v>-5.333436523954453E-21</v>
      </c>
      <c r="AI64" s="458"/>
    </row>
    <row r="65" spans="1:35">
      <c r="A65" s="485" t="s">
        <v>421</v>
      </c>
      <c r="I65" s="493">
        <v>1</v>
      </c>
      <c r="J65" s="443" t="s">
        <v>1510</v>
      </c>
      <c r="K65" s="445"/>
      <c r="L65" s="445"/>
      <c r="N65" s="443" t="s">
        <v>1375</v>
      </c>
      <c r="R65" s="444">
        <v>1</v>
      </c>
      <c r="S65" s="458">
        <f>((L61+L63)/2*P49+(L63+L62)/2*P50)/1000000</f>
        <v>3.1197968442250702E-5</v>
      </c>
      <c r="T65" s="458">
        <f>((L61+L63)/2*P52+(L63+L62)/2*P53)</f>
        <v>0.78364990219700348</v>
      </c>
      <c r="U65" s="464">
        <f>S65+S66*Y65</f>
        <v>5.6406849217371786E-5</v>
      </c>
      <c r="V65" s="455">
        <f>T65+T66*Y65</f>
        <v>1.5041264917408894</v>
      </c>
      <c r="W65" s="455">
        <f>(U65*S57+U66*S59+U67*S61)*T43*1000000</f>
        <v>22.499999999999989</v>
      </c>
      <c r="X65" s="455">
        <f>(V65*S57+V66*S59+V67*S61)*T43</f>
        <v>0.59999999999999964</v>
      </c>
      <c r="Y65" s="455">
        <f>COS(S45)</f>
        <v>-1</v>
      </c>
      <c r="AF65" s="458"/>
      <c r="AG65" s="458"/>
      <c r="AH65" s="458"/>
      <c r="AI65" s="458"/>
    </row>
    <row r="66" spans="1:35">
      <c r="A66" s="447" t="s">
        <v>1582</v>
      </c>
      <c r="B66" s="487">
        <v>181</v>
      </c>
      <c r="C66" s="487">
        <v>10.3</v>
      </c>
      <c r="D66" s="487">
        <v>0.28000000000000003</v>
      </c>
      <c r="E66" s="487">
        <v>7.17</v>
      </c>
      <c r="F66" s="487">
        <v>3.4</v>
      </c>
      <c r="G66" s="487">
        <v>122</v>
      </c>
      <c r="H66" s="487">
        <v>160</v>
      </c>
      <c r="I66" s="493">
        <v>1</v>
      </c>
      <c r="J66" s="444" t="s">
        <v>1380</v>
      </c>
      <c r="K66" s="445">
        <f>(3*K61+3*K62+2*K63+4*K64)/8</f>
        <v>76.368217701426829</v>
      </c>
      <c r="L66" s="445">
        <f>(3*L61+3*L62+2*L63+4*L64)/8</f>
        <v>69.582476135298961</v>
      </c>
      <c r="M66" s="449">
        <f>L66/K66</f>
        <v>0.91114442931406681</v>
      </c>
      <c r="N66" s="444" t="s">
        <v>1381</v>
      </c>
      <c r="O66" s="445">
        <f>1/O56/O57*1000000</f>
        <v>0.44444444444444442</v>
      </c>
      <c r="P66" s="445">
        <f>1/P56/P57*1000000</f>
        <v>0.5204481634217426</v>
      </c>
      <c r="Q66" s="445">
        <f>P66/O66</f>
        <v>1.1710083676989209</v>
      </c>
      <c r="R66" s="444">
        <v>2</v>
      </c>
      <c r="S66" s="458">
        <f>((L61-L63)/2*P49+(L63-L62)/2*P50)/1000000</f>
        <v>-2.5208880775121087E-5</v>
      </c>
      <c r="T66" s="458">
        <f>((L61-L63)/2*P52+(L63-L62)/2*P53)</f>
        <v>-0.72047658954388594</v>
      </c>
      <c r="U66" s="464">
        <f>S65-S66*Y65</f>
        <v>5.9890876671296149E-6</v>
      </c>
      <c r="V66" s="455">
        <f>T65-T66*Y65</f>
        <v>6.3173312653117542E-2</v>
      </c>
      <c r="W66" s="455">
        <f>(U65*S59+U66*S58+U67*S62)*T43*1000000</f>
        <v>2.0000000000000157E-2</v>
      </c>
      <c r="X66" s="455">
        <f>(V65*S59+V66*S58+V67*S62)*T43</f>
        <v>5.1070259132757239E-18</v>
      </c>
      <c r="Y66" s="455">
        <f>SIN(S45)</f>
        <v>1.22514845490862E-16</v>
      </c>
      <c r="AF66" s="458"/>
      <c r="AG66" s="462" t="s">
        <v>1383</v>
      </c>
      <c r="AH66" s="479">
        <f>P72*AH62^2+2*P74*AH62*AH63+P73*AH63^2+P75*AH64^2</f>
        <v>3.1789813134072567E-4</v>
      </c>
      <c r="AI66" s="458"/>
    </row>
    <row r="67" spans="1:35">
      <c r="A67" s="487">
        <v>1500</v>
      </c>
      <c r="B67" s="487">
        <v>1500</v>
      </c>
      <c r="C67" s="487">
        <v>40</v>
      </c>
      <c r="D67" s="487">
        <v>246</v>
      </c>
      <c r="E67" s="487">
        <v>68</v>
      </c>
      <c r="F67" s="487">
        <v>1.2</v>
      </c>
      <c r="G67" s="487">
        <v>22</v>
      </c>
      <c r="H67" s="487">
        <v>5.0000000000000001E-3</v>
      </c>
      <c r="I67" s="493">
        <v>1</v>
      </c>
      <c r="J67" s="444" t="s">
        <v>1384</v>
      </c>
      <c r="K67" s="445">
        <f>(K61-K62)/2</f>
        <v>85.732490057298719</v>
      </c>
      <c r="L67" s="445">
        <f>(L61-L62)/2</f>
        <v>89.248772322825459</v>
      </c>
      <c r="M67" s="449">
        <f>L67/K67</f>
        <v>1.0410145822566994</v>
      </c>
      <c r="N67" s="444" t="s">
        <v>1385</v>
      </c>
      <c r="O67" s="445">
        <f>1/O58/O59*1000000</f>
        <v>101.6260162601626</v>
      </c>
      <c r="P67" s="445">
        <f>1/P58/P59*1000000</f>
        <v>101.6260162601626</v>
      </c>
      <c r="Q67" s="445">
        <f>P67/O67</f>
        <v>1</v>
      </c>
      <c r="R67" s="444">
        <v>6</v>
      </c>
      <c r="S67" s="450" t="s">
        <v>1419</v>
      </c>
      <c r="T67" s="450" t="s">
        <v>1420</v>
      </c>
      <c r="U67" s="464">
        <f>S66*Y66</f>
        <v>-3.0884621331615214E-21</v>
      </c>
      <c r="V67" s="455">
        <f>T66*Y66</f>
        <v>-8.8269078047752382E-17</v>
      </c>
      <c r="W67" s="455">
        <f>(U65*S61+U66*S62+U67*S60)*T43*1000000</f>
        <v>-2.7541337266345752E-15</v>
      </c>
      <c r="X67" s="455">
        <f>(V65*S61+V66*S62+V67*S60)*T43</f>
        <v>-7.3508907294517151E-17</v>
      </c>
      <c r="Y67" s="450" t="s">
        <v>406</v>
      </c>
      <c r="AF67" s="458"/>
      <c r="AG67" s="462" t="s">
        <v>1387</v>
      </c>
      <c r="AH67" s="479">
        <f>P76*AH62+P77*AH63</f>
        <v>-3.6972859198845555E-2</v>
      </c>
      <c r="AI67" s="458"/>
    </row>
    <row r="68" spans="1:35">
      <c r="A68" s="487">
        <v>-0.5</v>
      </c>
      <c r="B68" s="487">
        <v>125</v>
      </c>
      <c r="C68" s="487">
        <v>0.7</v>
      </c>
      <c r="D68" s="487">
        <v>1.6</v>
      </c>
      <c r="E68" s="487">
        <v>0.51600000000000001</v>
      </c>
      <c r="F68" s="487">
        <v>0.5</v>
      </c>
      <c r="G68" s="487">
        <v>0.2</v>
      </c>
      <c r="H68" s="487">
        <v>0.9</v>
      </c>
      <c r="I68" s="493">
        <v>1</v>
      </c>
      <c r="J68" s="444" t="s">
        <v>1388</v>
      </c>
      <c r="K68" s="445">
        <f>(K61+K62-2*K63-4*K64)/8</f>
        <v>19.710431085692363</v>
      </c>
      <c r="L68" s="445">
        <f>(L61+L62-2*L63-4*L64)/8</f>
        <v>22.173173673761315</v>
      </c>
      <c r="M68" s="449">
        <f>L68/K68</f>
        <v>1.1249461555336877</v>
      </c>
      <c r="N68" s="444" t="s">
        <v>1389</v>
      </c>
      <c r="O68" s="445">
        <f>O61*(O66*O67)^0.5</f>
        <v>-3.3603243272729659</v>
      </c>
      <c r="P68" s="445">
        <f>P61*(P66*P67)^0.5</f>
        <v>-0.54544687050288632</v>
      </c>
      <c r="Q68" s="445">
        <f>P68/O68</f>
        <v>0.16231971005773055</v>
      </c>
      <c r="R68" s="444">
        <v>1</v>
      </c>
      <c r="S68" s="471">
        <f>P46*U65+P42*V65</f>
        <v>1.8799475369672683E-3</v>
      </c>
      <c r="T68" s="446">
        <f>P46*W65/1000000+P42*X65</f>
        <v>7.4999999999999937E-4</v>
      </c>
      <c r="U68" s="450" t="s">
        <v>1423</v>
      </c>
      <c r="V68" s="446">
        <f>P46*P49/1000000+P42*P52</f>
        <v>-1.9999999999999999E-6</v>
      </c>
      <c r="W68" s="443"/>
      <c r="Y68" s="455">
        <f>Y65+Y104+Y143+Y182+Y221+Y260+Y299+W343</f>
        <v>-0.999999999999999</v>
      </c>
      <c r="AF68" s="458"/>
      <c r="AG68" s="462" t="s">
        <v>1390</v>
      </c>
      <c r="AH68" s="479">
        <f>AH66+AH67</f>
        <v>-3.6654961067504828E-2</v>
      </c>
      <c r="AI68" s="458"/>
    </row>
    <row r="69" spans="1:35">
      <c r="A69" s="487">
        <v>0.02</v>
      </c>
      <c r="B69" s="487">
        <v>22.5</v>
      </c>
      <c r="C69" s="490">
        <v>0</v>
      </c>
      <c r="D69" s="487">
        <v>0.6</v>
      </c>
      <c r="E69" s="487">
        <v>0.316</v>
      </c>
      <c r="F69" s="487">
        <v>4.0000000000000001E-3</v>
      </c>
      <c r="G69" s="487">
        <v>4.0000000000000001E-3</v>
      </c>
      <c r="H69" s="487">
        <v>2000</v>
      </c>
      <c r="I69" s="493">
        <v>1</v>
      </c>
      <c r="J69" s="444" t="s">
        <v>1391</v>
      </c>
      <c r="K69" s="445">
        <f>(K61+K62+6*K63-4*K64)/8</f>
        <v>22.607355530042096</v>
      </c>
      <c r="L69" s="445">
        <f>(L61+L62+6*L63-4*L64)/8</f>
        <v>22.278462528183177</v>
      </c>
      <c r="M69" s="449">
        <f>L69/K69</f>
        <v>0.98545194720267637</v>
      </c>
      <c r="N69" s="444" t="s">
        <v>1392</v>
      </c>
      <c r="O69" s="445">
        <f>1/O60^2*1000000</f>
        <v>216.26297577854672</v>
      </c>
      <c r="P69" s="445">
        <f>1/P60^2*1000000</f>
        <v>216.26297577854672</v>
      </c>
      <c r="Q69" s="445">
        <f>P69/O69</f>
        <v>1</v>
      </c>
      <c r="R69" s="444">
        <v>2</v>
      </c>
      <c r="S69" s="471">
        <f>P46*U66+P42*V66</f>
        <v>-2.8304220344737375E-4</v>
      </c>
      <c r="T69" s="446">
        <f>P46*W66/1000000+P42*X66</f>
        <v>-1.9999999999999902E-6</v>
      </c>
      <c r="U69" s="450" t="s">
        <v>1427</v>
      </c>
      <c r="V69" s="446">
        <f>P46*P50/1000000+P42*P53</f>
        <v>7.5000000000000023E-4</v>
      </c>
      <c r="W69" s="443"/>
      <c r="Y69" s="455">
        <f>Y66+Y105+Y144+Y183+Y222+Y261+Y300+W344</f>
        <v>2.2204460492503131E-16</v>
      </c>
      <c r="AA69" s="442" t="s">
        <v>699</v>
      </c>
      <c r="AB69" s="442" t="s">
        <v>701</v>
      </c>
      <c r="AC69" s="444" t="s">
        <v>408</v>
      </c>
      <c r="AD69" s="444" t="s">
        <v>409</v>
      </c>
      <c r="AE69" s="443" t="s">
        <v>410</v>
      </c>
      <c r="AF69" s="458"/>
      <c r="AG69" s="462" t="s">
        <v>1395</v>
      </c>
      <c r="AH69" s="479">
        <f>-1+AH68</f>
        <v>-1.0366549610675049</v>
      </c>
      <c r="AI69" s="458"/>
    </row>
    <row r="70" spans="1:35">
      <c r="A70" s="487">
        <v>0.15</v>
      </c>
      <c r="B70" s="487">
        <v>0.01</v>
      </c>
      <c r="C70" s="487">
        <v>1</v>
      </c>
      <c r="D70" s="487">
        <v>1</v>
      </c>
      <c r="E70" s="487">
        <v>0.1</v>
      </c>
      <c r="F70" s="487">
        <v>0.5</v>
      </c>
      <c r="G70" s="487"/>
      <c r="H70" s="487"/>
      <c r="I70" s="493">
        <v>1</v>
      </c>
      <c r="J70" s="444" t="s">
        <v>1396</v>
      </c>
      <c r="K70" s="445">
        <f>(K66-K69)/2</f>
        <v>26.880431085692365</v>
      </c>
      <c r="L70" s="445">
        <f>(L66-L69)/2</f>
        <v>23.652006803557892</v>
      </c>
      <c r="M70" s="449">
        <f>L70/K70</f>
        <v>0.8798968561239755</v>
      </c>
      <c r="N70" s="444" t="s">
        <v>1397</v>
      </c>
      <c r="O70" s="445">
        <f>(1/O56-1/O57)*1000</f>
        <v>0</v>
      </c>
      <c r="P70" s="445">
        <f>(1/P56-1/P57)*1000</f>
        <v>-0.11400557846594737</v>
      </c>
      <c r="Q70" s="445">
        <f>IF(O70=0,1,P70/O70)</f>
        <v>1</v>
      </c>
      <c r="R70" s="444">
        <v>6</v>
      </c>
      <c r="S70" s="471">
        <f>P46*U67+P42*V67</f>
        <v>-1.3249917692260976E-19</v>
      </c>
      <c r="T70" s="446">
        <f>P46*W67/1000000+P42*X67</f>
        <v>-9.2131163809128257E-20</v>
      </c>
      <c r="U70" s="450" t="s">
        <v>1429</v>
      </c>
      <c r="V70" s="446">
        <f>0</f>
        <v>0</v>
      </c>
      <c r="W70" s="443"/>
      <c r="AA70" s="458">
        <f t="shared" ref="AA70:AE72" si="20">AA31</f>
        <v>2.9711368780229658E-5</v>
      </c>
      <c r="AB70" s="458">
        <f t="shared" si="20"/>
        <v>0.7678998340530242</v>
      </c>
      <c r="AC70" s="458">
        <f t="shared" si="20"/>
        <v>1.363735669153409</v>
      </c>
      <c r="AD70" s="458">
        <f t="shared" si="20"/>
        <v>3.5864831027226207E-2</v>
      </c>
      <c r="AE70" s="458">
        <f t="shared" si="20"/>
        <v>4.2950588220790124E-5</v>
      </c>
      <c r="AF70" s="458"/>
      <c r="AG70" s="462" t="s">
        <v>1399</v>
      </c>
      <c r="AH70" s="479">
        <f>2*(P72*AH46*AH62+P73*AH47*AH63+P74*(AH46*AH63+AH62*AH47)+P75*AH48*AH64)</f>
        <v>-1.3080067048421469E-2</v>
      </c>
      <c r="AI70" s="458"/>
    </row>
    <row r="71" spans="1:35">
      <c r="A71" s="447" t="s">
        <v>1582</v>
      </c>
      <c r="B71" s="487">
        <v>181</v>
      </c>
      <c r="C71" s="487">
        <v>10.3</v>
      </c>
      <c r="D71" s="487">
        <v>0.28000000000000003</v>
      </c>
      <c r="E71" s="487">
        <v>7.17</v>
      </c>
      <c r="F71" s="487">
        <v>3.4</v>
      </c>
      <c r="G71" s="487">
        <v>122</v>
      </c>
      <c r="H71" s="487">
        <v>160</v>
      </c>
      <c r="I71" s="494">
        <v>1</v>
      </c>
      <c r="J71" s="443" t="s">
        <v>1400</v>
      </c>
      <c r="N71" s="444" t="s">
        <v>1401</v>
      </c>
      <c r="O71" s="445">
        <f>(1/O58-1/O59)*1000</f>
        <v>20.934959349593495</v>
      </c>
      <c r="P71" s="445">
        <f>(1/P58-1/P59)*1000</f>
        <v>20.934959349593495</v>
      </c>
      <c r="Q71" s="445">
        <f t="shared" ref="Q71:Q77" si="21">P71/O71</f>
        <v>1</v>
      </c>
      <c r="R71" s="444"/>
      <c r="S71" s="455"/>
      <c r="T71" s="455"/>
      <c r="U71" s="455"/>
      <c r="V71" s="455"/>
      <c r="W71" s="443"/>
      <c r="X71" s="443"/>
      <c r="AA71" s="458">
        <f t="shared" si="20"/>
        <v>1.7675632838392989E-5</v>
      </c>
      <c r="AB71" s="458">
        <f t="shared" si="20"/>
        <v>0.42306828615470354</v>
      </c>
      <c r="AC71" s="458">
        <f t="shared" si="20"/>
        <v>-0.1836797069434101</v>
      </c>
      <c r="AD71" s="458">
        <f t="shared" si="20"/>
        <v>-5.4362911105892316E-3</v>
      </c>
      <c r="AE71" s="458">
        <f t="shared" si="20"/>
        <v>-8.8134848586051478E-6</v>
      </c>
      <c r="AG71" s="462" t="s">
        <v>1403</v>
      </c>
      <c r="AH71" s="479">
        <f>AH70+AH54</f>
        <v>0.81640953761502177</v>
      </c>
      <c r="AI71" s="458"/>
    </row>
    <row r="72" spans="1:35">
      <c r="A72" s="487">
        <v>1500</v>
      </c>
      <c r="B72" s="487">
        <v>1500</v>
      </c>
      <c r="C72" s="487">
        <v>40</v>
      </c>
      <c r="D72" s="487">
        <v>246</v>
      </c>
      <c r="E72" s="487">
        <v>68</v>
      </c>
      <c r="F72" s="487">
        <v>1.2</v>
      </c>
      <c r="G72" s="487">
        <v>22</v>
      </c>
      <c r="H72" s="487">
        <v>5.0000000000000001E-3</v>
      </c>
      <c r="J72" s="444" t="s">
        <v>1404</v>
      </c>
      <c r="K72" s="445">
        <f>(1-(K69/K66)^2)*K66</f>
        <v>69.675740916648124</v>
      </c>
      <c r="L72" s="445">
        <f>(1-(L69/L66)^2)*L66</f>
        <v>62.449503579758137</v>
      </c>
      <c r="M72" s="445">
        <f>L72/K72</f>
        <v>0.89628761399847034</v>
      </c>
      <c r="N72" s="444" t="s">
        <v>1405</v>
      </c>
      <c r="O72" s="448">
        <f>(O66*K61^2+2*O68*K61*K63+O67*K63^2)</f>
        <v>12004.38353147296</v>
      </c>
      <c r="P72" s="448">
        <f>(P66*L61^2+2*P68*L61*L63+P67*L63^2)</f>
        <v>17031.57205316806</v>
      </c>
      <c r="Q72" s="445">
        <f t="shared" si="21"/>
        <v>1.4187793990849153</v>
      </c>
      <c r="S72" s="443"/>
      <c r="T72" s="443"/>
      <c r="W72" s="443"/>
      <c r="X72" s="443"/>
      <c r="Y72" s="446"/>
      <c r="AA72" s="458">
        <f t="shared" si="20"/>
        <v>-8.4703294725430034E-22</v>
      </c>
      <c r="AB72" s="458">
        <f t="shared" si="20"/>
        <v>-2.7755575615628914E-17</v>
      </c>
      <c r="AC72" s="458">
        <f t="shared" si="20"/>
        <v>-9.002744015469067E-18</v>
      </c>
      <c r="AD72" s="458">
        <f t="shared" si="20"/>
        <v>-3.8174105857845086E-19</v>
      </c>
      <c r="AE72" s="458">
        <f t="shared" si="20"/>
        <v>-1.0084308913453477E-21</v>
      </c>
      <c r="AG72" s="462" t="s">
        <v>1412</v>
      </c>
      <c r="AH72" s="479">
        <f>AH71/2/AH53</f>
        <v>0.79494168700728085</v>
      </c>
      <c r="AI72" s="458"/>
    </row>
    <row r="73" spans="1:35">
      <c r="A73" s="487">
        <v>-0.5</v>
      </c>
      <c r="B73" s="487">
        <v>125</v>
      </c>
      <c r="C73" s="487">
        <v>0.7</v>
      </c>
      <c r="D73" s="487">
        <v>1.6</v>
      </c>
      <c r="E73" s="487">
        <v>0.51600000000000001</v>
      </c>
      <c r="F73" s="487">
        <v>0.5</v>
      </c>
      <c r="G73" s="487">
        <v>0.2</v>
      </c>
      <c r="H73" s="487">
        <v>0.9</v>
      </c>
      <c r="I73" s="486" t="s">
        <v>298</v>
      </c>
      <c r="J73" s="444" t="s">
        <v>1414</v>
      </c>
      <c r="K73" s="445">
        <f>K69/K66</f>
        <v>0.29603094337527941</v>
      </c>
      <c r="L73" s="445">
        <f>L69/L66</f>
        <v>0.32017346558441007</v>
      </c>
      <c r="M73" s="445">
        <f>L73/K73</f>
        <v>1.0815540494985523</v>
      </c>
      <c r="N73" s="444" t="s">
        <v>1415</v>
      </c>
      <c r="O73" s="448">
        <f>(O66*K63^2+2*O68*K63*K62+O67*K62^2)</f>
        <v>10680.652008265077</v>
      </c>
      <c r="P73" s="448">
        <f>(P66*L63^2+2*P68*L63*L62+P67*L62^2)</f>
        <v>638.37989839055581</v>
      </c>
      <c r="Q73" s="445">
        <f t="shared" si="21"/>
        <v>5.976974981457632E-2</v>
      </c>
      <c r="S73" s="443"/>
      <c r="T73" s="443"/>
      <c r="W73" s="443"/>
      <c r="X73" s="443"/>
      <c r="Y73" s="446"/>
      <c r="Z73" s="444"/>
      <c r="AG73" s="462"/>
      <c r="AH73" s="455"/>
      <c r="AI73" s="458"/>
    </row>
    <row r="74" spans="1:35">
      <c r="A74" s="487">
        <v>0.02</v>
      </c>
      <c r="B74" s="487">
        <v>22.5</v>
      </c>
      <c r="C74" s="490">
        <v>0</v>
      </c>
      <c r="D74" s="487">
        <v>0.6</v>
      </c>
      <c r="E74" s="487">
        <v>0.316</v>
      </c>
      <c r="F74" s="487">
        <v>4.0000000000000001E-3</v>
      </c>
      <c r="G74" s="487">
        <v>4.0000000000000001E-3</v>
      </c>
      <c r="H74" s="487">
        <v>2000</v>
      </c>
      <c r="I74" s="488">
        <v>1</v>
      </c>
      <c r="N74" s="444" t="s">
        <v>1416</v>
      </c>
      <c r="O74" s="448">
        <f>(O66*K61*K63+O68*(K61*K62+K63^2)+O67*K63*K62)</f>
        <v>-3069.103206291968</v>
      </c>
      <c r="P74" s="448">
        <f>(P66*L61*L63+P68*(L61*L62+L63^2)+P67*L63*L62)</f>
        <v>-210.76341132017635</v>
      </c>
      <c r="Q74" s="445">
        <f t="shared" si="21"/>
        <v>6.867263729942033E-2</v>
      </c>
      <c r="S74" s="443"/>
      <c r="T74" s="443"/>
      <c r="W74" s="443"/>
      <c r="X74" s="443"/>
      <c r="Y74" s="446"/>
      <c r="AE74" s="450"/>
      <c r="AG74" s="462"/>
      <c r="AH74" s="455"/>
      <c r="AI74" s="458"/>
    </row>
    <row r="75" spans="1:35">
      <c r="A75" s="487">
        <v>0.15</v>
      </c>
      <c r="B75" s="487">
        <v>0.01</v>
      </c>
      <c r="C75" s="487">
        <v>1</v>
      </c>
      <c r="D75" s="487">
        <v>1</v>
      </c>
      <c r="E75" s="487">
        <v>0.1</v>
      </c>
      <c r="F75" s="487">
        <v>0.5</v>
      </c>
      <c r="G75" s="487"/>
      <c r="H75" s="487"/>
      <c r="I75" s="489">
        <v>1</v>
      </c>
      <c r="J75" s="444" t="s">
        <v>1193</v>
      </c>
      <c r="K75" s="445">
        <f>D61</f>
        <v>1.6</v>
      </c>
      <c r="L75" s="445">
        <f>L76*(1-L50)+L77*L50</f>
        <v>1.6</v>
      </c>
      <c r="M75" s="445">
        <f>L75/K75</f>
        <v>1</v>
      </c>
      <c r="N75" s="444" t="s">
        <v>1418</v>
      </c>
      <c r="O75" s="448">
        <f>O69*K64^2</f>
        <v>11117.841695501729</v>
      </c>
      <c r="P75" s="448">
        <f>P69*L64^2</f>
        <v>472.95575817127298</v>
      </c>
      <c r="Q75" s="445">
        <f t="shared" si="21"/>
        <v>4.2540249368960753E-2</v>
      </c>
      <c r="S75" s="443"/>
      <c r="T75" s="443"/>
      <c r="W75" s="443"/>
      <c r="X75" s="443"/>
      <c r="Y75" s="468"/>
      <c r="Z75" s="442"/>
      <c r="AA75" s="442"/>
      <c r="AB75" s="442"/>
      <c r="AC75" s="444"/>
      <c r="AD75" s="444"/>
      <c r="AE75" s="446"/>
      <c r="AG75" s="462"/>
      <c r="AH75" s="455"/>
      <c r="AI75" s="462" t="s">
        <v>1421</v>
      </c>
    </row>
    <row r="76" spans="1:35">
      <c r="I76" s="489">
        <v>1</v>
      </c>
      <c r="J76" s="444" t="s">
        <v>274</v>
      </c>
      <c r="K76" s="445">
        <f>F60</f>
        <v>1.2</v>
      </c>
      <c r="L76" s="445">
        <f>K76</f>
        <v>1.2</v>
      </c>
      <c r="M76" s="445">
        <f>L76/K76</f>
        <v>1</v>
      </c>
      <c r="N76" s="444" t="s">
        <v>1422</v>
      </c>
      <c r="O76" s="448">
        <f>(O70*K61+O71*K63)</f>
        <v>60.646995481305353</v>
      </c>
      <c r="P76" s="448">
        <f>(P70*L61+P71*L63)</f>
        <v>-18.431295962753207</v>
      </c>
      <c r="Q76" s="445">
        <f t="shared" si="21"/>
        <v>-0.30391111408700727</v>
      </c>
      <c r="S76" s="443"/>
      <c r="T76" s="443"/>
      <c r="W76" s="443"/>
      <c r="X76" s="443"/>
      <c r="Y76" s="471"/>
      <c r="Z76" s="471"/>
      <c r="AA76" s="455"/>
      <c r="AB76" s="455"/>
      <c r="AC76" s="455"/>
      <c r="AD76" s="455"/>
      <c r="AG76" s="444" t="s">
        <v>1424</v>
      </c>
      <c r="AH76" s="455">
        <f>(AH72^2-AH69/AH53)^0.5-AH72</f>
        <v>0.83316261082671572</v>
      </c>
      <c r="AI76" s="455">
        <f>AH77</f>
        <v>0.83316261082671572</v>
      </c>
    </row>
    <row r="77" spans="1:35">
      <c r="A77" s="485" t="s">
        <v>842</v>
      </c>
      <c r="I77" s="489">
        <v>1</v>
      </c>
      <c r="J77" s="444" t="s">
        <v>1195</v>
      </c>
      <c r="K77" s="445">
        <f>(K75-K76*(1-K50))/K50</f>
        <v>1.7714285714285716</v>
      </c>
      <c r="L77" s="445">
        <f>K77</f>
        <v>1.7714285714285716</v>
      </c>
      <c r="M77" s="445">
        <f>L77/K77</f>
        <v>1</v>
      </c>
      <c r="N77" s="444" t="s">
        <v>1426</v>
      </c>
      <c r="O77" s="448">
        <f>(O70*K63+O71*K62)</f>
        <v>216.59641243323335</v>
      </c>
      <c r="P77" s="448">
        <f>(P70*L63+P71*L62)</f>
        <v>52.469374751982613</v>
      </c>
      <c r="Q77" s="445">
        <f t="shared" si="21"/>
        <v>0.24224489299035132</v>
      </c>
      <c r="S77" s="443"/>
      <c r="T77" s="443"/>
      <c r="W77" s="443"/>
      <c r="X77" s="443"/>
      <c r="Y77" s="471"/>
      <c r="Z77" s="471"/>
      <c r="AA77" s="455"/>
      <c r="AB77" s="455"/>
      <c r="AC77" s="455"/>
      <c r="AD77" s="455"/>
      <c r="AG77" s="444" t="s">
        <v>194</v>
      </c>
      <c r="AH77" s="455">
        <f>IF(AH42=0,1000000000,AH76)</f>
        <v>0.83316261082671572</v>
      </c>
    </row>
    <row r="78" spans="1:35">
      <c r="A78" s="447" t="s">
        <v>1582</v>
      </c>
      <c r="B78" s="487">
        <v>181</v>
      </c>
      <c r="C78" s="487">
        <v>10.3</v>
      </c>
      <c r="D78" s="487">
        <v>0.28000000000000003</v>
      </c>
      <c r="E78" s="487">
        <v>7.17</v>
      </c>
      <c r="F78" s="487">
        <v>3.4</v>
      </c>
      <c r="G78" s="487">
        <v>122</v>
      </c>
      <c r="H78" s="487">
        <v>160</v>
      </c>
      <c r="I78" s="489">
        <v>1</v>
      </c>
      <c r="L78" s="443" t="s">
        <v>1428</v>
      </c>
      <c r="S78" s="443"/>
      <c r="T78" s="443"/>
      <c r="W78" s="443"/>
      <c r="X78" s="443"/>
      <c r="Y78" s="471"/>
      <c r="Z78" s="471"/>
      <c r="AA78" s="455"/>
      <c r="AB78" s="455"/>
      <c r="AC78" s="455"/>
      <c r="AD78" s="455"/>
      <c r="AG78" s="444" t="s">
        <v>194</v>
      </c>
      <c r="AH78" s="455">
        <f>IF(AH42=0,0,AH76)</f>
        <v>0.83316261082671572</v>
      </c>
    </row>
    <row r="79" spans="1:35">
      <c r="A79" s="487">
        <v>1500</v>
      </c>
      <c r="B79" s="487">
        <v>1500</v>
      </c>
      <c r="C79" s="487">
        <v>40</v>
      </c>
      <c r="D79" s="487">
        <v>246</v>
      </c>
      <c r="E79" s="487">
        <v>68</v>
      </c>
      <c r="F79" s="487">
        <v>1.2</v>
      </c>
      <c r="G79" s="487">
        <v>22</v>
      </c>
      <c r="H79" s="487">
        <v>5.0000000000000001E-3</v>
      </c>
      <c r="I79" s="489">
        <v>1</v>
      </c>
      <c r="J79" s="442" t="s">
        <v>412</v>
      </c>
      <c r="K79" s="444"/>
      <c r="L79" s="444"/>
      <c r="N79" s="443" t="s">
        <v>1551</v>
      </c>
      <c r="P79" s="445"/>
      <c r="R79" s="443" t="s">
        <v>634</v>
      </c>
      <c r="Z79" s="443" t="s">
        <v>635</v>
      </c>
      <c r="AG79" s="443" t="s">
        <v>636</v>
      </c>
    </row>
    <row r="80" spans="1:35">
      <c r="A80" s="487">
        <v>-0.5</v>
      </c>
      <c r="B80" s="487">
        <v>125</v>
      </c>
      <c r="C80" s="487">
        <v>0.7</v>
      </c>
      <c r="D80" s="487">
        <v>1.6</v>
      </c>
      <c r="E80" s="487">
        <v>0.51600000000000001</v>
      </c>
      <c r="F80" s="487">
        <v>0.5</v>
      </c>
      <c r="G80" s="487">
        <v>0.2</v>
      </c>
      <c r="H80" s="487">
        <v>0.9</v>
      </c>
      <c r="I80" s="489">
        <v>1</v>
      </c>
      <c r="J80" s="444" t="str">
        <f>A66</f>
        <v>T3/N52[SI]</v>
      </c>
      <c r="K80" s="442"/>
      <c r="L80" s="444"/>
      <c r="N80" s="444" t="s">
        <v>596</v>
      </c>
      <c r="O80" s="448">
        <f>G67</f>
        <v>22</v>
      </c>
      <c r="P80" s="448">
        <f>B40</f>
        <v>22</v>
      </c>
      <c r="Q80" s="449">
        <f t="shared" ref="Q80:Q85" si="22">P80/O80</f>
        <v>1</v>
      </c>
      <c r="R80" s="442"/>
      <c r="X80" s="450"/>
      <c r="Z80" s="444" t="s">
        <v>531</v>
      </c>
      <c r="AA80" s="451">
        <f>S82</f>
        <v>45</v>
      </c>
      <c r="AB80" s="451"/>
      <c r="AC80" s="451"/>
      <c r="AD80" s="451"/>
      <c r="AE80" s="444" t="s">
        <v>532</v>
      </c>
      <c r="AF80" s="450" t="s">
        <v>533</v>
      </c>
      <c r="AG80" s="444" t="s">
        <v>531</v>
      </c>
      <c r="AH80" s="451">
        <f>AA80</f>
        <v>45</v>
      </c>
    </row>
    <row r="81" spans="1:35">
      <c r="A81" s="487">
        <v>0.02</v>
      </c>
      <c r="B81" s="487">
        <v>22.5</v>
      </c>
      <c r="C81" s="490">
        <v>0</v>
      </c>
      <c r="D81" s="487">
        <v>0.6</v>
      </c>
      <c r="E81" s="487">
        <v>0.316</v>
      </c>
      <c r="F81" s="487">
        <v>4.0000000000000001E-3</v>
      </c>
      <c r="G81" s="487">
        <v>4.0000000000000001E-3</v>
      </c>
      <c r="H81" s="487">
        <v>2000</v>
      </c>
      <c r="I81" s="491">
        <v>1</v>
      </c>
      <c r="J81" s="444"/>
      <c r="K81" s="444"/>
      <c r="L81" s="444"/>
      <c r="N81" s="444" t="s">
        <v>600</v>
      </c>
      <c r="O81" s="455">
        <f>H67</f>
        <v>5.0000000000000001E-3</v>
      </c>
      <c r="P81" s="455">
        <f>C40</f>
        <v>5.0000000000000001E-3</v>
      </c>
      <c r="Q81" s="449">
        <f t="shared" si="22"/>
        <v>1</v>
      </c>
      <c r="R81" s="444" t="s">
        <v>243</v>
      </c>
      <c r="S81" s="450" t="s">
        <v>1562</v>
      </c>
      <c r="T81" s="450" t="s">
        <v>652</v>
      </c>
      <c r="U81" s="450" t="s">
        <v>646</v>
      </c>
      <c r="V81" s="450"/>
      <c r="W81" s="450"/>
      <c r="X81" s="450"/>
      <c r="Z81" s="444" t="s">
        <v>536</v>
      </c>
      <c r="AA81" s="451">
        <f>S83</f>
        <v>2</v>
      </c>
      <c r="AB81" s="451"/>
      <c r="AC81" s="451"/>
      <c r="AD81" s="451"/>
      <c r="AE81" s="444">
        <f>W83</f>
        <v>0</v>
      </c>
      <c r="AF81" s="451">
        <f>X83</f>
        <v>0</v>
      </c>
      <c r="AG81" s="444" t="s">
        <v>536</v>
      </c>
      <c r="AH81" s="451">
        <f>AA81</f>
        <v>2</v>
      </c>
    </row>
    <row r="82" spans="1:35">
      <c r="A82" s="487">
        <v>0.15</v>
      </c>
      <c r="B82" s="487">
        <v>0.01</v>
      </c>
      <c r="C82" s="487">
        <v>1</v>
      </c>
      <c r="D82" s="487">
        <v>1</v>
      </c>
      <c r="E82" s="487">
        <v>0.1</v>
      </c>
      <c r="F82" s="487">
        <v>0.5</v>
      </c>
      <c r="G82" s="487"/>
      <c r="H82" s="487"/>
      <c r="J82" s="444" t="s">
        <v>1553</v>
      </c>
      <c r="K82" s="444" t="s">
        <v>1554</v>
      </c>
      <c r="L82" s="444" t="s">
        <v>1555</v>
      </c>
      <c r="M82" s="456" t="s">
        <v>1556</v>
      </c>
      <c r="N82" s="444" t="s">
        <v>1557</v>
      </c>
      <c r="O82" s="448">
        <f>G66</f>
        <v>122</v>
      </c>
      <c r="P82" s="448">
        <f>O82</f>
        <v>122</v>
      </c>
      <c r="Q82" s="449">
        <f t="shared" si="22"/>
        <v>1</v>
      </c>
      <c r="R82" s="444" t="s">
        <v>537</v>
      </c>
      <c r="S82" s="457">
        <f>C5</f>
        <v>45</v>
      </c>
      <c r="T82" s="458">
        <f>E5*L87/1000000</f>
        <v>5.0000000000000001E-4</v>
      </c>
      <c r="U82" s="455">
        <f>U43</f>
        <v>2E-3</v>
      </c>
      <c r="V82" s="457"/>
      <c r="W82" s="450"/>
      <c r="X82" s="450"/>
      <c r="Z82" s="444" t="s">
        <v>539</v>
      </c>
      <c r="AA82" s="451">
        <f>S84</f>
        <v>1.5707963267948966</v>
      </c>
      <c r="AB82" s="451"/>
      <c r="AC82" s="451"/>
      <c r="AD82" s="451"/>
      <c r="AE82" s="444" t="s">
        <v>540</v>
      </c>
      <c r="AF82" s="446">
        <f>T82</f>
        <v>5.0000000000000001E-4</v>
      </c>
      <c r="AG82" s="444" t="s">
        <v>539</v>
      </c>
      <c r="AH82" s="451">
        <f>AA82</f>
        <v>1.5707963267948966</v>
      </c>
    </row>
    <row r="83" spans="1:35">
      <c r="A83" s="447" t="s">
        <v>1582</v>
      </c>
      <c r="B83" s="487">
        <v>181</v>
      </c>
      <c r="C83" s="487">
        <v>10.3</v>
      </c>
      <c r="D83" s="487">
        <v>0.28000000000000003</v>
      </c>
      <c r="E83" s="487">
        <v>7.17</v>
      </c>
      <c r="F83" s="487">
        <v>3.4</v>
      </c>
      <c r="G83" s="487">
        <v>122</v>
      </c>
      <c r="H83" s="487">
        <v>160</v>
      </c>
      <c r="I83" s="486" t="s">
        <v>1579</v>
      </c>
      <c r="J83" s="444" t="s">
        <v>298</v>
      </c>
      <c r="K83" s="445">
        <f>B66</f>
        <v>181</v>
      </c>
      <c r="L83" s="445">
        <f>L90*L89*I76</f>
        <v>181.00000000000003</v>
      </c>
      <c r="M83" s="449">
        <f>L83/K83</f>
        <v>1.0000000000000002</v>
      </c>
      <c r="N83" s="444" t="s">
        <v>299</v>
      </c>
      <c r="O83" s="448">
        <f>H66</f>
        <v>160</v>
      </c>
      <c r="P83" s="448">
        <f>O83-H69*(P81)</f>
        <v>150</v>
      </c>
      <c r="Q83" s="449">
        <f t="shared" si="22"/>
        <v>0.9375</v>
      </c>
      <c r="R83" s="444" t="s">
        <v>541</v>
      </c>
      <c r="S83" s="457">
        <f>D5</f>
        <v>2</v>
      </c>
      <c r="T83" s="457"/>
      <c r="U83" s="457">
        <f>T82/U82</f>
        <v>0.25</v>
      </c>
      <c r="V83" s="457"/>
      <c r="W83" s="459"/>
      <c r="X83" s="451"/>
      <c r="Z83" s="444"/>
      <c r="AA83" s="446"/>
      <c r="AB83" s="446"/>
      <c r="AC83" s="446"/>
      <c r="AD83" s="446"/>
      <c r="AE83" s="450"/>
      <c r="AI83" s="444" t="s">
        <v>109</v>
      </c>
    </row>
    <row r="84" spans="1:35">
      <c r="A84" s="487">
        <v>1500</v>
      </c>
      <c r="B84" s="487">
        <v>1500</v>
      </c>
      <c r="C84" s="487">
        <v>40</v>
      </c>
      <c r="D84" s="487">
        <v>246</v>
      </c>
      <c r="E84" s="487">
        <v>68</v>
      </c>
      <c r="F84" s="487">
        <v>1.2</v>
      </c>
      <c r="G84" s="487">
        <v>22</v>
      </c>
      <c r="H84" s="487">
        <v>5.0000000000000001E-3</v>
      </c>
      <c r="I84" s="488">
        <v>1</v>
      </c>
      <c r="J84" s="444" t="s">
        <v>1579</v>
      </c>
      <c r="K84" s="445">
        <f>C66</f>
        <v>10.3</v>
      </c>
      <c r="L84" s="445">
        <f>(1+L93)/(1/L94+L93/L91)*I86</f>
        <v>2.5068162405329986</v>
      </c>
      <c r="M84" s="449">
        <f>L84/K84</f>
        <v>0.24338021752747557</v>
      </c>
      <c r="N84" s="444" t="s">
        <v>1580</v>
      </c>
      <c r="O84" s="445">
        <f>(O83-O80)/(O83-O80)</f>
        <v>1</v>
      </c>
      <c r="P84" s="445">
        <f>(P83-P80)/(P83-O80)</f>
        <v>1</v>
      </c>
      <c r="Q84" s="449">
        <f t="shared" si="22"/>
        <v>1</v>
      </c>
      <c r="R84" s="444" t="s">
        <v>1295</v>
      </c>
      <c r="S84" s="461">
        <f>S82*PI()/90</f>
        <v>1.5707963267948966</v>
      </c>
      <c r="T84" s="461"/>
      <c r="U84" s="461"/>
      <c r="V84" s="461"/>
      <c r="W84" s="450"/>
      <c r="X84" s="462"/>
      <c r="Y84" s="444"/>
      <c r="Z84" s="442" t="s">
        <v>1297</v>
      </c>
      <c r="AA84" s="450"/>
      <c r="AB84" s="450"/>
      <c r="AC84" s="446"/>
      <c r="AD84" s="446"/>
      <c r="AE84" s="446"/>
      <c r="AG84" s="442" t="s">
        <v>1298</v>
      </c>
      <c r="AI84" s="444" t="s">
        <v>1299</v>
      </c>
    </row>
    <row r="85" spans="1:35">
      <c r="A85" s="487">
        <v>-0.5</v>
      </c>
      <c r="B85" s="487">
        <v>125</v>
      </c>
      <c r="C85" s="487">
        <v>0.7</v>
      </c>
      <c r="D85" s="487">
        <v>1.6</v>
      </c>
      <c r="E85" s="487">
        <v>0.51600000000000001</v>
      </c>
      <c r="F85" s="487">
        <v>0.5</v>
      </c>
      <c r="G85" s="487">
        <v>0.2</v>
      </c>
      <c r="H85" s="487">
        <v>0.9</v>
      </c>
      <c r="I85" s="489">
        <v>1</v>
      </c>
      <c r="J85" s="444" t="s">
        <v>259</v>
      </c>
      <c r="K85" s="445">
        <f>D66</f>
        <v>0.28000000000000003</v>
      </c>
      <c r="L85" s="445">
        <f>K85*I40*I66</f>
        <v>4.2000000000000003E-2</v>
      </c>
      <c r="M85" s="449">
        <f>L85/K85</f>
        <v>0.15</v>
      </c>
      <c r="N85" s="444" t="s">
        <v>260</v>
      </c>
      <c r="O85" s="448">
        <f>O80-O82</f>
        <v>-100</v>
      </c>
      <c r="P85" s="448">
        <f>P80-P82</f>
        <v>-100</v>
      </c>
      <c r="Q85" s="449">
        <f t="shared" si="22"/>
        <v>1</v>
      </c>
      <c r="R85" s="444" t="s">
        <v>1300</v>
      </c>
      <c r="S85" s="461">
        <f>2*S84</f>
        <v>3.1415926535897931</v>
      </c>
      <c r="T85" s="461"/>
      <c r="U85" s="461"/>
      <c r="V85" s="461"/>
      <c r="W85" s="459"/>
      <c r="X85" s="451"/>
      <c r="Y85" s="446"/>
      <c r="Z85" s="444"/>
      <c r="AA85" s="450" t="s">
        <v>1301</v>
      </c>
      <c r="AB85" s="450"/>
      <c r="AC85" s="463" t="s">
        <v>619</v>
      </c>
      <c r="AD85" s="463"/>
      <c r="AE85" s="450" t="s">
        <v>1303</v>
      </c>
      <c r="AF85" s="450" t="s">
        <v>1304</v>
      </c>
      <c r="AG85" s="444" t="s">
        <v>1305</v>
      </c>
      <c r="AH85" s="455">
        <f>AA91/1000</f>
        <v>4.8096473383334231E-3</v>
      </c>
      <c r="AI85" s="464">
        <f>($AE$31+$AE$32)/2</f>
        <v>1.7068551681092488E-5</v>
      </c>
    </row>
    <row r="86" spans="1:35">
      <c r="A86" s="487">
        <v>0.02</v>
      </c>
      <c r="B86" s="487">
        <v>22.5</v>
      </c>
      <c r="C86" s="490">
        <v>0</v>
      </c>
      <c r="D86" s="487">
        <v>0.6</v>
      </c>
      <c r="E86" s="487">
        <v>0.316</v>
      </c>
      <c r="F86" s="487">
        <v>4.0000000000000001E-3</v>
      </c>
      <c r="G86" s="487">
        <v>4.0000000000000001E-3</v>
      </c>
      <c r="H86" s="487">
        <v>2000</v>
      </c>
      <c r="I86" s="489">
        <v>1</v>
      </c>
      <c r="J86" s="444" t="s">
        <v>261</v>
      </c>
      <c r="K86" s="445">
        <f>E66</f>
        <v>7.17</v>
      </c>
      <c r="L86" s="445">
        <f>(1+L96)/(1/L97+L96*2.7/L91)</f>
        <v>1.478833129796586</v>
      </c>
      <c r="M86" s="449">
        <f>L86/K86</f>
        <v>0.20625287723801758</v>
      </c>
      <c r="N86" s="444"/>
      <c r="O86" s="445"/>
      <c r="P86" s="445"/>
      <c r="Q86" s="445"/>
      <c r="S86" s="465"/>
      <c r="T86" s="465"/>
      <c r="U86" s="465"/>
      <c r="V86" s="484"/>
      <c r="W86" s="450"/>
      <c r="X86" s="450"/>
      <c r="Y86" s="446"/>
      <c r="Z86" s="444">
        <v>1</v>
      </c>
      <c r="AA86" s="445">
        <f>AA47</f>
        <v>0.5</v>
      </c>
      <c r="AB86" s="458"/>
      <c r="AC86" s="445">
        <f>AC47</f>
        <v>14.199945665574337</v>
      </c>
      <c r="AD86" s="458"/>
      <c r="AE86" s="462" t="s">
        <v>1306</v>
      </c>
      <c r="AF86" s="458">
        <f>IF(T82=0,0,(AC86+AC87)/2)</f>
        <v>4.8096473383334226</v>
      </c>
      <c r="AG86" s="444" t="s">
        <v>1307</v>
      </c>
      <c r="AH86" s="455">
        <f>AA92/1000</f>
        <v>4.8096473383334214E-3</v>
      </c>
      <c r="AI86" s="464">
        <f>($AE$31-$AE$32)/2</f>
        <v>2.5882036539697636E-5</v>
      </c>
    </row>
    <row r="87" spans="1:35">
      <c r="A87" s="487">
        <v>0.15</v>
      </c>
      <c r="B87" s="487">
        <v>0.01</v>
      </c>
      <c r="C87" s="487">
        <v>1</v>
      </c>
      <c r="D87" s="487">
        <v>1</v>
      </c>
      <c r="E87" s="487">
        <v>0.1</v>
      </c>
      <c r="F87" s="487">
        <v>0.5</v>
      </c>
      <c r="G87" s="487"/>
      <c r="H87" s="487"/>
      <c r="I87" s="489">
        <v>1</v>
      </c>
      <c r="J87" s="444" t="s">
        <v>262</v>
      </c>
      <c r="K87" s="448">
        <f>B68</f>
        <v>125</v>
      </c>
      <c r="L87" s="448">
        <f>K87/M89</f>
        <v>125</v>
      </c>
      <c r="M87" s="449">
        <f>L87/K87</f>
        <v>1</v>
      </c>
      <c r="N87" s="442" t="s">
        <v>1531</v>
      </c>
      <c r="O87" s="445"/>
      <c r="P87" s="445"/>
      <c r="Q87" s="445"/>
      <c r="R87" s="444" t="s">
        <v>1325</v>
      </c>
      <c r="S87" s="450" t="s">
        <v>1326</v>
      </c>
      <c r="T87" s="450"/>
      <c r="U87" s="450" t="s">
        <v>1330</v>
      </c>
      <c r="V87" s="444" t="s">
        <v>172</v>
      </c>
      <c r="W87" s="444" t="s">
        <v>187</v>
      </c>
      <c r="X87" s="450"/>
      <c r="Y87" s="455"/>
      <c r="Z87" s="444">
        <v>2</v>
      </c>
      <c r="AA87" s="445">
        <f>AA48</f>
        <v>0</v>
      </c>
      <c r="AB87" s="458"/>
      <c r="AC87" s="445">
        <f>AC48</f>
        <v>-4.5806509889074913</v>
      </c>
      <c r="AD87" s="458"/>
      <c r="AE87" s="462" t="s">
        <v>1309</v>
      </c>
      <c r="AF87" s="458">
        <f>IF(T82=0,0,(AC86-AC87)/2)</f>
        <v>9.3902983272409131</v>
      </c>
      <c r="AG87" s="444" t="s">
        <v>1310</v>
      </c>
      <c r="AH87" s="455">
        <f>AA93/1000</f>
        <v>-1.8780596654481826E-2</v>
      </c>
      <c r="AI87" s="464">
        <f>$AE$33/2</f>
        <v>-5.0421544567267384E-22</v>
      </c>
    </row>
    <row r="88" spans="1:35">
      <c r="I88" s="489">
        <v>1</v>
      </c>
      <c r="J88" s="442" t="s">
        <v>264</v>
      </c>
      <c r="K88" s="445"/>
      <c r="L88" s="445"/>
      <c r="N88" s="444" t="s">
        <v>265</v>
      </c>
      <c r="O88" s="445">
        <f>A69</f>
        <v>0.02</v>
      </c>
      <c r="P88" s="445">
        <f>O88</f>
        <v>0.02</v>
      </c>
      <c r="Q88" s="445">
        <f>P88/O88</f>
        <v>1</v>
      </c>
      <c r="R88" s="444">
        <v>11</v>
      </c>
      <c r="S88" s="445">
        <f>L105+L106*COS(S84)+L107*COS(S85)</f>
        <v>47.409302461537649</v>
      </c>
      <c r="T88" s="445"/>
      <c r="U88" s="458">
        <f>S88*T82</f>
        <v>2.3704651230768824E-2</v>
      </c>
      <c r="V88" s="458">
        <f t="shared" ref="V88:W93" si="23">V49</f>
        <v>4.9567741608415233E-2</v>
      </c>
      <c r="W88" s="445">
        <f t="shared" si="23"/>
        <v>24.783870804207616</v>
      </c>
      <c r="X88" s="455"/>
      <c r="Y88" s="446"/>
      <c r="Z88" s="444">
        <v>6</v>
      </c>
      <c r="AA88" s="445">
        <f>AA49</f>
        <v>0</v>
      </c>
      <c r="AB88" s="458"/>
      <c r="AC88" s="445">
        <f>AC49</f>
        <v>6.8206751737942824E-16</v>
      </c>
      <c r="AD88" s="458"/>
      <c r="AE88" s="462" t="s">
        <v>1312</v>
      </c>
      <c r="AF88" s="458">
        <f>IF(T82=0,0,AC88/2)</f>
        <v>3.4103375868971412E-16</v>
      </c>
      <c r="AG88" s="444"/>
      <c r="AH88" s="458"/>
      <c r="AI88" s="458"/>
    </row>
    <row r="89" spans="1:35">
      <c r="A89" s="485" t="s">
        <v>843</v>
      </c>
      <c r="I89" s="489">
        <v>1</v>
      </c>
      <c r="J89" s="444" t="s">
        <v>1532</v>
      </c>
      <c r="K89" s="445">
        <f>C68</f>
        <v>0.7</v>
      </c>
      <c r="L89" s="445">
        <f>D40</f>
        <v>0.7</v>
      </c>
      <c r="M89" s="449">
        <f t="shared" ref="M89:M97" si="24">L89/K89</f>
        <v>1</v>
      </c>
      <c r="N89" s="444" t="s">
        <v>1533</v>
      </c>
      <c r="O89" s="445">
        <f>B69</f>
        <v>22.5</v>
      </c>
      <c r="P89" s="445">
        <f>O89*(1-L89)/(1-K89)</f>
        <v>22.5</v>
      </c>
      <c r="Q89" s="445">
        <f>P89/O89</f>
        <v>1</v>
      </c>
      <c r="R89" s="444">
        <v>22</v>
      </c>
      <c r="S89" s="445">
        <f>S88-2*L106*COS(S84)</f>
        <v>47.409302461537635</v>
      </c>
      <c r="T89" s="445"/>
      <c r="U89" s="458">
        <f>S89*T82</f>
        <v>2.3704651230768817E-2</v>
      </c>
      <c r="V89" s="458">
        <f t="shared" si="23"/>
        <v>0.13796301355045693</v>
      </c>
      <c r="W89" s="445">
        <f t="shared" si="23"/>
        <v>68.981506775228468</v>
      </c>
      <c r="X89" s="450"/>
      <c r="AA89" s="458"/>
      <c r="AB89" s="458"/>
      <c r="AC89" s="458"/>
      <c r="AD89" s="458"/>
      <c r="AE89" s="462"/>
      <c r="AF89" s="458"/>
      <c r="AG89" s="444"/>
      <c r="AH89" s="458"/>
      <c r="AI89" s="458"/>
    </row>
    <row r="90" spans="1:35">
      <c r="A90" s="447" t="s">
        <v>1582</v>
      </c>
      <c r="B90" s="487">
        <v>181</v>
      </c>
      <c r="C90" s="487">
        <v>10.3</v>
      </c>
      <c r="D90" s="487">
        <v>0.28000000000000003</v>
      </c>
      <c r="E90" s="487">
        <v>7.17</v>
      </c>
      <c r="F90" s="487">
        <v>3.4</v>
      </c>
      <c r="G90" s="487">
        <v>122</v>
      </c>
      <c r="H90" s="487">
        <v>160</v>
      </c>
      <c r="I90" s="489">
        <v>1</v>
      </c>
      <c r="J90" s="444" t="s">
        <v>1534</v>
      </c>
      <c r="K90" s="448">
        <f>K83/K89</f>
        <v>258.57142857142861</v>
      </c>
      <c r="L90" s="448">
        <f>F40*P84^F69*I66</f>
        <v>258.57142857142861</v>
      </c>
      <c r="M90" s="449">
        <f t="shared" si="24"/>
        <v>1</v>
      </c>
      <c r="N90" s="443" t="s">
        <v>1535</v>
      </c>
      <c r="O90" s="445"/>
      <c r="P90" s="445"/>
      <c r="Q90" s="445"/>
      <c r="R90" s="444" t="s">
        <v>1345</v>
      </c>
      <c r="S90" s="445">
        <f>L108-L107*COS(S85)</f>
        <v>44.451636201944495</v>
      </c>
      <c r="T90" s="445"/>
      <c r="U90" s="458">
        <f>S90*T82</f>
        <v>2.2225818100972249E-2</v>
      </c>
      <c r="V90" s="458">
        <f t="shared" si="23"/>
        <v>4.4504424829219763E-2</v>
      </c>
      <c r="W90" s="445">
        <f t="shared" si="23"/>
        <v>22.252212414609883</v>
      </c>
      <c r="X90" s="458"/>
      <c r="Z90" s="442" t="s">
        <v>1323</v>
      </c>
      <c r="AA90" s="458"/>
      <c r="AB90" s="458"/>
      <c r="AC90" s="458"/>
      <c r="AD90" s="458"/>
      <c r="AE90" s="462"/>
      <c r="AF90" s="458"/>
      <c r="AG90" s="444"/>
      <c r="AH90" s="458"/>
      <c r="AI90" s="458"/>
    </row>
    <row r="91" spans="1:35">
      <c r="A91" s="487">
        <v>1500</v>
      </c>
      <c r="B91" s="487">
        <v>1500</v>
      </c>
      <c r="C91" s="487">
        <v>40</v>
      </c>
      <c r="D91" s="487">
        <v>246</v>
      </c>
      <c r="E91" s="487">
        <v>68</v>
      </c>
      <c r="F91" s="487">
        <v>1.2</v>
      </c>
      <c r="G91" s="487">
        <v>22</v>
      </c>
      <c r="H91" s="487">
        <v>5.0000000000000001E-3</v>
      </c>
      <c r="I91" s="491">
        <v>1</v>
      </c>
      <c r="J91" s="444" t="s">
        <v>1536</v>
      </c>
      <c r="K91" s="445">
        <f>F66</f>
        <v>3.4</v>
      </c>
      <c r="L91" s="445">
        <f>E40*P84^F68*I40*I66</f>
        <v>0.51</v>
      </c>
      <c r="M91" s="449">
        <f t="shared" si="24"/>
        <v>0.15</v>
      </c>
      <c r="N91" s="444" t="s">
        <v>1537</v>
      </c>
      <c r="O91" s="445">
        <f>C69</f>
        <v>0</v>
      </c>
      <c r="P91" s="445">
        <f>O91</f>
        <v>0</v>
      </c>
      <c r="Q91" s="445">
        <v>1</v>
      </c>
      <c r="R91" s="444">
        <v>66</v>
      </c>
      <c r="S91" s="445">
        <f>S90-L108+L109</f>
        <v>45.825180477319208</v>
      </c>
      <c r="T91" s="445"/>
      <c r="U91" s="458">
        <f>S91*T82</f>
        <v>2.2912590238659606E-2</v>
      </c>
      <c r="V91" s="458">
        <f t="shared" si="23"/>
        <v>4.6600447042217497E-2</v>
      </c>
      <c r="W91" s="445">
        <f t="shared" si="23"/>
        <v>23.300223521108748</v>
      </c>
      <c r="X91" s="445"/>
      <c r="Z91" s="444" t="s">
        <v>1324</v>
      </c>
      <c r="AA91" s="455">
        <f>(AF86+AF87*COS(AA82)+AF88*SIN(AA82))</f>
        <v>4.8096473383334235</v>
      </c>
      <c r="AB91" s="455">
        <f>IF(ABS(AA91/AA94)&lt;0.0000000001,0,AA91)</f>
        <v>4.8096473383334235</v>
      </c>
      <c r="AC91" s="455"/>
      <c r="AD91" s="455"/>
      <c r="AE91" s="462"/>
      <c r="AF91" s="458"/>
      <c r="AG91" s="442"/>
      <c r="AH91" s="462"/>
      <c r="AI91" s="458"/>
    </row>
    <row r="92" spans="1:35">
      <c r="A92" s="487">
        <v>-0.5</v>
      </c>
      <c r="B92" s="487">
        <v>125</v>
      </c>
      <c r="C92" s="487">
        <v>0.7</v>
      </c>
      <c r="D92" s="487">
        <v>1.6</v>
      </c>
      <c r="E92" s="487">
        <v>0.51600000000000001</v>
      </c>
      <c r="F92" s="487">
        <v>0.5</v>
      </c>
      <c r="G92" s="487">
        <v>0.2</v>
      </c>
      <c r="H92" s="487">
        <v>0.9</v>
      </c>
      <c r="J92" s="444" t="s">
        <v>1538</v>
      </c>
      <c r="K92" s="445">
        <f>E68</f>
        <v>0.51600000000000001</v>
      </c>
      <c r="L92" s="445">
        <f>K92*P84^G68</f>
        <v>0.51600000000000001</v>
      </c>
      <c r="M92" s="449">
        <f t="shared" si="24"/>
        <v>1</v>
      </c>
      <c r="N92" s="444" t="s">
        <v>1539</v>
      </c>
      <c r="O92" s="445">
        <f>D69</f>
        <v>0.6</v>
      </c>
      <c r="P92" s="445">
        <f>O92*(1-L89)/(1-K89)</f>
        <v>0.6</v>
      </c>
      <c r="Q92" s="445">
        <f>P92/O92</f>
        <v>1</v>
      </c>
      <c r="R92" s="444" t="s">
        <v>1347</v>
      </c>
      <c r="S92" s="445">
        <f>L106*SIN(S84)/2+L107*SIN(S85)</f>
        <v>44.62438616141273</v>
      </c>
      <c r="T92" s="445"/>
      <c r="U92" s="458">
        <f>S92*T82</f>
        <v>2.2312193080706366E-2</v>
      </c>
      <c r="V92" s="458">
        <f t="shared" si="23"/>
        <v>0</v>
      </c>
      <c r="W92" s="445">
        <f t="shared" si="23"/>
        <v>0</v>
      </c>
      <c r="X92" s="450"/>
      <c r="Z92" s="444" t="s">
        <v>1332</v>
      </c>
      <c r="AA92" s="455">
        <f>2*AF86-AA91</f>
        <v>4.8096473383334217</v>
      </c>
      <c r="AB92" s="455">
        <f>IF(ABS(AA92/AA94)&lt;0.0000000001,0,AA92)</f>
        <v>4.8096473383334217</v>
      </c>
      <c r="AC92" s="455"/>
      <c r="AD92" s="455"/>
      <c r="AE92" s="458"/>
      <c r="AF92" s="458"/>
      <c r="AG92" s="444" t="s">
        <v>1333</v>
      </c>
      <c r="AH92" s="458">
        <f>P111*AH85^2+2*P113*AH85*AH86+P112*AH86^2+P114*AH87^2</f>
        <v>0.56581938256204745</v>
      </c>
      <c r="AI92" s="458"/>
    </row>
    <row r="93" spans="1:35">
      <c r="A93" s="487">
        <v>0.02</v>
      </c>
      <c r="B93" s="487">
        <v>22.5</v>
      </c>
      <c r="C93" s="490">
        <v>0</v>
      </c>
      <c r="D93" s="487">
        <v>0.6</v>
      </c>
      <c r="E93" s="487">
        <v>0.316</v>
      </c>
      <c r="F93" s="487">
        <v>4.0000000000000001E-3</v>
      </c>
      <c r="G93" s="487">
        <v>4.0000000000000001E-3</v>
      </c>
      <c r="H93" s="487">
        <v>2000</v>
      </c>
      <c r="I93" s="486" t="s">
        <v>161</v>
      </c>
      <c r="J93" s="444" t="s">
        <v>1547</v>
      </c>
      <c r="K93" s="445">
        <f>K92*(1-K89)/K89</f>
        <v>0.2211428571428572</v>
      </c>
      <c r="L93" s="445">
        <f>L92*(1-L89)/L89</f>
        <v>0.2211428571428572</v>
      </c>
      <c r="M93" s="449">
        <f t="shared" si="24"/>
        <v>1</v>
      </c>
      <c r="O93" s="445"/>
      <c r="P93" s="445"/>
      <c r="Q93" s="445"/>
      <c r="R93" s="444" t="s">
        <v>1349</v>
      </c>
      <c r="S93" s="445">
        <f>L106*SIN(S84)-S92</f>
        <v>44.62438616141273</v>
      </c>
      <c r="T93" s="445"/>
      <c r="U93" s="458">
        <f>S93*T82</f>
        <v>2.2312193080706366E-2</v>
      </c>
      <c r="V93" s="458">
        <f t="shared" si="23"/>
        <v>6.9388939039072284E-18</v>
      </c>
      <c r="W93" s="445">
        <f t="shared" si="23"/>
        <v>3.4694469519536142E-15</v>
      </c>
      <c r="X93" s="458"/>
      <c r="Z93" s="444" t="s">
        <v>1334</v>
      </c>
      <c r="AA93" s="455">
        <f>(2*(AF88*COS(AA82)-AF87*SIN(AA82)))</f>
        <v>-18.780596654481826</v>
      </c>
      <c r="AB93" s="455">
        <f>IF(ABS(AA93/AA94)&lt;0.0000000001,0,AA93)</f>
        <v>-18.780596654481826</v>
      </c>
      <c r="AC93" s="455"/>
      <c r="AD93" s="455"/>
      <c r="AE93" s="458"/>
      <c r="AF93" s="458"/>
      <c r="AG93" s="444" t="s">
        <v>1335</v>
      </c>
      <c r="AH93" s="458">
        <f>P115*AH85+P116*AH86</f>
        <v>0.16371115505060047</v>
      </c>
      <c r="AI93" s="458"/>
    </row>
    <row r="94" spans="1:35">
      <c r="A94" s="487">
        <v>0.15</v>
      </c>
      <c r="B94" s="487">
        <v>0.01</v>
      </c>
      <c r="C94" s="487">
        <v>1</v>
      </c>
      <c r="D94" s="487">
        <v>1</v>
      </c>
      <c r="E94" s="487">
        <v>0.1</v>
      </c>
      <c r="F94" s="487">
        <v>0.5</v>
      </c>
      <c r="G94" s="487"/>
      <c r="H94" s="487"/>
      <c r="I94" s="488">
        <f>AB13</f>
        <v>14.199945665574337</v>
      </c>
      <c r="J94" s="444" t="s">
        <v>1643</v>
      </c>
      <c r="K94" s="445">
        <f>1/((1+K93)/K84-K93/K91)</f>
        <v>18.686160319541436</v>
      </c>
      <c r="L94" s="445">
        <f>K94*P84^F69*I66</f>
        <v>18.686160319541436</v>
      </c>
      <c r="M94" s="449">
        <f t="shared" si="24"/>
        <v>1</v>
      </c>
      <c r="N94" s="443" t="s">
        <v>176</v>
      </c>
      <c r="O94" s="445"/>
      <c r="P94" s="445"/>
      <c r="Q94" s="445"/>
      <c r="S94" s="443"/>
      <c r="T94" s="450" t="s">
        <v>1353</v>
      </c>
      <c r="U94" s="446">
        <f>U88*U89*U91+2*U90*U92*U93-U89*U92^2-U91*U90^2-U88*U93^2</f>
        <v>8.3876609962042566E-8</v>
      </c>
      <c r="V94" s="446">
        <f>V88*V89*V91+2*V90*V92*V93-V89*V92^2-V91*V90^2-V88*V93^2</f>
        <v>2.2637896855934086E-4</v>
      </c>
      <c r="W94" s="443"/>
      <c r="X94" s="458"/>
      <c r="Z94" s="444" t="s">
        <v>1363</v>
      </c>
      <c r="AA94" s="458">
        <f>SQRT(AA91^2+AA92^2+AA93^2)</f>
        <v>19.974389245646773</v>
      </c>
      <c r="AB94" s="458"/>
      <c r="AC94" s="458"/>
      <c r="AD94" s="458"/>
      <c r="AE94" s="458"/>
      <c r="AF94" s="458"/>
      <c r="AG94" s="444" t="s">
        <v>1344</v>
      </c>
      <c r="AH94" s="458">
        <f>AH93/2/AH92</f>
        <v>0.14466732679721164</v>
      </c>
      <c r="AI94" s="458"/>
    </row>
    <row r="95" spans="1:35">
      <c r="A95" s="447" t="s">
        <v>1582</v>
      </c>
      <c r="B95" s="487">
        <v>181</v>
      </c>
      <c r="C95" s="487">
        <v>10.3</v>
      </c>
      <c r="D95" s="487">
        <v>0.28000000000000003</v>
      </c>
      <c r="E95" s="487">
        <v>7.17</v>
      </c>
      <c r="F95" s="487">
        <v>3.4</v>
      </c>
      <c r="G95" s="487">
        <v>122</v>
      </c>
      <c r="H95" s="487">
        <v>160</v>
      </c>
      <c r="I95" s="489">
        <f>AB52</f>
        <v>-4.5806509889074905</v>
      </c>
      <c r="J95" s="444" t="s">
        <v>295</v>
      </c>
      <c r="K95" s="445">
        <f>E69</f>
        <v>0.316</v>
      </c>
      <c r="L95" s="445">
        <f>K95*P84^G68</f>
        <v>0.316</v>
      </c>
      <c r="M95" s="449">
        <f t="shared" si="24"/>
        <v>1</v>
      </c>
      <c r="N95" s="444" t="s">
        <v>296</v>
      </c>
      <c r="O95" s="448">
        <f>A67</f>
        <v>1500</v>
      </c>
      <c r="P95" s="448">
        <f>P101*L89</f>
        <v>1500</v>
      </c>
      <c r="Q95" s="445">
        <f t="shared" ref="Q95:Q102" si="25">P95/O95</f>
        <v>1</v>
      </c>
      <c r="R95" s="444" t="s">
        <v>1355</v>
      </c>
      <c r="S95" s="450" t="s">
        <v>382</v>
      </c>
      <c r="T95" s="450" t="s">
        <v>182</v>
      </c>
      <c r="U95" s="450" t="s">
        <v>669</v>
      </c>
      <c r="V95" s="450" t="s">
        <v>670</v>
      </c>
      <c r="W95" s="443"/>
      <c r="X95" s="458"/>
      <c r="Z95" s="444"/>
      <c r="AA95" s="458"/>
      <c r="AB95" s="458"/>
      <c r="AC95" s="458"/>
      <c r="AD95" s="458"/>
      <c r="AE95" s="458"/>
      <c r="AF95" s="458"/>
      <c r="AG95" s="444"/>
      <c r="AH95" s="458"/>
      <c r="AI95" s="458"/>
    </row>
    <row r="96" spans="1:35">
      <c r="A96" s="487">
        <v>1500</v>
      </c>
      <c r="B96" s="487">
        <v>1500</v>
      </c>
      <c r="C96" s="487">
        <v>40</v>
      </c>
      <c r="D96" s="487">
        <v>246</v>
      </c>
      <c r="E96" s="487">
        <v>68</v>
      </c>
      <c r="F96" s="487">
        <v>1.2</v>
      </c>
      <c r="G96" s="487">
        <v>22</v>
      </c>
      <c r="H96" s="487">
        <v>5.0000000000000001E-3</v>
      </c>
      <c r="I96" s="489">
        <f>AB91</f>
        <v>4.8096473383334235</v>
      </c>
      <c r="J96" s="444" t="s">
        <v>301</v>
      </c>
      <c r="K96" s="445">
        <f>K95*(1-K89)/K89</f>
        <v>0.13542857142857145</v>
      </c>
      <c r="L96" s="445">
        <f>L95*(1-L89)/L89</f>
        <v>0.13542857142857145</v>
      </c>
      <c r="M96" s="449">
        <f t="shared" si="24"/>
        <v>1</v>
      </c>
      <c r="N96" s="444" t="s">
        <v>302</v>
      </c>
      <c r="O96" s="448">
        <f>B67</f>
        <v>1500</v>
      </c>
      <c r="P96" s="448">
        <f>O96*Q95*M86^E70</f>
        <v>1280.9472941235774</v>
      </c>
      <c r="Q96" s="445">
        <f t="shared" si="25"/>
        <v>0.85396486274905159</v>
      </c>
      <c r="R96" s="444">
        <v>11</v>
      </c>
      <c r="S96" s="446">
        <f>IF(U94=0,1E+99,(U89*U91-U93^2)/U94)</f>
        <v>540.0909782920827</v>
      </c>
      <c r="T96" s="445">
        <f t="shared" ref="T96:V101" si="26">T57</f>
        <v>28.399891331148673</v>
      </c>
      <c r="U96" s="445">
        <f t="shared" si="26"/>
        <v>5.6799782662297349E-2</v>
      </c>
      <c r="V96" s="445">
        <f t="shared" si="26"/>
        <v>17.605701168708549</v>
      </c>
      <c r="W96" s="443"/>
      <c r="X96" s="458"/>
      <c r="Z96" s="444"/>
      <c r="AA96" s="458"/>
      <c r="AB96" s="458"/>
      <c r="AC96" s="458"/>
      <c r="AD96" s="458"/>
      <c r="AE96" s="458"/>
      <c r="AF96" s="458"/>
      <c r="AG96" s="444"/>
      <c r="AH96" s="458"/>
      <c r="AI96" s="458"/>
    </row>
    <row r="97" spans="1:35">
      <c r="A97" s="487">
        <v>-0.5</v>
      </c>
      <c r="B97" s="487">
        <v>125</v>
      </c>
      <c r="C97" s="487">
        <v>0.7</v>
      </c>
      <c r="D97" s="487">
        <v>1.6</v>
      </c>
      <c r="E97" s="487">
        <v>0.51600000000000001</v>
      </c>
      <c r="F97" s="487">
        <v>0.5</v>
      </c>
      <c r="G97" s="487">
        <v>0.2</v>
      </c>
      <c r="H97" s="487">
        <v>0.9</v>
      </c>
      <c r="I97" s="489">
        <f>AB130</f>
        <v>4.8096473383334235</v>
      </c>
      <c r="J97" s="444" t="s">
        <v>304</v>
      </c>
      <c r="K97" s="445">
        <f>1/((1+K96)/K86-K96*2.7/K91)</f>
        <v>19.680382632972858</v>
      </c>
      <c r="L97" s="445">
        <f>K97*P84^F69*I66</f>
        <v>19.680382632972858</v>
      </c>
      <c r="M97" s="449">
        <f t="shared" si="24"/>
        <v>1</v>
      </c>
      <c r="N97" s="444" t="s">
        <v>305</v>
      </c>
      <c r="O97" s="448">
        <f>C67</f>
        <v>40</v>
      </c>
      <c r="P97" s="448">
        <f>O97*Q102</f>
        <v>40</v>
      </c>
      <c r="Q97" s="445">
        <f t="shared" si="25"/>
        <v>1</v>
      </c>
      <c r="R97" s="444">
        <v>22</v>
      </c>
      <c r="S97" s="446">
        <f>IF(U94=0,1E+99,(U88*U91-U92^2)/U94)</f>
        <v>540.09097829208531</v>
      </c>
      <c r="T97" s="445">
        <f t="shared" si="26"/>
        <v>10.203593260121179</v>
      </c>
      <c r="U97" s="445">
        <f t="shared" si="26"/>
        <v>2.040718652024236E-2</v>
      </c>
      <c r="V97" s="445">
        <f t="shared" si="26"/>
        <v>49.002345277144251</v>
      </c>
      <c r="W97" s="443"/>
      <c r="X97" s="458"/>
      <c r="AA97" s="458"/>
      <c r="AB97" s="458"/>
      <c r="AC97" s="458"/>
      <c r="AD97" s="458"/>
      <c r="AE97" s="458"/>
      <c r="AF97" s="458"/>
      <c r="AG97" s="444"/>
      <c r="AH97" s="458"/>
      <c r="AI97" s="462" t="s">
        <v>1348</v>
      </c>
    </row>
    <row r="98" spans="1:35">
      <c r="A98" s="487">
        <v>0.02</v>
      </c>
      <c r="B98" s="487">
        <v>22.5</v>
      </c>
      <c r="C98" s="490">
        <v>0</v>
      </c>
      <c r="D98" s="487">
        <v>0.6</v>
      </c>
      <c r="E98" s="487">
        <v>0.316</v>
      </c>
      <c r="F98" s="487">
        <v>4.0000000000000001E-3</v>
      </c>
      <c r="G98" s="487">
        <v>4.0000000000000001E-3</v>
      </c>
      <c r="H98" s="487">
        <v>2000</v>
      </c>
      <c r="I98" s="489" t="e">
        <f>AB169</f>
        <v>#DIV/0!</v>
      </c>
      <c r="L98" s="445"/>
      <c r="N98" s="444" t="s">
        <v>1542</v>
      </c>
      <c r="O98" s="448">
        <f>D67</f>
        <v>246</v>
      </c>
      <c r="P98" s="448">
        <f>O98*Q102</f>
        <v>246</v>
      </c>
      <c r="Q98" s="445">
        <f t="shared" si="25"/>
        <v>1</v>
      </c>
      <c r="R98" s="444" t="s">
        <v>1345</v>
      </c>
      <c r="S98" s="446">
        <f>IF(U94=0,1E+99,(U92*U93-U90*U91)/U94)</f>
        <v>-136.11783786929934</v>
      </c>
      <c r="T98" s="445">
        <f t="shared" si="26"/>
        <v>-9.1613019778149827</v>
      </c>
      <c r="U98" s="445">
        <f t="shared" si="26"/>
        <v>-1.8322603955629967E-2</v>
      </c>
      <c r="V98" s="445">
        <f t="shared" si="26"/>
        <v>0.32258228987541837</v>
      </c>
      <c r="W98" s="443"/>
      <c r="X98" s="458"/>
      <c r="AF98" s="458"/>
      <c r="AG98" s="444" t="s">
        <v>1351</v>
      </c>
      <c r="AH98" s="455">
        <f>(AH94^2+1/AH92)^0.5-AH94</f>
        <v>1.1925974450324361</v>
      </c>
      <c r="AI98" s="455">
        <f>AH99</f>
        <v>1.1925974450324361</v>
      </c>
    </row>
    <row r="99" spans="1:35">
      <c r="A99" s="487">
        <v>0.15</v>
      </c>
      <c r="B99" s="487">
        <v>0.01</v>
      </c>
      <c r="C99" s="487">
        <v>1</v>
      </c>
      <c r="D99" s="487">
        <v>1</v>
      </c>
      <c r="E99" s="487">
        <v>0.1</v>
      </c>
      <c r="F99" s="487">
        <v>0.5</v>
      </c>
      <c r="G99" s="487"/>
      <c r="H99" s="487"/>
      <c r="I99" s="489" t="e">
        <f>AB208</f>
        <v>#DIV/0!</v>
      </c>
      <c r="J99" s="443" t="s">
        <v>1507</v>
      </c>
      <c r="N99" s="444" t="s">
        <v>1543</v>
      </c>
      <c r="O99" s="475">
        <f>E67</f>
        <v>68</v>
      </c>
      <c r="P99" s="475">
        <f>O99*Q102</f>
        <v>68</v>
      </c>
      <c r="Q99" s="445">
        <f t="shared" si="25"/>
        <v>1</v>
      </c>
      <c r="R99" s="444">
        <v>66</v>
      </c>
      <c r="S99" s="446">
        <f>IF(U94=0,1E+99,(U88*U89-U90^2)/U94)</f>
        <v>809.80263443673039</v>
      </c>
      <c r="T99" s="445">
        <f t="shared" si="26"/>
        <v>21.45902160754067</v>
      </c>
      <c r="U99" s="445">
        <f t="shared" si="26"/>
        <v>4.2918043215081345E-2</v>
      </c>
      <c r="V99" s="445">
        <f t="shared" si="26"/>
        <v>23.300223521108748</v>
      </c>
      <c r="W99" s="443"/>
      <c r="AF99" s="458"/>
      <c r="AG99" s="444"/>
      <c r="AH99" s="455">
        <f>IF(AH81=0,1000000000,AH98)</f>
        <v>1.1925974450324361</v>
      </c>
    </row>
    <row r="100" spans="1:35">
      <c r="I100" s="489" t="e">
        <f>AB247</f>
        <v>#DIV/0!</v>
      </c>
      <c r="J100" s="444" t="s">
        <v>1354</v>
      </c>
      <c r="K100" s="445">
        <f>K83/(1-K85^2*K84/K83)</f>
        <v>181.81113884441791</v>
      </c>
      <c r="L100" s="445">
        <f>L83/(1-L85^2*L84/L83)</f>
        <v>181.00442213188575</v>
      </c>
      <c r="M100" s="449">
        <f>L100/K100</f>
        <v>0.99556288620345479</v>
      </c>
      <c r="N100" s="444" t="s">
        <v>1168</v>
      </c>
      <c r="O100" s="449">
        <f>A68</f>
        <v>-0.5</v>
      </c>
      <c r="P100" s="449">
        <f>O100*I40*I66</f>
        <v>-7.4999999999999997E-2</v>
      </c>
      <c r="Q100" s="445">
        <f t="shared" si="25"/>
        <v>0.15</v>
      </c>
      <c r="R100" s="444" t="s">
        <v>1347</v>
      </c>
      <c r="S100" s="446">
        <f>IF(U94=0,1E+99,(U90*U93-U89*U92)/U94)</f>
        <v>-393.38750506366813</v>
      </c>
      <c r="T100" s="445">
        <f t="shared" si="26"/>
        <v>1.3641350347588565E-15</v>
      </c>
      <c r="U100" s="445">
        <f t="shared" si="26"/>
        <v>2.7282700695177132E-18</v>
      </c>
      <c r="V100" s="445">
        <f t="shared" si="26"/>
        <v>4.8033107551460555E-17</v>
      </c>
      <c r="W100" s="443"/>
      <c r="X100" s="443"/>
      <c r="Y100" s="444"/>
      <c r="AF100" s="458"/>
      <c r="AG100" s="443" t="s">
        <v>1360</v>
      </c>
      <c r="AH100" s="455">
        <f>IF(AH81=0,0,AH98)</f>
        <v>1.1925974450324361</v>
      </c>
    </row>
    <row r="101" spans="1:35">
      <c r="I101" s="491" t="e">
        <f>AB286</f>
        <v>#DIV/0!</v>
      </c>
      <c r="J101" s="444" t="s">
        <v>1361</v>
      </c>
      <c r="K101" s="445">
        <f>K100*K84/K83</f>
        <v>10.346158729820468</v>
      </c>
      <c r="L101" s="445">
        <f>L100*L84/L83</f>
        <v>2.5068774862348158</v>
      </c>
      <c r="M101" s="449">
        <f>L101/K101</f>
        <v>0.24230031180647818</v>
      </c>
      <c r="N101" s="444" t="s">
        <v>1175</v>
      </c>
      <c r="O101" s="448">
        <f>O95/K89</f>
        <v>2142.8571428571431</v>
      </c>
      <c r="P101" s="448">
        <f>H40*P84^G69</f>
        <v>2142.8571428571431</v>
      </c>
      <c r="Q101" s="445">
        <f t="shared" si="25"/>
        <v>1</v>
      </c>
      <c r="R101" s="444" t="s">
        <v>1349</v>
      </c>
      <c r="S101" s="446">
        <f>IF(U94=0,1E+99,(U90*U92-U88*U93)/U94)</f>
        <v>-393.38750506367069</v>
      </c>
      <c r="T101" s="445">
        <f t="shared" si="26"/>
        <v>-1.5193341601736405E-15</v>
      </c>
      <c r="U101" s="445">
        <f t="shared" si="26"/>
        <v>-3.0386683203472813E-18</v>
      </c>
      <c r="V101" s="445">
        <f t="shared" si="26"/>
        <v>-5.3497886398855771E-17</v>
      </c>
      <c r="W101" s="443"/>
      <c r="X101" s="443"/>
      <c r="Y101" s="445"/>
      <c r="AF101" s="458"/>
      <c r="AG101" s="444" t="s">
        <v>1364</v>
      </c>
      <c r="AH101" s="464">
        <f>AI85+AI86*COS(AH82)+AI87*SIN(AH82)-V107</f>
        <v>1.9068551681092489E-5</v>
      </c>
      <c r="AI101" s="458"/>
    </row>
    <row r="102" spans="1:35">
      <c r="J102" s="444" t="s">
        <v>1365</v>
      </c>
      <c r="K102" s="445">
        <f>K101*K85</f>
        <v>2.8969244443497315</v>
      </c>
      <c r="L102" s="445">
        <f>L101*L85</f>
        <v>0.10528885442186227</v>
      </c>
      <c r="M102" s="449">
        <f>L102/K102</f>
        <v>3.6345046770971723E-2</v>
      </c>
      <c r="N102" s="444" t="s">
        <v>1176</v>
      </c>
      <c r="O102" s="448">
        <f>O97</f>
        <v>40</v>
      </c>
      <c r="P102" s="448">
        <f>G40*P84^H68</f>
        <v>40</v>
      </c>
      <c r="Q102" s="445">
        <f t="shared" si="25"/>
        <v>1</v>
      </c>
      <c r="R102" s="442" t="s">
        <v>1185</v>
      </c>
      <c r="S102" s="443"/>
      <c r="T102" s="471"/>
      <c r="W102" s="443"/>
      <c r="X102" s="443"/>
      <c r="Y102" s="445"/>
      <c r="AF102" s="458"/>
      <c r="AG102" s="444" t="s">
        <v>1367</v>
      </c>
      <c r="AH102" s="464">
        <f>2*AI85-AH101-V108-V107</f>
        <v>-7.3293144831890775E-4</v>
      </c>
      <c r="AI102" s="458"/>
    </row>
    <row r="103" spans="1:35">
      <c r="A103" s="495" t="s">
        <v>1583</v>
      </c>
      <c r="B103" s="496" t="s">
        <v>1577</v>
      </c>
      <c r="C103" s="496" t="s">
        <v>1578</v>
      </c>
      <c r="D103" s="496" t="s">
        <v>266</v>
      </c>
      <c r="E103" s="496" t="s">
        <v>267</v>
      </c>
      <c r="F103" s="496" t="s">
        <v>268</v>
      </c>
      <c r="G103" s="496" t="s">
        <v>1584</v>
      </c>
      <c r="H103" s="497" t="s">
        <v>1585</v>
      </c>
      <c r="I103" s="486" t="s">
        <v>1346</v>
      </c>
      <c r="J103" s="444" t="s">
        <v>1370</v>
      </c>
      <c r="K103" s="445">
        <f>K86</f>
        <v>7.17</v>
      </c>
      <c r="L103" s="445">
        <f>L86</f>
        <v>1.478833129796586</v>
      </c>
      <c r="M103" s="449">
        <f>L103/K103</f>
        <v>0.20625287723801758</v>
      </c>
      <c r="R103" s="444"/>
      <c r="S103" s="450" t="s">
        <v>1406</v>
      </c>
      <c r="T103" s="450" t="s">
        <v>1407</v>
      </c>
      <c r="U103" s="450" t="s">
        <v>1408</v>
      </c>
      <c r="V103" s="450" t="s">
        <v>1409</v>
      </c>
      <c r="W103" s="450" t="s">
        <v>1410</v>
      </c>
      <c r="X103" s="450" t="s">
        <v>1411</v>
      </c>
      <c r="Y103" s="450" t="s">
        <v>1394</v>
      </c>
      <c r="AF103" s="458"/>
      <c r="AG103" s="444" t="s">
        <v>1372</v>
      </c>
      <c r="AH103" s="464">
        <f>2*(AI87*COS(AH82)-AI86*SIN(AH82))</f>
        <v>-5.1764073079395272E-5</v>
      </c>
      <c r="AI103" s="458"/>
    </row>
    <row r="104" spans="1:35">
      <c r="A104" s="498" t="s">
        <v>269</v>
      </c>
      <c r="B104" s="499" t="s">
        <v>270</v>
      </c>
      <c r="C104" s="499" t="s">
        <v>271</v>
      </c>
      <c r="D104" s="499" t="s">
        <v>272</v>
      </c>
      <c r="E104" s="499" t="s">
        <v>273</v>
      </c>
      <c r="F104" s="499" t="s">
        <v>274</v>
      </c>
      <c r="G104" s="499" t="s">
        <v>1588</v>
      </c>
      <c r="H104" s="500" t="s">
        <v>275</v>
      </c>
      <c r="I104" s="488">
        <f>AB14</f>
        <v>-4.5806509889074913</v>
      </c>
      <c r="J104" s="443" t="s">
        <v>1510</v>
      </c>
      <c r="K104" s="445"/>
      <c r="L104" s="445"/>
      <c r="N104" s="443" t="s">
        <v>1375</v>
      </c>
      <c r="R104" s="444">
        <v>1</v>
      </c>
      <c r="S104" s="458">
        <f>((L100+L102)/2*P88+(L102+L101)/2*P89)/1000000</f>
        <v>3.1197968442250702E-5</v>
      </c>
      <c r="T104" s="458">
        <f>((L100+L102)/2*P91+(L102+L101)/2*P92)</f>
        <v>0.78364990219700348</v>
      </c>
      <c r="U104" s="464">
        <f>S104+S105*Y104</f>
        <v>3.1197968442250702E-5</v>
      </c>
      <c r="V104" s="455">
        <f>T104+T105*Y104</f>
        <v>0.78364990219700348</v>
      </c>
      <c r="W104" s="455">
        <f>(U104*S96+U105*S98+U106*S100)*T82*1000000</f>
        <v>11.259999999999629</v>
      </c>
      <c r="X104" s="455">
        <f>(V104*S96+V105*S98+V106*S100)*T82</f>
        <v>0.29999999999999011</v>
      </c>
      <c r="Y104" s="455">
        <f>COS(S84)</f>
        <v>6.1257422745431001E-17</v>
      </c>
      <c r="AF104" s="458"/>
      <c r="AG104" s="458"/>
      <c r="AH104" s="458"/>
      <c r="AI104" s="458"/>
    </row>
    <row r="105" spans="1:35">
      <c r="A105" s="498" t="s">
        <v>1568</v>
      </c>
      <c r="B105" s="499" t="s">
        <v>276</v>
      </c>
      <c r="C105" s="499" t="s">
        <v>277</v>
      </c>
      <c r="D105" s="499" t="s">
        <v>278</v>
      </c>
      <c r="E105" s="499" t="s">
        <v>279</v>
      </c>
      <c r="F105" s="499" t="s">
        <v>280</v>
      </c>
      <c r="G105" s="499" t="s">
        <v>281</v>
      </c>
      <c r="H105" s="500" t="s">
        <v>282</v>
      </c>
      <c r="I105" s="489">
        <f>AB53</f>
        <v>14.199945665574337</v>
      </c>
      <c r="J105" s="444" t="s">
        <v>1380</v>
      </c>
      <c r="K105" s="445">
        <f>(3*K100+3*K101+2*K102+4*K103)/8</f>
        <v>76.368217701426829</v>
      </c>
      <c r="L105" s="445">
        <f>(3*L100+3*L101+2*L102+4*L103)/8</f>
        <v>69.582476135298961</v>
      </c>
      <c r="M105" s="449">
        <f>L105/K105</f>
        <v>0.91114442931406681</v>
      </c>
      <c r="N105" s="444" t="s">
        <v>1381</v>
      </c>
      <c r="O105" s="445">
        <f>1/O95/O96*1000000</f>
        <v>0.44444444444444442</v>
      </c>
      <c r="P105" s="445">
        <f>1/P95/P96*1000000</f>
        <v>0.5204481634217426</v>
      </c>
      <c r="Q105" s="445">
        <f>P105/O105</f>
        <v>1.1710083676989209</v>
      </c>
      <c r="R105" s="444">
        <v>2</v>
      </c>
      <c r="S105" s="458">
        <f>((L100-L102)/2*P88+(L102-L101)/2*P89)/1000000</f>
        <v>-2.5208880775121087E-5</v>
      </c>
      <c r="T105" s="458">
        <f>((L100-L102)/2*P91+(L102-L101)/2*P92)</f>
        <v>-0.72047658954388594</v>
      </c>
      <c r="U105" s="464">
        <f>S104-S105*Y104</f>
        <v>3.1197968442250702E-5</v>
      </c>
      <c r="V105" s="455">
        <f>T104-T105*Y104</f>
        <v>0.78364990219700348</v>
      </c>
      <c r="W105" s="455">
        <f>(U104*S98+U105*S97+U106*S101)*T82*1000000</f>
        <v>11.259999999999703</v>
      </c>
      <c r="X105" s="455">
        <f>(V104*S98+V105*S97+V106*S101)*T82</f>
        <v>0.29999999999999205</v>
      </c>
      <c r="Y105" s="455">
        <f>SIN(S84)</f>
        <v>1</v>
      </c>
      <c r="AF105" s="458"/>
      <c r="AG105" s="462" t="s">
        <v>1383</v>
      </c>
      <c r="AH105" s="479">
        <f>P111*AH101^2+2*P113*AH101*AH102+P112*AH102^2+P114*AH103^2</f>
        <v>3.5628171744212731E-4</v>
      </c>
      <c r="AI105" s="458"/>
    </row>
    <row r="106" spans="1:35">
      <c r="A106" s="498" t="s">
        <v>1591</v>
      </c>
      <c r="B106" s="499" t="s">
        <v>1592</v>
      </c>
      <c r="C106" s="499" t="s">
        <v>1537</v>
      </c>
      <c r="D106" s="499" t="s">
        <v>1539</v>
      </c>
      <c r="E106" s="499" t="s">
        <v>295</v>
      </c>
      <c r="F106" s="499" t="s">
        <v>283</v>
      </c>
      <c r="G106" s="499" t="s">
        <v>284</v>
      </c>
      <c r="H106" s="500" t="s">
        <v>285</v>
      </c>
      <c r="I106" s="489">
        <f>AB92</f>
        <v>4.8096473383334217</v>
      </c>
      <c r="J106" s="444" t="s">
        <v>1384</v>
      </c>
      <c r="K106" s="445">
        <f>(K100-K101)/2</f>
        <v>85.732490057298719</v>
      </c>
      <c r="L106" s="445">
        <f>(L100-L101)/2</f>
        <v>89.248772322825459</v>
      </c>
      <c r="M106" s="449">
        <f>L106/K106</f>
        <v>1.0410145822566994</v>
      </c>
      <c r="N106" s="444" t="s">
        <v>1385</v>
      </c>
      <c r="O106" s="445">
        <f>1/O97/O98*1000000</f>
        <v>101.6260162601626</v>
      </c>
      <c r="P106" s="445">
        <f>1/P97/P98*1000000</f>
        <v>101.6260162601626</v>
      </c>
      <c r="Q106" s="445">
        <f>P106/O106</f>
        <v>1</v>
      </c>
      <c r="R106" s="444">
        <v>6</v>
      </c>
      <c r="S106" s="450" t="s">
        <v>1419</v>
      </c>
      <c r="T106" s="450" t="s">
        <v>1420</v>
      </c>
      <c r="U106" s="464">
        <f>S105*Y105</f>
        <v>-2.5208880775121087E-5</v>
      </c>
      <c r="V106" s="455">
        <f>T105*Y105</f>
        <v>-0.72047658954388594</v>
      </c>
      <c r="W106" s="455">
        <f>(U104*S100+U105*S101+U106*S99)*T82*1000000</f>
        <v>-22.479999999999347</v>
      </c>
      <c r="X106" s="455">
        <f>(V104*S100+V105*S101+V106*S99)*T82</f>
        <v>-0.59999999999998266</v>
      </c>
      <c r="Y106" s="450" t="s">
        <v>406</v>
      </c>
      <c r="AF106" s="458"/>
      <c r="AG106" s="462" t="s">
        <v>1387</v>
      </c>
      <c r="AH106" s="479">
        <f>P115*AH101+P116*AH102</f>
        <v>-3.8807912948973414E-2</v>
      </c>
      <c r="AI106" s="458"/>
    </row>
    <row r="107" spans="1:35">
      <c r="A107" s="501" t="s">
        <v>286</v>
      </c>
      <c r="B107" s="502" t="s">
        <v>287</v>
      </c>
      <c r="C107" s="502" t="s">
        <v>288</v>
      </c>
      <c r="D107" s="502" t="s">
        <v>289</v>
      </c>
      <c r="E107" s="502" t="s">
        <v>290</v>
      </c>
      <c r="F107" s="503"/>
      <c r="G107" s="502"/>
      <c r="H107" s="504"/>
      <c r="I107" s="489">
        <f>AB131</f>
        <v>4.8096473383334217</v>
      </c>
      <c r="J107" s="444" t="s">
        <v>1388</v>
      </c>
      <c r="K107" s="445">
        <f>(K100+K101-2*K102-4*K103)/8</f>
        <v>19.710431085692363</v>
      </c>
      <c r="L107" s="445">
        <f>(L100+L101-2*L102-4*L103)/8</f>
        <v>22.173173673761315</v>
      </c>
      <c r="M107" s="449">
        <f>L107/K107</f>
        <v>1.1249461555336877</v>
      </c>
      <c r="N107" s="444" t="s">
        <v>1389</v>
      </c>
      <c r="O107" s="445">
        <f>O100*(O105*O106)^0.5</f>
        <v>-3.3603243272729659</v>
      </c>
      <c r="P107" s="445">
        <f>P100*(P105*P106)^0.5</f>
        <v>-0.54544687050288632</v>
      </c>
      <c r="Q107" s="445">
        <f>P107/O107</f>
        <v>0.16231971005773055</v>
      </c>
      <c r="R107" s="444">
        <v>1</v>
      </c>
      <c r="S107" s="471">
        <f>P85*U104+P81*V104</f>
        <v>7.9845266675994744E-4</v>
      </c>
      <c r="T107" s="446">
        <f>P85*W104/1000000+P81*X104</f>
        <v>3.7399999999998762E-4</v>
      </c>
      <c r="U107" s="450" t="s">
        <v>1423</v>
      </c>
      <c r="V107" s="446">
        <f>P85*P88/1000000+P81*P91</f>
        <v>-1.9999999999999999E-6</v>
      </c>
      <c r="W107" s="443"/>
      <c r="Y107" s="455">
        <f>Y104+Y143+Y182+Y221+Y260+Y299+W343+W382</f>
        <v>7.7715611723760958E-16</v>
      </c>
      <c r="AF107" s="458"/>
      <c r="AG107" s="462" t="s">
        <v>1390</v>
      </c>
      <c r="AH107" s="479">
        <f>AH105+AH106</f>
        <v>-3.8451631231531287E-2</v>
      </c>
      <c r="AI107" s="458"/>
    </row>
    <row r="108" spans="1:35">
      <c r="I108" s="489" t="e">
        <f>AB170</f>
        <v>#DIV/0!</v>
      </c>
      <c r="J108" s="444" t="s">
        <v>1391</v>
      </c>
      <c r="K108" s="445">
        <f>(K100+K101+6*K102-4*K103)/8</f>
        <v>22.607355530042096</v>
      </c>
      <c r="L108" s="445">
        <f>(L100+L101+6*L102-4*L103)/8</f>
        <v>22.278462528183177</v>
      </c>
      <c r="M108" s="449">
        <f>L108/K108</f>
        <v>0.98545194720267637</v>
      </c>
      <c r="N108" s="444" t="s">
        <v>1392</v>
      </c>
      <c r="O108" s="445">
        <f>1/O99^2*1000000</f>
        <v>216.26297577854672</v>
      </c>
      <c r="P108" s="445">
        <f>1/P99^2*1000000</f>
        <v>216.26297577854672</v>
      </c>
      <c r="Q108" s="445">
        <f>P108/O108</f>
        <v>1</v>
      </c>
      <c r="R108" s="444">
        <v>2</v>
      </c>
      <c r="S108" s="471">
        <f>P85*U105+P81*V105</f>
        <v>7.9845266675994744E-4</v>
      </c>
      <c r="T108" s="446">
        <f>P85*W105/1000000+P81*X105</f>
        <v>3.7399999999999023E-4</v>
      </c>
      <c r="U108" s="450" t="s">
        <v>1427</v>
      </c>
      <c r="V108" s="446">
        <f>P85*P89/1000000+P81*P92</f>
        <v>7.5000000000000023E-4</v>
      </c>
      <c r="W108" s="443"/>
      <c r="Y108" s="455">
        <f>Y105+Y144+Y183+Y222+Y261+Y300+W344+W383</f>
        <v>0</v>
      </c>
      <c r="AA108" s="442" t="s">
        <v>699</v>
      </c>
      <c r="AB108" s="442" t="s">
        <v>701</v>
      </c>
      <c r="AC108" s="444" t="s">
        <v>408</v>
      </c>
      <c r="AD108" s="444" t="s">
        <v>409</v>
      </c>
      <c r="AE108" s="443" t="s">
        <v>410</v>
      </c>
      <c r="AF108" s="458"/>
      <c r="AG108" s="462" t="s">
        <v>1395</v>
      </c>
      <c r="AH108" s="479">
        <f>-1+AH107</f>
        <v>-1.0384516312315313</v>
      </c>
      <c r="AI108" s="458"/>
    </row>
    <row r="109" spans="1:35">
      <c r="A109" s="443" t="s">
        <v>1593</v>
      </c>
      <c r="I109" s="489" t="e">
        <f>AB209</f>
        <v>#DIV/0!</v>
      </c>
      <c r="J109" s="444" t="s">
        <v>1396</v>
      </c>
      <c r="K109" s="445">
        <f>(K105-K108)/2</f>
        <v>26.880431085692365</v>
      </c>
      <c r="L109" s="445">
        <f>(L105-L108)/2</f>
        <v>23.652006803557892</v>
      </c>
      <c r="M109" s="449">
        <f>L109/K109</f>
        <v>0.8798968561239755</v>
      </c>
      <c r="N109" s="444" t="s">
        <v>1397</v>
      </c>
      <c r="O109" s="445">
        <f>(1/O95-1/O96)*1000</f>
        <v>0</v>
      </c>
      <c r="P109" s="445">
        <f>(1/P95-1/P96)*1000</f>
        <v>-0.11400557846594737</v>
      </c>
      <c r="Q109" s="445">
        <f>IF(O109=0,1,P109/O109)</f>
        <v>1</v>
      </c>
      <c r="R109" s="444">
        <v>6</v>
      </c>
      <c r="S109" s="471">
        <f>P85*U106+P81*V106</f>
        <v>-1.0814948702073208E-3</v>
      </c>
      <c r="T109" s="446">
        <f>P85*W106/1000000+P81*X106</f>
        <v>-7.5199999999997881E-4</v>
      </c>
      <c r="U109" s="450" t="s">
        <v>1429</v>
      </c>
      <c r="V109" s="446">
        <f>0</f>
        <v>0</v>
      </c>
      <c r="W109" s="443"/>
      <c r="Y109" s="446"/>
      <c r="AA109" s="458">
        <f t="shared" ref="AA109:AE111" si="27">AA70</f>
        <v>2.9711368780229658E-5</v>
      </c>
      <c r="AB109" s="458">
        <f t="shared" si="27"/>
        <v>0.7678998340530242</v>
      </c>
      <c r="AC109" s="458">
        <f t="shared" si="27"/>
        <v>1.363735669153409</v>
      </c>
      <c r="AD109" s="458">
        <f t="shared" si="27"/>
        <v>3.5864831027226207E-2</v>
      </c>
      <c r="AE109" s="458">
        <f t="shared" si="27"/>
        <v>4.2950588220790124E-5</v>
      </c>
      <c r="AF109" s="458"/>
      <c r="AG109" s="462" t="s">
        <v>1399</v>
      </c>
      <c r="AH109" s="479">
        <f>2*(P111*AH85*AH101+P112*AH86*AH102+P113*(AH85*AH102+AH101*AH86)+P114*AH87*AH103)</f>
        <v>9.9013395412876322E-4</v>
      </c>
      <c r="AI109" s="458"/>
    </row>
    <row r="110" spans="1:35">
      <c r="A110" s="505" t="s">
        <v>1595</v>
      </c>
      <c r="B110" s="506">
        <v>138</v>
      </c>
      <c r="C110" s="506">
        <v>8.9600000000000009</v>
      </c>
      <c r="D110" s="506">
        <v>0.3</v>
      </c>
      <c r="E110" s="506">
        <v>7.1</v>
      </c>
      <c r="F110" s="506">
        <v>3.4</v>
      </c>
      <c r="G110" s="506">
        <v>122</v>
      </c>
      <c r="H110" s="507">
        <v>160</v>
      </c>
      <c r="I110" s="489" t="e">
        <f>AB248</f>
        <v>#DIV/0!</v>
      </c>
      <c r="J110" s="443" t="s">
        <v>1400</v>
      </c>
      <c r="N110" s="444" t="s">
        <v>1401</v>
      </c>
      <c r="O110" s="445">
        <f>(1/O97-1/O98)*1000</f>
        <v>20.934959349593495</v>
      </c>
      <c r="P110" s="445">
        <f>(1/P97-1/P98)*1000</f>
        <v>20.934959349593495</v>
      </c>
      <c r="Q110" s="445">
        <f t="shared" ref="Q110:Q116" si="28">P110/O110</f>
        <v>1</v>
      </c>
      <c r="R110" s="444"/>
      <c r="S110" s="455"/>
      <c r="T110" s="455"/>
      <c r="U110" s="455"/>
      <c r="V110" s="455"/>
      <c r="W110" s="443"/>
      <c r="X110" s="443"/>
      <c r="Y110" s="446"/>
      <c r="AA110" s="458">
        <f t="shared" si="27"/>
        <v>1.7675632838392989E-5</v>
      </c>
      <c r="AB110" s="458">
        <f t="shared" si="27"/>
        <v>0.42306828615470354</v>
      </c>
      <c r="AC110" s="458">
        <f t="shared" si="27"/>
        <v>-0.1836797069434101</v>
      </c>
      <c r="AD110" s="458">
        <f t="shared" si="27"/>
        <v>-5.4362911105892316E-3</v>
      </c>
      <c r="AE110" s="458">
        <f t="shared" si="27"/>
        <v>-8.8134848586051478E-6</v>
      </c>
      <c r="AG110" s="462" t="s">
        <v>1403</v>
      </c>
      <c r="AH110" s="479">
        <f>AH109+AH93</f>
        <v>0.16470128900472922</v>
      </c>
      <c r="AI110" s="458"/>
    </row>
    <row r="111" spans="1:35">
      <c r="A111" s="508">
        <v>1447</v>
      </c>
      <c r="B111" s="487">
        <v>1447</v>
      </c>
      <c r="C111" s="487">
        <v>52</v>
      </c>
      <c r="D111" s="487">
        <v>206</v>
      </c>
      <c r="E111" s="487">
        <v>93</v>
      </c>
      <c r="F111" s="487">
        <v>1.2</v>
      </c>
      <c r="G111" s="487">
        <v>22</v>
      </c>
      <c r="H111" s="509">
        <v>5.0000000000000001E-3</v>
      </c>
      <c r="I111" s="491" t="e">
        <f>AB287</f>
        <v>#DIV/0!</v>
      </c>
      <c r="J111" s="444" t="s">
        <v>1404</v>
      </c>
      <c r="K111" s="445">
        <f>(1-(K108/K105)^2)*K105</f>
        <v>69.675740916648124</v>
      </c>
      <c r="L111" s="445">
        <f>(1-(L108/L105)^2)*L105</f>
        <v>62.449503579758137</v>
      </c>
      <c r="M111" s="445">
        <f>L111/K111</f>
        <v>0.89628761399847034</v>
      </c>
      <c r="N111" s="444" t="s">
        <v>1405</v>
      </c>
      <c r="O111" s="448">
        <f>(O105*K100^2+2*O107*K100*K102+O106*K102^2)</f>
        <v>12004.38353147296</v>
      </c>
      <c r="P111" s="448">
        <f>(P105*L100^2+2*P107*L100*L102+P106*L102^2)</f>
        <v>17031.57205316806</v>
      </c>
      <c r="Q111" s="445">
        <f t="shared" si="28"/>
        <v>1.4187793990849153</v>
      </c>
      <c r="S111" s="443"/>
      <c r="T111" s="443"/>
      <c r="W111" s="443"/>
      <c r="X111" s="443"/>
      <c r="Y111" s="446"/>
      <c r="AA111" s="458">
        <f t="shared" si="27"/>
        <v>-8.4703294725430034E-22</v>
      </c>
      <c r="AB111" s="458">
        <f t="shared" si="27"/>
        <v>-2.7755575615628914E-17</v>
      </c>
      <c r="AC111" s="458">
        <f t="shared" si="27"/>
        <v>-9.002744015469067E-18</v>
      </c>
      <c r="AD111" s="458">
        <f t="shared" si="27"/>
        <v>-3.8174105857845086E-19</v>
      </c>
      <c r="AE111" s="458">
        <f t="shared" si="27"/>
        <v>-1.0084308913453477E-21</v>
      </c>
      <c r="AG111" s="462" t="s">
        <v>1412</v>
      </c>
      <c r="AH111" s="479">
        <f>AH110/2/AH92</f>
        <v>0.14554228264411581</v>
      </c>
      <c r="AI111" s="458"/>
    </row>
    <row r="112" spans="1:35">
      <c r="A112" s="508">
        <v>-0.5</v>
      </c>
      <c r="B112" s="487">
        <v>125</v>
      </c>
      <c r="C112" s="487">
        <v>0.66</v>
      </c>
      <c r="D112" s="487">
        <v>1.6</v>
      </c>
      <c r="E112" s="487">
        <v>0.51600000000000001</v>
      </c>
      <c r="F112" s="487">
        <v>0.5</v>
      </c>
      <c r="G112" s="487">
        <v>0.2</v>
      </c>
      <c r="H112" s="509">
        <v>0.9</v>
      </c>
      <c r="J112" s="444" t="s">
        <v>1414</v>
      </c>
      <c r="K112" s="445">
        <f>K108/K105</f>
        <v>0.29603094337527941</v>
      </c>
      <c r="L112" s="445">
        <f>L108/L105</f>
        <v>0.32017346558441007</v>
      </c>
      <c r="M112" s="445">
        <f>L112/K112</f>
        <v>1.0815540494985523</v>
      </c>
      <c r="N112" s="444" t="s">
        <v>1415</v>
      </c>
      <c r="O112" s="448">
        <f>(O105*K102^2+2*O107*K102*K101+O106*K101^2)</f>
        <v>10680.652008265077</v>
      </c>
      <c r="P112" s="448">
        <f>(P105*L102^2+2*P107*L102*L101+P106*L101^2)</f>
        <v>638.37989839055581</v>
      </c>
      <c r="Q112" s="445">
        <f t="shared" si="28"/>
        <v>5.976974981457632E-2</v>
      </c>
      <c r="S112" s="443"/>
      <c r="T112" s="443"/>
      <c r="W112" s="443"/>
      <c r="X112" s="443"/>
      <c r="Y112" s="446"/>
      <c r="Z112" s="444"/>
      <c r="AG112" s="462"/>
      <c r="AH112" s="455"/>
      <c r="AI112" s="458"/>
    </row>
    <row r="113" spans="1:35">
      <c r="A113" s="508">
        <v>-0.3</v>
      </c>
      <c r="B113" s="487">
        <v>28.1</v>
      </c>
      <c r="C113" s="490">
        <v>0</v>
      </c>
      <c r="D113" s="487">
        <v>0.44</v>
      </c>
      <c r="E113" s="487">
        <v>0.316</v>
      </c>
      <c r="F113" s="487">
        <v>4.0000000000000001E-3</v>
      </c>
      <c r="G113" s="487">
        <v>4.0000000000000001E-3</v>
      </c>
      <c r="H113" s="509">
        <v>2000</v>
      </c>
      <c r="N113" s="444" t="s">
        <v>1416</v>
      </c>
      <c r="O113" s="448">
        <f>(O105*K100*K102+O107*(K100*K101+K102^2)+O106*K102*K101)</f>
        <v>-3069.103206291968</v>
      </c>
      <c r="P113" s="448">
        <f>(P105*L100*L102+P107*(L100*L101+L102^2)+P106*L102*L101)</f>
        <v>-210.76341132017635</v>
      </c>
      <c r="Q113" s="445">
        <f t="shared" si="28"/>
        <v>6.867263729942033E-2</v>
      </c>
      <c r="S113" s="443"/>
      <c r="T113" s="443"/>
      <c r="W113" s="443"/>
      <c r="X113" s="443"/>
      <c r="Y113" s="446"/>
      <c r="AE113" s="450"/>
      <c r="AG113" s="462"/>
      <c r="AH113" s="455"/>
      <c r="AI113" s="458"/>
    </row>
    <row r="114" spans="1:35">
      <c r="A114" s="508">
        <v>0.15</v>
      </c>
      <c r="B114" s="487">
        <v>0.01</v>
      </c>
      <c r="C114" s="487">
        <v>1</v>
      </c>
      <c r="D114" s="487">
        <v>1</v>
      </c>
      <c r="E114" s="487">
        <v>0.1</v>
      </c>
      <c r="F114" s="487"/>
      <c r="G114" s="487"/>
      <c r="H114" s="509"/>
      <c r="J114" s="444" t="s">
        <v>1193</v>
      </c>
      <c r="K114" s="445">
        <f>D68</f>
        <v>1.6</v>
      </c>
      <c r="L114" s="445">
        <f>L115*(1-L89)+L116*L89</f>
        <v>1.6</v>
      </c>
      <c r="M114" s="445">
        <f>L114/K114</f>
        <v>1</v>
      </c>
      <c r="N114" s="444" t="s">
        <v>1418</v>
      </c>
      <c r="O114" s="448">
        <f>O108*K103^2</f>
        <v>11117.841695501729</v>
      </c>
      <c r="P114" s="448">
        <f>P108*L103^2</f>
        <v>472.95575817127298</v>
      </c>
      <c r="Q114" s="445">
        <f t="shared" si="28"/>
        <v>4.2540249368960753E-2</v>
      </c>
      <c r="S114" s="443"/>
      <c r="T114" s="443"/>
      <c r="W114" s="443"/>
      <c r="X114" s="443"/>
      <c r="Y114" s="468"/>
      <c r="Z114" s="442"/>
      <c r="AA114" s="442"/>
      <c r="AB114" s="442"/>
      <c r="AC114" s="444"/>
      <c r="AD114" s="444"/>
      <c r="AE114" s="446"/>
      <c r="AG114" s="462"/>
      <c r="AH114" s="455"/>
      <c r="AI114" s="462" t="s">
        <v>1421</v>
      </c>
    </row>
    <row r="115" spans="1:35">
      <c r="A115" s="510" t="s">
        <v>1597</v>
      </c>
      <c r="B115" s="487">
        <v>134</v>
      </c>
      <c r="C115" s="487">
        <v>8.9</v>
      </c>
      <c r="D115" s="487">
        <v>0.28000000000000003</v>
      </c>
      <c r="E115" s="487">
        <v>5.0999999999999996</v>
      </c>
      <c r="F115" s="487">
        <v>3.4</v>
      </c>
      <c r="G115" s="487">
        <v>200</v>
      </c>
      <c r="H115" s="509">
        <v>400</v>
      </c>
      <c r="J115" s="444" t="s">
        <v>274</v>
      </c>
      <c r="K115" s="445">
        <f>F67</f>
        <v>1.2</v>
      </c>
      <c r="L115" s="445">
        <f>K115</f>
        <v>1.2</v>
      </c>
      <c r="M115" s="445">
        <f>L115/K115</f>
        <v>1</v>
      </c>
      <c r="N115" s="444" t="s">
        <v>1422</v>
      </c>
      <c r="O115" s="448">
        <f>(O109*K100+O110*K102)</f>
        <v>60.646995481305353</v>
      </c>
      <c r="P115" s="448">
        <f>(P109*L100+P110*L102)</f>
        <v>-18.431295962753207</v>
      </c>
      <c r="Q115" s="445">
        <f t="shared" si="28"/>
        <v>-0.30391111408700727</v>
      </c>
      <c r="S115" s="443"/>
      <c r="T115" s="443"/>
      <c r="W115" s="443"/>
      <c r="X115" s="443"/>
      <c r="Y115" s="471"/>
      <c r="Z115" s="471"/>
      <c r="AA115" s="455"/>
      <c r="AB115" s="455"/>
      <c r="AC115" s="455"/>
      <c r="AD115" s="455"/>
      <c r="AG115" s="444" t="s">
        <v>1424</v>
      </c>
      <c r="AH115" s="455">
        <f>(AH111^2-AH108/AH92)^0.5-AH111</f>
        <v>1.216987871456531</v>
      </c>
      <c r="AI115" s="455">
        <f>AH116</f>
        <v>1.216987871456531</v>
      </c>
    </row>
    <row r="116" spans="1:35">
      <c r="A116" s="508">
        <v>2130</v>
      </c>
      <c r="B116" s="487">
        <v>1100</v>
      </c>
      <c r="C116" s="487">
        <v>80</v>
      </c>
      <c r="D116" s="487">
        <v>200</v>
      </c>
      <c r="E116" s="487">
        <v>160</v>
      </c>
      <c r="F116" s="487">
        <v>1.2</v>
      </c>
      <c r="G116" s="487">
        <v>22</v>
      </c>
      <c r="H116" s="509">
        <v>0</v>
      </c>
      <c r="J116" s="444" t="s">
        <v>1195</v>
      </c>
      <c r="K116" s="445">
        <f>(K114-K115*(1-K89))/K89</f>
        <v>1.7714285714285716</v>
      </c>
      <c r="L116" s="445">
        <f>K116</f>
        <v>1.7714285714285716</v>
      </c>
      <c r="M116" s="445">
        <f>L116/K116</f>
        <v>1</v>
      </c>
      <c r="N116" s="444" t="s">
        <v>1426</v>
      </c>
      <c r="O116" s="448">
        <f>(O109*K102+O110*K101)</f>
        <v>216.59641243323335</v>
      </c>
      <c r="P116" s="448">
        <f>(P109*L102+P110*L101)</f>
        <v>52.469374751982613</v>
      </c>
      <c r="Q116" s="445">
        <f t="shared" si="28"/>
        <v>0.24224489299035132</v>
      </c>
      <c r="S116" s="443"/>
      <c r="T116" s="443"/>
      <c r="W116" s="443"/>
      <c r="X116" s="443"/>
      <c r="Y116" s="471"/>
      <c r="Z116" s="471"/>
      <c r="AA116" s="455"/>
      <c r="AB116" s="455"/>
      <c r="AC116" s="455"/>
      <c r="AD116" s="455"/>
      <c r="AG116" s="444" t="s">
        <v>194</v>
      </c>
      <c r="AH116" s="455">
        <f>IF(AH81=0,1000000000,AH115)</f>
        <v>1.216987871456531</v>
      </c>
    </row>
    <row r="117" spans="1:35">
      <c r="A117" s="508">
        <v>-0.5</v>
      </c>
      <c r="B117" s="487">
        <v>125</v>
      </c>
      <c r="C117" s="487">
        <v>0.66</v>
      </c>
      <c r="D117" s="487">
        <v>1.6</v>
      </c>
      <c r="E117" s="487">
        <v>0.51600000000000001</v>
      </c>
      <c r="F117" s="487">
        <v>0.5</v>
      </c>
      <c r="G117" s="487">
        <v>0.2</v>
      </c>
      <c r="H117" s="509">
        <v>0.9</v>
      </c>
      <c r="L117" s="443" t="s">
        <v>1428</v>
      </c>
      <c r="S117" s="443"/>
      <c r="T117" s="443"/>
      <c r="W117" s="443"/>
      <c r="X117" s="443"/>
      <c r="Y117" s="471"/>
      <c r="Z117" s="471"/>
      <c r="AA117" s="455"/>
      <c r="AB117" s="455"/>
      <c r="AC117" s="455"/>
      <c r="AD117" s="455"/>
      <c r="AG117" s="444" t="s">
        <v>194</v>
      </c>
      <c r="AH117" s="455">
        <f>IF(AH81=0,0,AH115)</f>
        <v>1.216987871456531</v>
      </c>
    </row>
    <row r="118" spans="1:35">
      <c r="A118" s="508">
        <v>-0.3</v>
      </c>
      <c r="B118" s="487">
        <v>28.1</v>
      </c>
      <c r="C118" s="490">
        <v>0</v>
      </c>
      <c r="D118" s="490">
        <v>0</v>
      </c>
      <c r="E118" s="487">
        <v>0.316</v>
      </c>
      <c r="F118" s="487">
        <v>4.0000000000000001E-3</v>
      </c>
      <c r="G118" s="487">
        <v>4.0000000000000001E-3</v>
      </c>
      <c r="H118" s="509">
        <v>2000</v>
      </c>
      <c r="J118" s="442" t="s">
        <v>844</v>
      </c>
      <c r="K118" s="444"/>
      <c r="L118" s="444"/>
      <c r="N118" s="443" t="s">
        <v>1551</v>
      </c>
      <c r="P118" s="445"/>
      <c r="R118" s="443" t="s">
        <v>634</v>
      </c>
      <c r="Z118" s="443" t="s">
        <v>635</v>
      </c>
      <c r="AG118" s="443" t="s">
        <v>636</v>
      </c>
    </row>
    <row r="119" spans="1:35">
      <c r="A119" s="508">
        <v>7.0000000000000007E-2</v>
      </c>
      <c r="B119" s="487">
        <v>0.01</v>
      </c>
      <c r="C119" s="487">
        <v>1</v>
      </c>
      <c r="D119" s="487">
        <v>1</v>
      </c>
      <c r="E119" s="487">
        <v>0.04</v>
      </c>
      <c r="F119" s="487"/>
      <c r="G119" s="487"/>
      <c r="H119" s="509"/>
      <c r="J119" s="444" t="str">
        <f>A71</f>
        <v>T3/N52[SI]</v>
      </c>
      <c r="K119" s="442"/>
      <c r="L119" s="444"/>
      <c r="N119" s="444" t="s">
        <v>596</v>
      </c>
      <c r="O119" s="448">
        <f>G72</f>
        <v>22</v>
      </c>
      <c r="P119" s="448">
        <f>B42</f>
        <v>22</v>
      </c>
      <c r="Q119" s="449">
        <f t="shared" ref="Q119:Q124" si="29">P119/O119</f>
        <v>1</v>
      </c>
      <c r="R119" s="442"/>
      <c r="X119" s="450"/>
      <c r="Z119" s="444" t="s">
        <v>531</v>
      </c>
      <c r="AA119" s="451">
        <f>S121</f>
        <v>-45</v>
      </c>
      <c r="AB119" s="451"/>
      <c r="AC119" s="451"/>
      <c r="AD119" s="451"/>
      <c r="AE119" s="444" t="s">
        <v>532</v>
      </c>
      <c r="AF119" s="450" t="s">
        <v>533</v>
      </c>
      <c r="AG119" s="444" t="s">
        <v>531</v>
      </c>
      <c r="AH119" s="451">
        <f>AA119</f>
        <v>-45</v>
      </c>
    </row>
    <row r="120" spans="1:35">
      <c r="A120" s="510" t="s">
        <v>1599</v>
      </c>
      <c r="B120" s="487">
        <v>204</v>
      </c>
      <c r="C120" s="487">
        <v>18.5</v>
      </c>
      <c r="D120" s="487">
        <v>0.23</v>
      </c>
      <c r="E120" s="487">
        <v>5.59</v>
      </c>
      <c r="F120" s="487">
        <v>3.4</v>
      </c>
      <c r="G120" s="487">
        <v>122</v>
      </c>
      <c r="H120" s="509">
        <v>160</v>
      </c>
      <c r="J120" s="444"/>
      <c r="K120" s="444"/>
      <c r="L120" s="444"/>
      <c r="N120" s="444" t="s">
        <v>600</v>
      </c>
      <c r="O120" s="455">
        <f>H72</f>
        <v>5.0000000000000001E-3</v>
      </c>
      <c r="P120" s="455">
        <f>C42</f>
        <v>5.0000000000000001E-3</v>
      </c>
      <c r="Q120" s="449">
        <f t="shared" si="29"/>
        <v>1</v>
      </c>
      <c r="R120" s="444" t="s">
        <v>243</v>
      </c>
      <c r="S120" s="450" t="s">
        <v>531</v>
      </c>
      <c r="T120" s="450" t="s">
        <v>652</v>
      </c>
      <c r="U120" s="450" t="s">
        <v>646</v>
      </c>
      <c r="V120" s="450"/>
      <c r="W120" s="450"/>
      <c r="X120" s="450"/>
      <c r="Z120" s="444" t="s">
        <v>536</v>
      </c>
      <c r="AA120" s="451">
        <f>S122</f>
        <v>2</v>
      </c>
      <c r="AB120" s="451"/>
      <c r="AC120" s="451"/>
      <c r="AD120" s="451"/>
      <c r="AE120" s="444">
        <f>W122</f>
        <v>0</v>
      </c>
      <c r="AF120" s="451">
        <f>X122</f>
        <v>0</v>
      </c>
      <c r="AG120" s="444" t="s">
        <v>536</v>
      </c>
      <c r="AH120" s="451">
        <f>AA120</f>
        <v>2</v>
      </c>
    </row>
    <row r="121" spans="1:35">
      <c r="A121" s="508">
        <v>1260</v>
      </c>
      <c r="B121" s="487">
        <v>2500</v>
      </c>
      <c r="C121" s="487">
        <v>61</v>
      </c>
      <c r="D121" s="487">
        <v>202</v>
      </c>
      <c r="E121" s="487">
        <v>67</v>
      </c>
      <c r="F121" s="487">
        <v>1.2</v>
      </c>
      <c r="G121" s="487">
        <v>22</v>
      </c>
      <c r="H121" s="509">
        <v>5.0000000000000001E-3</v>
      </c>
      <c r="J121" s="444" t="s">
        <v>1553</v>
      </c>
      <c r="K121" s="444" t="s">
        <v>1554</v>
      </c>
      <c r="L121" s="444" t="s">
        <v>1555</v>
      </c>
      <c r="M121" s="456" t="s">
        <v>1556</v>
      </c>
      <c r="N121" s="444" t="s">
        <v>1557</v>
      </c>
      <c r="O121" s="448">
        <f>G71</f>
        <v>122</v>
      </c>
      <c r="P121" s="448">
        <f>O121</f>
        <v>122</v>
      </c>
      <c r="Q121" s="449">
        <f t="shared" si="29"/>
        <v>1</v>
      </c>
      <c r="R121" s="444" t="s">
        <v>537</v>
      </c>
      <c r="S121" s="457">
        <f>C6</f>
        <v>-45</v>
      </c>
      <c r="T121" s="458">
        <f>E6*L126/1000000</f>
        <v>5.0000000000000001E-4</v>
      </c>
      <c r="U121" s="455">
        <f>U82</f>
        <v>2E-3</v>
      </c>
      <c r="V121" s="457"/>
      <c r="W121" s="450"/>
      <c r="X121" s="450"/>
      <c r="Z121" s="444" t="s">
        <v>539</v>
      </c>
      <c r="AA121" s="451">
        <f>S123</f>
        <v>-1.5707963267948966</v>
      </c>
      <c r="AB121" s="451"/>
      <c r="AC121" s="451"/>
      <c r="AD121" s="451"/>
      <c r="AE121" s="444" t="s">
        <v>540</v>
      </c>
      <c r="AF121" s="446">
        <f>T121</f>
        <v>5.0000000000000001E-4</v>
      </c>
      <c r="AG121" s="444" t="s">
        <v>539</v>
      </c>
      <c r="AH121" s="451">
        <f>AA121</f>
        <v>-1.5707963267948966</v>
      </c>
    </row>
    <row r="122" spans="1:35">
      <c r="A122" s="508">
        <v>-0.5</v>
      </c>
      <c r="B122" s="487">
        <v>125</v>
      </c>
      <c r="C122" s="487">
        <v>0.5</v>
      </c>
      <c r="D122" s="487">
        <v>2</v>
      </c>
      <c r="E122" s="487">
        <v>0.215</v>
      </c>
      <c r="F122" s="487">
        <v>0.5</v>
      </c>
      <c r="G122" s="487">
        <v>0.2</v>
      </c>
      <c r="H122" s="509">
        <v>0.9</v>
      </c>
      <c r="J122" s="444" t="s">
        <v>298</v>
      </c>
      <c r="K122" s="445">
        <f>B71</f>
        <v>181</v>
      </c>
      <c r="L122" s="445">
        <f>L129*L128*I77</f>
        <v>181.00000000000003</v>
      </c>
      <c r="M122" s="449">
        <f>L122/K122</f>
        <v>1.0000000000000002</v>
      </c>
      <c r="N122" s="444" t="s">
        <v>299</v>
      </c>
      <c r="O122" s="448">
        <f>H71</f>
        <v>160</v>
      </c>
      <c r="P122" s="448">
        <f>O122-H74*(P120)</f>
        <v>150</v>
      </c>
      <c r="Q122" s="449">
        <f t="shared" si="29"/>
        <v>0.9375</v>
      </c>
      <c r="R122" s="444" t="s">
        <v>541</v>
      </c>
      <c r="S122" s="457">
        <f>D6</f>
        <v>2</v>
      </c>
      <c r="T122" s="457"/>
      <c r="U122" s="457">
        <f>T121/U121</f>
        <v>0.25</v>
      </c>
      <c r="V122" s="457"/>
      <c r="W122" s="459"/>
      <c r="X122" s="451"/>
      <c r="Z122" s="444"/>
      <c r="AA122" s="446"/>
      <c r="AB122" s="446"/>
      <c r="AC122" s="446"/>
      <c r="AD122" s="446"/>
      <c r="AE122" s="450"/>
      <c r="AI122" s="444" t="s">
        <v>109</v>
      </c>
    </row>
    <row r="123" spans="1:35">
      <c r="A123" s="508">
        <v>6.1</v>
      </c>
      <c r="B123" s="487">
        <v>30.3</v>
      </c>
      <c r="C123" s="490">
        <v>0</v>
      </c>
      <c r="D123" s="487">
        <v>0.6</v>
      </c>
      <c r="E123" s="487">
        <v>0.28199999999999997</v>
      </c>
      <c r="F123" s="487">
        <v>4.0000000000000001E-3</v>
      </c>
      <c r="G123" s="487">
        <v>4.0000000000000001E-3</v>
      </c>
      <c r="H123" s="509">
        <v>2000</v>
      </c>
      <c r="J123" s="444" t="s">
        <v>1579</v>
      </c>
      <c r="K123" s="445">
        <f>C71</f>
        <v>10.3</v>
      </c>
      <c r="L123" s="445">
        <f>(1+L132)/(1/L133+L132/L130)*I87</f>
        <v>2.5068162405329986</v>
      </c>
      <c r="M123" s="449">
        <f>L123/K123</f>
        <v>0.24338021752747557</v>
      </c>
      <c r="N123" s="444" t="s">
        <v>1580</v>
      </c>
      <c r="O123" s="445">
        <f>(O122-O119)/(O122-O119)</f>
        <v>1</v>
      </c>
      <c r="P123" s="445">
        <f>(P122-P119)/(P122-O119)</f>
        <v>1</v>
      </c>
      <c r="Q123" s="449">
        <f t="shared" si="29"/>
        <v>1</v>
      </c>
      <c r="R123" s="444" t="s">
        <v>1295</v>
      </c>
      <c r="S123" s="461">
        <f>S121*PI()/90</f>
        <v>-1.5707963267948966</v>
      </c>
      <c r="T123" s="461"/>
      <c r="U123" s="461"/>
      <c r="V123" s="461"/>
      <c r="W123" s="450"/>
      <c r="X123" s="462"/>
      <c r="Y123" s="444"/>
      <c r="Z123" s="442" t="s">
        <v>1297</v>
      </c>
      <c r="AA123" s="450"/>
      <c r="AB123" s="450"/>
      <c r="AC123" s="446"/>
      <c r="AD123" s="446"/>
      <c r="AE123" s="446"/>
      <c r="AG123" s="442" t="s">
        <v>1298</v>
      </c>
      <c r="AI123" s="444" t="s">
        <v>1299</v>
      </c>
    </row>
    <row r="124" spans="1:35">
      <c r="A124" s="508">
        <v>0.2</v>
      </c>
      <c r="B124" s="487">
        <v>0.01</v>
      </c>
      <c r="C124" s="487">
        <v>1</v>
      </c>
      <c r="D124" s="487">
        <v>1</v>
      </c>
      <c r="E124" s="487">
        <v>0.1</v>
      </c>
      <c r="F124" s="487"/>
      <c r="G124" s="487"/>
      <c r="H124" s="509"/>
      <c r="J124" s="444" t="s">
        <v>259</v>
      </c>
      <c r="K124" s="445">
        <f>D71</f>
        <v>0.28000000000000003</v>
      </c>
      <c r="L124" s="445">
        <f>K124*I42*I67</f>
        <v>4.2000000000000003E-2</v>
      </c>
      <c r="M124" s="449">
        <f>L124/K124</f>
        <v>0.15</v>
      </c>
      <c r="N124" s="444" t="s">
        <v>260</v>
      </c>
      <c r="O124" s="448">
        <f>O119-O121</f>
        <v>-100</v>
      </c>
      <c r="P124" s="448">
        <f>P119-P121</f>
        <v>-100</v>
      </c>
      <c r="Q124" s="449">
        <f t="shared" si="29"/>
        <v>1</v>
      </c>
      <c r="R124" s="444" t="s">
        <v>1300</v>
      </c>
      <c r="S124" s="461">
        <f>2*S123</f>
        <v>-3.1415926535897931</v>
      </c>
      <c r="T124" s="461"/>
      <c r="U124" s="461"/>
      <c r="V124" s="461"/>
      <c r="W124" s="459"/>
      <c r="X124" s="451"/>
      <c r="Y124" s="446"/>
      <c r="Z124" s="444"/>
      <c r="AA124" s="450" t="s">
        <v>1301</v>
      </c>
      <c r="AB124" s="450"/>
      <c r="AC124" s="463" t="s">
        <v>619</v>
      </c>
      <c r="AD124" s="463"/>
      <c r="AE124" s="450" t="s">
        <v>1303</v>
      </c>
      <c r="AF124" s="450" t="s">
        <v>1304</v>
      </c>
      <c r="AG124" s="444" t="s">
        <v>1305</v>
      </c>
      <c r="AH124" s="455">
        <f>AA130/1000</f>
        <v>4.8096473383334231E-3</v>
      </c>
      <c r="AI124" s="464">
        <f>($AE$31+$AE$32)/2</f>
        <v>1.7068551681092488E-5</v>
      </c>
    </row>
    <row r="125" spans="1:35">
      <c r="A125" s="510" t="s">
        <v>1601</v>
      </c>
      <c r="B125" s="487">
        <v>203</v>
      </c>
      <c r="C125" s="487">
        <v>11.2</v>
      </c>
      <c r="D125" s="487">
        <v>0.32</v>
      </c>
      <c r="E125" s="487">
        <v>8.4</v>
      </c>
      <c r="F125" s="487">
        <v>3.4</v>
      </c>
      <c r="G125" s="487">
        <v>122</v>
      </c>
      <c r="H125" s="509">
        <v>160</v>
      </c>
      <c r="J125" s="444" t="s">
        <v>261</v>
      </c>
      <c r="K125" s="445">
        <f>E71</f>
        <v>7.17</v>
      </c>
      <c r="L125" s="445">
        <f>(1+L135)/(1/L136+L135*2.7/L130)</f>
        <v>1.478833129796586</v>
      </c>
      <c r="M125" s="449">
        <f>L125/K125</f>
        <v>0.20625287723801758</v>
      </c>
      <c r="N125" s="444"/>
      <c r="O125" s="445"/>
      <c r="P125" s="445"/>
      <c r="Q125" s="445"/>
      <c r="S125" s="465"/>
      <c r="T125" s="465"/>
      <c r="U125" s="465"/>
      <c r="V125" s="484"/>
      <c r="W125" s="450"/>
      <c r="X125" s="450"/>
      <c r="Y125" s="446"/>
      <c r="Z125" s="444">
        <v>1</v>
      </c>
      <c r="AA125" s="445">
        <f>AA86</f>
        <v>0.5</v>
      </c>
      <c r="AB125" s="458"/>
      <c r="AC125" s="445">
        <f>AC86</f>
        <v>14.199945665574337</v>
      </c>
      <c r="AD125" s="458"/>
      <c r="AE125" s="462" t="s">
        <v>1306</v>
      </c>
      <c r="AF125" s="458">
        <f>IF(T121=0,0,(AC125+AC126)/2)</f>
        <v>4.8096473383334226</v>
      </c>
      <c r="AG125" s="444" t="s">
        <v>1307</v>
      </c>
      <c r="AH125" s="455">
        <f>AA131/1000</f>
        <v>4.8096473383334214E-3</v>
      </c>
      <c r="AI125" s="464">
        <f>($AE$31-$AE$32)/2</f>
        <v>2.5882036539697636E-5</v>
      </c>
    </row>
    <row r="126" spans="1:35">
      <c r="A126" s="508">
        <v>3500</v>
      </c>
      <c r="B126" s="487">
        <v>1540</v>
      </c>
      <c r="C126" s="487">
        <v>56</v>
      </c>
      <c r="D126" s="487">
        <v>150</v>
      </c>
      <c r="E126" s="487">
        <v>98</v>
      </c>
      <c r="F126" s="487">
        <v>1.2</v>
      </c>
      <c r="G126" s="487">
        <v>22</v>
      </c>
      <c r="H126" s="509">
        <v>5.0000000000000001E-3</v>
      </c>
      <c r="J126" s="444" t="s">
        <v>262</v>
      </c>
      <c r="K126" s="448">
        <f>B73</f>
        <v>125</v>
      </c>
      <c r="L126" s="448">
        <f>K126/M128</f>
        <v>125</v>
      </c>
      <c r="M126" s="449">
        <f>L126/K126</f>
        <v>1</v>
      </c>
      <c r="N126" s="442" t="s">
        <v>1531</v>
      </c>
      <c r="O126" s="445"/>
      <c r="P126" s="445"/>
      <c r="Q126" s="445"/>
      <c r="R126" s="444" t="s">
        <v>1325</v>
      </c>
      <c r="S126" s="450" t="s">
        <v>1326</v>
      </c>
      <c r="T126" s="450"/>
      <c r="U126" s="450" t="s">
        <v>1330</v>
      </c>
      <c r="V126" s="444" t="s">
        <v>172</v>
      </c>
      <c r="W126" s="444" t="s">
        <v>187</v>
      </c>
      <c r="X126" s="450"/>
      <c r="Y126" s="455"/>
      <c r="Z126" s="444">
        <v>2</v>
      </c>
      <c r="AA126" s="445">
        <f>AA87</f>
        <v>0</v>
      </c>
      <c r="AB126" s="458"/>
      <c r="AC126" s="445">
        <f>AC87</f>
        <v>-4.5806509889074913</v>
      </c>
      <c r="AD126" s="458"/>
      <c r="AE126" s="462" t="s">
        <v>1309</v>
      </c>
      <c r="AF126" s="458">
        <f>IF(T121=0,0,(AC125-AC126)/2)</f>
        <v>9.3902983272409131</v>
      </c>
      <c r="AG126" s="444" t="s">
        <v>1310</v>
      </c>
      <c r="AH126" s="455">
        <f>AA132/1000</f>
        <v>1.8780596654481826E-2</v>
      </c>
      <c r="AI126" s="464">
        <f>$AE$33/2</f>
        <v>-5.0421544567267384E-22</v>
      </c>
    </row>
    <row r="127" spans="1:35">
      <c r="A127" s="508">
        <v>-0.5</v>
      </c>
      <c r="B127" s="487">
        <v>125</v>
      </c>
      <c r="C127" s="487">
        <v>0.66</v>
      </c>
      <c r="D127" s="487">
        <v>1.6</v>
      </c>
      <c r="E127" s="487">
        <v>0.51600000000000001</v>
      </c>
      <c r="F127" s="487">
        <v>0.5</v>
      </c>
      <c r="G127" s="487">
        <v>0.2</v>
      </c>
      <c r="H127" s="509">
        <v>0.9</v>
      </c>
      <c r="J127" s="442" t="s">
        <v>264</v>
      </c>
      <c r="K127" s="445"/>
      <c r="L127" s="445"/>
      <c r="N127" s="444" t="s">
        <v>265</v>
      </c>
      <c r="O127" s="445">
        <f>A74</f>
        <v>0.02</v>
      </c>
      <c r="P127" s="445">
        <f>O127</f>
        <v>0.02</v>
      </c>
      <c r="Q127" s="445">
        <f>P127/O127</f>
        <v>1</v>
      </c>
      <c r="R127" s="444">
        <v>11</v>
      </c>
      <c r="S127" s="445">
        <f>L144+L145*COS(S123)+L146*COS(S124)</f>
        <v>47.409302461537649</v>
      </c>
      <c r="T127" s="445"/>
      <c r="U127" s="458">
        <f>S127*T121</f>
        <v>2.3704651230768824E-2</v>
      </c>
      <c r="V127" s="458">
        <f t="shared" ref="V127:W132" si="30">V88</f>
        <v>4.9567741608415233E-2</v>
      </c>
      <c r="W127" s="445">
        <f t="shared" si="30"/>
        <v>24.783870804207616</v>
      </c>
      <c r="X127" s="455"/>
      <c r="Y127" s="446"/>
      <c r="Z127" s="444">
        <v>6</v>
      </c>
      <c r="AA127" s="445">
        <f>AA88</f>
        <v>0</v>
      </c>
      <c r="AB127" s="458"/>
      <c r="AC127" s="445">
        <f>AC88</f>
        <v>6.8206751737942824E-16</v>
      </c>
      <c r="AD127" s="458"/>
      <c r="AE127" s="462" t="s">
        <v>1312</v>
      </c>
      <c r="AF127" s="458">
        <f>IF(T121=0,0,AC127/2)</f>
        <v>3.4103375868971412E-16</v>
      </c>
      <c r="AG127" s="444"/>
      <c r="AH127" s="458"/>
      <c r="AI127" s="458"/>
    </row>
    <row r="128" spans="1:35">
      <c r="A128" s="508">
        <v>-0.3</v>
      </c>
      <c r="B128" s="487">
        <v>28.1</v>
      </c>
      <c r="C128" s="490">
        <v>0</v>
      </c>
      <c r="D128" s="487">
        <v>0.6</v>
      </c>
      <c r="E128" s="487">
        <v>0.316</v>
      </c>
      <c r="F128" s="487">
        <v>4.0000000000000001E-3</v>
      </c>
      <c r="G128" s="487">
        <v>4.0000000000000001E-3</v>
      </c>
      <c r="H128" s="509">
        <v>2000</v>
      </c>
      <c r="J128" s="444" t="s">
        <v>1532</v>
      </c>
      <c r="K128" s="445">
        <f>C73</f>
        <v>0.7</v>
      </c>
      <c r="L128" s="445">
        <f>D42</f>
        <v>0.7</v>
      </c>
      <c r="M128" s="449">
        <f t="shared" ref="M128:M136" si="31">L128/K128</f>
        <v>1</v>
      </c>
      <c r="N128" s="444" t="s">
        <v>1533</v>
      </c>
      <c r="O128" s="445">
        <f>B74</f>
        <v>22.5</v>
      </c>
      <c r="P128" s="445">
        <f>O128*(1-L128)/(1-K128)</f>
        <v>22.5</v>
      </c>
      <c r="Q128" s="445">
        <f>P128/O128</f>
        <v>1</v>
      </c>
      <c r="R128" s="444">
        <v>22</v>
      </c>
      <c r="S128" s="445">
        <f>S127-2*L145*COS(S123)</f>
        <v>47.409302461537635</v>
      </c>
      <c r="T128" s="445"/>
      <c r="U128" s="458">
        <f>S128*T121</f>
        <v>2.3704651230768817E-2</v>
      </c>
      <c r="V128" s="458">
        <f t="shared" si="30"/>
        <v>0.13796301355045693</v>
      </c>
      <c r="W128" s="445">
        <f t="shared" si="30"/>
        <v>68.981506775228468</v>
      </c>
      <c r="X128" s="450"/>
      <c r="AA128" s="458"/>
      <c r="AB128" s="458"/>
      <c r="AC128" s="458"/>
      <c r="AD128" s="458"/>
      <c r="AE128" s="462"/>
      <c r="AF128" s="458"/>
      <c r="AG128" s="444"/>
      <c r="AH128" s="458"/>
      <c r="AI128" s="458"/>
    </row>
    <row r="129" spans="1:35">
      <c r="A129" s="508">
        <v>0.2</v>
      </c>
      <c r="B129" s="487">
        <v>0.01</v>
      </c>
      <c r="C129" s="487">
        <v>1</v>
      </c>
      <c r="D129" s="487">
        <v>1</v>
      </c>
      <c r="E129" s="487">
        <v>0.02</v>
      </c>
      <c r="F129" s="487"/>
      <c r="G129" s="487"/>
      <c r="H129" s="509"/>
      <c r="J129" s="444" t="s">
        <v>1534</v>
      </c>
      <c r="K129" s="448">
        <f>K122/K128</f>
        <v>258.57142857142861</v>
      </c>
      <c r="L129" s="448">
        <f>F42*P123^F74*I67</f>
        <v>258.57142857142861</v>
      </c>
      <c r="M129" s="449">
        <f t="shared" si="31"/>
        <v>1</v>
      </c>
      <c r="N129" s="443" t="s">
        <v>1535</v>
      </c>
      <c r="O129" s="445"/>
      <c r="P129" s="445"/>
      <c r="Q129" s="445"/>
      <c r="R129" s="444" t="s">
        <v>1345</v>
      </c>
      <c r="S129" s="445">
        <f>L147-L146*COS(S124)</f>
        <v>44.451636201944495</v>
      </c>
      <c r="T129" s="445"/>
      <c r="U129" s="458">
        <f>S129*T121</f>
        <v>2.2225818100972249E-2</v>
      </c>
      <c r="V129" s="458">
        <f t="shared" si="30"/>
        <v>4.4504424829219763E-2</v>
      </c>
      <c r="W129" s="445">
        <f t="shared" si="30"/>
        <v>22.252212414609883</v>
      </c>
      <c r="X129" s="458"/>
      <c r="Z129" s="442" t="s">
        <v>1323</v>
      </c>
      <c r="AA129" s="458"/>
      <c r="AB129" s="458"/>
      <c r="AC129" s="458"/>
      <c r="AD129" s="458"/>
      <c r="AE129" s="462"/>
      <c r="AF129" s="458"/>
      <c r="AG129" s="444"/>
      <c r="AH129" s="458"/>
      <c r="AI129" s="458"/>
    </row>
    <row r="130" spans="1:35">
      <c r="A130" s="510" t="s">
        <v>1603</v>
      </c>
      <c r="B130" s="487">
        <v>76</v>
      </c>
      <c r="C130" s="487">
        <v>5.5</v>
      </c>
      <c r="D130" s="487">
        <v>0.34</v>
      </c>
      <c r="E130" s="487">
        <v>2.2999999999999998</v>
      </c>
      <c r="F130" s="487">
        <v>3.4</v>
      </c>
      <c r="G130" s="487">
        <v>62</v>
      </c>
      <c r="H130" s="509">
        <v>160</v>
      </c>
      <c r="J130" s="444" t="s">
        <v>1536</v>
      </c>
      <c r="K130" s="445">
        <f>F71</f>
        <v>3.4</v>
      </c>
      <c r="L130" s="445">
        <f>E42*P123^F73*I42*I67</f>
        <v>0.51</v>
      </c>
      <c r="M130" s="449">
        <f t="shared" si="31"/>
        <v>0.15</v>
      </c>
      <c r="N130" s="444" t="s">
        <v>1537</v>
      </c>
      <c r="O130" s="445">
        <f>C74</f>
        <v>0</v>
      </c>
      <c r="P130" s="445">
        <f>O130</f>
        <v>0</v>
      </c>
      <c r="Q130" s="445">
        <v>1</v>
      </c>
      <c r="R130" s="444">
        <v>66</v>
      </c>
      <c r="S130" s="445">
        <f>S129-L147+L148</f>
        <v>45.825180477319208</v>
      </c>
      <c r="T130" s="445"/>
      <c r="U130" s="458">
        <f>S130*T121</f>
        <v>2.2912590238659606E-2</v>
      </c>
      <c r="V130" s="458">
        <f t="shared" si="30"/>
        <v>4.6600447042217497E-2</v>
      </c>
      <c r="W130" s="445">
        <f t="shared" si="30"/>
        <v>23.300223521108748</v>
      </c>
      <c r="X130" s="445"/>
      <c r="Z130" s="444" t="s">
        <v>1324</v>
      </c>
      <c r="AA130" s="455">
        <f>(AF125+AF126*COS(AA121)+AF127*SIN(AA121))</f>
        <v>4.8096473383334235</v>
      </c>
      <c r="AB130" s="455">
        <f>IF(ABS(AA130/AA133)&lt;0.0000000001,0,AA130)</f>
        <v>4.8096473383334235</v>
      </c>
      <c r="AC130" s="455"/>
      <c r="AD130" s="455"/>
      <c r="AE130" s="462"/>
      <c r="AF130" s="458"/>
      <c r="AG130" s="442"/>
      <c r="AH130" s="462"/>
      <c r="AI130" s="458"/>
    </row>
    <row r="131" spans="1:35">
      <c r="A131" s="508">
        <v>1400</v>
      </c>
      <c r="B131" s="487">
        <v>235</v>
      </c>
      <c r="C131" s="487">
        <v>12</v>
      </c>
      <c r="D131" s="487">
        <v>53</v>
      </c>
      <c r="E131" s="487">
        <v>34</v>
      </c>
      <c r="F131" s="487">
        <v>1.2</v>
      </c>
      <c r="G131" s="487">
        <v>22</v>
      </c>
      <c r="H131" s="509">
        <v>5.0000000000000001E-3</v>
      </c>
      <c r="J131" s="444" t="s">
        <v>1538</v>
      </c>
      <c r="K131" s="445">
        <f>E73</f>
        <v>0.51600000000000001</v>
      </c>
      <c r="L131" s="445">
        <f>K131*P123^G73</f>
        <v>0.51600000000000001</v>
      </c>
      <c r="M131" s="449">
        <f t="shared" si="31"/>
        <v>1</v>
      </c>
      <c r="N131" s="444" t="s">
        <v>1539</v>
      </c>
      <c r="O131" s="445">
        <f>D74</f>
        <v>0.6</v>
      </c>
      <c r="P131" s="445">
        <f>O131*(1-L128)/(1-K128)</f>
        <v>0.6</v>
      </c>
      <c r="Q131" s="445">
        <f>P131/O131</f>
        <v>1</v>
      </c>
      <c r="R131" s="444" t="s">
        <v>1347</v>
      </c>
      <c r="S131" s="445">
        <f>L145*SIN(S123)/2+L146*SIN(S124)</f>
        <v>-44.62438616141273</v>
      </c>
      <c r="T131" s="445"/>
      <c r="U131" s="458">
        <f>S131*T121</f>
        <v>-2.2312193080706366E-2</v>
      </c>
      <c r="V131" s="458">
        <f t="shared" si="30"/>
        <v>0</v>
      </c>
      <c r="W131" s="445">
        <f t="shared" si="30"/>
        <v>0</v>
      </c>
      <c r="X131" s="450"/>
      <c r="Z131" s="444" t="s">
        <v>1332</v>
      </c>
      <c r="AA131" s="455">
        <f>2*AF125-AA130</f>
        <v>4.8096473383334217</v>
      </c>
      <c r="AB131" s="455">
        <f>IF(ABS(AA131/AA133)&lt;0.0000000001,0,AA131)</f>
        <v>4.8096473383334217</v>
      </c>
      <c r="AC131" s="455"/>
      <c r="AD131" s="455"/>
      <c r="AE131" s="458"/>
      <c r="AF131" s="458"/>
      <c r="AG131" s="444" t="s">
        <v>1333</v>
      </c>
      <c r="AH131" s="458">
        <f>P150*AH124^2+2*P152*AH124*AH125+P151*AH125^2+P153*AH126^2</f>
        <v>0.56581938256204745</v>
      </c>
      <c r="AI131" s="458"/>
    </row>
    <row r="132" spans="1:35">
      <c r="A132" s="508">
        <v>-0.5</v>
      </c>
      <c r="B132" s="487">
        <v>125</v>
      </c>
      <c r="C132" s="487">
        <v>0.6</v>
      </c>
      <c r="D132" s="487">
        <v>1.46</v>
      </c>
      <c r="E132" s="487">
        <v>0.51600000000000001</v>
      </c>
      <c r="F132" s="487">
        <v>0.5</v>
      </c>
      <c r="G132" s="487">
        <v>0.2</v>
      </c>
      <c r="H132" s="509">
        <v>0.9</v>
      </c>
      <c r="J132" s="444" t="s">
        <v>1547</v>
      </c>
      <c r="K132" s="445">
        <f>K131*(1-K128)/K128</f>
        <v>0.2211428571428572</v>
      </c>
      <c r="L132" s="445">
        <f>L131*(1-L128)/L128</f>
        <v>0.2211428571428572</v>
      </c>
      <c r="M132" s="449">
        <f t="shared" si="31"/>
        <v>1</v>
      </c>
      <c r="O132" s="445"/>
      <c r="P132" s="445"/>
      <c r="Q132" s="445"/>
      <c r="R132" s="444" t="s">
        <v>1349</v>
      </c>
      <c r="S132" s="445">
        <f>L145*SIN(S123)-S131</f>
        <v>-44.62438616141273</v>
      </c>
      <c r="T132" s="445"/>
      <c r="U132" s="458">
        <f>S132*T121</f>
        <v>-2.2312193080706366E-2</v>
      </c>
      <c r="V132" s="458">
        <f t="shared" si="30"/>
        <v>6.9388939039072284E-18</v>
      </c>
      <c r="W132" s="445">
        <f t="shared" si="30"/>
        <v>3.4694469519536142E-15</v>
      </c>
      <c r="X132" s="458"/>
      <c r="Z132" s="444" t="s">
        <v>1334</v>
      </c>
      <c r="AA132" s="455">
        <f>(2*(AF127*COS(AA121)-AF126*SIN(AA121)))</f>
        <v>18.780596654481826</v>
      </c>
      <c r="AB132" s="455">
        <f>IF(ABS(AA132/AA133)&lt;0.0000000001,0,AA132)</f>
        <v>18.780596654481826</v>
      </c>
      <c r="AC132" s="455"/>
      <c r="AD132" s="455"/>
      <c r="AE132" s="458"/>
      <c r="AF132" s="458"/>
      <c r="AG132" s="444" t="s">
        <v>1335</v>
      </c>
      <c r="AH132" s="458">
        <f>P154*AH124+P155*AH125</f>
        <v>0.16371115505060047</v>
      </c>
      <c r="AI132" s="458"/>
    </row>
    <row r="133" spans="1:35">
      <c r="A133" s="508">
        <v>-4</v>
      </c>
      <c r="B133" s="487">
        <v>79</v>
      </c>
      <c r="C133" s="490">
        <v>0</v>
      </c>
      <c r="D133" s="487">
        <v>0.6</v>
      </c>
      <c r="E133" s="487">
        <v>0.316</v>
      </c>
      <c r="F133" s="487">
        <v>0.01</v>
      </c>
      <c r="G133" s="487">
        <v>0.01</v>
      </c>
      <c r="H133" s="509">
        <v>2000</v>
      </c>
      <c r="J133" s="444" t="s">
        <v>1643</v>
      </c>
      <c r="K133" s="445">
        <f>1/((1+K132)/K123-K132/K130)</f>
        <v>18.686160319541436</v>
      </c>
      <c r="L133" s="445">
        <f>K133*P123^F74*I67</f>
        <v>18.686160319541436</v>
      </c>
      <c r="M133" s="449">
        <f t="shared" si="31"/>
        <v>1</v>
      </c>
      <c r="N133" s="443" t="s">
        <v>176</v>
      </c>
      <c r="O133" s="445"/>
      <c r="P133" s="445"/>
      <c r="Q133" s="445"/>
      <c r="S133" s="443"/>
      <c r="T133" s="450" t="s">
        <v>1353</v>
      </c>
      <c r="U133" s="446">
        <f>U127*U128*U130+2*U129*U131*U132-U128*U131^2-U130*U129^2-U127*U132^2</f>
        <v>8.3876609962042566E-8</v>
      </c>
      <c r="V133" s="446">
        <f>V127*V128*V130+2*V129*V131*V132-V128*V131^2-V130*V129^2-V127*V132^2</f>
        <v>2.2637896855934086E-4</v>
      </c>
      <c r="W133" s="443"/>
      <c r="X133" s="458"/>
      <c r="Z133" s="444" t="s">
        <v>1363</v>
      </c>
      <c r="AA133" s="458">
        <f>SQRT(AA130^2+AA131^2+AA132^2)</f>
        <v>19.974389245646773</v>
      </c>
      <c r="AB133" s="458"/>
      <c r="AC133" s="458"/>
      <c r="AD133" s="458"/>
      <c r="AE133" s="458"/>
      <c r="AF133" s="458"/>
      <c r="AG133" s="444" t="s">
        <v>1344</v>
      </c>
      <c r="AH133" s="458">
        <f>AH132/2/AH131</f>
        <v>0.14466732679721164</v>
      </c>
      <c r="AI133" s="458"/>
    </row>
    <row r="134" spans="1:35">
      <c r="A134" s="508">
        <v>0.02</v>
      </c>
      <c r="B134" s="487">
        <v>0.01</v>
      </c>
      <c r="C134" s="487">
        <v>1</v>
      </c>
      <c r="D134" s="487">
        <v>1</v>
      </c>
      <c r="E134" s="487">
        <v>0</v>
      </c>
      <c r="F134" s="487"/>
      <c r="G134" s="487"/>
      <c r="H134" s="509"/>
      <c r="J134" s="444" t="s">
        <v>295</v>
      </c>
      <c r="K134" s="445">
        <f>E74</f>
        <v>0.316</v>
      </c>
      <c r="L134" s="445">
        <f>K134*P123^G73</f>
        <v>0.316</v>
      </c>
      <c r="M134" s="449">
        <f t="shared" si="31"/>
        <v>1</v>
      </c>
      <c r="N134" s="444" t="s">
        <v>296</v>
      </c>
      <c r="O134" s="448">
        <f>A72</f>
        <v>1500</v>
      </c>
      <c r="P134" s="448">
        <f>P140*L128</f>
        <v>1500</v>
      </c>
      <c r="Q134" s="445">
        <f t="shared" ref="Q134:Q141" si="32">P134/O134</f>
        <v>1</v>
      </c>
      <c r="R134" s="444" t="s">
        <v>1355</v>
      </c>
      <c r="S134" s="450" t="s">
        <v>382</v>
      </c>
      <c r="T134" s="450" t="s">
        <v>182</v>
      </c>
      <c r="U134" s="450" t="s">
        <v>669</v>
      </c>
      <c r="V134" s="450" t="s">
        <v>670</v>
      </c>
      <c r="W134" s="443"/>
      <c r="X134" s="458"/>
      <c r="Z134" s="444"/>
      <c r="AA134" s="458"/>
      <c r="AB134" s="458"/>
      <c r="AC134" s="458"/>
      <c r="AD134" s="458"/>
      <c r="AE134" s="458"/>
      <c r="AF134" s="458"/>
      <c r="AG134" s="444"/>
      <c r="AH134" s="458"/>
      <c r="AI134" s="458"/>
    </row>
    <row r="135" spans="1:35">
      <c r="A135" s="508" t="s">
        <v>1605</v>
      </c>
      <c r="B135" s="487">
        <v>38.6</v>
      </c>
      <c r="C135" s="487">
        <v>8.27</v>
      </c>
      <c r="D135" s="487">
        <v>0.26</v>
      </c>
      <c r="E135" s="487">
        <v>4.1399999999999997</v>
      </c>
      <c r="F135" s="487">
        <v>3.4</v>
      </c>
      <c r="G135" s="487">
        <v>122</v>
      </c>
      <c r="H135" s="509">
        <v>160</v>
      </c>
      <c r="J135" s="444" t="s">
        <v>301</v>
      </c>
      <c r="K135" s="445">
        <f>K134*(1-K128)/K128</f>
        <v>0.13542857142857145</v>
      </c>
      <c r="L135" s="445">
        <f>L134*(1-L128)/L128</f>
        <v>0.13542857142857145</v>
      </c>
      <c r="M135" s="449">
        <f t="shared" si="31"/>
        <v>1</v>
      </c>
      <c r="N135" s="444" t="s">
        <v>302</v>
      </c>
      <c r="O135" s="448">
        <f>B72</f>
        <v>1500</v>
      </c>
      <c r="P135" s="448">
        <f>O135*Q134*M125^E75</f>
        <v>1280.9472941235774</v>
      </c>
      <c r="Q135" s="445">
        <f t="shared" si="32"/>
        <v>0.85396486274905159</v>
      </c>
      <c r="R135" s="444">
        <v>11</v>
      </c>
      <c r="S135" s="446">
        <f>IF(U133=0,1E+99,(U128*U130-U132^2)/U133)</f>
        <v>540.0909782920827</v>
      </c>
      <c r="T135" s="445">
        <f t="shared" ref="T135:V140" si="33">T96</f>
        <v>28.399891331148673</v>
      </c>
      <c r="U135" s="445">
        <f t="shared" si="33"/>
        <v>5.6799782662297349E-2</v>
      </c>
      <c r="V135" s="445">
        <f t="shared" si="33"/>
        <v>17.605701168708549</v>
      </c>
      <c r="W135" s="443"/>
      <c r="X135" s="458"/>
      <c r="Z135" s="444"/>
      <c r="AA135" s="458"/>
      <c r="AB135" s="458"/>
      <c r="AC135" s="458"/>
      <c r="AD135" s="458"/>
      <c r="AE135" s="458"/>
      <c r="AF135" s="458"/>
      <c r="AG135" s="444"/>
      <c r="AH135" s="458"/>
      <c r="AI135" s="458"/>
    </row>
    <row r="136" spans="1:35">
      <c r="A136" s="508">
        <v>1062</v>
      </c>
      <c r="B136" s="487">
        <v>610</v>
      </c>
      <c r="C136" s="487">
        <v>31</v>
      </c>
      <c r="D136" s="487">
        <v>118</v>
      </c>
      <c r="E136" s="487">
        <v>72</v>
      </c>
      <c r="F136" s="487">
        <v>1.2</v>
      </c>
      <c r="G136" s="487">
        <v>22</v>
      </c>
      <c r="H136" s="509">
        <v>5.0000000000000001E-3</v>
      </c>
      <c r="J136" s="444" t="s">
        <v>304</v>
      </c>
      <c r="K136" s="445">
        <f>1/((1+K135)/K125-K135*2.7/K130)</f>
        <v>19.680382632972858</v>
      </c>
      <c r="L136" s="445">
        <f>K136*P123^F74*I67</f>
        <v>19.680382632972858</v>
      </c>
      <c r="M136" s="449">
        <f t="shared" si="31"/>
        <v>1</v>
      </c>
      <c r="N136" s="444" t="s">
        <v>305</v>
      </c>
      <c r="O136" s="448">
        <f>C72</f>
        <v>40</v>
      </c>
      <c r="P136" s="448">
        <f>O136*Q141</f>
        <v>40</v>
      </c>
      <c r="Q136" s="445">
        <f t="shared" si="32"/>
        <v>1</v>
      </c>
      <c r="R136" s="444">
        <v>22</v>
      </c>
      <c r="S136" s="446">
        <f>IF(U133=0,1E+99,(U127*U130-U131^2)/U133)</f>
        <v>540.09097829208531</v>
      </c>
      <c r="T136" s="445">
        <f t="shared" si="33"/>
        <v>10.203593260121179</v>
      </c>
      <c r="U136" s="445">
        <f t="shared" si="33"/>
        <v>2.040718652024236E-2</v>
      </c>
      <c r="V136" s="445">
        <f t="shared" si="33"/>
        <v>49.002345277144251</v>
      </c>
      <c r="W136" s="443"/>
      <c r="X136" s="458"/>
      <c r="AA136" s="458"/>
      <c r="AB136" s="458"/>
      <c r="AC136" s="458"/>
      <c r="AD136" s="458"/>
      <c r="AE136" s="458"/>
      <c r="AF136" s="458"/>
      <c r="AG136" s="444"/>
      <c r="AH136" s="458"/>
      <c r="AI136" s="462" t="s">
        <v>1348</v>
      </c>
    </row>
    <row r="137" spans="1:35">
      <c r="A137" s="508">
        <v>-0.5</v>
      </c>
      <c r="B137" s="487">
        <v>125</v>
      </c>
      <c r="C137" s="487">
        <v>0.45</v>
      </c>
      <c r="D137" s="487">
        <v>1.8</v>
      </c>
      <c r="E137" s="487">
        <v>0.51600000000000001</v>
      </c>
      <c r="F137" s="487">
        <v>0.5</v>
      </c>
      <c r="G137" s="487">
        <v>0.2</v>
      </c>
      <c r="H137" s="509">
        <v>0.9</v>
      </c>
      <c r="L137" s="445"/>
      <c r="N137" s="444" t="s">
        <v>1542</v>
      </c>
      <c r="O137" s="448">
        <f>D72</f>
        <v>246</v>
      </c>
      <c r="P137" s="448">
        <f>O137*Q141</f>
        <v>246</v>
      </c>
      <c r="Q137" s="445">
        <f t="shared" si="32"/>
        <v>1</v>
      </c>
      <c r="R137" s="444" t="s">
        <v>1345</v>
      </c>
      <c r="S137" s="446">
        <f>IF(U133=0,1E+99,(U131*U132-U129*U130)/U133)</f>
        <v>-136.11783786929934</v>
      </c>
      <c r="T137" s="445">
        <f t="shared" si="33"/>
        <v>-9.1613019778149827</v>
      </c>
      <c r="U137" s="445">
        <f t="shared" si="33"/>
        <v>-1.8322603955629967E-2</v>
      </c>
      <c r="V137" s="445">
        <f t="shared" si="33"/>
        <v>0.32258228987541837</v>
      </c>
      <c r="W137" s="443"/>
      <c r="X137" s="458"/>
      <c r="AF137" s="458"/>
      <c r="AG137" s="444" t="s">
        <v>1351</v>
      </c>
      <c r="AH137" s="455">
        <f>(AH133^2+1/AH131)^0.5-AH133</f>
        <v>1.1925974450324361</v>
      </c>
      <c r="AI137" s="455">
        <f>AH138</f>
        <v>1.1925974450324361</v>
      </c>
    </row>
    <row r="138" spans="1:35">
      <c r="A138" s="508">
        <v>8.6</v>
      </c>
      <c r="B138" s="487">
        <v>22.1</v>
      </c>
      <c r="C138" s="487">
        <v>0</v>
      </c>
      <c r="D138" s="487">
        <v>0.6</v>
      </c>
      <c r="E138" s="487">
        <v>0.316</v>
      </c>
      <c r="F138" s="487">
        <v>0.1</v>
      </c>
      <c r="G138" s="487">
        <v>0.1</v>
      </c>
      <c r="H138" s="509">
        <v>2000</v>
      </c>
      <c r="J138" s="443" t="s">
        <v>1507</v>
      </c>
      <c r="N138" s="444" t="s">
        <v>1543</v>
      </c>
      <c r="O138" s="475">
        <f>E72</f>
        <v>68</v>
      </c>
      <c r="P138" s="475">
        <f>O138*Q141</f>
        <v>68</v>
      </c>
      <c r="Q138" s="445">
        <f t="shared" si="32"/>
        <v>1</v>
      </c>
      <c r="R138" s="444">
        <v>66</v>
      </c>
      <c r="S138" s="446">
        <f>IF(U133=0,1E+99,(U127*U128-U129^2)/U133)</f>
        <v>809.80263443673039</v>
      </c>
      <c r="T138" s="445">
        <f t="shared" si="33"/>
        <v>21.45902160754067</v>
      </c>
      <c r="U138" s="445">
        <f t="shared" si="33"/>
        <v>4.2918043215081345E-2</v>
      </c>
      <c r="V138" s="445">
        <f t="shared" si="33"/>
        <v>23.300223521108748</v>
      </c>
      <c r="W138" s="443"/>
      <c r="AF138" s="458"/>
      <c r="AG138" s="444"/>
      <c r="AH138" s="455">
        <f>IF(AH120=0,1000000000,AH137)</f>
        <v>1.1925974450324361</v>
      </c>
    </row>
    <row r="139" spans="1:35">
      <c r="A139" s="508">
        <v>0.04</v>
      </c>
      <c r="B139" s="487">
        <v>0.01</v>
      </c>
      <c r="C139" s="487">
        <v>1</v>
      </c>
      <c r="D139" s="487">
        <v>1</v>
      </c>
      <c r="E139" s="487">
        <v>0.04</v>
      </c>
      <c r="F139" s="487"/>
      <c r="G139" s="487"/>
      <c r="H139" s="509"/>
      <c r="J139" s="444" t="s">
        <v>1354</v>
      </c>
      <c r="K139" s="445">
        <f>K122/(1-K124^2*K123/K122)</f>
        <v>181.81113884441791</v>
      </c>
      <c r="L139" s="445">
        <f>L122/(1-L124^2*L123/L122)</f>
        <v>181.00442213188575</v>
      </c>
      <c r="M139" s="449">
        <f>L139/K139</f>
        <v>0.99556288620345479</v>
      </c>
      <c r="N139" s="444" t="s">
        <v>1168</v>
      </c>
      <c r="O139" s="449">
        <f>A73</f>
        <v>-0.5</v>
      </c>
      <c r="P139" s="449">
        <f>O139*I42*I67</f>
        <v>-7.4999999999999997E-2</v>
      </c>
      <c r="Q139" s="445">
        <f t="shared" si="32"/>
        <v>0.15</v>
      </c>
      <c r="R139" s="444" t="s">
        <v>1347</v>
      </c>
      <c r="S139" s="446">
        <f>IF(U133=0,1E+99,(U129*U132-U128*U131)/U133)</f>
        <v>393.38750506366813</v>
      </c>
      <c r="T139" s="445">
        <f t="shared" si="33"/>
        <v>1.3641350347588565E-15</v>
      </c>
      <c r="U139" s="445">
        <f t="shared" si="33"/>
        <v>2.7282700695177132E-18</v>
      </c>
      <c r="V139" s="445">
        <f t="shared" si="33"/>
        <v>4.8033107551460555E-17</v>
      </c>
      <c r="W139" s="443"/>
      <c r="X139" s="443"/>
      <c r="Y139" s="444"/>
      <c r="AF139" s="458"/>
      <c r="AG139" s="443" t="s">
        <v>1360</v>
      </c>
      <c r="AH139" s="455">
        <f>IF(AH120=0,0,AH137)</f>
        <v>1.1925974450324361</v>
      </c>
    </row>
    <row r="140" spans="1:35">
      <c r="A140" s="510" t="s">
        <v>1607</v>
      </c>
      <c r="B140" s="487">
        <v>148</v>
      </c>
      <c r="C140" s="487">
        <v>9.65</v>
      </c>
      <c r="D140" s="487">
        <v>0.3</v>
      </c>
      <c r="E140" s="487">
        <v>4.55</v>
      </c>
      <c r="F140" s="487">
        <v>3.4</v>
      </c>
      <c r="G140" s="487">
        <v>122</v>
      </c>
      <c r="H140" s="509">
        <v>160</v>
      </c>
      <c r="J140" s="444" t="s">
        <v>1361</v>
      </c>
      <c r="K140" s="445">
        <f>K139*K123/K122</f>
        <v>10.346158729820468</v>
      </c>
      <c r="L140" s="445">
        <f>L139*L123/L122</f>
        <v>2.5068774862348158</v>
      </c>
      <c r="M140" s="449">
        <f>L140/K140</f>
        <v>0.24230031180647818</v>
      </c>
      <c r="N140" s="444" t="s">
        <v>1175</v>
      </c>
      <c r="O140" s="448">
        <f>O134/K128</f>
        <v>2142.8571428571431</v>
      </c>
      <c r="P140" s="448">
        <f>H42*P123^G74</f>
        <v>2142.8571428571431</v>
      </c>
      <c r="Q140" s="445">
        <f t="shared" si="32"/>
        <v>1</v>
      </c>
      <c r="R140" s="444" t="s">
        <v>1349</v>
      </c>
      <c r="S140" s="446">
        <f>IF(U133=0,1E+99,(U129*U131-U127*U132)/U133)</f>
        <v>393.38750506367069</v>
      </c>
      <c r="T140" s="445">
        <f t="shared" si="33"/>
        <v>-1.5193341601736405E-15</v>
      </c>
      <c r="U140" s="445">
        <f t="shared" si="33"/>
        <v>-3.0386683203472813E-18</v>
      </c>
      <c r="V140" s="445">
        <f t="shared" si="33"/>
        <v>-5.3497886398855771E-17</v>
      </c>
      <c r="W140" s="443"/>
      <c r="X140" s="443"/>
      <c r="Y140" s="445"/>
      <c r="AF140" s="458"/>
      <c r="AG140" s="444" t="s">
        <v>1364</v>
      </c>
      <c r="AH140" s="464">
        <f>AI124+AI125*COS(AH121)+AI126*SIN(AH121)-V146</f>
        <v>1.9068551681092489E-5</v>
      </c>
      <c r="AI140" s="458"/>
    </row>
    <row r="141" spans="1:35">
      <c r="A141" s="508">
        <v>1314</v>
      </c>
      <c r="B141" s="487">
        <v>1220</v>
      </c>
      <c r="C141" s="487">
        <v>43</v>
      </c>
      <c r="D141" s="487">
        <v>168</v>
      </c>
      <c r="E141" s="487">
        <v>48</v>
      </c>
      <c r="F141" s="487">
        <v>1.2</v>
      </c>
      <c r="G141" s="487">
        <v>22</v>
      </c>
      <c r="H141" s="509">
        <v>5.0000000000000001E-3</v>
      </c>
      <c r="J141" s="444" t="s">
        <v>1365</v>
      </c>
      <c r="K141" s="445">
        <f>K140*K124</f>
        <v>2.8969244443497315</v>
      </c>
      <c r="L141" s="445">
        <f>L140*L124</f>
        <v>0.10528885442186227</v>
      </c>
      <c r="M141" s="449">
        <f>L141/K141</f>
        <v>3.6345046770971723E-2</v>
      </c>
      <c r="N141" s="444" t="s">
        <v>1176</v>
      </c>
      <c r="O141" s="448">
        <f>O136</f>
        <v>40</v>
      </c>
      <c r="P141" s="448">
        <f>G42*P123^H73</f>
        <v>40</v>
      </c>
      <c r="Q141" s="445">
        <f t="shared" si="32"/>
        <v>1</v>
      </c>
      <c r="R141" s="442" t="s">
        <v>1185</v>
      </c>
      <c r="S141" s="443"/>
      <c r="T141" s="471"/>
      <c r="W141" s="443"/>
      <c r="X141" s="443"/>
      <c r="Y141" s="445"/>
      <c r="AF141" s="458"/>
      <c r="AG141" s="444" t="s">
        <v>1367</v>
      </c>
      <c r="AH141" s="464">
        <f>2*AI124-AH140-V147-V146</f>
        <v>-7.3293144831890775E-4</v>
      </c>
      <c r="AI141" s="458"/>
    </row>
    <row r="142" spans="1:35">
      <c r="A142" s="508">
        <v>-0.5</v>
      </c>
      <c r="B142" s="487">
        <v>100</v>
      </c>
      <c r="C142" s="487">
        <v>0.6</v>
      </c>
      <c r="D142" s="487">
        <v>1.5</v>
      </c>
      <c r="E142" s="487">
        <v>0.51600000000000001</v>
      </c>
      <c r="F142" s="487">
        <v>0.5</v>
      </c>
      <c r="G142" s="487">
        <v>0.2</v>
      </c>
      <c r="H142" s="509">
        <v>0.9</v>
      </c>
      <c r="J142" s="444" t="s">
        <v>1370</v>
      </c>
      <c r="K142" s="445">
        <f>K125</f>
        <v>7.17</v>
      </c>
      <c r="L142" s="445">
        <f>L125</f>
        <v>1.478833129796586</v>
      </c>
      <c r="M142" s="449">
        <f>L142/K142</f>
        <v>0.20625287723801758</v>
      </c>
      <c r="R142" s="444"/>
      <c r="S142" s="450" t="s">
        <v>1406</v>
      </c>
      <c r="T142" s="450" t="s">
        <v>1407</v>
      </c>
      <c r="U142" s="450" t="s">
        <v>1408</v>
      </c>
      <c r="V142" s="450" t="s">
        <v>1409</v>
      </c>
      <c r="W142" s="450" t="s">
        <v>1410</v>
      </c>
      <c r="X142" s="450" t="s">
        <v>1411</v>
      </c>
      <c r="Y142" s="450" t="s">
        <v>1394</v>
      </c>
      <c r="AF142" s="458"/>
      <c r="AG142" s="444" t="s">
        <v>1372</v>
      </c>
      <c r="AH142" s="464">
        <f>2*(AI126*COS(AH121)-AI125*SIN(AH121))</f>
        <v>5.1764073079395272E-5</v>
      </c>
      <c r="AI142" s="458"/>
    </row>
    <row r="143" spans="1:35">
      <c r="A143" s="508">
        <v>-0.3</v>
      </c>
      <c r="B143" s="487">
        <v>28.1</v>
      </c>
      <c r="C143" s="490">
        <v>0</v>
      </c>
      <c r="D143" s="487">
        <v>0.6</v>
      </c>
      <c r="E143" s="487">
        <v>0.316</v>
      </c>
      <c r="F143" s="487">
        <v>4.0000000000000001E-3</v>
      </c>
      <c r="G143" s="487">
        <v>4.0000000000000001E-3</v>
      </c>
      <c r="H143" s="509">
        <v>2000</v>
      </c>
      <c r="J143" s="443" t="s">
        <v>1510</v>
      </c>
      <c r="K143" s="445"/>
      <c r="L143" s="445"/>
      <c r="N143" s="443" t="s">
        <v>1375</v>
      </c>
      <c r="R143" s="444">
        <v>1</v>
      </c>
      <c r="S143" s="458">
        <f>((L139+L141)/2*P127+(L141+L140)/2*P128)/1000000</f>
        <v>3.1197968442250702E-5</v>
      </c>
      <c r="T143" s="458">
        <f>((L139+L141)/2*P130+(L141+L140)/2*P131)</f>
        <v>0.78364990219700348</v>
      </c>
      <c r="U143" s="464">
        <f>S143+S144*Y143</f>
        <v>3.1197968442250702E-5</v>
      </c>
      <c r="V143" s="455">
        <f>T143+T144*Y143</f>
        <v>0.78364990219700348</v>
      </c>
      <c r="W143" s="455">
        <f>(U143*S135+U144*S137+U145*S139)*T121*1000000</f>
        <v>11.259999999999629</v>
      </c>
      <c r="X143" s="455">
        <f>(V143*S135+V144*S137+V145*S139)*T121</f>
        <v>0.29999999999999011</v>
      </c>
      <c r="Y143" s="455">
        <f>COS(S123)</f>
        <v>6.1257422745431001E-17</v>
      </c>
      <c r="AF143" s="458"/>
      <c r="AG143" s="458"/>
      <c r="AH143" s="458"/>
      <c r="AI143" s="458"/>
    </row>
    <row r="144" spans="1:35">
      <c r="A144" s="508">
        <v>0.15</v>
      </c>
      <c r="B144" s="487">
        <v>0.01</v>
      </c>
      <c r="C144" s="487">
        <v>1</v>
      </c>
      <c r="D144" s="487">
        <v>1</v>
      </c>
      <c r="E144" s="487">
        <v>0.1</v>
      </c>
      <c r="F144" s="487"/>
      <c r="G144" s="487"/>
      <c r="H144" s="509"/>
      <c r="J144" s="444" t="s">
        <v>1380</v>
      </c>
      <c r="K144" s="445">
        <f>(3*K139+3*K140+2*K141+4*K142)/8</f>
        <v>76.368217701426829</v>
      </c>
      <c r="L144" s="445">
        <f>(3*L139+3*L140+2*L141+4*L142)/8</f>
        <v>69.582476135298961</v>
      </c>
      <c r="M144" s="449">
        <f>L144/K144</f>
        <v>0.91114442931406681</v>
      </c>
      <c r="N144" s="444" t="s">
        <v>1381</v>
      </c>
      <c r="O144" s="445">
        <f>1/O134/O135*1000000</f>
        <v>0.44444444444444442</v>
      </c>
      <c r="P144" s="445">
        <f>1/P134/P135*1000000</f>
        <v>0.5204481634217426</v>
      </c>
      <c r="Q144" s="445">
        <f>P144/O144</f>
        <v>1.1710083676989209</v>
      </c>
      <c r="R144" s="444">
        <v>2</v>
      </c>
      <c r="S144" s="458">
        <f>((L139-L141)/2*P127+(L141-L140)/2*P128)/1000000</f>
        <v>-2.5208880775121087E-5</v>
      </c>
      <c r="T144" s="458">
        <f>((L139-L141)/2*P130+(L141-L140)/2*P131)</f>
        <v>-0.72047658954388594</v>
      </c>
      <c r="U144" s="464">
        <f>S143-S144*Y143</f>
        <v>3.1197968442250702E-5</v>
      </c>
      <c r="V144" s="455">
        <f>T143-T144*Y143</f>
        <v>0.78364990219700348</v>
      </c>
      <c r="W144" s="455">
        <f>(U143*S137+U144*S136+U145*S140)*T121*1000000</f>
        <v>11.259999999999703</v>
      </c>
      <c r="X144" s="455">
        <f>(V143*S137+V144*S136+V145*S140)*T121</f>
        <v>0.29999999999999205</v>
      </c>
      <c r="Y144" s="455">
        <f>SIN(S123)</f>
        <v>-1</v>
      </c>
      <c r="AF144" s="458"/>
      <c r="AG144" s="462" t="s">
        <v>1383</v>
      </c>
      <c r="AH144" s="479">
        <f>P150*AH140^2+2*P152*AH140*AH141+P151*AH141^2+P153*AH142^2</f>
        <v>3.5628171744212731E-4</v>
      </c>
      <c r="AI144" s="458"/>
    </row>
    <row r="145" spans="1:35">
      <c r="A145" s="510" t="s">
        <v>1582</v>
      </c>
      <c r="B145" s="487">
        <v>181</v>
      </c>
      <c r="C145" s="487">
        <v>10.3</v>
      </c>
      <c r="D145" s="487">
        <v>0.28000000000000003</v>
      </c>
      <c r="E145" s="487">
        <v>7.17</v>
      </c>
      <c r="F145" s="487">
        <v>3.4</v>
      </c>
      <c r="G145" s="487">
        <v>122</v>
      </c>
      <c r="H145" s="509">
        <v>160</v>
      </c>
      <c r="J145" s="444" t="s">
        <v>1384</v>
      </c>
      <c r="K145" s="445">
        <f>(K139-K140)/2</f>
        <v>85.732490057298719</v>
      </c>
      <c r="L145" s="445">
        <f>(L139-L140)/2</f>
        <v>89.248772322825459</v>
      </c>
      <c r="M145" s="449">
        <f>L145/K145</f>
        <v>1.0410145822566994</v>
      </c>
      <c r="N145" s="444" t="s">
        <v>1385</v>
      </c>
      <c r="O145" s="445">
        <f>1/O136/O137*1000000</f>
        <v>101.6260162601626</v>
      </c>
      <c r="P145" s="445">
        <f>1/P136/P137*1000000</f>
        <v>101.6260162601626</v>
      </c>
      <c r="Q145" s="445">
        <f>P145/O145</f>
        <v>1</v>
      </c>
      <c r="R145" s="444">
        <v>6</v>
      </c>
      <c r="S145" s="450" t="s">
        <v>1419</v>
      </c>
      <c r="T145" s="450" t="s">
        <v>1420</v>
      </c>
      <c r="U145" s="464">
        <f>S144*Y144</f>
        <v>2.5208880775121087E-5</v>
      </c>
      <c r="V145" s="455">
        <f>T144*Y144</f>
        <v>0.72047658954388594</v>
      </c>
      <c r="W145" s="455">
        <f>(U143*S139+U144*S140+U145*S138)*T121*1000000</f>
        <v>22.479999999999347</v>
      </c>
      <c r="X145" s="455">
        <f>(V143*S139+V144*S140+V145*S138)*T121</f>
        <v>0.59999999999998266</v>
      </c>
      <c r="Y145" s="450" t="s">
        <v>406</v>
      </c>
      <c r="AF145" s="458"/>
      <c r="AG145" s="462" t="s">
        <v>1387</v>
      </c>
      <c r="AH145" s="479">
        <f>P154*AH140+P155*AH141</f>
        <v>-3.8807912948973414E-2</v>
      </c>
      <c r="AI145" s="458"/>
    </row>
    <row r="146" spans="1:35">
      <c r="A146" s="508">
        <v>1500</v>
      </c>
      <c r="B146" s="487">
        <v>1500</v>
      </c>
      <c r="C146" s="487">
        <v>40</v>
      </c>
      <c r="D146" s="487">
        <v>246</v>
      </c>
      <c r="E146" s="487">
        <v>68</v>
      </c>
      <c r="F146" s="487">
        <v>1.2</v>
      </c>
      <c r="G146" s="487">
        <v>22</v>
      </c>
      <c r="H146" s="509">
        <v>5.0000000000000001E-3</v>
      </c>
      <c r="J146" s="444" t="s">
        <v>1388</v>
      </c>
      <c r="K146" s="445">
        <f>(K139+K140-2*K141-4*K142)/8</f>
        <v>19.710431085692363</v>
      </c>
      <c r="L146" s="445">
        <f>(L139+L140-2*L141-4*L142)/8</f>
        <v>22.173173673761315</v>
      </c>
      <c r="M146" s="449">
        <f>L146/K146</f>
        <v>1.1249461555336877</v>
      </c>
      <c r="N146" s="444" t="s">
        <v>1389</v>
      </c>
      <c r="O146" s="445">
        <f>O139*(O144*O145)^0.5</f>
        <v>-3.3603243272729659</v>
      </c>
      <c r="P146" s="445">
        <f>P139*(P144*P145)^0.5</f>
        <v>-0.54544687050288632</v>
      </c>
      <c r="Q146" s="445">
        <f>P146/O146</f>
        <v>0.16231971005773055</v>
      </c>
      <c r="R146" s="444">
        <v>1</v>
      </c>
      <c r="S146" s="471">
        <f>P124*U143+P120*V143</f>
        <v>7.9845266675994744E-4</v>
      </c>
      <c r="T146" s="446">
        <f>P124*W143/1000000+P120*X143</f>
        <v>3.7399999999998762E-4</v>
      </c>
      <c r="U146" s="450" t="s">
        <v>1423</v>
      </c>
      <c r="V146" s="446">
        <f>P124*P127/1000000+P120*P130</f>
        <v>-1.9999999999999999E-6</v>
      </c>
      <c r="W146" s="443"/>
      <c r="Y146" s="455">
        <f>Y143+Y182+Y221+Y260+Y299+W343+W382+W421</f>
        <v>6.6613381477509392E-16</v>
      </c>
      <c r="AF146" s="458"/>
      <c r="AG146" s="462" t="s">
        <v>1390</v>
      </c>
      <c r="AH146" s="479">
        <f>AH144+AH145</f>
        <v>-3.8451631231531287E-2</v>
      </c>
      <c r="AI146" s="458"/>
    </row>
    <row r="147" spans="1:35">
      <c r="A147" s="508">
        <v>-0.5</v>
      </c>
      <c r="B147" s="487">
        <v>125</v>
      </c>
      <c r="C147" s="487">
        <v>0.7</v>
      </c>
      <c r="D147" s="487">
        <v>1.6</v>
      </c>
      <c r="E147" s="487">
        <v>0.51600000000000001</v>
      </c>
      <c r="F147" s="487">
        <v>0.5</v>
      </c>
      <c r="G147" s="487">
        <v>0.2</v>
      </c>
      <c r="H147" s="509">
        <v>0.9</v>
      </c>
      <c r="J147" s="444" t="s">
        <v>1391</v>
      </c>
      <c r="K147" s="445">
        <f>(K139+K140+6*K141-4*K142)/8</f>
        <v>22.607355530042096</v>
      </c>
      <c r="L147" s="445">
        <f>(L139+L140+6*L141-4*L142)/8</f>
        <v>22.278462528183177</v>
      </c>
      <c r="M147" s="449">
        <f>L147/K147</f>
        <v>0.98545194720267637</v>
      </c>
      <c r="N147" s="444" t="s">
        <v>1392</v>
      </c>
      <c r="O147" s="445">
        <f>1/O138^2*1000000</f>
        <v>216.26297577854672</v>
      </c>
      <c r="P147" s="445">
        <f>1/P138^2*1000000</f>
        <v>216.26297577854672</v>
      </c>
      <c r="Q147" s="445">
        <f>P147/O147</f>
        <v>1</v>
      </c>
      <c r="R147" s="444">
        <v>2</v>
      </c>
      <c r="S147" s="471">
        <f>P124*U144+P120*V144</f>
        <v>7.9845266675994744E-4</v>
      </c>
      <c r="T147" s="446">
        <f>P124*W144/1000000+P120*X144</f>
        <v>3.7399999999999023E-4</v>
      </c>
      <c r="U147" s="450" t="s">
        <v>1427</v>
      </c>
      <c r="V147" s="446">
        <f>P124*P128/1000000+P120*P131</f>
        <v>7.5000000000000023E-4</v>
      </c>
      <c r="W147" s="443"/>
      <c r="Y147" s="455">
        <f>Y144+Y183+Y222+Y261+Y300+W344+W383+W422</f>
        <v>-1</v>
      </c>
      <c r="AA147" s="442" t="s">
        <v>699</v>
      </c>
      <c r="AB147" s="442" t="s">
        <v>701</v>
      </c>
      <c r="AC147" s="444" t="s">
        <v>408</v>
      </c>
      <c r="AD147" s="444" t="s">
        <v>409</v>
      </c>
      <c r="AE147" s="443" t="s">
        <v>410</v>
      </c>
      <c r="AF147" s="458"/>
      <c r="AG147" s="462" t="s">
        <v>1395</v>
      </c>
      <c r="AH147" s="479">
        <f>-1+AH146</f>
        <v>-1.0384516312315313</v>
      </c>
      <c r="AI147" s="458"/>
    </row>
    <row r="148" spans="1:35">
      <c r="A148" s="508">
        <v>0.02</v>
      </c>
      <c r="B148" s="487">
        <v>22.5</v>
      </c>
      <c r="C148" s="490">
        <v>0</v>
      </c>
      <c r="D148" s="487">
        <v>0.6</v>
      </c>
      <c r="E148" s="487">
        <v>0.316</v>
      </c>
      <c r="F148" s="487">
        <v>4.0000000000000001E-3</v>
      </c>
      <c r="G148" s="487">
        <v>4.0000000000000001E-3</v>
      </c>
      <c r="H148" s="509">
        <v>2000</v>
      </c>
      <c r="J148" s="444" t="s">
        <v>1396</v>
      </c>
      <c r="K148" s="445">
        <f>(K144-K147)/2</f>
        <v>26.880431085692365</v>
      </c>
      <c r="L148" s="445">
        <f>(L144-L147)/2</f>
        <v>23.652006803557892</v>
      </c>
      <c r="M148" s="449">
        <f>L148/K148</f>
        <v>0.8798968561239755</v>
      </c>
      <c r="N148" s="444" t="s">
        <v>1397</v>
      </c>
      <c r="O148" s="445">
        <f>(1/O134-1/O135)*1000</f>
        <v>0</v>
      </c>
      <c r="P148" s="445">
        <f>(1/P134-1/P135)*1000</f>
        <v>-0.11400557846594737</v>
      </c>
      <c r="Q148" s="445">
        <f>IF(O148=0,1,P148/O148)</f>
        <v>1</v>
      </c>
      <c r="R148" s="444">
        <v>6</v>
      </c>
      <c r="S148" s="471">
        <f>P124*U145+P120*V145</f>
        <v>1.0814948702073208E-3</v>
      </c>
      <c r="T148" s="446">
        <f>P124*W145/1000000+P120*X145</f>
        <v>7.5199999999997881E-4</v>
      </c>
      <c r="U148" s="450" t="s">
        <v>1429</v>
      </c>
      <c r="V148" s="446">
        <f>0</f>
        <v>0</v>
      </c>
      <c r="W148" s="443"/>
      <c r="Y148" s="446"/>
      <c r="AA148" s="458">
        <f t="shared" ref="AA148:AE150" si="34">AA109</f>
        <v>2.9711368780229658E-5</v>
      </c>
      <c r="AB148" s="458">
        <f t="shared" si="34"/>
        <v>0.7678998340530242</v>
      </c>
      <c r="AC148" s="458">
        <f t="shared" si="34"/>
        <v>1.363735669153409</v>
      </c>
      <c r="AD148" s="458">
        <f t="shared" si="34"/>
        <v>3.5864831027226207E-2</v>
      </c>
      <c r="AE148" s="458">
        <f t="shared" si="34"/>
        <v>4.2950588220790124E-5</v>
      </c>
      <c r="AF148" s="458"/>
      <c r="AG148" s="462" t="s">
        <v>1399</v>
      </c>
      <c r="AH148" s="479">
        <f>2*(P150*AH124*AH140+P151*AH125*AH141+P152*(AH124*AH141+AH140*AH125)+P153*AH126*AH142)</f>
        <v>9.9013395412876322E-4</v>
      </c>
      <c r="AI148" s="458"/>
    </row>
    <row r="149" spans="1:35">
      <c r="A149" s="508">
        <v>0.15</v>
      </c>
      <c r="B149" s="487">
        <v>0.01</v>
      </c>
      <c r="C149" s="487">
        <v>1</v>
      </c>
      <c r="D149" s="487">
        <v>1</v>
      </c>
      <c r="E149" s="487">
        <v>0.1</v>
      </c>
      <c r="F149" s="487"/>
      <c r="G149" s="487"/>
      <c r="H149" s="509"/>
      <c r="J149" s="443" t="s">
        <v>1400</v>
      </c>
      <c r="N149" s="444" t="s">
        <v>1401</v>
      </c>
      <c r="O149" s="445">
        <f>(1/O136-1/O137)*1000</f>
        <v>20.934959349593495</v>
      </c>
      <c r="P149" s="445">
        <f>(1/P136-1/P137)*1000</f>
        <v>20.934959349593495</v>
      </c>
      <c r="Q149" s="445">
        <f t="shared" ref="Q149:Q155" si="35">P149/O149</f>
        <v>1</v>
      </c>
      <c r="R149" s="444"/>
      <c r="S149" s="455"/>
      <c r="T149" s="455"/>
      <c r="U149" s="455"/>
      <c r="V149" s="455"/>
      <c r="W149" s="443"/>
      <c r="X149" s="443"/>
      <c r="Y149" s="446"/>
      <c r="AA149" s="458">
        <f t="shared" si="34"/>
        <v>1.7675632838392989E-5</v>
      </c>
      <c r="AB149" s="458">
        <f t="shared" si="34"/>
        <v>0.42306828615470354</v>
      </c>
      <c r="AC149" s="458">
        <f t="shared" si="34"/>
        <v>-0.1836797069434101</v>
      </c>
      <c r="AD149" s="458">
        <f t="shared" si="34"/>
        <v>-5.4362911105892316E-3</v>
      </c>
      <c r="AE149" s="458">
        <f t="shared" si="34"/>
        <v>-8.8134848586051478E-6</v>
      </c>
      <c r="AG149" s="462" t="s">
        <v>1403</v>
      </c>
      <c r="AH149" s="479">
        <f>AH148+AH132</f>
        <v>0.16470128900472922</v>
      </c>
      <c r="AI149" s="458"/>
    </row>
    <row r="150" spans="1:35">
      <c r="A150" s="511" t="s">
        <v>162</v>
      </c>
      <c r="B150" s="511">
        <v>23.58</v>
      </c>
      <c r="C150" s="511">
        <v>23.58</v>
      </c>
      <c r="D150" s="512">
        <v>9.1999999999999998E-2</v>
      </c>
      <c r="E150" s="512">
        <v>4.1399999999999997</v>
      </c>
      <c r="F150" s="512">
        <v>3.4</v>
      </c>
      <c r="G150" s="512">
        <v>100</v>
      </c>
      <c r="H150" s="513">
        <v>160</v>
      </c>
      <c r="J150" s="444" t="s">
        <v>1404</v>
      </c>
      <c r="K150" s="445">
        <f>(1-(K147/K144)^2)*K144</f>
        <v>69.675740916648124</v>
      </c>
      <c r="L150" s="445">
        <f>(1-(L147/L144)^2)*L144</f>
        <v>62.449503579758137</v>
      </c>
      <c r="M150" s="445">
        <f>L150/K150</f>
        <v>0.89628761399847034</v>
      </c>
      <c r="N150" s="444" t="s">
        <v>1405</v>
      </c>
      <c r="O150" s="448">
        <f>(O144*K139^2+2*O146*K139*K141+O145*K141^2)</f>
        <v>12004.38353147296</v>
      </c>
      <c r="P150" s="448">
        <f>(P144*L139^2+2*P146*L139*L141+P145*L141^2)</f>
        <v>17031.57205316806</v>
      </c>
      <c r="Q150" s="445">
        <f t="shared" si="35"/>
        <v>1.4187793990849153</v>
      </c>
      <c r="S150" s="443"/>
      <c r="T150" s="443"/>
      <c r="W150" s="443"/>
      <c r="X150" s="443"/>
      <c r="Y150" s="446"/>
      <c r="AA150" s="458">
        <f t="shared" si="34"/>
        <v>-8.4703294725430034E-22</v>
      </c>
      <c r="AB150" s="458">
        <f t="shared" si="34"/>
        <v>-2.7755575615628914E-17</v>
      </c>
      <c r="AC150" s="458">
        <f t="shared" si="34"/>
        <v>-9.002744015469067E-18</v>
      </c>
      <c r="AD150" s="458">
        <f t="shared" si="34"/>
        <v>-3.8174105857845086E-19</v>
      </c>
      <c r="AE150" s="458">
        <f t="shared" si="34"/>
        <v>-1.0084308913453477E-21</v>
      </c>
      <c r="AG150" s="462" t="s">
        <v>1412</v>
      </c>
      <c r="AH150" s="479">
        <f>AH149/2/AH131</f>
        <v>0.14554228264411581</v>
      </c>
      <c r="AI150" s="458"/>
    </row>
    <row r="151" spans="1:35">
      <c r="A151" s="511">
        <v>389</v>
      </c>
      <c r="B151" s="511">
        <v>306</v>
      </c>
      <c r="C151" s="511">
        <v>389</v>
      </c>
      <c r="D151" s="512">
        <v>306</v>
      </c>
      <c r="E151" s="512">
        <v>80</v>
      </c>
      <c r="F151" s="512">
        <v>1.2</v>
      </c>
      <c r="G151" s="512">
        <v>22</v>
      </c>
      <c r="H151" s="514">
        <v>5.0000000000000001E-3</v>
      </c>
      <c r="J151" s="444" t="s">
        <v>1414</v>
      </c>
      <c r="K151" s="445">
        <f>K147/K144</f>
        <v>0.29603094337527941</v>
      </c>
      <c r="L151" s="445">
        <f>L147/L144</f>
        <v>0.32017346558441007</v>
      </c>
      <c r="M151" s="445">
        <f>L151/K151</f>
        <v>1.0815540494985523</v>
      </c>
      <c r="N151" s="444" t="s">
        <v>1415</v>
      </c>
      <c r="O151" s="448">
        <f>(O144*K141^2+2*O146*K141*K140+O145*K140^2)</f>
        <v>10680.652008265077</v>
      </c>
      <c r="P151" s="448">
        <f>(P144*L141^2+2*P146*L141*L140+P145*L140^2)</f>
        <v>638.37989839055581</v>
      </c>
      <c r="Q151" s="445">
        <f t="shared" si="35"/>
        <v>5.976974981457632E-2</v>
      </c>
      <c r="S151" s="443"/>
      <c r="T151" s="443"/>
      <c r="W151" s="443"/>
      <c r="X151" s="443"/>
      <c r="Y151" s="446"/>
      <c r="Z151" s="444"/>
      <c r="AG151" s="462"/>
      <c r="AH151" s="455"/>
      <c r="AI151" s="458"/>
    </row>
    <row r="152" spans="1:35">
      <c r="A152" s="511">
        <v>-0.5</v>
      </c>
      <c r="B152" s="511">
        <v>250</v>
      </c>
      <c r="C152" s="511">
        <v>0.45</v>
      </c>
      <c r="D152" s="512">
        <v>1.8</v>
      </c>
      <c r="E152" s="512">
        <v>0.51600000000000001</v>
      </c>
      <c r="F152" s="512">
        <v>0.5</v>
      </c>
      <c r="G152" s="512">
        <v>0.2</v>
      </c>
      <c r="H152" s="513">
        <v>0.9</v>
      </c>
      <c r="N152" s="444" t="s">
        <v>1416</v>
      </c>
      <c r="O152" s="448">
        <f>(O144*K139*K141+O146*(K139*K140+K141^2)+O145*K141*K140)</f>
        <v>-3069.103206291968</v>
      </c>
      <c r="P152" s="448">
        <f>(P144*L139*L141+P146*(L139*L140+L141^2)+P145*L141*L140)</f>
        <v>-210.76341132017635</v>
      </c>
      <c r="Q152" s="445">
        <f t="shared" si="35"/>
        <v>6.867263729942033E-2</v>
      </c>
      <c r="S152" s="443"/>
      <c r="T152" s="443"/>
      <c r="W152" s="443"/>
      <c r="X152" s="443"/>
      <c r="Y152" s="446"/>
      <c r="AE152" s="450"/>
      <c r="AG152" s="462"/>
      <c r="AH152" s="455"/>
      <c r="AI152" s="458"/>
    </row>
    <row r="153" spans="1:35">
      <c r="A153" s="511">
        <v>11.35</v>
      </c>
      <c r="B153" s="511">
        <v>11.35</v>
      </c>
      <c r="C153" s="515">
        <v>0.122</v>
      </c>
      <c r="D153" s="512">
        <v>0.122</v>
      </c>
      <c r="E153" s="512">
        <v>0.316</v>
      </c>
      <c r="F153" s="512">
        <v>0.1</v>
      </c>
      <c r="G153" s="512">
        <v>0.1</v>
      </c>
      <c r="H153" s="513">
        <v>2000</v>
      </c>
      <c r="J153" s="444" t="s">
        <v>1193</v>
      </c>
      <c r="K153" s="445">
        <f>D73</f>
        <v>1.6</v>
      </c>
      <c r="L153" s="445">
        <f>L154*(1-L128)+L155*L128</f>
        <v>1.6</v>
      </c>
      <c r="M153" s="445">
        <f>L153/K153</f>
        <v>1</v>
      </c>
      <c r="N153" s="444" t="s">
        <v>1418</v>
      </c>
      <c r="O153" s="448">
        <f>O147*K142^2</f>
        <v>11117.841695501729</v>
      </c>
      <c r="P153" s="448">
        <f>P147*L142^2</f>
        <v>472.95575817127298</v>
      </c>
      <c r="Q153" s="445">
        <f t="shared" si="35"/>
        <v>4.2540249368960753E-2</v>
      </c>
      <c r="S153" s="443"/>
      <c r="T153" s="443"/>
      <c r="W153" s="443"/>
      <c r="X153" s="443"/>
      <c r="Y153" s="468"/>
      <c r="Z153" s="442"/>
      <c r="AA153" s="442"/>
      <c r="AB153" s="442"/>
      <c r="AC153" s="444"/>
      <c r="AD153" s="444"/>
      <c r="AE153" s="446"/>
      <c r="AG153" s="462"/>
      <c r="AH153" s="455"/>
      <c r="AI153" s="462" t="s">
        <v>1421</v>
      </c>
    </row>
    <row r="154" spans="1:35">
      <c r="A154" s="515">
        <v>1.4999999999999999E-2</v>
      </c>
      <c r="B154" s="515">
        <v>0.01</v>
      </c>
      <c r="C154" s="515">
        <v>1</v>
      </c>
      <c r="D154" s="512">
        <v>1</v>
      </c>
      <c r="E154" s="512">
        <v>0.04</v>
      </c>
      <c r="F154" s="512"/>
      <c r="G154" s="512"/>
      <c r="H154" s="513"/>
      <c r="J154" s="444" t="s">
        <v>274</v>
      </c>
      <c r="K154" s="445">
        <f>F72</f>
        <v>1.2</v>
      </c>
      <c r="L154" s="445">
        <f>K154</f>
        <v>1.2</v>
      </c>
      <c r="M154" s="445">
        <f>L154/K154</f>
        <v>1</v>
      </c>
      <c r="N154" s="444" t="s">
        <v>1422</v>
      </c>
      <c r="O154" s="448">
        <f>(O148*K139+O149*K141)</f>
        <v>60.646995481305353</v>
      </c>
      <c r="P154" s="448">
        <f>(P148*L139+P149*L141)</f>
        <v>-18.431295962753207</v>
      </c>
      <c r="Q154" s="445">
        <f t="shared" si="35"/>
        <v>-0.30391111408700727</v>
      </c>
      <c r="S154" s="443"/>
      <c r="T154" s="443"/>
      <c r="W154" s="443"/>
      <c r="X154" s="443"/>
      <c r="Y154" s="471"/>
      <c r="Z154" s="471"/>
      <c r="AA154" s="455"/>
      <c r="AB154" s="455"/>
      <c r="AC154" s="455"/>
      <c r="AD154" s="455"/>
      <c r="AG154" s="444" t="s">
        <v>1424</v>
      </c>
      <c r="AH154" s="455">
        <f>(AH150^2-AH147/AH131)^0.5-AH150</f>
        <v>1.216987871456531</v>
      </c>
      <c r="AI154" s="455">
        <f>AH155</f>
        <v>1.216987871456531</v>
      </c>
    </row>
    <row r="155" spans="1:35">
      <c r="A155" s="511" t="s">
        <v>163</v>
      </c>
      <c r="B155" s="511">
        <v>71.739999999999995</v>
      </c>
      <c r="C155" s="511">
        <v>71.739999999999995</v>
      </c>
      <c r="D155" s="516">
        <v>3.5000000000000003E-2</v>
      </c>
      <c r="E155" s="511">
        <v>5.0999999999999996</v>
      </c>
      <c r="F155" s="511">
        <v>3.4</v>
      </c>
      <c r="G155" s="511">
        <v>200</v>
      </c>
      <c r="H155" s="517">
        <v>400</v>
      </c>
      <c r="J155" s="444" t="s">
        <v>1195</v>
      </c>
      <c r="K155" s="445">
        <f>(K153-K154*(1-K128))/K128</f>
        <v>1.7714285714285716</v>
      </c>
      <c r="L155" s="445">
        <f>K155</f>
        <v>1.7714285714285716</v>
      </c>
      <c r="M155" s="445">
        <f>L155/K155</f>
        <v>1</v>
      </c>
      <c r="N155" s="444" t="s">
        <v>1426</v>
      </c>
      <c r="O155" s="448">
        <f>(O148*K141+O149*K140)</f>
        <v>216.59641243323335</v>
      </c>
      <c r="P155" s="448">
        <f>(P148*L141+P149*L140)</f>
        <v>52.469374751982613</v>
      </c>
      <c r="Q155" s="445">
        <f t="shared" si="35"/>
        <v>0.24224489299035132</v>
      </c>
      <c r="S155" s="443"/>
      <c r="T155" s="443"/>
      <c r="W155" s="443"/>
      <c r="X155" s="443"/>
      <c r="Y155" s="471"/>
      <c r="Z155" s="471"/>
      <c r="AA155" s="455"/>
      <c r="AB155" s="455"/>
      <c r="AC155" s="455"/>
      <c r="AD155" s="455"/>
      <c r="AG155" s="444" t="s">
        <v>194</v>
      </c>
      <c r="AH155" s="455">
        <f>IF(AH120=0,1000000000,AH154)</f>
        <v>1.216987871456531</v>
      </c>
    </row>
    <row r="156" spans="1:35">
      <c r="A156" s="511">
        <v>1025</v>
      </c>
      <c r="B156" s="511">
        <v>505</v>
      </c>
      <c r="C156" s="511">
        <v>1025</v>
      </c>
      <c r="D156" s="511">
        <v>505</v>
      </c>
      <c r="E156" s="511">
        <v>120</v>
      </c>
      <c r="F156" s="511">
        <v>1.2</v>
      </c>
      <c r="G156" s="511">
        <v>22</v>
      </c>
      <c r="H156" s="517">
        <v>0</v>
      </c>
      <c r="L156" s="443" t="s">
        <v>1428</v>
      </c>
      <c r="S156" s="443"/>
      <c r="T156" s="443"/>
      <c r="W156" s="443"/>
      <c r="X156" s="443"/>
      <c r="Y156" s="471"/>
      <c r="Z156" s="471"/>
      <c r="AA156" s="455"/>
      <c r="AB156" s="455"/>
      <c r="AC156" s="455"/>
      <c r="AD156" s="455"/>
      <c r="AG156" s="444" t="s">
        <v>194</v>
      </c>
      <c r="AH156" s="455">
        <f>IF(AH120=0,0,AH154)</f>
        <v>1.216987871456531</v>
      </c>
    </row>
    <row r="157" spans="1:35">
      <c r="A157" s="511">
        <v>-0.5</v>
      </c>
      <c r="B157" s="511">
        <v>250</v>
      </c>
      <c r="C157" s="511">
        <v>0.66</v>
      </c>
      <c r="D157" s="511">
        <v>1.6</v>
      </c>
      <c r="E157" s="511">
        <v>0.52</v>
      </c>
      <c r="F157" s="511">
        <v>0.5</v>
      </c>
      <c r="G157" s="511">
        <v>0.2</v>
      </c>
      <c r="H157" s="517">
        <v>0.9</v>
      </c>
      <c r="J157" s="442" t="s">
        <v>849</v>
      </c>
      <c r="K157" s="444"/>
      <c r="L157" s="444"/>
      <c r="N157" s="443" t="s">
        <v>1551</v>
      </c>
      <c r="P157" s="445"/>
      <c r="R157" s="443" t="s">
        <v>634</v>
      </c>
      <c r="Z157" s="443" t="s">
        <v>635</v>
      </c>
      <c r="AG157" s="443" t="s">
        <v>636</v>
      </c>
    </row>
    <row r="158" spans="1:35">
      <c r="A158" s="511">
        <v>-0.3</v>
      </c>
      <c r="B158" s="511">
        <v>28.1</v>
      </c>
      <c r="C158" s="511">
        <v>0</v>
      </c>
      <c r="D158" s="511">
        <v>0</v>
      </c>
      <c r="E158" s="511">
        <v>0.32</v>
      </c>
      <c r="F158" s="511">
        <v>4.0000000000000001E-3</v>
      </c>
      <c r="G158" s="511">
        <v>4.0000000000000001E-3</v>
      </c>
      <c r="H158" s="517">
        <v>2000</v>
      </c>
      <c r="J158" s="444" t="str">
        <f>A78</f>
        <v>T3/N52[SI]</v>
      </c>
      <c r="K158" s="442"/>
      <c r="L158" s="444"/>
      <c r="N158" s="444" t="s">
        <v>596</v>
      </c>
      <c r="O158" s="448">
        <f>G79</f>
        <v>22</v>
      </c>
      <c r="P158" s="448">
        <f>B44</f>
        <v>22</v>
      </c>
      <c r="Q158" s="449">
        <f t="shared" ref="Q158:Q163" si="36">P158/O158</f>
        <v>1</v>
      </c>
      <c r="R158" s="442"/>
      <c r="X158" s="450"/>
      <c r="Z158" s="444" t="s">
        <v>531</v>
      </c>
      <c r="AA158" s="451">
        <f>S160</f>
        <v>60</v>
      </c>
      <c r="AB158" s="451"/>
      <c r="AC158" s="451"/>
      <c r="AD158" s="451"/>
      <c r="AE158" s="444" t="s">
        <v>532</v>
      </c>
      <c r="AF158" s="450" t="s">
        <v>533</v>
      </c>
      <c r="AG158" s="444" t="s">
        <v>531</v>
      </c>
      <c r="AH158" s="451">
        <f>AA158</f>
        <v>60</v>
      </c>
    </row>
    <row r="159" spans="1:35">
      <c r="A159" s="518">
        <v>7.0000000000000007E-2</v>
      </c>
      <c r="B159" s="519">
        <v>0.01</v>
      </c>
      <c r="C159" s="519">
        <v>1</v>
      </c>
      <c r="D159" s="520">
        <v>1</v>
      </c>
      <c r="E159" s="518">
        <v>0.04</v>
      </c>
      <c r="F159" s="521"/>
      <c r="G159" s="518"/>
      <c r="H159" s="522"/>
      <c r="J159" s="444"/>
      <c r="K159" s="444"/>
      <c r="L159" s="444"/>
      <c r="N159" s="444" t="s">
        <v>600</v>
      </c>
      <c r="O159" s="455">
        <f>H79</f>
        <v>5.0000000000000001E-3</v>
      </c>
      <c r="P159" s="455">
        <f>C44</f>
        <v>5.0000000000000001E-3</v>
      </c>
      <c r="Q159" s="449">
        <f t="shared" si="36"/>
        <v>1</v>
      </c>
      <c r="R159" s="444" t="s">
        <v>243</v>
      </c>
      <c r="S159" s="450" t="s">
        <v>531</v>
      </c>
      <c r="T159" s="450" t="s">
        <v>652</v>
      </c>
      <c r="U159" s="450" t="s">
        <v>646</v>
      </c>
      <c r="V159" s="450"/>
      <c r="W159" s="450"/>
      <c r="X159" s="450"/>
      <c r="Z159" s="444" t="s">
        <v>536</v>
      </c>
      <c r="AA159" s="451">
        <f>S161</f>
        <v>0</v>
      </c>
      <c r="AB159" s="451"/>
      <c r="AC159" s="451"/>
      <c r="AD159" s="451"/>
      <c r="AE159" s="444">
        <f>W161</f>
        <v>0</v>
      </c>
      <c r="AF159" s="451">
        <f>X161</f>
        <v>0</v>
      </c>
      <c r="AG159" s="444" t="s">
        <v>536</v>
      </c>
      <c r="AH159" s="451">
        <f>AA159</f>
        <v>0</v>
      </c>
    </row>
    <row r="160" spans="1:35">
      <c r="A160" s="511" t="s">
        <v>164</v>
      </c>
      <c r="B160" s="511" t="s">
        <v>1577</v>
      </c>
      <c r="C160" s="511" t="s">
        <v>1578</v>
      </c>
      <c r="D160" s="511" t="s">
        <v>266</v>
      </c>
      <c r="E160" s="511" t="s">
        <v>267</v>
      </c>
      <c r="F160" s="511" t="s">
        <v>268</v>
      </c>
      <c r="G160" s="511" t="s">
        <v>1584</v>
      </c>
      <c r="H160" s="517" t="s">
        <v>1585</v>
      </c>
      <c r="J160" s="444" t="s">
        <v>1553</v>
      </c>
      <c r="K160" s="444" t="s">
        <v>1554</v>
      </c>
      <c r="L160" s="444" t="s">
        <v>1555</v>
      </c>
      <c r="M160" s="456" t="s">
        <v>1556</v>
      </c>
      <c r="N160" s="444" t="s">
        <v>1557</v>
      </c>
      <c r="O160" s="448">
        <f>G78</f>
        <v>122</v>
      </c>
      <c r="P160" s="448">
        <f>O160</f>
        <v>122</v>
      </c>
      <c r="Q160" s="449">
        <f t="shared" si="36"/>
        <v>1</v>
      </c>
      <c r="R160" s="444" t="s">
        <v>537</v>
      </c>
      <c r="S160" s="457">
        <f>C7</f>
        <v>60</v>
      </c>
      <c r="T160" s="458">
        <f>E7*L165/1000000</f>
        <v>0</v>
      </c>
      <c r="U160" s="455">
        <f>U121</f>
        <v>2E-3</v>
      </c>
      <c r="V160" s="457"/>
      <c r="W160" s="450"/>
      <c r="X160" s="450"/>
      <c r="Z160" s="444" t="s">
        <v>539</v>
      </c>
      <c r="AA160" s="451">
        <f>S162</f>
        <v>2.0943951023931953</v>
      </c>
      <c r="AB160" s="451"/>
      <c r="AC160" s="451"/>
      <c r="AD160" s="451"/>
      <c r="AE160" s="444" t="s">
        <v>540</v>
      </c>
      <c r="AF160" s="446">
        <f>T160</f>
        <v>0</v>
      </c>
      <c r="AG160" s="444" t="s">
        <v>539</v>
      </c>
      <c r="AH160" s="451">
        <f>AA160</f>
        <v>2.0943951023931953</v>
      </c>
    </row>
    <row r="161" spans="1:35">
      <c r="A161" s="511" t="s">
        <v>269</v>
      </c>
      <c r="B161" s="511" t="s">
        <v>270</v>
      </c>
      <c r="C161" s="511" t="s">
        <v>271</v>
      </c>
      <c r="D161" s="511" t="s">
        <v>272</v>
      </c>
      <c r="E161" s="511" t="s">
        <v>273</v>
      </c>
      <c r="F161" s="511" t="s">
        <v>274</v>
      </c>
      <c r="G161" s="511" t="s">
        <v>1588</v>
      </c>
      <c r="H161" s="517" t="s">
        <v>275</v>
      </c>
      <c r="J161" s="444" t="s">
        <v>298</v>
      </c>
      <c r="K161" s="445">
        <f>B78</f>
        <v>181</v>
      </c>
      <c r="L161" s="445">
        <f>L168*L167*I78</f>
        <v>181.00000000000003</v>
      </c>
      <c r="M161" s="449">
        <f>L161/K161</f>
        <v>1.0000000000000002</v>
      </c>
      <c r="N161" s="444" t="s">
        <v>299</v>
      </c>
      <c r="O161" s="448">
        <f>H78</f>
        <v>160</v>
      </c>
      <c r="P161" s="448">
        <f>O161-H81*(P159)</f>
        <v>150</v>
      </c>
      <c r="Q161" s="449">
        <f t="shared" si="36"/>
        <v>0.9375</v>
      </c>
      <c r="R161" s="444" t="s">
        <v>541</v>
      </c>
      <c r="S161" s="457">
        <f>D7</f>
        <v>0</v>
      </c>
      <c r="T161" s="457"/>
      <c r="U161" s="457">
        <f>T160/U160</f>
        <v>0</v>
      </c>
      <c r="V161" s="457"/>
      <c r="W161" s="459"/>
      <c r="X161" s="451"/>
      <c r="Z161" s="444"/>
      <c r="AA161" s="446"/>
      <c r="AB161" s="446"/>
      <c r="AC161" s="446"/>
      <c r="AD161" s="446"/>
      <c r="AE161" s="450"/>
      <c r="AI161" s="444" t="s">
        <v>109</v>
      </c>
    </row>
    <row r="162" spans="1:35">
      <c r="A162" s="511" t="s">
        <v>1568</v>
      </c>
      <c r="B162" s="511" t="s">
        <v>276</v>
      </c>
      <c r="C162" s="511" t="s">
        <v>277</v>
      </c>
      <c r="D162" s="511" t="s">
        <v>278</v>
      </c>
      <c r="E162" s="511" t="s">
        <v>279</v>
      </c>
      <c r="F162" s="511" t="s">
        <v>280</v>
      </c>
      <c r="G162" s="511" t="s">
        <v>281</v>
      </c>
      <c r="H162" s="517" t="s">
        <v>282</v>
      </c>
      <c r="J162" s="444" t="s">
        <v>1579</v>
      </c>
      <c r="K162" s="445">
        <f>C78</f>
        <v>10.3</v>
      </c>
      <c r="L162" s="445">
        <f>(1+L171)/(1/L172+L171/L169)*I88</f>
        <v>10.3</v>
      </c>
      <c r="M162" s="449">
        <f>L162/K162</f>
        <v>1</v>
      </c>
      <c r="N162" s="444" t="s">
        <v>1580</v>
      </c>
      <c r="O162" s="445">
        <f>(O161-O158)/(O161-O158)</f>
        <v>1</v>
      </c>
      <c r="P162" s="445">
        <f>(P161-P158)/(P161-O158)</f>
        <v>1</v>
      </c>
      <c r="Q162" s="449">
        <f t="shared" si="36"/>
        <v>1</v>
      </c>
      <c r="R162" s="444" t="s">
        <v>1295</v>
      </c>
      <c r="S162" s="461">
        <f>S160*PI()/90</f>
        <v>2.0943951023931953</v>
      </c>
      <c r="T162" s="461"/>
      <c r="U162" s="461"/>
      <c r="V162" s="461"/>
      <c r="W162" s="450"/>
      <c r="X162" s="462"/>
      <c r="Y162" s="444"/>
      <c r="Z162" s="442" t="s">
        <v>1297</v>
      </c>
      <c r="AA162" s="450"/>
      <c r="AB162" s="450"/>
      <c r="AC162" s="446"/>
      <c r="AD162" s="446"/>
      <c r="AE162" s="446"/>
      <c r="AG162" s="442" t="s">
        <v>1298</v>
      </c>
      <c r="AI162" s="444" t="s">
        <v>1299</v>
      </c>
    </row>
    <row r="163" spans="1:35">
      <c r="A163" s="511" t="s">
        <v>1591</v>
      </c>
      <c r="B163" s="511" t="s">
        <v>1592</v>
      </c>
      <c r="C163" s="511" t="s">
        <v>1537</v>
      </c>
      <c r="D163" s="511" t="s">
        <v>1539</v>
      </c>
      <c r="E163" s="511" t="s">
        <v>295</v>
      </c>
      <c r="F163" s="511" t="s">
        <v>283</v>
      </c>
      <c r="G163" s="511" t="s">
        <v>284</v>
      </c>
      <c r="H163" s="517" t="s">
        <v>285</v>
      </c>
      <c r="J163" s="444" t="s">
        <v>259</v>
      </c>
      <c r="K163" s="445">
        <f>D78</f>
        <v>0.28000000000000003</v>
      </c>
      <c r="L163" s="445">
        <f>K163*I44*I68</f>
        <v>0.28000000000000003</v>
      </c>
      <c r="M163" s="449">
        <f>L163/K163</f>
        <v>1</v>
      </c>
      <c r="N163" s="444" t="s">
        <v>260</v>
      </c>
      <c r="O163" s="448">
        <f>O158-O160</f>
        <v>-100</v>
      </c>
      <c r="P163" s="448">
        <f>P158-P160</f>
        <v>-100</v>
      </c>
      <c r="Q163" s="449">
        <f t="shared" si="36"/>
        <v>1</v>
      </c>
      <c r="R163" s="444" t="s">
        <v>1300</v>
      </c>
      <c r="S163" s="461">
        <f>2*S162</f>
        <v>4.1887902047863905</v>
      </c>
      <c r="T163" s="461"/>
      <c r="U163" s="461"/>
      <c r="V163" s="461"/>
      <c r="W163" s="459"/>
      <c r="X163" s="451"/>
      <c r="Y163" s="446"/>
      <c r="Z163" s="444"/>
      <c r="AA163" s="450" t="s">
        <v>1301</v>
      </c>
      <c r="AB163" s="450"/>
      <c r="AC163" s="463" t="s">
        <v>619</v>
      </c>
      <c r="AD163" s="463"/>
      <c r="AE163" s="450" t="s">
        <v>1303</v>
      </c>
      <c r="AF163" s="450" t="s">
        <v>1304</v>
      </c>
      <c r="AG163" s="444" t="s">
        <v>1305</v>
      </c>
      <c r="AH163" s="455">
        <f>AA169/1000</f>
        <v>0</v>
      </c>
      <c r="AI163" s="464">
        <f>($AE$31+$AE$32)/2</f>
        <v>1.7068551681092488E-5</v>
      </c>
    </row>
    <row r="164" spans="1:35">
      <c r="A164" s="518" t="s">
        <v>286</v>
      </c>
      <c r="B164" s="518" t="s">
        <v>287</v>
      </c>
      <c r="C164" s="518" t="s">
        <v>288</v>
      </c>
      <c r="D164" s="518" t="s">
        <v>289</v>
      </c>
      <c r="E164" s="518" t="s">
        <v>290</v>
      </c>
      <c r="F164" s="521"/>
      <c r="G164" s="518"/>
      <c r="H164" s="522"/>
      <c r="J164" s="444" t="s">
        <v>261</v>
      </c>
      <c r="K164" s="445">
        <f>E78</f>
        <v>7.17</v>
      </c>
      <c r="L164" s="445">
        <f>(1+L174)/(1/L175+L174*2.7/L169)</f>
        <v>7.17</v>
      </c>
      <c r="M164" s="449">
        <f>L164/K164</f>
        <v>1</v>
      </c>
      <c r="N164" s="444"/>
      <c r="O164" s="445"/>
      <c r="P164" s="445"/>
      <c r="Q164" s="445"/>
      <c r="S164" s="465"/>
      <c r="T164" s="465"/>
      <c r="U164" s="465"/>
      <c r="V164" s="484"/>
      <c r="W164" s="450"/>
      <c r="X164" s="450"/>
      <c r="Y164" s="446"/>
      <c r="Z164" s="444">
        <v>1</v>
      </c>
      <c r="AA164" s="445">
        <f>AA125</f>
        <v>0.5</v>
      </c>
      <c r="AB164" s="458"/>
      <c r="AC164" s="445">
        <f>AC125</f>
        <v>14.199945665574337</v>
      </c>
      <c r="AD164" s="458"/>
      <c r="AE164" s="462" t="s">
        <v>1306</v>
      </c>
      <c r="AF164" s="458">
        <f>IF(T160=0,0,(AC164+AC165)/2)</f>
        <v>0</v>
      </c>
      <c r="AG164" s="444" t="s">
        <v>1307</v>
      </c>
      <c r="AH164" s="455">
        <f>AA170/1000</f>
        <v>0</v>
      </c>
      <c r="AI164" s="464">
        <f>($AE$31-$AE$32)/2</f>
        <v>2.5882036539697636E-5</v>
      </c>
    </row>
    <row r="165" spans="1:35">
      <c r="J165" s="444" t="s">
        <v>262</v>
      </c>
      <c r="K165" s="448">
        <f>B80</f>
        <v>125</v>
      </c>
      <c r="L165" s="448">
        <f>K165/M167</f>
        <v>125</v>
      </c>
      <c r="M165" s="449">
        <f>L165/K165</f>
        <v>1</v>
      </c>
      <c r="N165" s="442" t="s">
        <v>1531</v>
      </c>
      <c r="O165" s="445"/>
      <c r="P165" s="445"/>
      <c r="Q165" s="445"/>
      <c r="R165" s="444" t="s">
        <v>1325</v>
      </c>
      <c r="S165" s="450" t="s">
        <v>1326</v>
      </c>
      <c r="T165" s="450"/>
      <c r="U165" s="450" t="s">
        <v>1330</v>
      </c>
      <c r="V165" s="444" t="s">
        <v>172</v>
      </c>
      <c r="W165" s="444" t="s">
        <v>187</v>
      </c>
      <c r="X165" s="450"/>
      <c r="Y165" s="455"/>
      <c r="Z165" s="444">
        <v>2</v>
      </c>
      <c r="AA165" s="445">
        <f>AA126</f>
        <v>0</v>
      </c>
      <c r="AB165" s="458"/>
      <c r="AC165" s="445">
        <f>AC126</f>
        <v>-4.5806509889074913</v>
      </c>
      <c r="AD165" s="458"/>
      <c r="AE165" s="462" t="s">
        <v>1309</v>
      </c>
      <c r="AF165" s="458">
        <f>IF(T160=0,0,(AC164-AC165)/2)</f>
        <v>0</v>
      </c>
      <c r="AG165" s="444" t="s">
        <v>1310</v>
      </c>
      <c r="AH165" s="455">
        <f>AA171/1000</f>
        <v>0</v>
      </c>
      <c r="AI165" s="464">
        <f>$AE$33/2</f>
        <v>-5.0421544567267384E-22</v>
      </c>
    </row>
    <row r="166" spans="1:35">
      <c r="A166" s="495" t="s">
        <v>1586</v>
      </c>
      <c r="B166" s="496" t="s">
        <v>307</v>
      </c>
      <c r="C166" s="496" t="s">
        <v>308</v>
      </c>
      <c r="D166" s="496" t="s">
        <v>266</v>
      </c>
      <c r="E166" s="496" t="s">
        <v>309</v>
      </c>
      <c r="F166" s="496" t="s">
        <v>310</v>
      </c>
      <c r="G166" s="496" t="s">
        <v>1584</v>
      </c>
      <c r="H166" s="497" t="s">
        <v>1585</v>
      </c>
      <c r="J166" s="442" t="s">
        <v>264</v>
      </c>
      <c r="K166" s="445"/>
      <c r="L166" s="445"/>
      <c r="N166" s="444" t="s">
        <v>265</v>
      </c>
      <c r="O166" s="445">
        <f>A81</f>
        <v>0.02</v>
      </c>
      <c r="P166" s="445">
        <f>O166</f>
        <v>0.02</v>
      </c>
      <c r="Q166" s="445">
        <f>P166/O166</f>
        <v>1</v>
      </c>
      <c r="R166" s="444">
        <v>11</v>
      </c>
      <c r="S166" s="445">
        <f>L183+L184*COS(S162)+L185*COS(S163)</f>
        <v>23.646757129931306</v>
      </c>
      <c r="T166" s="445"/>
      <c r="U166" s="458">
        <f>S166*T160</f>
        <v>0</v>
      </c>
      <c r="V166" s="458">
        <f t="shared" ref="V166:W171" si="37">V127</f>
        <v>4.9567741608415233E-2</v>
      </c>
      <c r="W166" s="445">
        <f t="shared" si="37"/>
        <v>24.783870804207616</v>
      </c>
      <c r="X166" s="455"/>
      <c r="Y166" s="446"/>
      <c r="Z166" s="444">
        <v>6</v>
      </c>
      <c r="AA166" s="445">
        <f>AA127</f>
        <v>0</v>
      </c>
      <c r="AB166" s="458"/>
      <c r="AC166" s="445">
        <f>AC127</f>
        <v>6.8206751737942824E-16</v>
      </c>
      <c r="AD166" s="458"/>
      <c r="AE166" s="462" t="s">
        <v>1312</v>
      </c>
      <c r="AF166" s="458">
        <f>IF(T160=0,0,AC166/2)</f>
        <v>0</v>
      </c>
      <c r="AG166" s="444"/>
      <c r="AH166" s="458"/>
      <c r="AI166" s="458"/>
    </row>
    <row r="167" spans="1:35">
      <c r="A167" s="498" t="s">
        <v>311</v>
      </c>
      <c r="B167" s="499" t="s">
        <v>312</v>
      </c>
      <c r="C167" s="499" t="s">
        <v>313</v>
      </c>
      <c r="D167" s="499" t="s">
        <v>314</v>
      </c>
      <c r="E167" s="499" t="s">
        <v>315</v>
      </c>
      <c r="F167" s="499" t="s">
        <v>274</v>
      </c>
      <c r="G167" s="499" t="s">
        <v>1588</v>
      </c>
      <c r="H167" s="500" t="s">
        <v>275</v>
      </c>
      <c r="J167" s="444" t="s">
        <v>1532</v>
      </c>
      <c r="K167" s="445">
        <f>C80</f>
        <v>0.7</v>
      </c>
      <c r="L167" s="445">
        <f>D44</f>
        <v>0.7</v>
      </c>
      <c r="M167" s="449">
        <f t="shared" ref="M167:M175" si="38">L167/K167</f>
        <v>1</v>
      </c>
      <c r="N167" s="444" t="s">
        <v>1533</v>
      </c>
      <c r="O167" s="445">
        <f>B81</f>
        <v>22.5</v>
      </c>
      <c r="P167" s="445">
        <f>O167*(1-L167)/(1-K167)</f>
        <v>22.5</v>
      </c>
      <c r="Q167" s="445">
        <f>P167/O167</f>
        <v>1</v>
      </c>
      <c r="R167" s="444">
        <v>22</v>
      </c>
      <c r="S167" s="445">
        <f>S166-2*L184*COS(S162)</f>
        <v>109.37924718722999</v>
      </c>
      <c r="T167" s="445"/>
      <c r="U167" s="458">
        <f>S167*T160</f>
        <v>0</v>
      </c>
      <c r="V167" s="458">
        <f t="shared" si="37"/>
        <v>0.13796301355045693</v>
      </c>
      <c r="W167" s="445">
        <f t="shared" si="37"/>
        <v>68.981506775228468</v>
      </c>
      <c r="X167" s="450"/>
      <c r="AA167" s="458"/>
      <c r="AB167" s="458"/>
      <c r="AC167" s="458"/>
      <c r="AD167" s="458"/>
      <c r="AE167" s="462"/>
      <c r="AF167" s="458"/>
      <c r="AG167" s="444"/>
      <c r="AH167" s="458"/>
      <c r="AI167" s="458"/>
    </row>
    <row r="168" spans="1:35">
      <c r="A168" s="498" t="s">
        <v>1568</v>
      </c>
      <c r="B168" s="499" t="s">
        <v>1590</v>
      </c>
      <c r="C168" s="499" t="s">
        <v>277</v>
      </c>
      <c r="D168" s="499" t="s">
        <v>278</v>
      </c>
      <c r="E168" s="499" t="s">
        <v>279</v>
      </c>
      <c r="F168" s="499" t="s">
        <v>280</v>
      </c>
      <c r="G168" s="499" t="s">
        <v>281</v>
      </c>
      <c r="H168" s="500" t="s">
        <v>282</v>
      </c>
      <c r="J168" s="444" t="s">
        <v>1534</v>
      </c>
      <c r="K168" s="448">
        <f>K161/K167</f>
        <v>258.57142857142861</v>
      </c>
      <c r="L168" s="448">
        <f>F44*P162^F81*I68</f>
        <v>258.57142857142861</v>
      </c>
      <c r="M168" s="449">
        <f t="shared" si="38"/>
        <v>1</v>
      </c>
      <c r="N168" s="443" t="s">
        <v>1535</v>
      </c>
      <c r="O168" s="445"/>
      <c r="P168" s="445"/>
      <c r="Q168" s="445"/>
      <c r="R168" s="444" t="s">
        <v>1345</v>
      </c>
      <c r="S168" s="445">
        <f>L186-L185*COS(S163)</f>
        <v>32.462571072888295</v>
      </c>
      <c r="T168" s="445"/>
      <c r="U168" s="458">
        <f>S168*T160</f>
        <v>0</v>
      </c>
      <c r="V168" s="458">
        <f t="shared" si="37"/>
        <v>4.4504424829219763E-2</v>
      </c>
      <c r="W168" s="445">
        <f t="shared" si="37"/>
        <v>22.252212414609883</v>
      </c>
      <c r="X168" s="458"/>
      <c r="Z168" s="442" t="s">
        <v>1323</v>
      </c>
      <c r="AA168" s="458"/>
      <c r="AB168" s="458"/>
      <c r="AC168" s="458"/>
      <c r="AD168" s="458"/>
      <c r="AE168" s="462"/>
      <c r="AF168" s="458"/>
      <c r="AG168" s="444"/>
      <c r="AH168" s="458"/>
      <c r="AI168" s="458"/>
    </row>
    <row r="169" spans="1:35">
      <c r="A169" s="498" t="s">
        <v>1591</v>
      </c>
      <c r="B169" s="499" t="s">
        <v>1592</v>
      </c>
      <c r="C169" s="499" t="s">
        <v>1537</v>
      </c>
      <c r="D169" s="499" t="s">
        <v>1539</v>
      </c>
      <c r="E169" s="499" t="s">
        <v>295</v>
      </c>
      <c r="F169" s="499" t="s">
        <v>283</v>
      </c>
      <c r="G169" s="499" t="s">
        <v>284</v>
      </c>
      <c r="H169" s="500" t="s">
        <v>285</v>
      </c>
      <c r="J169" s="444" t="s">
        <v>1536</v>
      </c>
      <c r="K169" s="445">
        <f>F78</f>
        <v>3.4</v>
      </c>
      <c r="L169" s="445">
        <f>E44*P162^F80*I44*I68</f>
        <v>3.4</v>
      </c>
      <c r="M169" s="449">
        <f t="shared" si="38"/>
        <v>1</v>
      </c>
      <c r="N169" s="444" t="s">
        <v>1537</v>
      </c>
      <c r="O169" s="445">
        <f>C81</f>
        <v>0</v>
      </c>
      <c r="P169" s="445">
        <f>O169</f>
        <v>0</v>
      </c>
      <c r="Q169" s="445">
        <v>1</v>
      </c>
      <c r="R169" s="444">
        <v>66</v>
      </c>
      <c r="S169" s="445">
        <f>S168-L186+L187</f>
        <v>36.735646628538568</v>
      </c>
      <c r="T169" s="445"/>
      <c r="U169" s="458">
        <f>S169*T160</f>
        <v>0</v>
      </c>
      <c r="V169" s="458">
        <f t="shared" si="37"/>
        <v>4.6600447042217497E-2</v>
      </c>
      <c r="W169" s="445">
        <f t="shared" si="37"/>
        <v>23.300223521108748</v>
      </c>
      <c r="X169" s="445"/>
      <c r="Z169" s="444" t="s">
        <v>1324</v>
      </c>
      <c r="AA169" s="455">
        <f>(AF164+AF165*COS(AA160)+AF166*SIN(AA160))</f>
        <v>0</v>
      </c>
      <c r="AB169" s="455" t="e">
        <f>IF(ABS(AA169/AA172)&lt;0.0000000001,0,AA169)</f>
        <v>#DIV/0!</v>
      </c>
      <c r="AC169" s="455"/>
      <c r="AD169" s="455"/>
      <c r="AE169" s="462"/>
      <c r="AF169" s="458"/>
      <c r="AG169" s="442"/>
      <c r="AH169" s="462"/>
      <c r="AI169" s="458"/>
    </row>
    <row r="170" spans="1:35">
      <c r="A170" s="501" t="s">
        <v>286</v>
      </c>
      <c r="B170" s="502" t="s">
        <v>287</v>
      </c>
      <c r="C170" s="502" t="s">
        <v>288</v>
      </c>
      <c r="D170" s="502" t="s">
        <v>289</v>
      </c>
      <c r="E170" s="502" t="s">
        <v>290</v>
      </c>
      <c r="F170" s="503"/>
      <c r="G170" s="502"/>
      <c r="H170" s="504"/>
      <c r="J170" s="444" t="s">
        <v>1538</v>
      </c>
      <c r="K170" s="445">
        <f>E80</f>
        <v>0.51600000000000001</v>
      </c>
      <c r="L170" s="445">
        <f>K170*P162^G80</f>
        <v>0.51600000000000001</v>
      </c>
      <c r="M170" s="449">
        <f t="shared" si="38"/>
        <v>1</v>
      </c>
      <c r="N170" s="444" t="s">
        <v>1539</v>
      </c>
      <c r="O170" s="445">
        <f>D81</f>
        <v>0.6</v>
      </c>
      <c r="P170" s="445">
        <f>O170*(1-L167)/(1-K167)</f>
        <v>0.6</v>
      </c>
      <c r="Q170" s="445">
        <f>P170/O170</f>
        <v>1</v>
      </c>
      <c r="R170" s="444" t="s">
        <v>1347</v>
      </c>
      <c r="S170" s="445">
        <f>L184*SIN(S162)/2+L185*SIN(S163)</f>
        <v>20.053523119906679</v>
      </c>
      <c r="T170" s="445"/>
      <c r="U170" s="458">
        <f>S170*T160</f>
        <v>0</v>
      </c>
      <c r="V170" s="458">
        <f t="shared" si="37"/>
        <v>0</v>
      </c>
      <c r="W170" s="445">
        <f t="shared" si="37"/>
        <v>0</v>
      </c>
      <c r="X170" s="450"/>
      <c r="Z170" s="444" t="s">
        <v>1332</v>
      </c>
      <c r="AA170" s="455">
        <f>2*AF164-AA169</f>
        <v>0</v>
      </c>
      <c r="AB170" s="455" t="e">
        <f>IF(ABS(AA170/AA172)&lt;0.0000000001,0,AA170)</f>
        <v>#DIV/0!</v>
      </c>
      <c r="AC170" s="455"/>
      <c r="AD170" s="455"/>
      <c r="AE170" s="458"/>
      <c r="AF170" s="458"/>
      <c r="AG170" s="444" t="s">
        <v>1333</v>
      </c>
      <c r="AH170" s="458">
        <f>P189*AH163^2+2*P191*AH163*AH164+P190*AH164^2+P192*AH165^2</f>
        <v>0</v>
      </c>
      <c r="AI170" s="458"/>
    </row>
    <row r="171" spans="1:35">
      <c r="J171" s="444" t="s">
        <v>1547</v>
      </c>
      <c r="K171" s="445">
        <f>K170*(1-K167)/K167</f>
        <v>0.2211428571428572</v>
      </c>
      <c r="L171" s="445">
        <f>L170*(1-L167)/L167</f>
        <v>0.2211428571428572</v>
      </c>
      <c r="M171" s="449">
        <f t="shared" si="38"/>
        <v>1</v>
      </c>
      <c r="O171" s="445"/>
      <c r="P171" s="445"/>
      <c r="Q171" s="445"/>
      <c r="R171" s="444" t="s">
        <v>1349</v>
      </c>
      <c r="S171" s="445">
        <f>L184*SIN(S162)-S170</f>
        <v>54.192991199410834</v>
      </c>
      <c r="T171" s="445"/>
      <c r="U171" s="458">
        <f>S171*T160</f>
        <v>0</v>
      </c>
      <c r="V171" s="458">
        <f t="shared" si="37"/>
        <v>6.9388939039072284E-18</v>
      </c>
      <c r="W171" s="445">
        <f t="shared" si="37"/>
        <v>3.4694469519536142E-15</v>
      </c>
      <c r="X171" s="458"/>
      <c r="Z171" s="444" t="s">
        <v>1334</v>
      </c>
      <c r="AA171" s="455">
        <f>(2*(AF166*COS(AA160)-AF165*SIN(AA160)))</f>
        <v>0</v>
      </c>
      <c r="AB171" s="455" t="e">
        <f>IF(ABS(AA171/AA172)&lt;0.0000000001,0,AA171)</f>
        <v>#DIV/0!</v>
      </c>
      <c r="AC171" s="455"/>
      <c r="AD171" s="455"/>
      <c r="AE171" s="458"/>
      <c r="AF171" s="458"/>
      <c r="AG171" s="444" t="s">
        <v>1335</v>
      </c>
      <c r="AH171" s="458">
        <f>P193*AH163+P194*AH164</f>
        <v>0</v>
      </c>
      <c r="AI171" s="458"/>
    </row>
    <row r="172" spans="1:35">
      <c r="A172" s="443" t="s">
        <v>1594</v>
      </c>
      <c r="J172" s="444" t="s">
        <v>1643</v>
      </c>
      <c r="K172" s="445">
        <f>1/((1+K171)/K162-K171/K169)</f>
        <v>18.686160319541436</v>
      </c>
      <c r="L172" s="445">
        <f>K172*P162^F81*I68</f>
        <v>18.686160319541436</v>
      </c>
      <c r="M172" s="449">
        <f t="shared" si="38"/>
        <v>1</v>
      </c>
      <c r="N172" s="443" t="s">
        <v>176</v>
      </c>
      <c r="O172" s="445"/>
      <c r="P172" s="445"/>
      <c r="Q172" s="445"/>
      <c r="S172" s="443"/>
      <c r="T172" s="450" t="s">
        <v>1353</v>
      </c>
      <c r="U172" s="446">
        <f>U166*U167*U169+2*U168*U170*U171-U167*U170^2-U169*U168^2-U166*U171^2</f>
        <v>0</v>
      </c>
      <c r="V172" s="446">
        <f>V166*V167*V169+2*V168*V170*V171-V167*V170^2-V169*V168^2-V166*V171^2</f>
        <v>2.2637896855934086E-4</v>
      </c>
      <c r="W172" s="443"/>
      <c r="X172" s="458"/>
      <c r="Z172" s="444" t="s">
        <v>1363</v>
      </c>
      <c r="AA172" s="458">
        <f>SQRT(AA169^2+AA170^2+AA171^2)</f>
        <v>0</v>
      </c>
      <c r="AB172" s="458"/>
      <c r="AC172" s="458"/>
      <c r="AD172" s="458"/>
      <c r="AE172" s="458"/>
      <c r="AF172" s="458"/>
      <c r="AG172" s="444" t="s">
        <v>1344</v>
      </c>
      <c r="AH172" s="458" t="e">
        <f>AH171/2/AH170</f>
        <v>#DIV/0!</v>
      </c>
      <c r="AI172" s="458"/>
    </row>
    <row r="173" spans="1:35">
      <c r="A173" s="523" t="s">
        <v>1596</v>
      </c>
      <c r="B173" s="524">
        <v>20.029027576196999</v>
      </c>
      <c r="C173" s="524">
        <v>1.3004354136430001</v>
      </c>
      <c r="D173" s="524">
        <v>0.3</v>
      </c>
      <c r="E173" s="524">
        <v>1.0304789550072999</v>
      </c>
      <c r="F173" s="506">
        <v>0.49346879535559002</v>
      </c>
      <c r="G173" s="506">
        <v>251.6</v>
      </c>
      <c r="H173" s="507">
        <v>320</v>
      </c>
      <c r="J173" s="444" t="s">
        <v>295</v>
      </c>
      <c r="K173" s="445">
        <f>E81</f>
        <v>0.316</v>
      </c>
      <c r="L173" s="445">
        <f>K173*P162^G80</f>
        <v>0.316</v>
      </c>
      <c r="M173" s="449">
        <f t="shared" si="38"/>
        <v>1</v>
      </c>
      <c r="N173" s="444" t="s">
        <v>296</v>
      </c>
      <c r="O173" s="448">
        <f>A79</f>
        <v>1500</v>
      </c>
      <c r="P173" s="448">
        <f>P179*L167</f>
        <v>1500</v>
      </c>
      <c r="Q173" s="445">
        <f t="shared" ref="Q173:Q180" si="39">P173/O173</f>
        <v>1</v>
      </c>
      <c r="R173" s="444" t="s">
        <v>1355</v>
      </c>
      <c r="S173" s="450" t="s">
        <v>382</v>
      </c>
      <c r="T173" s="450" t="s">
        <v>182</v>
      </c>
      <c r="U173" s="450" t="s">
        <v>669</v>
      </c>
      <c r="V173" s="450" t="s">
        <v>670</v>
      </c>
      <c r="W173" s="443"/>
      <c r="X173" s="458"/>
      <c r="Z173" s="444"/>
      <c r="AA173" s="458"/>
      <c r="AB173" s="458"/>
      <c r="AC173" s="458"/>
      <c r="AD173" s="458"/>
      <c r="AE173" s="458"/>
      <c r="AF173" s="458"/>
      <c r="AG173" s="444"/>
      <c r="AH173" s="458"/>
      <c r="AI173" s="458"/>
    </row>
    <row r="174" spans="1:35">
      <c r="A174" s="525">
        <v>210.0145137881</v>
      </c>
      <c r="B174" s="526">
        <v>210.0145137881</v>
      </c>
      <c r="C174" s="526">
        <v>7.5471698113208001</v>
      </c>
      <c r="D174" s="526">
        <v>29.898403483309</v>
      </c>
      <c r="E174" s="526">
        <v>13.497822931785</v>
      </c>
      <c r="F174" s="487">
        <v>1.2</v>
      </c>
      <c r="G174" s="487">
        <v>71.599999999999994</v>
      </c>
      <c r="H174" s="509">
        <v>5.0000000000000001E-3</v>
      </c>
      <c r="J174" s="444" t="s">
        <v>301</v>
      </c>
      <c r="K174" s="445">
        <f>K173*(1-K167)/K167</f>
        <v>0.13542857142857145</v>
      </c>
      <c r="L174" s="445">
        <f>L173*(1-L167)/L167</f>
        <v>0.13542857142857145</v>
      </c>
      <c r="M174" s="449">
        <f t="shared" si="38"/>
        <v>1</v>
      </c>
      <c r="N174" s="444" t="s">
        <v>302</v>
      </c>
      <c r="O174" s="448">
        <f>B79</f>
        <v>1500</v>
      </c>
      <c r="P174" s="448">
        <f>O174*Q173*M164^E82</f>
        <v>1500</v>
      </c>
      <c r="Q174" s="445">
        <f t="shared" si="39"/>
        <v>1</v>
      </c>
      <c r="R174" s="444">
        <v>11</v>
      </c>
      <c r="S174" s="446">
        <f>IF(U172=0,1E+99,(U167*U169-U171^2)/U172)</f>
        <v>9.9999999999999997E+98</v>
      </c>
      <c r="T174" s="445">
        <f t="shared" ref="T174:V179" si="40">T135</f>
        <v>28.399891331148673</v>
      </c>
      <c r="U174" s="445">
        <f t="shared" si="40"/>
        <v>5.6799782662297349E-2</v>
      </c>
      <c r="V174" s="445">
        <f t="shared" si="40"/>
        <v>17.605701168708549</v>
      </c>
      <c r="W174" s="443"/>
      <c r="X174" s="458"/>
      <c r="Z174" s="444"/>
      <c r="AA174" s="458"/>
      <c r="AB174" s="458"/>
      <c r="AC174" s="458"/>
      <c r="AD174" s="458"/>
      <c r="AE174" s="458"/>
      <c r="AF174" s="458"/>
      <c r="AG174" s="444"/>
      <c r="AH174" s="458"/>
      <c r="AI174" s="458"/>
    </row>
    <row r="175" spans="1:35">
      <c r="A175" s="508">
        <v>-0.5</v>
      </c>
      <c r="B175" s="527">
        <v>4925</v>
      </c>
      <c r="C175" s="487">
        <v>0.66</v>
      </c>
      <c r="D175" s="487">
        <v>1.6</v>
      </c>
      <c r="E175" s="487">
        <v>0.51600000000000001</v>
      </c>
      <c r="F175" s="487">
        <v>0.5</v>
      </c>
      <c r="G175" s="487">
        <v>0.2</v>
      </c>
      <c r="H175" s="509">
        <v>0.9</v>
      </c>
      <c r="J175" s="444" t="s">
        <v>304</v>
      </c>
      <c r="K175" s="445">
        <f>1/((1+K174)/K164-K174*2.7/K169)</f>
        <v>19.680382632972858</v>
      </c>
      <c r="L175" s="445">
        <f>K175*P162^F81*I68</f>
        <v>19.680382632972858</v>
      </c>
      <c r="M175" s="449">
        <f t="shared" si="38"/>
        <v>1</v>
      </c>
      <c r="N175" s="444" t="s">
        <v>305</v>
      </c>
      <c r="O175" s="448">
        <f>C79</f>
        <v>40</v>
      </c>
      <c r="P175" s="448">
        <f>O175*Q180</f>
        <v>40</v>
      </c>
      <c r="Q175" s="445">
        <f t="shared" si="39"/>
        <v>1</v>
      </c>
      <c r="R175" s="444">
        <v>22</v>
      </c>
      <c r="S175" s="446">
        <f>IF(U172=0,1E+99,(U166*U169-U170^2)/U172)</f>
        <v>9.9999999999999997E+98</v>
      </c>
      <c r="T175" s="445">
        <f t="shared" si="40"/>
        <v>10.203593260121179</v>
      </c>
      <c r="U175" s="445">
        <f t="shared" si="40"/>
        <v>2.040718652024236E-2</v>
      </c>
      <c r="V175" s="445">
        <f t="shared" si="40"/>
        <v>49.002345277144251</v>
      </c>
      <c r="W175" s="443"/>
      <c r="X175" s="458"/>
      <c r="AA175" s="458"/>
      <c r="AB175" s="458"/>
      <c r="AC175" s="458"/>
      <c r="AD175" s="458"/>
      <c r="AE175" s="458"/>
      <c r="AF175" s="458"/>
      <c r="AG175" s="444"/>
      <c r="AH175" s="458"/>
      <c r="AI175" s="462" t="s">
        <v>1348</v>
      </c>
    </row>
    <row r="176" spans="1:35">
      <c r="A176" s="525">
        <v>-0.16666666666666999</v>
      </c>
      <c r="B176" s="526">
        <v>15.611111111111001</v>
      </c>
      <c r="C176" s="487">
        <v>0</v>
      </c>
      <c r="D176" s="487">
        <v>0.44</v>
      </c>
      <c r="E176" s="487">
        <v>0.316</v>
      </c>
      <c r="F176" s="487">
        <v>4.0000000000000001E-3</v>
      </c>
      <c r="G176" s="487">
        <v>4.0000000000000001E-3</v>
      </c>
      <c r="H176" s="509">
        <v>3600</v>
      </c>
      <c r="L176" s="445"/>
      <c r="N176" s="444" t="s">
        <v>1542</v>
      </c>
      <c r="O176" s="448">
        <f>D79</f>
        <v>246</v>
      </c>
      <c r="P176" s="448">
        <f>O176*Q180</f>
        <v>246</v>
      </c>
      <c r="Q176" s="445">
        <f t="shared" si="39"/>
        <v>1</v>
      </c>
      <c r="R176" s="444" t="s">
        <v>1345</v>
      </c>
      <c r="S176" s="446">
        <f>IF(U172=0,1E+99,(U170*U171-U168*U169)/U172)</f>
        <v>9.9999999999999997E+98</v>
      </c>
      <c r="T176" s="445">
        <f t="shared" si="40"/>
        <v>-9.1613019778149827</v>
      </c>
      <c r="U176" s="445">
        <f t="shared" si="40"/>
        <v>-1.8322603955629967E-2</v>
      </c>
      <c r="V176" s="445">
        <f t="shared" si="40"/>
        <v>0.32258228987541837</v>
      </c>
      <c r="W176" s="443"/>
      <c r="X176" s="458"/>
      <c r="AF176" s="458"/>
      <c r="AG176" s="444" t="s">
        <v>1351</v>
      </c>
      <c r="AH176" s="455" t="e">
        <f>(AH172^2+1/AH170)^0.5-AH172</f>
        <v>#DIV/0!</v>
      </c>
      <c r="AI176" s="455">
        <f>AH177</f>
        <v>1000000000</v>
      </c>
    </row>
    <row r="177" spans="1:35">
      <c r="A177" s="508">
        <v>0.15</v>
      </c>
      <c r="B177" s="526">
        <v>0.01</v>
      </c>
      <c r="C177" s="487">
        <v>1</v>
      </c>
      <c r="D177" s="487">
        <v>1</v>
      </c>
      <c r="E177" s="487">
        <v>0.1</v>
      </c>
      <c r="F177" s="487"/>
      <c r="G177" s="487"/>
      <c r="H177" s="509"/>
      <c r="J177" s="443" t="s">
        <v>1507</v>
      </c>
      <c r="N177" s="444" t="s">
        <v>1543</v>
      </c>
      <c r="O177" s="475">
        <f>E79</f>
        <v>68</v>
      </c>
      <c r="P177" s="475">
        <f>O177*Q180</f>
        <v>68</v>
      </c>
      <c r="Q177" s="445">
        <f t="shared" si="39"/>
        <v>1</v>
      </c>
      <c r="R177" s="444">
        <v>66</v>
      </c>
      <c r="S177" s="446">
        <f>IF(U172=0,1E+99,(U166*U167-U168^2)/U172)</f>
        <v>9.9999999999999997E+98</v>
      </c>
      <c r="T177" s="445">
        <f t="shared" si="40"/>
        <v>21.45902160754067</v>
      </c>
      <c r="U177" s="445">
        <f t="shared" si="40"/>
        <v>4.2918043215081345E-2</v>
      </c>
      <c r="V177" s="445">
        <f t="shared" si="40"/>
        <v>23.300223521108748</v>
      </c>
      <c r="W177" s="443"/>
      <c r="AF177" s="458"/>
      <c r="AG177" s="444"/>
      <c r="AH177" s="455">
        <f>IF(AH159=0,1000000000,AH176)</f>
        <v>1000000000</v>
      </c>
    </row>
    <row r="178" spans="1:35">
      <c r="A178" s="508" t="s">
        <v>1598</v>
      </c>
      <c r="B178" s="526">
        <v>19.448476052250001</v>
      </c>
      <c r="C178" s="487">
        <v>1.2917271407837001</v>
      </c>
      <c r="D178" s="487">
        <v>0.28000000000000003</v>
      </c>
      <c r="E178" s="487">
        <v>0.74020319303338</v>
      </c>
      <c r="F178" s="487">
        <v>0.49346879535559002</v>
      </c>
      <c r="G178" s="487">
        <v>392</v>
      </c>
      <c r="H178" s="509">
        <v>752</v>
      </c>
      <c r="J178" s="444" t="s">
        <v>1354</v>
      </c>
      <c r="K178" s="445">
        <f>K161/(1-K163^2*K162/K161)</f>
        <v>181.81113884441791</v>
      </c>
      <c r="L178" s="445">
        <f>L161/(1-L163^2*L162/L161)</f>
        <v>181.81113884441794</v>
      </c>
      <c r="M178" s="449">
        <f>L178/K178</f>
        <v>1.0000000000000002</v>
      </c>
      <c r="N178" s="444" t="s">
        <v>1168</v>
      </c>
      <c r="O178" s="449">
        <f>A80</f>
        <v>-0.5</v>
      </c>
      <c r="P178" s="449">
        <f>O178*I44*I68</f>
        <v>-0.5</v>
      </c>
      <c r="Q178" s="445">
        <f t="shared" si="39"/>
        <v>1</v>
      </c>
      <c r="R178" s="444" t="s">
        <v>1347</v>
      </c>
      <c r="S178" s="446">
        <f>IF(U172=0,1E+99,(U168*U171-U167*U170)/U172)</f>
        <v>9.9999999999999997E+98</v>
      </c>
      <c r="T178" s="445">
        <f t="shared" si="40"/>
        <v>1.3641350347588565E-15</v>
      </c>
      <c r="U178" s="445">
        <f t="shared" si="40"/>
        <v>2.7282700695177132E-18</v>
      </c>
      <c r="V178" s="445">
        <f t="shared" si="40"/>
        <v>4.8033107551460555E-17</v>
      </c>
      <c r="W178" s="443"/>
      <c r="X178" s="443"/>
      <c r="Y178" s="444"/>
      <c r="AF178" s="458"/>
      <c r="AG178" s="443" t="s">
        <v>1360</v>
      </c>
      <c r="AH178" s="455">
        <f>IF(AH159=0,0,AH176)</f>
        <v>0</v>
      </c>
    </row>
    <row r="179" spans="1:35">
      <c r="A179" s="525">
        <v>309.14368650218</v>
      </c>
      <c r="B179" s="526">
        <v>159.65166908563</v>
      </c>
      <c r="C179" s="487">
        <v>11.611030478955</v>
      </c>
      <c r="D179" s="487">
        <v>29.027576197388001</v>
      </c>
      <c r="E179" s="487">
        <v>23.222060957909999</v>
      </c>
      <c r="F179" s="487">
        <v>1.2</v>
      </c>
      <c r="G179" s="487">
        <v>71.599999999999994</v>
      </c>
      <c r="H179" s="509">
        <v>5.0000000000000001E-3</v>
      </c>
      <c r="J179" s="444" t="s">
        <v>1361</v>
      </c>
      <c r="K179" s="445">
        <f>K178*K162/K161</f>
        <v>10.346158729820468</v>
      </c>
      <c r="L179" s="445">
        <f>L178*L162/L161</f>
        <v>10.346158729820468</v>
      </c>
      <c r="M179" s="449">
        <f>L179/K179</f>
        <v>1</v>
      </c>
      <c r="N179" s="444" t="s">
        <v>1175</v>
      </c>
      <c r="O179" s="448">
        <f>O173/K167</f>
        <v>2142.8571428571431</v>
      </c>
      <c r="P179" s="448">
        <f>H44*P162^G81</f>
        <v>2142.8571428571431</v>
      </c>
      <c r="Q179" s="445">
        <f t="shared" si="39"/>
        <v>1</v>
      </c>
      <c r="R179" s="444" t="s">
        <v>1349</v>
      </c>
      <c r="S179" s="446">
        <f>IF(U172=0,1E+99,(U168*U170-U166*U171)/U172)</f>
        <v>9.9999999999999997E+98</v>
      </c>
      <c r="T179" s="445">
        <f t="shared" si="40"/>
        <v>-1.5193341601736405E-15</v>
      </c>
      <c r="U179" s="445">
        <f t="shared" si="40"/>
        <v>-3.0386683203472813E-18</v>
      </c>
      <c r="V179" s="445">
        <f t="shared" si="40"/>
        <v>-5.3497886398855771E-17</v>
      </c>
      <c r="W179" s="443"/>
      <c r="X179" s="443"/>
      <c r="Y179" s="445"/>
      <c r="AF179" s="458"/>
      <c r="AG179" s="444" t="s">
        <v>1364</v>
      </c>
      <c r="AH179" s="464">
        <f>AI163+AI164*COS(AH160)+AI165*SIN(AH160)-V185</f>
        <v>6.1275334112436748E-6</v>
      </c>
      <c r="AI179" s="458"/>
    </row>
    <row r="180" spans="1:35">
      <c r="A180" s="508">
        <v>-0.5</v>
      </c>
      <c r="B180" s="527">
        <v>4925</v>
      </c>
      <c r="C180" s="487">
        <v>0.66</v>
      </c>
      <c r="D180" s="487">
        <v>1.6</v>
      </c>
      <c r="E180" s="487">
        <v>0.51600000000000001</v>
      </c>
      <c r="F180" s="487">
        <v>0.5</v>
      </c>
      <c r="G180" s="487">
        <v>0.2</v>
      </c>
      <c r="H180" s="509">
        <v>0.9</v>
      </c>
      <c r="J180" s="444" t="s">
        <v>1365</v>
      </c>
      <c r="K180" s="445">
        <f>K179*K163</f>
        <v>2.8969244443497315</v>
      </c>
      <c r="L180" s="445">
        <f>L179*L163</f>
        <v>2.8969244443497315</v>
      </c>
      <c r="M180" s="449">
        <f>L180/K180</f>
        <v>1</v>
      </c>
      <c r="N180" s="444" t="s">
        <v>1176</v>
      </c>
      <c r="O180" s="448">
        <f>O175</f>
        <v>40</v>
      </c>
      <c r="P180" s="448">
        <f>G44*P162^H80</f>
        <v>40</v>
      </c>
      <c r="Q180" s="445">
        <f t="shared" si="39"/>
        <v>1</v>
      </c>
      <c r="S180" s="443"/>
      <c r="T180" s="471"/>
      <c r="W180" s="443"/>
      <c r="X180" s="443"/>
      <c r="Y180" s="445"/>
      <c r="AF180" s="458"/>
      <c r="AG180" s="444" t="s">
        <v>1367</v>
      </c>
      <c r="AH180" s="464">
        <f>2*AI163-AH179-V186-V185</f>
        <v>-7.1999043004905886E-4</v>
      </c>
      <c r="AI180" s="458"/>
    </row>
    <row r="181" spans="1:35">
      <c r="A181" s="525">
        <v>-0.16666666666666999</v>
      </c>
      <c r="B181" s="526">
        <v>15.611111111111001</v>
      </c>
      <c r="C181" s="487">
        <v>0</v>
      </c>
      <c r="D181" s="487">
        <v>0</v>
      </c>
      <c r="E181" s="487">
        <v>0.316</v>
      </c>
      <c r="F181" s="487">
        <v>4.0000000000000001E-3</v>
      </c>
      <c r="G181" s="487">
        <v>4.0000000000000001E-3</v>
      </c>
      <c r="H181" s="509">
        <v>3600</v>
      </c>
      <c r="J181" s="444" t="s">
        <v>1370</v>
      </c>
      <c r="K181" s="445">
        <f>K164</f>
        <v>7.17</v>
      </c>
      <c r="L181" s="445">
        <f>L164</f>
        <v>7.17</v>
      </c>
      <c r="M181" s="449">
        <f>L181/K181</f>
        <v>1</v>
      </c>
      <c r="R181" s="444"/>
      <c r="S181" s="450" t="s">
        <v>1406</v>
      </c>
      <c r="T181" s="450" t="s">
        <v>1407</v>
      </c>
      <c r="U181" s="450" t="s">
        <v>1408</v>
      </c>
      <c r="V181" s="450" t="s">
        <v>1409</v>
      </c>
      <c r="W181" s="450" t="s">
        <v>1410</v>
      </c>
      <c r="X181" s="450" t="s">
        <v>1411</v>
      </c>
      <c r="Y181" s="450" t="s">
        <v>1394</v>
      </c>
      <c r="AF181" s="458"/>
      <c r="AG181" s="444" t="s">
        <v>1372</v>
      </c>
      <c r="AH181" s="464">
        <f>2*(AI165*COS(AH160)-AI164*SIN(AH160))</f>
        <v>-4.4829002290110485E-5</v>
      </c>
      <c r="AI181" s="458"/>
    </row>
    <row r="182" spans="1:35">
      <c r="A182" s="508">
        <v>7.0000000000000007E-2</v>
      </c>
      <c r="B182" s="526">
        <v>0.01</v>
      </c>
      <c r="C182" s="487">
        <v>1</v>
      </c>
      <c r="D182" s="487">
        <v>1</v>
      </c>
      <c r="E182" s="487">
        <v>0.04</v>
      </c>
      <c r="F182" s="487"/>
      <c r="G182" s="487"/>
      <c r="H182" s="509"/>
      <c r="J182" s="443" t="s">
        <v>1510</v>
      </c>
      <c r="K182" s="445"/>
      <c r="L182" s="445"/>
      <c r="N182" s="443" t="s">
        <v>1375</v>
      </c>
      <c r="R182" s="444">
        <v>1</v>
      </c>
      <c r="S182" s="458">
        <f>((L178+L180)/2*P166+(L180+L179)/2*P167)/1000000</f>
        <v>1.5083176634230242E-4</v>
      </c>
      <c r="T182" s="458">
        <f>((L178+L180)/2*P169+(L180+L179)/2*P170)</f>
        <v>3.9729249522510592</v>
      </c>
      <c r="U182" s="464">
        <f>S182+S183*Y182</f>
        <v>1.9183913812607494E-4</v>
      </c>
      <c r="V182" s="455">
        <f>T182+T183*Y182</f>
        <v>5.0903100950716693</v>
      </c>
      <c r="W182" s="455">
        <f>(U182*S174+U183*S176+U184*S178)*T160*1000000</f>
        <v>0</v>
      </c>
      <c r="X182" s="455">
        <f>(V182*S174+V183*S176+V184*S178)*T160</f>
        <v>0</v>
      </c>
      <c r="Y182" s="455">
        <f>COS(S162)</f>
        <v>-0.49999999999999978</v>
      </c>
      <c r="AF182" s="458"/>
      <c r="AG182" s="458"/>
      <c r="AH182" s="458"/>
      <c r="AI182" s="458"/>
    </row>
    <row r="183" spans="1:35">
      <c r="A183" s="508" t="s">
        <v>1600</v>
      </c>
      <c r="B183" s="526">
        <v>29.608127721334998</v>
      </c>
      <c r="C183" s="526">
        <v>2.6850507982582998</v>
      </c>
      <c r="D183" s="526">
        <v>0.23</v>
      </c>
      <c r="E183" s="526">
        <v>0.81132075471697995</v>
      </c>
      <c r="F183" s="487">
        <v>0.49346879535559002</v>
      </c>
      <c r="G183" s="487">
        <v>251.6</v>
      </c>
      <c r="H183" s="509">
        <v>320</v>
      </c>
      <c r="J183" s="444" t="s">
        <v>1380</v>
      </c>
      <c r="K183" s="445">
        <f>(3*K178+3*K179+2*K180+4*K181)/8</f>
        <v>76.368217701426829</v>
      </c>
      <c r="L183" s="445">
        <f>(3*L178+3*L179+2*L180+4*L181)/8</f>
        <v>76.368217701426843</v>
      </c>
      <c r="M183" s="449">
        <f>L183/K183</f>
        <v>1.0000000000000002</v>
      </c>
      <c r="N183" s="444" t="s">
        <v>1381</v>
      </c>
      <c r="O183" s="445">
        <f>1/O173/O174*1000000</f>
        <v>0.44444444444444442</v>
      </c>
      <c r="P183" s="445">
        <f>1/P173/P174*1000000</f>
        <v>0.44444444444444442</v>
      </c>
      <c r="Q183" s="445">
        <f>P183/O183</f>
        <v>1</v>
      </c>
      <c r="R183" s="444">
        <v>2</v>
      </c>
      <c r="S183" s="458">
        <f>((L178-L180)/2*P166+(L180-L179)/2*P167)/1000000</f>
        <v>-8.2014743567545106E-5</v>
      </c>
      <c r="T183" s="458">
        <f>((L178-L180)/2*P169+(L180-L179)/2*P170)</f>
        <v>-2.234770285641221</v>
      </c>
      <c r="U183" s="464">
        <f>S182-S183*Y182</f>
        <v>1.0982439455852989E-4</v>
      </c>
      <c r="V183" s="455">
        <f>T182-T183*Y182</f>
        <v>2.8555398094304492</v>
      </c>
      <c r="W183" s="455">
        <f>(U182*S176+U183*S175+U184*S179)*T160*1000000</f>
        <v>0</v>
      </c>
      <c r="X183" s="455">
        <f>(V182*S176+V183*S175+V184*S179)*T160</f>
        <v>0</v>
      </c>
      <c r="Y183" s="455">
        <f>SIN(S162)</f>
        <v>0.86602540378443871</v>
      </c>
      <c r="AF183" s="458"/>
      <c r="AG183" s="462" t="s">
        <v>1383</v>
      </c>
      <c r="AH183" s="479">
        <f>P189*AH179^2+2*P191*AH179*AH180+P190*AH180^2+P192*AH181^2</f>
        <v>5.5865767194595885E-3</v>
      </c>
      <c r="AI183" s="458"/>
    </row>
    <row r="184" spans="1:35">
      <c r="A184" s="525">
        <v>182.87373004354001</v>
      </c>
      <c r="B184" s="526">
        <v>362.84470246734003</v>
      </c>
      <c r="C184" s="526">
        <v>8.8534107402032003</v>
      </c>
      <c r="D184" s="526">
        <v>29.317851959361001</v>
      </c>
      <c r="E184" s="526">
        <v>9.7242380261247998</v>
      </c>
      <c r="F184" s="487">
        <v>1.2</v>
      </c>
      <c r="G184" s="487">
        <v>71.599999999999994</v>
      </c>
      <c r="H184" s="509">
        <v>5.0000000000000001E-3</v>
      </c>
      <c r="J184" s="444" t="s">
        <v>1384</v>
      </c>
      <c r="K184" s="445">
        <f>(K178-K179)/2</f>
        <v>85.732490057298719</v>
      </c>
      <c r="L184" s="445">
        <f>(L178-L179)/2</f>
        <v>85.732490057298733</v>
      </c>
      <c r="M184" s="449">
        <f>L184/K184</f>
        <v>1.0000000000000002</v>
      </c>
      <c r="N184" s="444" t="s">
        <v>1385</v>
      </c>
      <c r="O184" s="445">
        <f>1/O175/O176*1000000</f>
        <v>101.6260162601626</v>
      </c>
      <c r="P184" s="445">
        <f>1/P175/P176*1000000</f>
        <v>101.6260162601626</v>
      </c>
      <c r="Q184" s="445">
        <f>P184/O184</f>
        <v>1</v>
      </c>
      <c r="R184" s="444">
        <v>6</v>
      </c>
      <c r="S184" s="450" t="s">
        <v>1419</v>
      </c>
      <c r="T184" s="450" t="s">
        <v>1420</v>
      </c>
      <c r="U184" s="464">
        <f>S183*Y183</f>
        <v>-7.1026851414360449E-5</v>
      </c>
      <c r="V184" s="455">
        <f>T183*Y183</f>
        <v>-1.9353678389879039</v>
      </c>
      <c r="W184" s="455">
        <f>(U182*S178+U183*S179+U184*S177)*T160*1000000</f>
        <v>0</v>
      </c>
      <c r="X184" s="455">
        <f>(V182*S178+V183*S179+V184*S177)*T160</f>
        <v>0</v>
      </c>
      <c r="Y184" s="450" t="s">
        <v>406</v>
      </c>
      <c r="AF184" s="458"/>
      <c r="AG184" s="462" t="s">
        <v>1387</v>
      </c>
      <c r="AH184" s="479">
        <f>P193*AH179+P194*AH180</f>
        <v>-0.15557572764378377</v>
      </c>
      <c r="AI184" s="458"/>
    </row>
    <row r="185" spans="1:35">
      <c r="A185" s="508">
        <v>-0.5</v>
      </c>
      <c r="B185" s="527">
        <v>4925</v>
      </c>
      <c r="C185" s="487">
        <v>0.5</v>
      </c>
      <c r="D185" s="487">
        <v>2</v>
      </c>
      <c r="E185" s="487">
        <v>0.215</v>
      </c>
      <c r="F185" s="487">
        <v>0.5</v>
      </c>
      <c r="G185" s="487">
        <v>0.2</v>
      </c>
      <c r="H185" s="509">
        <v>0.9</v>
      </c>
      <c r="J185" s="444" t="s">
        <v>1388</v>
      </c>
      <c r="K185" s="445">
        <f>(K178+K179-2*K180-4*K181)/8</f>
        <v>19.710431085692363</v>
      </c>
      <c r="L185" s="445">
        <f>(L178+L179-2*L180-4*L181)/8</f>
        <v>19.710431085692367</v>
      </c>
      <c r="M185" s="449">
        <f>L185/K185</f>
        <v>1.0000000000000002</v>
      </c>
      <c r="N185" s="444" t="s">
        <v>1389</v>
      </c>
      <c r="O185" s="445">
        <f>O178*(O183*O184)^0.5</f>
        <v>-3.3603243272729659</v>
      </c>
      <c r="P185" s="445">
        <f>P178*(P183*P184)^0.5</f>
        <v>-3.3603243272729659</v>
      </c>
      <c r="Q185" s="445">
        <f>P185/O185</f>
        <v>1</v>
      </c>
      <c r="R185" s="444">
        <v>1</v>
      </c>
      <c r="S185" s="471">
        <f>P163*U182+P159*V182</f>
        <v>6.2676366627508508E-3</v>
      </c>
      <c r="T185" s="446">
        <f>P163*W182/1000000+P159*X182</f>
        <v>0</v>
      </c>
      <c r="U185" s="450" t="s">
        <v>1423</v>
      </c>
      <c r="V185" s="446">
        <f>P163*P166/1000000+P159*P169</f>
        <v>-1.9999999999999999E-6</v>
      </c>
      <c r="W185" s="443"/>
      <c r="Y185" s="455">
        <f>Y182+Y221+Y260+Y299+W343+W382+W421+W460</f>
        <v>6.6613381477509392E-16</v>
      </c>
      <c r="AF185" s="458"/>
      <c r="AG185" s="462" t="s">
        <v>1390</v>
      </c>
      <c r="AH185" s="479">
        <f>AH183+AH184</f>
        <v>-0.14998915092432419</v>
      </c>
      <c r="AI185" s="458"/>
    </row>
    <row r="186" spans="1:35">
      <c r="A186" s="525">
        <v>3.3888888888888999</v>
      </c>
      <c r="B186" s="526">
        <v>16.833333333333002</v>
      </c>
      <c r="C186" s="487">
        <v>0</v>
      </c>
      <c r="D186" s="487">
        <v>0.6</v>
      </c>
      <c r="E186" s="487">
        <v>0.28199999999999997</v>
      </c>
      <c r="F186" s="487">
        <v>4.0000000000000001E-3</v>
      </c>
      <c r="G186" s="487">
        <v>4.0000000000000001E-3</v>
      </c>
      <c r="H186" s="509">
        <v>3600</v>
      </c>
      <c r="J186" s="444" t="s">
        <v>1391</v>
      </c>
      <c r="K186" s="445">
        <f>(K178+K179+6*K180-4*K181)/8</f>
        <v>22.607355530042096</v>
      </c>
      <c r="L186" s="445">
        <f>(L178+L179+6*L180-4*L181)/8</f>
        <v>22.607355530042099</v>
      </c>
      <c r="M186" s="449">
        <f>L186/K186</f>
        <v>1.0000000000000002</v>
      </c>
      <c r="N186" s="444" t="s">
        <v>1392</v>
      </c>
      <c r="O186" s="445">
        <f>1/O177^2*1000000</f>
        <v>216.26297577854672</v>
      </c>
      <c r="P186" s="445">
        <f>1/P177^2*1000000</f>
        <v>216.26297577854672</v>
      </c>
      <c r="Q186" s="445">
        <f>P186/O186</f>
        <v>1</v>
      </c>
      <c r="R186" s="444">
        <v>2</v>
      </c>
      <c r="S186" s="471">
        <f>P163*U183+P159*V183</f>
        <v>3.2952595912992561E-3</v>
      </c>
      <c r="T186" s="446">
        <f>P163*W183/1000000+P159*X183</f>
        <v>0</v>
      </c>
      <c r="U186" s="450" t="s">
        <v>1427</v>
      </c>
      <c r="V186" s="446">
        <f>P163*P167/1000000+P159*P170</f>
        <v>7.5000000000000023E-4</v>
      </c>
      <c r="W186" s="443"/>
      <c r="Y186" s="455">
        <f>Y183+Y222+Y261+Y300+W344+W383+W422+W461</f>
        <v>0</v>
      </c>
      <c r="AA186" s="442" t="s">
        <v>699</v>
      </c>
      <c r="AB186" s="442" t="s">
        <v>701</v>
      </c>
      <c r="AC186" s="444" t="s">
        <v>408</v>
      </c>
      <c r="AD186" s="444" t="s">
        <v>409</v>
      </c>
      <c r="AE186" s="443" t="s">
        <v>410</v>
      </c>
      <c r="AF186" s="458"/>
      <c r="AG186" s="462" t="s">
        <v>1395</v>
      </c>
      <c r="AH186" s="479">
        <f>-1+AH185</f>
        <v>-1.1499891509243243</v>
      </c>
      <c r="AI186" s="458"/>
    </row>
    <row r="187" spans="1:35">
      <c r="A187" s="508">
        <v>0.2</v>
      </c>
      <c r="B187" s="487">
        <v>0.01</v>
      </c>
      <c r="C187" s="487">
        <v>1</v>
      </c>
      <c r="D187" s="487">
        <v>1</v>
      </c>
      <c r="E187" s="487">
        <v>0.1</v>
      </c>
      <c r="F187" s="487"/>
      <c r="G187" s="487"/>
      <c r="H187" s="509"/>
      <c r="J187" s="444" t="s">
        <v>1396</v>
      </c>
      <c r="K187" s="445">
        <f>(K183-K186)/2</f>
        <v>26.880431085692365</v>
      </c>
      <c r="L187" s="445">
        <f>(L183-L186)/2</f>
        <v>26.880431085692372</v>
      </c>
      <c r="M187" s="449">
        <f>L187/K187</f>
        <v>1.0000000000000002</v>
      </c>
      <c r="N187" s="444" t="s">
        <v>1397</v>
      </c>
      <c r="O187" s="445">
        <f>(1/O173-1/O174)*1000</f>
        <v>0</v>
      </c>
      <c r="P187" s="445">
        <f>(1/P173-1/P174)*1000</f>
        <v>0</v>
      </c>
      <c r="Q187" s="445">
        <f>IF(O187=0,1,P187/O187)</f>
        <v>1</v>
      </c>
      <c r="R187" s="444">
        <v>6</v>
      </c>
      <c r="S187" s="471">
        <f>P163*U184+P159*V184</f>
        <v>-2.5741540535034737E-3</v>
      </c>
      <c r="T187" s="446">
        <f>P163*W184/1000000+P159*X184</f>
        <v>0</v>
      </c>
      <c r="U187" s="450" t="s">
        <v>1429</v>
      </c>
      <c r="V187" s="446">
        <f>0</f>
        <v>0</v>
      </c>
      <c r="W187" s="443"/>
      <c r="Y187" s="446"/>
      <c r="AA187" s="458">
        <f t="shared" ref="AA187:AE189" si="41">AA148</f>
        <v>2.9711368780229658E-5</v>
      </c>
      <c r="AB187" s="458">
        <f t="shared" si="41"/>
        <v>0.7678998340530242</v>
      </c>
      <c r="AC187" s="458">
        <f t="shared" si="41"/>
        <v>1.363735669153409</v>
      </c>
      <c r="AD187" s="458">
        <f t="shared" si="41"/>
        <v>3.5864831027226207E-2</v>
      </c>
      <c r="AE187" s="458">
        <f t="shared" si="41"/>
        <v>4.2950588220790124E-5</v>
      </c>
      <c r="AF187" s="458"/>
      <c r="AG187" s="462" t="s">
        <v>1399</v>
      </c>
      <c r="AH187" s="479">
        <f>2*(P189*AH163*AH179+P190*AH164*AH180+P191*(AH163*AH180+AH179*AH164)+P192*AH165*AH181)</f>
        <v>0</v>
      </c>
      <c r="AI187" s="458"/>
    </row>
    <row r="188" spans="1:35">
      <c r="A188" s="508" t="s">
        <v>1602</v>
      </c>
      <c r="B188" s="526">
        <v>29.462989840348001</v>
      </c>
      <c r="C188" s="487">
        <v>1.6255442670536999</v>
      </c>
      <c r="D188" s="487">
        <v>0.32</v>
      </c>
      <c r="E188" s="526">
        <v>1.2191582002903001</v>
      </c>
      <c r="F188" s="487">
        <v>0.49346879535559002</v>
      </c>
      <c r="G188" s="487">
        <v>251.6</v>
      </c>
      <c r="H188" s="509">
        <v>320</v>
      </c>
      <c r="J188" s="443" t="s">
        <v>1400</v>
      </c>
      <c r="N188" s="444" t="s">
        <v>1401</v>
      </c>
      <c r="O188" s="445">
        <f>(1/O175-1/O176)*1000</f>
        <v>20.934959349593495</v>
      </c>
      <c r="P188" s="445">
        <f>(1/P175-1/P176)*1000</f>
        <v>20.934959349593495</v>
      </c>
      <c r="Q188" s="445">
        <f t="shared" ref="Q188:Q194" si="42">P188/O188</f>
        <v>1</v>
      </c>
      <c r="R188" s="444"/>
      <c r="S188" s="455"/>
      <c r="T188" s="455"/>
      <c r="U188" s="455"/>
      <c r="V188" s="455"/>
      <c r="W188" s="443"/>
      <c r="X188" s="443"/>
      <c r="Y188" s="446"/>
      <c r="AA188" s="458">
        <f t="shared" si="41"/>
        <v>1.7675632838392989E-5</v>
      </c>
      <c r="AB188" s="458">
        <f t="shared" si="41"/>
        <v>0.42306828615470354</v>
      </c>
      <c r="AC188" s="458">
        <f t="shared" si="41"/>
        <v>-0.1836797069434101</v>
      </c>
      <c r="AD188" s="458">
        <f t="shared" si="41"/>
        <v>-5.4362911105892316E-3</v>
      </c>
      <c r="AE188" s="458">
        <f t="shared" si="41"/>
        <v>-8.8134848586051478E-6</v>
      </c>
      <c r="AG188" s="462" t="s">
        <v>1403</v>
      </c>
      <c r="AH188" s="479">
        <f>AH187+AH171</f>
        <v>0</v>
      </c>
      <c r="AI188" s="458"/>
    </row>
    <row r="189" spans="1:35">
      <c r="A189" s="525">
        <v>507.98258345428002</v>
      </c>
      <c r="B189" s="526">
        <v>223.51233671988001</v>
      </c>
      <c r="C189" s="526">
        <v>8.1277213352685003</v>
      </c>
      <c r="D189" s="526">
        <v>21.770682148041001</v>
      </c>
      <c r="E189" s="526">
        <v>14.223512336720001</v>
      </c>
      <c r="F189" s="487">
        <v>1.2</v>
      </c>
      <c r="G189" s="487">
        <v>71.599999999999994</v>
      </c>
      <c r="H189" s="509">
        <v>5.0000000000000001E-3</v>
      </c>
      <c r="J189" s="444" t="s">
        <v>1404</v>
      </c>
      <c r="K189" s="445">
        <f>(1-(K186/K183)^2)*K183</f>
        <v>69.675740916648124</v>
      </c>
      <c r="L189" s="445">
        <f>(1-(L186/L183)^2)*L183</f>
        <v>69.675740916648138</v>
      </c>
      <c r="M189" s="445">
        <f>L189/K189</f>
        <v>1.0000000000000002</v>
      </c>
      <c r="N189" s="444" t="s">
        <v>1405</v>
      </c>
      <c r="O189" s="448">
        <f>(O183*K178^2+2*O185*K178*K180+O184*K180^2)</f>
        <v>12004.38353147296</v>
      </c>
      <c r="P189" s="448">
        <f>(P183*L178^2+2*P185*L178*L180+P184*L180^2)</f>
        <v>12004.38353147296</v>
      </c>
      <c r="Q189" s="445">
        <f t="shared" si="42"/>
        <v>1</v>
      </c>
      <c r="S189" s="443"/>
      <c r="T189" s="443"/>
      <c r="W189" s="443"/>
      <c r="X189" s="443"/>
      <c r="Y189" s="446"/>
      <c r="AA189" s="458">
        <f t="shared" si="41"/>
        <v>-8.4703294725430034E-22</v>
      </c>
      <c r="AB189" s="458">
        <f t="shared" si="41"/>
        <v>-2.7755575615628914E-17</v>
      </c>
      <c r="AC189" s="458">
        <f t="shared" si="41"/>
        <v>-9.002744015469067E-18</v>
      </c>
      <c r="AD189" s="458">
        <f t="shared" si="41"/>
        <v>-3.8174105857845086E-19</v>
      </c>
      <c r="AE189" s="458">
        <f t="shared" si="41"/>
        <v>-1.0084308913453477E-21</v>
      </c>
      <c r="AG189" s="462" t="s">
        <v>1412</v>
      </c>
      <c r="AH189" s="479" t="e">
        <f>AH188/2/AH170</f>
        <v>#DIV/0!</v>
      </c>
      <c r="AI189" s="458"/>
    </row>
    <row r="190" spans="1:35">
      <c r="A190" s="508">
        <v>-0.5</v>
      </c>
      <c r="B190" s="527">
        <v>4925</v>
      </c>
      <c r="C190" s="487">
        <v>0.66</v>
      </c>
      <c r="D190" s="487">
        <v>1.6</v>
      </c>
      <c r="E190" s="487">
        <v>0.51600000000000001</v>
      </c>
      <c r="F190" s="487">
        <v>0.5</v>
      </c>
      <c r="G190" s="487">
        <v>0.2</v>
      </c>
      <c r="H190" s="509">
        <v>0.9</v>
      </c>
      <c r="J190" s="444" t="s">
        <v>1414</v>
      </c>
      <c r="K190" s="445">
        <f>K186/K183</f>
        <v>0.29603094337527941</v>
      </c>
      <c r="L190" s="445">
        <f>L186/L183</f>
        <v>0.29603094337527941</v>
      </c>
      <c r="M190" s="445">
        <f>L190/K190</f>
        <v>1</v>
      </c>
      <c r="N190" s="444" t="s">
        <v>1415</v>
      </c>
      <c r="O190" s="448">
        <f>(O183*K180^2+2*O185*K180*K179+O184*K179^2)</f>
        <v>10680.652008265077</v>
      </c>
      <c r="P190" s="448">
        <f>(P183*L180^2+2*P185*L180*L179+P184*L179^2)</f>
        <v>10680.652008265077</v>
      </c>
      <c r="Q190" s="445">
        <f t="shared" si="42"/>
        <v>1</v>
      </c>
      <c r="S190" s="443"/>
      <c r="T190" s="443"/>
      <c r="W190" s="443"/>
      <c r="X190" s="443"/>
      <c r="Y190" s="446"/>
      <c r="Z190" s="444"/>
      <c r="AG190" s="462"/>
      <c r="AH190" s="455"/>
      <c r="AI190" s="458"/>
    </row>
    <row r="191" spans="1:35">
      <c r="A191" s="525">
        <v>-0.16666666666666999</v>
      </c>
      <c r="B191" s="526">
        <v>15.611111111111001</v>
      </c>
      <c r="C191" s="487">
        <v>0</v>
      </c>
      <c r="D191" s="487">
        <v>0.6</v>
      </c>
      <c r="E191" s="487">
        <v>0.316</v>
      </c>
      <c r="F191" s="487">
        <v>4.0000000000000001E-3</v>
      </c>
      <c r="G191" s="487">
        <v>4.0000000000000001E-3</v>
      </c>
      <c r="H191" s="509">
        <v>3600</v>
      </c>
      <c r="N191" s="444" t="s">
        <v>1416</v>
      </c>
      <c r="O191" s="448">
        <f>(O183*K178*K180+O185*(K178*K179+K180^2)+O184*K180*K179)</f>
        <v>-3069.103206291968</v>
      </c>
      <c r="P191" s="448">
        <f>(P183*L178*L180+P185*(L178*L179+L180^2)+P184*L180*L179)</f>
        <v>-3069.1032062919689</v>
      </c>
      <c r="Q191" s="445">
        <f t="shared" si="42"/>
        <v>1.0000000000000002</v>
      </c>
      <c r="S191" s="443"/>
      <c r="T191" s="443"/>
      <c r="W191" s="443"/>
      <c r="X191" s="443"/>
      <c r="Y191" s="446"/>
      <c r="AE191" s="450"/>
      <c r="AG191" s="462"/>
      <c r="AH191" s="455"/>
      <c r="AI191" s="458"/>
    </row>
    <row r="192" spans="1:35">
      <c r="A192" s="508">
        <v>0.04</v>
      </c>
      <c r="B192" s="526">
        <v>0.01</v>
      </c>
      <c r="C192" s="487">
        <v>1</v>
      </c>
      <c r="D192" s="487">
        <v>1</v>
      </c>
      <c r="E192" s="487">
        <v>0.02</v>
      </c>
      <c r="F192" s="487"/>
      <c r="G192" s="487"/>
      <c r="H192" s="509"/>
      <c r="J192" s="444" t="s">
        <v>1193</v>
      </c>
      <c r="K192" s="445">
        <f>D80</f>
        <v>1.6</v>
      </c>
      <c r="L192" s="445">
        <f>L193*(1-L167)+L194*L167</f>
        <v>1.6</v>
      </c>
      <c r="M192" s="445">
        <f>L192/K192</f>
        <v>1</v>
      </c>
      <c r="N192" s="444" t="s">
        <v>1418</v>
      </c>
      <c r="O192" s="448">
        <f>O186*K181^2</f>
        <v>11117.841695501729</v>
      </c>
      <c r="P192" s="448">
        <f>P186*L181^2</f>
        <v>11117.841695501729</v>
      </c>
      <c r="Q192" s="445">
        <f t="shared" si="42"/>
        <v>1</v>
      </c>
      <c r="S192" s="443"/>
      <c r="T192" s="443"/>
      <c r="W192" s="443"/>
      <c r="X192" s="443"/>
      <c r="Y192" s="468"/>
      <c r="Z192" s="442"/>
      <c r="AA192" s="442"/>
      <c r="AB192" s="442"/>
      <c r="AC192" s="444"/>
      <c r="AD192" s="444"/>
      <c r="AE192" s="446"/>
      <c r="AG192" s="462"/>
      <c r="AH192" s="455"/>
      <c r="AI192" s="462" t="s">
        <v>1421</v>
      </c>
    </row>
    <row r="193" spans="1:35">
      <c r="A193" s="508" t="s">
        <v>1604</v>
      </c>
      <c r="B193" s="526">
        <v>11.030478955007</v>
      </c>
      <c r="C193" s="526">
        <v>0.79825834542815999</v>
      </c>
      <c r="D193" s="526">
        <v>0.34</v>
      </c>
      <c r="E193" s="526">
        <v>0.33381712626996002</v>
      </c>
      <c r="F193" s="487">
        <v>0.49346879535559002</v>
      </c>
      <c r="G193" s="487">
        <v>143.6</v>
      </c>
      <c r="H193" s="509">
        <v>320</v>
      </c>
      <c r="J193" s="444" t="s">
        <v>274</v>
      </c>
      <c r="K193" s="445">
        <f>F79</f>
        <v>1.2</v>
      </c>
      <c r="L193" s="445">
        <f>K193</f>
        <v>1.2</v>
      </c>
      <c r="M193" s="445">
        <f>L193/K193</f>
        <v>1</v>
      </c>
      <c r="N193" s="444" t="s">
        <v>1422</v>
      </c>
      <c r="O193" s="448">
        <f>(O187*K178+O188*K180)</f>
        <v>60.646995481305353</v>
      </c>
      <c r="P193" s="448">
        <f>(P187*L178+P188*L180)</f>
        <v>60.646995481305353</v>
      </c>
      <c r="Q193" s="445">
        <f t="shared" si="42"/>
        <v>1</v>
      </c>
      <c r="S193" s="443"/>
      <c r="T193" s="443"/>
      <c r="W193" s="443"/>
      <c r="X193" s="443"/>
      <c r="Y193" s="471"/>
      <c r="Z193" s="471"/>
      <c r="AA193" s="455"/>
      <c r="AB193" s="455"/>
      <c r="AC193" s="455"/>
      <c r="AD193" s="455"/>
      <c r="AG193" s="444" t="s">
        <v>1424</v>
      </c>
      <c r="AH193" s="455" t="e">
        <f>(AH189^2-AH186/AH170)^0.5-AH189</f>
        <v>#DIV/0!</v>
      </c>
      <c r="AI193" s="455">
        <f>AH194</f>
        <v>1000000000</v>
      </c>
    </row>
    <row r="194" spans="1:35">
      <c r="A194" s="525">
        <v>203.19303338170999</v>
      </c>
      <c r="B194" s="526">
        <v>34.10740203193</v>
      </c>
      <c r="C194" s="526">
        <v>1.7416545718433001</v>
      </c>
      <c r="D194" s="526">
        <v>7.6923076923076996</v>
      </c>
      <c r="E194" s="526">
        <v>4.9346879535559003</v>
      </c>
      <c r="F194" s="487">
        <v>1.2</v>
      </c>
      <c r="G194" s="487">
        <v>71.599999999999994</v>
      </c>
      <c r="H194" s="509">
        <v>5.0000000000000001E-3</v>
      </c>
      <c r="J194" s="444" t="s">
        <v>1195</v>
      </c>
      <c r="K194" s="445">
        <f>(K192-K193*(1-K167))/K167</f>
        <v>1.7714285714285716</v>
      </c>
      <c r="L194" s="445">
        <f>K194</f>
        <v>1.7714285714285716</v>
      </c>
      <c r="M194" s="445">
        <f>L194/K194</f>
        <v>1</v>
      </c>
      <c r="N194" s="444" t="s">
        <v>1426</v>
      </c>
      <c r="O194" s="448">
        <f>(O187*K180+O188*K179)</f>
        <v>216.59641243323335</v>
      </c>
      <c r="P194" s="448">
        <f>(P187*L180+P188*L179)</f>
        <v>216.59641243323335</v>
      </c>
      <c r="Q194" s="445">
        <f t="shared" si="42"/>
        <v>1</v>
      </c>
      <c r="S194" s="443"/>
      <c r="T194" s="443"/>
      <c r="W194" s="443"/>
      <c r="X194" s="443"/>
      <c r="Y194" s="471"/>
      <c r="Z194" s="471"/>
      <c r="AA194" s="455"/>
      <c r="AB194" s="455"/>
      <c r="AC194" s="455"/>
      <c r="AD194" s="455"/>
      <c r="AG194" s="444" t="s">
        <v>194</v>
      </c>
      <c r="AH194" s="455">
        <f>IF(AH159=0,1000000000,AH193)</f>
        <v>1000000000</v>
      </c>
    </row>
    <row r="195" spans="1:35">
      <c r="A195" s="508">
        <v>-0.5</v>
      </c>
      <c r="B195" s="527">
        <v>4925</v>
      </c>
      <c r="C195" s="487">
        <v>0.6</v>
      </c>
      <c r="D195" s="487">
        <v>1.46</v>
      </c>
      <c r="E195" s="487">
        <v>0.51600000000000001</v>
      </c>
      <c r="F195" s="487">
        <v>0.5</v>
      </c>
      <c r="G195" s="487">
        <v>0.2</v>
      </c>
      <c r="H195" s="509">
        <v>0.9</v>
      </c>
      <c r="L195" s="443" t="s">
        <v>1428</v>
      </c>
      <c r="S195" s="443"/>
      <c r="T195" s="443"/>
      <c r="W195" s="443"/>
      <c r="X195" s="443"/>
      <c r="Y195" s="471"/>
      <c r="Z195" s="471"/>
      <c r="AA195" s="455"/>
      <c r="AB195" s="455"/>
      <c r="AC195" s="455"/>
      <c r="AD195" s="455"/>
      <c r="AG195" s="444" t="s">
        <v>194</v>
      </c>
      <c r="AH195" s="455">
        <f>IF(AH159=0,0,AH193)</f>
        <v>0</v>
      </c>
    </row>
    <row r="196" spans="1:35">
      <c r="A196" s="525">
        <v>-2.2222222222222001</v>
      </c>
      <c r="B196" s="526">
        <v>43.888888888888999</v>
      </c>
      <c r="C196" s="487">
        <v>0</v>
      </c>
      <c r="D196" s="487">
        <v>0.6</v>
      </c>
      <c r="E196" s="487">
        <v>0.316</v>
      </c>
      <c r="F196" s="487">
        <v>0.01</v>
      </c>
      <c r="G196" s="487">
        <v>0.01</v>
      </c>
      <c r="H196" s="509">
        <v>3600</v>
      </c>
      <c r="J196" s="442" t="s">
        <v>850</v>
      </c>
      <c r="K196" s="444"/>
      <c r="L196" s="444"/>
      <c r="N196" s="443" t="s">
        <v>1551</v>
      </c>
      <c r="P196" s="445"/>
      <c r="R196" s="443" t="s">
        <v>634</v>
      </c>
      <c r="Z196" s="443" t="s">
        <v>635</v>
      </c>
      <c r="AG196" s="443" t="s">
        <v>636</v>
      </c>
    </row>
    <row r="197" spans="1:35">
      <c r="A197" s="508">
        <v>0.02</v>
      </c>
      <c r="B197" s="526">
        <v>0.01</v>
      </c>
      <c r="C197" s="487">
        <v>1</v>
      </c>
      <c r="D197" s="487">
        <v>1</v>
      </c>
      <c r="E197" s="487">
        <v>0</v>
      </c>
      <c r="F197" s="487"/>
      <c r="G197" s="487"/>
      <c r="H197" s="509"/>
      <c r="J197" s="444" t="str">
        <f>A83</f>
        <v>T3/N52[SI]</v>
      </c>
      <c r="K197" s="442"/>
      <c r="L197" s="444"/>
      <c r="N197" s="444" t="s">
        <v>596</v>
      </c>
      <c r="O197" s="448">
        <f>G84</f>
        <v>22</v>
      </c>
      <c r="P197" s="448">
        <f>B46</f>
        <v>22</v>
      </c>
      <c r="Q197" s="449">
        <f t="shared" ref="Q197:Q202" si="43">P197/O197</f>
        <v>1</v>
      </c>
      <c r="R197" s="442"/>
      <c r="X197" s="450"/>
      <c r="Z197" s="444" t="s">
        <v>531</v>
      </c>
      <c r="AA197" s="451">
        <f>S199</f>
        <v>-60</v>
      </c>
      <c r="AB197" s="451"/>
      <c r="AC197" s="451"/>
      <c r="AD197" s="451"/>
      <c r="AE197" s="444" t="s">
        <v>532</v>
      </c>
      <c r="AF197" s="450" t="s">
        <v>533</v>
      </c>
      <c r="AG197" s="444" t="s">
        <v>531</v>
      </c>
      <c r="AH197" s="451">
        <f>AA197</f>
        <v>-60</v>
      </c>
    </row>
    <row r="198" spans="1:35">
      <c r="A198" s="525" t="s">
        <v>1606</v>
      </c>
      <c r="B198" s="526">
        <v>5.6023222060958</v>
      </c>
      <c r="C198" s="526">
        <v>1.200290275762</v>
      </c>
      <c r="D198" s="526">
        <v>0.26</v>
      </c>
      <c r="E198" s="526">
        <v>0.60087082728592001</v>
      </c>
      <c r="F198" s="487">
        <v>0.49346879535559002</v>
      </c>
      <c r="G198" s="487">
        <v>251.6</v>
      </c>
      <c r="H198" s="509">
        <v>320</v>
      </c>
      <c r="J198" s="444"/>
      <c r="K198" s="444"/>
      <c r="L198" s="444"/>
      <c r="N198" s="444" t="s">
        <v>600</v>
      </c>
      <c r="O198" s="455">
        <f>H84</f>
        <v>5.0000000000000001E-3</v>
      </c>
      <c r="P198" s="455">
        <f>C46</f>
        <v>5.0000000000000001E-3</v>
      </c>
      <c r="Q198" s="449">
        <f t="shared" si="43"/>
        <v>1</v>
      </c>
      <c r="R198" s="444" t="s">
        <v>243</v>
      </c>
      <c r="S198" s="450" t="s">
        <v>531</v>
      </c>
      <c r="T198" s="450" t="s">
        <v>652</v>
      </c>
      <c r="U198" s="450" t="s">
        <v>646</v>
      </c>
      <c r="V198" s="450"/>
      <c r="W198" s="450"/>
      <c r="X198" s="450"/>
      <c r="Z198" s="444" t="s">
        <v>536</v>
      </c>
      <c r="AA198" s="451">
        <f>S200</f>
        <v>0</v>
      </c>
      <c r="AB198" s="451"/>
      <c r="AC198" s="451"/>
      <c r="AD198" s="451"/>
      <c r="AE198" s="444">
        <f>W200</f>
        <v>0</v>
      </c>
      <c r="AF198" s="451">
        <f>X200</f>
        <v>0</v>
      </c>
      <c r="AG198" s="444" t="s">
        <v>536</v>
      </c>
      <c r="AH198" s="451">
        <f>AA198</f>
        <v>0</v>
      </c>
    </row>
    <row r="199" spans="1:35">
      <c r="A199" s="525">
        <v>154.13642960812999</v>
      </c>
      <c r="B199" s="526">
        <v>88.534107402032006</v>
      </c>
      <c r="C199" s="526">
        <v>4.4992743105950996</v>
      </c>
      <c r="D199" s="526">
        <v>17.126269956459002</v>
      </c>
      <c r="E199" s="526">
        <v>10.449927431060001</v>
      </c>
      <c r="F199" s="487">
        <v>1.2</v>
      </c>
      <c r="G199" s="487">
        <v>71.599999999999994</v>
      </c>
      <c r="H199" s="509">
        <v>5.0000000000000001E-3</v>
      </c>
      <c r="J199" s="444" t="s">
        <v>1553</v>
      </c>
      <c r="K199" s="444" t="s">
        <v>1554</v>
      </c>
      <c r="L199" s="444" t="s">
        <v>1555</v>
      </c>
      <c r="M199" s="456" t="s">
        <v>1556</v>
      </c>
      <c r="N199" s="444" t="s">
        <v>1557</v>
      </c>
      <c r="O199" s="448">
        <f>G83</f>
        <v>122</v>
      </c>
      <c r="P199" s="448">
        <f>O199</f>
        <v>122</v>
      </c>
      <c r="Q199" s="449">
        <f t="shared" si="43"/>
        <v>1</v>
      </c>
      <c r="R199" s="444" t="s">
        <v>537</v>
      </c>
      <c r="S199" s="457">
        <f>C8</f>
        <v>-60</v>
      </c>
      <c r="T199" s="458">
        <f>E8*L204/1000000</f>
        <v>0</v>
      </c>
      <c r="U199" s="455">
        <f>U160</f>
        <v>2E-3</v>
      </c>
      <c r="V199" s="457"/>
      <c r="W199" s="450"/>
      <c r="X199" s="450"/>
      <c r="Z199" s="444" t="s">
        <v>539</v>
      </c>
      <c r="AA199" s="451">
        <f>S201</f>
        <v>-2.0943951023931953</v>
      </c>
      <c r="AB199" s="451"/>
      <c r="AC199" s="451"/>
      <c r="AD199" s="451"/>
      <c r="AE199" s="444" t="s">
        <v>540</v>
      </c>
      <c r="AF199" s="446">
        <f>T199</f>
        <v>0</v>
      </c>
      <c r="AG199" s="444" t="s">
        <v>539</v>
      </c>
      <c r="AH199" s="451">
        <f>AA199</f>
        <v>-2.0943951023931953</v>
      </c>
    </row>
    <row r="200" spans="1:35">
      <c r="A200" s="508">
        <v>-0.5</v>
      </c>
      <c r="B200" s="527">
        <v>4925</v>
      </c>
      <c r="C200" s="487">
        <v>0.45</v>
      </c>
      <c r="D200" s="487">
        <v>1.8</v>
      </c>
      <c r="E200" s="487">
        <v>0.51600000000000001</v>
      </c>
      <c r="F200" s="487">
        <v>0.5</v>
      </c>
      <c r="G200" s="487">
        <v>0.2</v>
      </c>
      <c r="H200" s="509">
        <v>0.9</v>
      </c>
      <c r="J200" s="444" t="s">
        <v>298</v>
      </c>
      <c r="K200" s="445">
        <f>B83</f>
        <v>181</v>
      </c>
      <c r="L200" s="445">
        <f>L207*L206*I79</f>
        <v>181.00000000000003</v>
      </c>
      <c r="M200" s="449">
        <f>L200/K200</f>
        <v>1.0000000000000002</v>
      </c>
      <c r="N200" s="444" t="s">
        <v>299</v>
      </c>
      <c r="O200" s="448">
        <f>H83</f>
        <v>160</v>
      </c>
      <c r="P200" s="448">
        <f>O200-H86*(P198)</f>
        <v>150</v>
      </c>
      <c r="Q200" s="449">
        <f t="shared" si="43"/>
        <v>0.9375</v>
      </c>
      <c r="R200" s="444" t="s">
        <v>541</v>
      </c>
      <c r="S200" s="457">
        <f>D8</f>
        <v>0</v>
      </c>
      <c r="T200" s="445"/>
      <c r="U200" s="457">
        <f>T199/U199</f>
        <v>0</v>
      </c>
      <c r="V200" s="457"/>
      <c r="W200" s="459"/>
      <c r="X200" s="451"/>
      <c r="Z200" s="444"/>
      <c r="AA200" s="446"/>
      <c r="AB200" s="446"/>
      <c r="AC200" s="446"/>
      <c r="AD200" s="446"/>
      <c r="AE200" s="450"/>
      <c r="AI200" s="444" t="s">
        <v>109</v>
      </c>
    </row>
    <row r="201" spans="1:35">
      <c r="A201" s="525">
        <v>4.7777777777777999</v>
      </c>
      <c r="B201" s="526">
        <v>12.277777777778001</v>
      </c>
      <c r="C201" s="487">
        <v>0</v>
      </c>
      <c r="D201" s="487">
        <v>0.6</v>
      </c>
      <c r="E201" s="487">
        <v>0.316</v>
      </c>
      <c r="F201" s="487">
        <v>0.01</v>
      </c>
      <c r="G201" s="487">
        <v>0.01</v>
      </c>
      <c r="H201" s="509">
        <v>3600</v>
      </c>
      <c r="J201" s="444" t="s">
        <v>1579</v>
      </c>
      <c r="K201" s="445">
        <f>C83</f>
        <v>10.3</v>
      </c>
      <c r="L201" s="445">
        <f>(1+L210)/(1/L211+L210/L208)*I89</f>
        <v>10.3</v>
      </c>
      <c r="M201" s="449">
        <f>L201/K201</f>
        <v>1</v>
      </c>
      <c r="N201" s="444" t="s">
        <v>1580</v>
      </c>
      <c r="O201" s="445">
        <f>(O200-O197)/(O200-O197)</f>
        <v>1</v>
      </c>
      <c r="P201" s="445">
        <f>(P200-P197)/(P200-O197)</f>
        <v>1</v>
      </c>
      <c r="Q201" s="449">
        <f t="shared" si="43"/>
        <v>1</v>
      </c>
      <c r="R201" s="444" t="s">
        <v>1295</v>
      </c>
      <c r="S201" s="461">
        <f>S199*PI()/90</f>
        <v>-2.0943951023931953</v>
      </c>
      <c r="T201" s="461"/>
      <c r="U201" s="461"/>
      <c r="V201" s="461"/>
      <c r="W201" s="450"/>
      <c r="X201" s="462"/>
      <c r="Y201" s="444"/>
      <c r="Z201" s="442" t="s">
        <v>1297</v>
      </c>
      <c r="AA201" s="450"/>
      <c r="AB201" s="450"/>
      <c r="AC201" s="446"/>
      <c r="AD201" s="446"/>
      <c r="AE201" s="446"/>
      <c r="AG201" s="442" t="s">
        <v>1298</v>
      </c>
      <c r="AI201" s="444" t="s">
        <v>1299</v>
      </c>
    </row>
    <row r="202" spans="1:35">
      <c r="A202" s="508">
        <v>0.04</v>
      </c>
      <c r="B202" s="526">
        <v>0.01</v>
      </c>
      <c r="C202" s="487">
        <v>1</v>
      </c>
      <c r="D202" s="487">
        <v>1</v>
      </c>
      <c r="E202" s="487">
        <v>0.04</v>
      </c>
      <c r="F202" s="487"/>
      <c r="G202" s="487"/>
      <c r="H202" s="509"/>
      <c r="J202" s="444" t="s">
        <v>259</v>
      </c>
      <c r="K202" s="445">
        <f>D83</f>
        <v>0.28000000000000003</v>
      </c>
      <c r="L202" s="445">
        <f>K202*I46*I69</f>
        <v>0.28000000000000003</v>
      </c>
      <c r="M202" s="449">
        <f>L202/K202</f>
        <v>1</v>
      </c>
      <c r="N202" s="444" t="s">
        <v>260</v>
      </c>
      <c r="O202" s="448">
        <f>O197-O199</f>
        <v>-100</v>
      </c>
      <c r="P202" s="448">
        <f>P197-P199</f>
        <v>-100</v>
      </c>
      <c r="Q202" s="449">
        <f t="shared" si="43"/>
        <v>1</v>
      </c>
      <c r="R202" s="444" t="s">
        <v>1300</v>
      </c>
      <c r="S202" s="461">
        <f>2*S201</f>
        <v>-4.1887902047863905</v>
      </c>
      <c r="T202" s="461"/>
      <c r="U202" s="461"/>
      <c r="V202" s="461"/>
      <c r="W202" s="459"/>
      <c r="X202" s="451"/>
      <c r="Y202" s="446"/>
      <c r="Z202" s="444"/>
      <c r="AA202" s="450" t="s">
        <v>1301</v>
      </c>
      <c r="AB202" s="450"/>
      <c r="AC202" s="463" t="s">
        <v>619</v>
      </c>
      <c r="AD202" s="463"/>
      <c r="AE202" s="450" t="s">
        <v>1303</v>
      </c>
      <c r="AF202" s="450" t="s">
        <v>1304</v>
      </c>
      <c r="AG202" s="444" t="s">
        <v>1305</v>
      </c>
      <c r="AH202" s="455">
        <f>AA208/1000</f>
        <v>0</v>
      </c>
      <c r="AI202" s="464">
        <f>($AE$31+$AE$32)/2</f>
        <v>1.7068551681092488E-5</v>
      </c>
    </row>
    <row r="203" spans="1:35">
      <c r="A203" s="508" t="s">
        <v>1608</v>
      </c>
      <c r="B203" s="526">
        <v>21.480406386066999</v>
      </c>
      <c r="C203" s="526">
        <v>1.4005805515239</v>
      </c>
      <c r="D203" s="526">
        <v>0.3</v>
      </c>
      <c r="E203" s="526">
        <v>0.66037735849057</v>
      </c>
      <c r="F203" s="526">
        <v>0.49346879535559002</v>
      </c>
      <c r="G203" s="487">
        <v>251.6</v>
      </c>
      <c r="H203" s="509">
        <v>320</v>
      </c>
      <c r="J203" s="444" t="s">
        <v>261</v>
      </c>
      <c r="K203" s="445">
        <f>E83</f>
        <v>7.17</v>
      </c>
      <c r="L203" s="445">
        <f>(1+L213)/(1/L214+L213*2.7/L208)</f>
        <v>7.17</v>
      </c>
      <c r="M203" s="449">
        <f>L203/K203</f>
        <v>1</v>
      </c>
      <c r="N203" s="444"/>
      <c r="O203" s="445"/>
      <c r="P203" s="445"/>
      <c r="Q203" s="445"/>
      <c r="S203" s="465"/>
      <c r="T203" s="465"/>
      <c r="U203" s="465"/>
      <c r="V203" s="484"/>
      <c r="W203" s="450"/>
      <c r="X203" s="450"/>
      <c r="Y203" s="446"/>
      <c r="Z203" s="444">
        <v>1</v>
      </c>
      <c r="AA203" s="445">
        <f>AA164</f>
        <v>0.5</v>
      </c>
      <c r="AB203" s="458"/>
      <c r="AC203" s="445">
        <f>AC164</f>
        <v>14.199945665574337</v>
      </c>
      <c r="AD203" s="458"/>
      <c r="AE203" s="462" t="s">
        <v>1306</v>
      </c>
      <c r="AF203" s="458">
        <f>IF(T199=0,0,(AC203+AC204)/2)</f>
        <v>0</v>
      </c>
      <c r="AG203" s="444" t="s">
        <v>1307</v>
      </c>
      <c r="AH203" s="455">
        <f>AA209/1000</f>
        <v>0</v>
      </c>
      <c r="AI203" s="464">
        <f>($AE$31-$AE$32)/2</f>
        <v>2.5882036539697636E-5</v>
      </c>
    </row>
    <row r="204" spans="1:35">
      <c r="A204" s="525">
        <v>190.71117561683999</v>
      </c>
      <c r="B204" s="526">
        <v>177.06821480406001</v>
      </c>
      <c r="C204" s="526">
        <v>6.2409288824382996</v>
      </c>
      <c r="D204" s="526">
        <v>24.383164005806002</v>
      </c>
      <c r="E204" s="526">
        <v>6.9666182873729996</v>
      </c>
      <c r="F204" s="526">
        <v>1.2</v>
      </c>
      <c r="G204" s="487">
        <v>71.599999999999994</v>
      </c>
      <c r="H204" s="509">
        <v>5.0000000000000001E-3</v>
      </c>
      <c r="J204" s="444" t="s">
        <v>262</v>
      </c>
      <c r="K204" s="448">
        <f>B85</f>
        <v>125</v>
      </c>
      <c r="L204" s="448">
        <f>K204/M206</f>
        <v>125</v>
      </c>
      <c r="M204" s="449">
        <f>L204/K204</f>
        <v>1</v>
      </c>
      <c r="N204" s="442" t="s">
        <v>1531</v>
      </c>
      <c r="O204" s="445"/>
      <c r="P204" s="445"/>
      <c r="Q204" s="445"/>
      <c r="R204" s="444" t="s">
        <v>1325</v>
      </c>
      <c r="S204" s="450" t="s">
        <v>1326</v>
      </c>
      <c r="T204" s="450"/>
      <c r="U204" s="450" t="s">
        <v>1330</v>
      </c>
      <c r="V204" s="444" t="s">
        <v>172</v>
      </c>
      <c r="W204" s="444" t="s">
        <v>187</v>
      </c>
      <c r="X204" s="450"/>
      <c r="Y204" s="455"/>
      <c r="Z204" s="444">
        <v>2</v>
      </c>
      <c r="AA204" s="445">
        <f>AA165</f>
        <v>0</v>
      </c>
      <c r="AB204" s="458"/>
      <c r="AC204" s="445">
        <f>AC165</f>
        <v>-4.5806509889074913</v>
      </c>
      <c r="AD204" s="458"/>
      <c r="AE204" s="462" t="s">
        <v>1309</v>
      </c>
      <c r="AF204" s="458">
        <f>IF(T199=0,0,(AC203-AC204)/2)</f>
        <v>0</v>
      </c>
      <c r="AG204" s="444" t="s">
        <v>1310</v>
      </c>
      <c r="AH204" s="455">
        <f>AA210/1000</f>
        <v>0</v>
      </c>
      <c r="AI204" s="464">
        <f>$AE$33/2</f>
        <v>-5.0421544567267384E-22</v>
      </c>
    </row>
    <row r="205" spans="1:35">
      <c r="A205" s="508">
        <v>-0.5</v>
      </c>
      <c r="B205" s="527">
        <v>3940</v>
      </c>
      <c r="C205" s="487">
        <v>0.6</v>
      </c>
      <c r="D205" s="487">
        <v>1.5</v>
      </c>
      <c r="E205" s="487">
        <v>0.51600000000000001</v>
      </c>
      <c r="F205" s="487">
        <v>0.5</v>
      </c>
      <c r="G205" s="487">
        <v>0.2</v>
      </c>
      <c r="H205" s="509">
        <v>0.9</v>
      </c>
      <c r="J205" s="442" t="s">
        <v>264</v>
      </c>
      <c r="K205" s="445"/>
      <c r="L205" s="445"/>
      <c r="N205" s="444" t="s">
        <v>265</v>
      </c>
      <c r="O205" s="445">
        <f>A86</f>
        <v>0.02</v>
      </c>
      <c r="P205" s="445">
        <f>O205</f>
        <v>0.02</v>
      </c>
      <c r="Q205" s="445">
        <f>P205/O205</f>
        <v>1</v>
      </c>
      <c r="R205" s="444">
        <v>11</v>
      </c>
      <c r="S205" s="445">
        <f>L222+L223*COS(S201)+L224*COS(S202)</f>
        <v>23.646757129931306</v>
      </c>
      <c r="T205" s="445"/>
      <c r="U205" s="458">
        <f>S205*T199</f>
        <v>0</v>
      </c>
      <c r="V205" s="458">
        <f t="shared" ref="V205:W210" si="44">V166</f>
        <v>4.9567741608415233E-2</v>
      </c>
      <c r="W205" s="445">
        <f t="shared" si="44"/>
        <v>24.783870804207616</v>
      </c>
      <c r="X205" s="455"/>
      <c r="Y205" s="446"/>
      <c r="Z205" s="444">
        <v>6</v>
      </c>
      <c r="AA205" s="445">
        <f>AA166</f>
        <v>0</v>
      </c>
      <c r="AB205" s="458"/>
      <c r="AC205" s="445">
        <f>AC166</f>
        <v>6.8206751737942824E-16</v>
      </c>
      <c r="AD205" s="458"/>
      <c r="AE205" s="462" t="s">
        <v>1312</v>
      </c>
      <c r="AF205" s="458">
        <f>IF(T199=0,0,AC205/2)</f>
        <v>0</v>
      </c>
      <c r="AG205" s="444"/>
      <c r="AH205" s="458"/>
      <c r="AI205" s="458"/>
    </row>
    <row r="206" spans="1:35">
      <c r="A206" s="525">
        <v>-0.16666666666666999</v>
      </c>
      <c r="B206" s="526">
        <v>15.611111111111001</v>
      </c>
      <c r="C206" s="487">
        <v>0</v>
      </c>
      <c r="D206" s="487">
        <v>0.6</v>
      </c>
      <c r="E206" s="487">
        <v>0.316</v>
      </c>
      <c r="F206" s="487">
        <v>4.0000000000000001E-3</v>
      </c>
      <c r="G206" s="487">
        <v>4.0000000000000001E-3</v>
      </c>
      <c r="H206" s="509">
        <v>3600</v>
      </c>
      <c r="J206" s="444" t="s">
        <v>1532</v>
      </c>
      <c r="K206" s="445">
        <f>C85</f>
        <v>0.7</v>
      </c>
      <c r="L206" s="445">
        <f>D46</f>
        <v>0.7</v>
      </c>
      <c r="M206" s="449">
        <f t="shared" ref="M206:M214" si="45">L206/K206</f>
        <v>1</v>
      </c>
      <c r="N206" s="444" t="s">
        <v>1533</v>
      </c>
      <c r="O206" s="445">
        <f>B86</f>
        <v>22.5</v>
      </c>
      <c r="P206" s="445">
        <f>O206*(1-L206)/(1-K206)</f>
        <v>22.5</v>
      </c>
      <c r="Q206" s="445">
        <f>P206/O206</f>
        <v>1</v>
      </c>
      <c r="R206" s="444">
        <v>22</v>
      </c>
      <c r="S206" s="445">
        <f>S205-2*L223*COS(S201)</f>
        <v>109.37924718722999</v>
      </c>
      <c r="T206" s="445"/>
      <c r="U206" s="458">
        <f>S206*T199</f>
        <v>0</v>
      </c>
      <c r="V206" s="458">
        <f t="shared" si="44"/>
        <v>0.13796301355045693</v>
      </c>
      <c r="W206" s="445">
        <f t="shared" si="44"/>
        <v>68.981506775228468</v>
      </c>
      <c r="X206" s="450"/>
      <c r="AA206" s="458"/>
      <c r="AB206" s="458"/>
      <c r="AC206" s="458"/>
      <c r="AD206" s="458"/>
      <c r="AE206" s="462"/>
      <c r="AF206" s="458"/>
      <c r="AG206" s="444"/>
      <c r="AH206" s="458"/>
      <c r="AI206" s="458"/>
    </row>
    <row r="207" spans="1:35">
      <c r="A207" s="508">
        <v>0.15</v>
      </c>
      <c r="B207" s="487">
        <v>0.01</v>
      </c>
      <c r="C207" s="487">
        <v>1</v>
      </c>
      <c r="D207" s="487">
        <v>1</v>
      </c>
      <c r="E207" s="487">
        <v>0.1</v>
      </c>
      <c r="F207" s="487"/>
      <c r="G207" s="487"/>
      <c r="H207" s="509"/>
      <c r="J207" s="444" t="s">
        <v>1534</v>
      </c>
      <c r="K207" s="448">
        <f>K200/K206</f>
        <v>258.57142857142861</v>
      </c>
      <c r="L207" s="448">
        <f>F46*P201^F86*I69</f>
        <v>258.57142857142861</v>
      </c>
      <c r="M207" s="449">
        <f t="shared" si="45"/>
        <v>1</v>
      </c>
      <c r="N207" s="443" t="s">
        <v>1535</v>
      </c>
      <c r="O207" s="445"/>
      <c r="P207" s="445"/>
      <c r="Q207" s="445"/>
      <c r="R207" s="444" t="s">
        <v>1345</v>
      </c>
      <c r="S207" s="445">
        <f>L225-L224*COS(S202)</f>
        <v>32.462571072888295</v>
      </c>
      <c r="T207" s="445"/>
      <c r="U207" s="458">
        <f>S207*T199</f>
        <v>0</v>
      </c>
      <c r="V207" s="458">
        <f t="shared" si="44"/>
        <v>4.4504424829219763E-2</v>
      </c>
      <c r="W207" s="445">
        <f t="shared" si="44"/>
        <v>22.252212414609883</v>
      </c>
      <c r="X207" s="458"/>
      <c r="Z207" s="442" t="s">
        <v>1323</v>
      </c>
      <c r="AA207" s="458"/>
      <c r="AB207" s="458"/>
      <c r="AC207" s="458"/>
      <c r="AD207" s="458"/>
      <c r="AE207" s="462"/>
      <c r="AF207" s="458"/>
      <c r="AG207" s="444"/>
      <c r="AH207" s="458"/>
      <c r="AI207" s="458"/>
    </row>
    <row r="208" spans="1:35">
      <c r="A208" s="508" t="s">
        <v>1609</v>
      </c>
      <c r="B208" s="526">
        <v>26.269956458635999</v>
      </c>
      <c r="C208" s="526">
        <v>1.4949201741655</v>
      </c>
      <c r="D208" s="526">
        <v>0.28000000000000003</v>
      </c>
      <c r="E208" s="526">
        <v>1.0406386066763</v>
      </c>
      <c r="F208" s="487">
        <v>0.49346879535559002</v>
      </c>
      <c r="G208" s="487">
        <v>251.6</v>
      </c>
      <c r="H208" s="509">
        <v>320</v>
      </c>
      <c r="J208" s="444" t="s">
        <v>1536</v>
      </c>
      <c r="K208" s="445">
        <f>F83</f>
        <v>3.4</v>
      </c>
      <c r="L208" s="445">
        <f>E46*P201^F85*I46*I69</f>
        <v>3.4</v>
      </c>
      <c r="M208" s="449">
        <f t="shared" si="45"/>
        <v>1</v>
      </c>
      <c r="N208" s="444" t="s">
        <v>1537</v>
      </c>
      <c r="O208" s="445">
        <f>C86</f>
        <v>0</v>
      </c>
      <c r="P208" s="445">
        <f>O208</f>
        <v>0</v>
      </c>
      <c r="Q208" s="445">
        <v>1</v>
      </c>
      <c r="R208" s="444">
        <v>66</v>
      </c>
      <c r="S208" s="445">
        <f>S207-L225+L226</f>
        <v>36.735646628538568</v>
      </c>
      <c r="T208" s="445"/>
      <c r="U208" s="458">
        <f>S208*T199</f>
        <v>0</v>
      </c>
      <c r="V208" s="458">
        <f t="shared" si="44"/>
        <v>4.6600447042217497E-2</v>
      </c>
      <c r="W208" s="445">
        <f t="shared" si="44"/>
        <v>23.300223521108748</v>
      </c>
      <c r="X208" s="445"/>
      <c r="Z208" s="444" t="s">
        <v>1324</v>
      </c>
      <c r="AA208" s="455">
        <f>(AF203+AF204*COS(AA199)+AF205*SIN(AA199))</f>
        <v>0</v>
      </c>
      <c r="AB208" s="455" t="e">
        <f>IF(ABS(AA208/AA211)&lt;0.0000000001,0,AA208)</f>
        <v>#DIV/0!</v>
      </c>
      <c r="AC208" s="455"/>
      <c r="AD208" s="455"/>
      <c r="AE208" s="462"/>
      <c r="AF208" s="458"/>
      <c r="AG208" s="442"/>
      <c r="AH208" s="462"/>
      <c r="AI208" s="458"/>
    </row>
    <row r="209" spans="1:35">
      <c r="A209" s="525">
        <v>217.70682148041001</v>
      </c>
      <c r="B209" s="526">
        <v>217.70682148041001</v>
      </c>
      <c r="C209" s="526">
        <v>5.8055152394774998</v>
      </c>
      <c r="D209" s="526">
        <v>35.703918722787002</v>
      </c>
      <c r="E209" s="526">
        <v>9.8693759071118006</v>
      </c>
      <c r="F209" s="487">
        <v>1.2</v>
      </c>
      <c r="G209" s="487">
        <v>71.599999999999994</v>
      </c>
      <c r="H209" s="509">
        <v>5.0000000000000001E-3</v>
      </c>
      <c r="J209" s="444" t="s">
        <v>1538</v>
      </c>
      <c r="K209" s="445">
        <f>E85</f>
        <v>0.51600000000000001</v>
      </c>
      <c r="L209" s="445">
        <f>K209*P201^G85</f>
        <v>0.51600000000000001</v>
      </c>
      <c r="M209" s="449">
        <f t="shared" si="45"/>
        <v>1</v>
      </c>
      <c r="N209" s="444" t="s">
        <v>1539</v>
      </c>
      <c r="O209" s="445">
        <f>D86</f>
        <v>0.6</v>
      </c>
      <c r="P209" s="445">
        <f>O209*(1-L206)/(1-K206)</f>
        <v>0.6</v>
      </c>
      <c r="Q209" s="445">
        <f>P209/O209</f>
        <v>1</v>
      </c>
      <c r="R209" s="444" t="s">
        <v>1347</v>
      </c>
      <c r="S209" s="445">
        <f>L223*SIN(S201)/2+L224*SIN(S202)</f>
        <v>-20.053523119906679</v>
      </c>
      <c r="T209" s="445"/>
      <c r="U209" s="458">
        <f>S209*T199</f>
        <v>0</v>
      </c>
      <c r="V209" s="458">
        <f t="shared" si="44"/>
        <v>0</v>
      </c>
      <c r="W209" s="445">
        <f t="shared" si="44"/>
        <v>0</v>
      </c>
      <c r="X209" s="450"/>
      <c r="Z209" s="444" t="s">
        <v>1332</v>
      </c>
      <c r="AA209" s="455">
        <f>2*AF203-AA208</f>
        <v>0</v>
      </c>
      <c r="AB209" s="455" t="e">
        <f>IF(ABS(AA209/AA211)&lt;0.0000000001,0,AA209)</f>
        <v>#DIV/0!</v>
      </c>
      <c r="AC209" s="455"/>
      <c r="AD209" s="455"/>
      <c r="AE209" s="458"/>
      <c r="AF209" s="458"/>
      <c r="AG209" s="444" t="s">
        <v>1333</v>
      </c>
      <c r="AH209" s="458">
        <f>P228*AH202^2+2*P230*AH202*AH203+P229*AH203^2+P231*AH204^2</f>
        <v>0</v>
      </c>
      <c r="AI209" s="458"/>
    </row>
    <row r="210" spans="1:35">
      <c r="A210" s="508">
        <v>-0.5</v>
      </c>
      <c r="B210" s="527">
        <v>4925</v>
      </c>
      <c r="C210" s="487">
        <v>0.7</v>
      </c>
      <c r="D210" s="487">
        <v>1.6</v>
      </c>
      <c r="E210" s="487">
        <v>0.51600000000000001</v>
      </c>
      <c r="F210" s="487">
        <v>0.5</v>
      </c>
      <c r="G210" s="487">
        <v>0.2</v>
      </c>
      <c r="H210" s="509">
        <v>0.9</v>
      </c>
      <c r="J210" s="444" t="s">
        <v>1547</v>
      </c>
      <c r="K210" s="445">
        <f>K209*(1-K206)/K206</f>
        <v>0.2211428571428572</v>
      </c>
      <c r="L210" s="445">
        <f>L209*(1-L206)/L206</f>
        <v>0.2211428571428572</v>
      </c>
      <c r="M210" s="449">
        <f t="shared" si="45"/>
        <v>1</v>
      </c>
      <c r="O210" s="445"/>
      <c r="P210" s="445"/>
      <c r="Q210" s="445"/>
      <c r="R210" s="444" t="s">
        <v>1349</v>
      </c>
      <c r="S210" s="445">
        <f>L223*SIN(S201)-S209</f>
        <v>-54.192991199410834</v>
      </c>
      <c r="T210" s="445"/>
      <c r="U210" s="458">
        <f>S210*T199</f>
        <v>0</v>
      </c>
      <c r="V210" s="458">
        <f t="shared" si="44"/>
        <v>6.9388939039072284E-18</v>
      </c>
      <c r="W210" s="445">
        <f t="shared" si="44"/>
        <v>3.4694469519536142E-15</v>
      </c>
      <c r="X210" s="458"/>
      <c r="Z210" s="444" t="s">
        <v>1334</v>
      </c>
      <c r="AA210" s="455">
        <f>(2*(AF205*COS(AA199)-AF204*SIN(AA199)))</f>
        <v>0</v>
      </c>
      <c r="AB210" s="455" t="e">
        <f>IF(ABS(AA210/AA211)&lt;0.0000000001,0,AA210)</f>
        <v>#DIV/0!</v>
      </c>
      <c r="AC210" s="455"/>
      <c r="AD210" s="455"/>
      <c r="AE210" s="458"/>
      <c r="AF210" s="458"/>
      <c r="AG210" s="444" t="s">
        <v>1335</v>
      </c>
      <c r="AH210" s="458">
        <f>P232*AH202+P233*AH203</f>
        <v>0</v>
      </c>
      <c r="AI210" s="458"/>
    </row>
    <row r="211" spans="1:35">
      <c r="A211" s="525">
        <v>1.1111111111111001E-2</v>
      </c>
      <c r="B211" s="526">
        <v>12.5</v>
      </c>
      <c r="C211" s="487">
        <v>0</v>
      </c>
      <c r="D211" s="487">
        <v>0.6</v>
      </c>
      <c r="E211" s="487">
        <v>0.316</v>
      </c>
      <c r="F211" s="487">
        <v>4.0000000000000001E-3</v>
      </c>
      <c r="G211" s="487">
        <v>4.0000000000000001E-3</v>
      </c>
      <c r="H211" s="509">
        <v>3600</v>
      </c>
      <c r="J211" s="444" t="s">
        <v>1643</v>
      </c>
      <c r="K211" s="445">
        <f>1/((1+K210)/K201-K210/K208)</f>
        <v>18.686160319541436</v>
      </c>
      <c r="L211" s="445">
        <f>K211*P201^F86*I69</f>
        <v>18.686160319541436</v>
      </c>
      <c r="M211" s="449">
        <f t="shared" si="45"/>
        <v>1</v>
      </c>
      <c r="N211" s="443" t="s">
        <v>176</v>
      </c>
      <c r="O211" s="445"/>
      <c r="P211" s="445"/>
      <c r="Q211" s="445"/>
      <c r="S211" s="443"/>
      <c r="T211" s="450" t="s">
        <v>1353</v>
      </c>
      <c r="U211" s="446">
        <f>U205*U206*U208+2*U207*U209*U210-U206*U209^2-U208*U207^2-U205*U210^2</f>
        <v>0</v>
      </c>
      <c r="V211" s="446">
        <f>V205*V206*V208+2*V207*V209*V210-V206*V209^2-V208*V207^2-V205*V210^2</f>
        <v>2.2637896855934086E-4</v>
      </c>
      <c r="W211" s="443"/>
      <c r="X211" s="458"/>
      <c r="Z211" s="444" t="s">
        <v>1363</v>
      </c>
      <c r="AA211" s="458">
        <f>SQRT(AA208^2+AA209^2+AA210^2)</f>
        <v>0</v>
      </c>
      <c r="AB211" s="458"/>
      <c r="AC211" s="458"/>
      <c r="AD211" s="458"/>
      <c r="AE211" s="458"/>
      <c r="AF211" s="458"/>
      <c r="AG211" s="444" t="s">
        <v>1344</v>
      </c>
      <c r="AH211" s="458" t="e">
        <f>AH210/2/AH209</f>
        <v>#DIV/0!</v>
      </c>
      <c r="AI211" s="458"/>
    </row>
    <row r="212" spans="1:35">
      <c r="A212" s="508">
        <v>0.15</v>
      </c>
      <c r="B212" s="487">
        <v>0.01</v>
      </c>
      <c r="C212" s="487">
        <v>1</v>
      </c>
      <c r="D212" s="487">
        <v>1</v>
      </c>
      <c r="E212" s="487">
        <v>0.1</v>
      </c>
      <c r="F212" s="487"/>
      <c r="G212" s="487"/>
      <c r="H212" s="509"/>
      <c r="J212" s="444" t="s">
        <v>295</v>
      </c>
      <c r="K212" s="445">
        <f>E86</f>
        <v>0.316</v>
      </c>
      <c r="L212" s="445">
        <f>K212*P201^G85</f>
        <v>0.316</v>
      </c>
      <c r="M212" s="449">
        <f t="shared" si="45"/>
        <v>1</v>
      </c>
      <c r="N212" s="444" t="s">
        <v>296</v>
      </c>
      <c r="O212" s="448">
        <f>A84</f>
        <v>1500</v>
      </c>
      <c r="P212" s="448">
        <f>P218*L206</f>
        <v>1500</v>
      </c>
      <c r="Q212" s="445">
        <f t="shared" ref="Q212:Q219" si="46">P212/O212</f>
        <v>1</v>
      </c>
      <c r="R212" s="444" t="s">
        <v>1355</v>
      </c>
      <c r="S212" s="450" t="s">
        <v>382</v>
      </c>
      <c r="T212" s="450" t="s">
        <v>182</v>
      </c>
      <c r="U212" s="450" t="s">
        <v>669</v>
      </c>
      <c r="V212" s="450" t="s">
        <v>670</v>
      </c>
      <c r="W212" s="443"/>
      <c r="X212" s="458"/>
      <c r="Z212" s="444"/>
      <c r="AA212" s="458"/>
      <c r="AB212" s="458"/>
      <c r="AC212" s="458"/>
      <c r="AD212" s="458"/>
      <c r="AE212" s="458"/>
      <c r="AF212" s="458"/>
      <c r="AG212" s="444"/>
      <c r="AH212" s="458"/>
      <c r="AI212" s="458"/>
    </row>
    <row r="213" spans="1:35">
      <c r="A213" s="511" t="s">
        <v>165</v>
      </c>
      <c r="B213" s="511" t="s">
        <v>307</v>
      </c>
      <c r="C213" s="511" t="s">
        <v>308</v>
      </c>
      <c r="D213" s="511" t="s">
        <v>266</v>
      </c>
      <c r="E213" s="511" t="s">
        <v>309</v>
      </c>
      <c r="F213" s="511" t="s">
        <v>310</v>
      </c>
      <c r="G213" s="511" t="s">
        <v>1584</v>
      </c>
      <c r="H213" s="517" t="s">
        <v>1585</v>
      </c>
      <c r="J213" s="444" t="s">
        <v>301</v>
      </c>
      <c r="K213" s="445">
        <f>K212*(1-K206)/K206</f>
        <v>0.13542857142857145</v>
      </c>
      <c r="L213" s="445">
        <f>L212*(1-L206)/L206</f>
        <v>0.13542857142857145</v>
      </c>
      <c r="M213" s="449">
        <f t="shared" si="45"/>
        <v>1</v>
      </c>
      <c r="N213" s="444" t="s">
        <v>302</v>
      </c>
      <c r="O213" s="448">
        <f>B84</f>
        <v>1500</v>
      </c>
      <c r="P213" s="448">
        <f>O213*Q212*M203^E87</f>
        <v>1500</v>
      </c>
      <c r="Q213" s="445">
        <f t="shared" si="46"/>
        <v>1</v>
      </c>
      <c r="R213" s="444">
        <v>11</v>
      </c>
      <c r="S213" s="446">
        <f>IF(U211=0,1E+99,(U206*U208-U210^2)/U211)</f>
        <v>9.9999999999999997E+98</v>
      </c>
      <c r="T213" s="445">
        <f t="shared" ref="T213:V218" si="47">T174</f>
        <v>28.399891331148673</v>
      </c>
      <c r="U213" s="445">
        <f t="shared" si="47"/>
        <v>5.6799782662297349E-2</v>
      </c>
      <c r="V213" s="445">
        <f t="shared" si="47"/>
        <v>17.605701168708549</v>
      </c>
      <c r="W213" s="443"/>
      <c r="X213" s="458"/>
      <c r="Z213" s="444"/>
      <c r="AA213" s="458"/>
      <c r="AB213" s="458"/>
      <c r="AC213" s="458"/>
      <c r="AD213" s="458"/>
      <c r="AE213" s="458"/>
      <c r="AF213" s="458"/>
      <c r="AG213" s="444"/>
      <c r="AH213" s="458"/>
      <c r="AI213" s="458"/>
    </row>
    <row r="214" spans="1:35">
      <c r="A214" s="511" t="s">
        <v>311</v>
      </c>
      <c r="B214" s="511" t="s">
        <v>312</v>
      </c>
      <c r="C214" s="511" t="s">
        <v>313</v>
      </c>
      <c r="D214" s="511" t="s">
        <v>314</v>
      </c>
      <c r="E214" s="511" t="s">
        <v>315</v>
      </c>
      <c r="F214" s="511" t="s">
        <v>274</v>
      </c>
      <c r="G214" s="511" t="s">
        <v>1588</v>
      </c>
      <c r="H214" s="517" t="s">
        <v>275</v>
      </c>
      <c r="J214" s="444" t="s">
        <v>304</v>
      </c>
      <c r="K214" s="445">
        <f>1/((1+K213)/K203-K213*2.7/K208)</f>
        <v>19.680382632972858</v>
      </c>
      <c r="L214" s="445">
        <f>K214*P201^F86*I69</f>
        <v>19.680382632972858</v>
      </c>
      <c r="M214" s="449">
        <f t="shared" si="45"/>
        <v>1</v>
      </c>
      <c r="N214" s="444" t="s">
        <v>305</v>
      </c>
      <c r="O214" s="448">
        <f>C84</f>
        <v>40</v>
      </c>
      <c r="P214" s="448">
        <f>O214*Q219</f>
        <v>40</v>
      </c>
      <c r="Q214" s="445">
        <f t="shared" si="46"/>
        <v>1</v>
      </c>
      <c r="R214" s="444">
        <v>22</v>
      </c>
      <c r="S214" s="446">
        <f>IF(U211=0,1E+99,(U205*U208-U209^2)/U211)</f>
        <v>9.9999999999999997E+98</v>
      </c>
      <c r="T214" s="445">
        <f t="shared" si="47"/>
        <v>10.203593260121179</v>
      </c>
      <c r="U214" s="445">
        <f t="shared" si="47"/>
        <v>2.040718652024236E-2</v>
      </c>
      <c r="V214" s="445">
        <f t="shared" si="47"/>
        <v>49.002345277144251</v>
      </c>
      <c r="W214" s="443"/>
      <c r="X214" s="458"/>
      <c r="AA214" s="458"/>
      <c r="AB214" s="458"/>
      <c r="AC214" s="458"/>
      <c r="AD214" s="458"/>
      <c r="AE214" s="458"/>
      <c r="AF214" s="458"/>
      <c r="AG214" s="444"/>
      <c r="AH214" s="458"/>
      <c r="AI214" s="462" t="s">
        <v>1348</v>
      </c>
    </row>
    <row r="215" spans="1:35">
      <c r="A215" s="511" t="s">
        <v>1568</v>
      </c>
      <c r="B215" s="511" t="s">
        <v>1590</v>
      </c>
      <c r="C215" s="511" t="s">
        <v>277</v>
      </c>
      <c r="D215" s="511" t="s">
        <v>278</v>
      </c>
      <c r="E215" s="511" t="s">
        <v>279</v>
      </c>
      <c r="F215" s="511" t="s">
        <v>280</v>
      </c>
      <c r="G215" s="511" t="s">
        <v>281</v>
      </c>
      <c r="H215" s="517" t="s">
        <v>282</v>
      </c>
      <c r="L215" s="445"/>
      <c r="N215" s="444" t="s">
        <v>1542</v>
      </c>
      <c r="O215" s="448">
        <f>D84</f>
        <v>246</v>
      </c>
      <c r="P215" s="448">
        <f>O215*Q219</f>
        <v>246</v>
      </c>
      <c r="Q215" s="445">
        <f t="shared" si="46"/>
        <v>1</v>
      </c>
      <c r="R215" s="444" t="s">
        <v>1345</v>
      </c>
      <c r="S215" s="446">
        <f>IF(U211=0,1E+99,(U209*U210-U207*U208)/U211)</f>
        <v>9.9999999999999997E+98</v>
      </c>
      <c r="T215" s="445">
        <f t="shared" si="47"/>
        <v>-9.1613019778149827</v>
      </c>
      <c r="U215" s="445">
        <f t="shared" si="47"/>
        <v>-1.8322603955629967E-2</v>
      </c>
      <c r="V215" s="445">
        <f t="shared" si="47"/>
        <v>0.32258228987541837</v>
      </c>
      <c r="W215" s="443"/>
      <c r="X215" s="458"/>
      <c r="AF215" s="458"/>
      <c r="AG215" s="444" t="s">
        <v>1351</v>
      </c>
      <c r="AH215" s="455" t="e">
        <f>(AH211^2+1/AH209)^0.5-AH211</f>
        <v>#DIV/0!</v>
      </c>
      <c r="AI215" s="455">
        <f>AH216</f>
        <v>1000000000</v>
      </c>
    </row>
    <row r="216" spans="1:35">
      <c r="A216" s="511" t="s">
        <v>1591</v>
      </c>
      <c r="B216" s="511" t="s">
        <v>1592</v>
      </c>
      <c r="C216" s="511" t="s">
        <v>1537</v>
      </c>
      <c r="D216" s="511" t="s">
        <v>1539</v>
      </c>
      <c r="E216" s="511" t="s">
        <v>295</v>
      </c>
      <c r="F216" s="511" t="s">
        <v>283</v>
      </c>
      <c r="G216" s="511" t="s">
        <v>284</v>
      </c>
      <c r="H216" s="517" t="s">
        <v>285</v>
      </c>
      <c r="J216" s="443" t="s">
        <v>1507</v>
      </c>
      <c r="N216" s="444" t="s">
        <v>1543</v>
      </c>
      <c r="O216" s="475">
        <f>E84</f>
        <v>68</v>
      </c>
      <c r="P216" s="475">
        <f>O216*Q219</f>
        <v>68</v>
      </c>
      <c r="Q216" s="445">
        <f t="shared" si="46"/>
        <v>1</v>
      </c>
      <c r="R216" s="444">
        <v>66</v>
      </c>
      <c r="S216" s="446">
        <f>IF(U211=0,1E+99,(U205*U206-U207^2)/U211)</f>
        <v>9.9999999999999997E+98</v>
      </c>
      <c r="T216" s="445">
        <f t="shared" si="47"/>
        <v>21.45902160754067</v>
      </c>
      <c r="U216" s="445">
        <f t="shared" si="47"/>
        <v>4.2918043215081345E-2</v>
      </c>
      <c r="V216" s="445">
        <f t="shared" si="47"/>
        <v>23.300223521108748</v>
      </c>
      <c r="W216" s="443"/>
      <c r="AF216" s="458"/>
      <c r="AG216" s="444"/>
      <c r="AH216" s="455">
        <f>IF(AH198=0,1000000000,AH215)</f>
        <v>1000000000</v>
      </c>
    </row>
    <row r="217" spans="1:35">
      <c r="A217" s="511" t="s">
        <v>286</v>
      </c>
      <c r="B217" s="511" t="s">
        <v>287</v>
      </c>
      <c r="C217" s="511" t="s">
        <v>288</v>
      </c>
      <c r="D217" s="511" t="s">
        <v>289</v>
      </c>
      <c r="E217" s="511" t="s">
        <v>290</v>
      </c>
      <c r="F217" s="528"/>
      <c r="G217" s="511"/>
      <c r="H217" s="517"/>
      <c r="J217" s="444" t="s">
        <v>1354</v>
      </c>
      <c r="K217" s="445">
        <f>K200/(1-K202^2*K201/K200)</f>
        <v>181.81113884441791</v>
      </c>
      <c r="L217" s="445">
        <f>L200/(1-L202^2*L201/L200)</f>
        <v>181.81113884441794</v>
      </c>
      <c r="M217" s="449">
        <f>L217/K217</f>
        <v>1.0000000000000002</v>
      </c>
      <c r="N217" s="444" t="s">
        <v>1168</v>
      </c>
      <c r="O217" s="449">
        <f>A85</f>
        <v>-0.5</v>
      </c>
      <c r="P217" s="449">
        <f>O217*I46*I69</f>
        <v>-0.5</v>
      </c>
      <c r="Q217" s="445">
        <f t="shared" si="46"/>
        <v>1</v>
      </c>
      <c r="R217" s="444" t="s">
        <v>1347</v>
      </c>
      <c r="S217" s="446">
        <f>IF(U211=0,1E+99,(U207*U210-U206*U209)/U211)</f>
        <v>9.9999999999999997E+98</v>
      </c>
      <c r="T217" s="445">
        <f t="shared" si="47"/>
        <v>1.3641350347588565E-15</v>
      </c>
      <c r="U217" s="445">
        <f t="shared" si="47"/>
        <v>2.7282700695177132E-18</v>
      </c>
      <c r="V217" s="445">
        <f t="shared" si="47"/>
        <v>4.8033107551460555E-17</v>
      </c>
      <c r="W217" s="443"/>
      <c r="X217" s="443"/>
      <c r="Y217" s="444"/>
      <c r="AF217" s="458"/>
      <c r="AG217" s="443" t="s">
        <v>1360</v>
      </c>
      <c r="AH217" s="455">
        <f>IF(AH198=0,0,AH215)</f>
        <v>0</v>
      </c>
    </row>
    <row r="218" spans="1:35">
      <c r="A218" s="511" t="s">
        <v>166</v>
      </c>
      <c r="B218" s="511" t="s">
        <v>307</v>
      </c>
      <c r="C218" s="511" t="s">
        <v>308</v>
      </c>
      <c r="D218" s="511" t="s">
        <v>266</v>
      </c>
      <c r="E218" s="511" t="s">
        <v>309</v>
      </c>
      <c r="F218" s="511" t="s">
        <v>310</v>
      </c>
      <c r="G218" s="511" t="s">
        <v>1584</v>
      </c>
      <c r="H218" s="517" t="s">
        <v>1585</v>
      </c>
      <c r="J218" s="444" t="s">
        <v>1361</v>
      </c>
      <c r="K218" s="445">
        <f>K217*K201/K200</f>
        <v>10.346158729820468</v>
      </c>
      <c r="L218" s="445">
        <f>L217*L201/L200</f>
        <v>10.346158729820468</v>
      </c>
      <c r="M218" s="449">
        <f>L218/K218</f>
        <v>1</v>
      </c>
      <c r="N218" s="444" t="s">
        <v>1175</v>
      </c>
      <c r="O218" s="448">
        <f>O212/K206</f>
        <v>2142.8571428571431</v>
      </c>
      <c r="P218" s="448">
        <f>H46*P201^G86</f>
        <v>2142.8571428571431</v>
      </c>
      <c r="Q218" s="445">
        <f t="shared" si="46"/>
        <v>1</v>
      </c>
      <c r="R218" s="444" t="s">
        <v>1349</v>
      </c>
      <c r="S218" s="446">
        <f>IF(U211=0,1E+99,(U207*U209-U205*U210)/U211)</f>
        <v>9.9999999999999997E+98</v>
      </c>
      <c r="T218" s="445">
        <f t="shared" si="47"/>
        <v>-1.5193341601736405E-15</v>
      </c>
      <c r="U218" s="445">
        <f t="shared" si="47"/>
        <v>-3.0386683203472813E-18</v>
      </c>
      <c r="V218" s="445">
        <f t="shared" si="47"/>
        <v>-5.3497886398855771E-17</v>
      </c>
      <c r="W218" s="443"/>
      <c r="X218" s="443"/>
      <c r="Y218" s="445"/>
      <c r="AF218" s="458"/>
      <c r="AG218" s="444" t="s">
        <v>1364</v>
      </c>
      <c r="AH218" s="464">
        <f>AI202+AI203*COS(AH199)+AI204*SIN(AH199)-V224</f>
        <v>6.1275334112436765E-6</v>
      </c>
      <c r="AI218" s="458"/>
    </row>
    <row r="219" spans="1:35">
      <c r="A219" s="511" t="s">
        <v>311</v>
      </c>
      <c r="B219" s="511" t="s">
        <v>312</v>
      </c>
      <c r="C219" s="511" t="s">
        <v>313</v>
      </c>
      <c r="D219" s="511" t="s">
        <v>314</v>
      </c>
      <c r="E219" s="511" t="s">
        <v>315</v>
      </c>
      <c r="F219" s="511" t="s">
        <v>274</v>
      </c>
      <c r="G219" s="511" t="s">
        <v>1588</v>
      </c>
      <c r="H219" s="517" t="s">
        <v>275</v>
      </c>
      <c r="J219" s="444" t="s">
        <v>1365</v>
      </c>
      <c r="K219" s="445">
        <f>K218*K202</f>
        <v>2.8969244443497315</v>
      </c>
      <c r="L219" s="445">
        <f>L218*L202</f>
        <v>2.8969244443497315</v>
      </c>
      <c r="M219" s="449">
        <f>L219/K219</f>
        <v>1</v>
      </c>
      <c r="N219" s="444" t="s">
        <v>1176</v>
      </c>
      <c r="O219" s="448">
        <f>O214</f>
        <v>40</v>
      </c>
      <c r="P219" s="448">
        <f>G46*P201^H85</f>
        <v>40</v>
      </c>
      <c r="Q219" s="445">
        <f t="shared" si="46"/>
        <v>1</v>
      </c>
      <c r="S219" s="443"/>
      <c r="T219" s="471"/>
      <c r="W219" s="443"/>
      <c r="X219" s="443"/>
      <c r="Y219" s="445"/>
      <c r="AF219" s="458"/>
      <c r="AG219" s="444" t="s">
        <v>1367</v>
      </c>
      <c r="AH219" s="464">
        <f>2*AI202-AH218-V225-V224</f>
        <v>-7.1999043004905886E-4</v>
      </c>
      <c r="AI219" s="458"/>
    </row>
    <row r="220" spans="1:35">
      <c r="A220" s="511" t="s">
        <v>1568</v>
      </c>
      <c r="B220" s="511" t="s">
        <v>1590</v>
      </c>
      <c r="C220" s="511" t="s">
        <v>277</v>
      </c>
      <c r="D220" s="511" t="s">
        <v>278</v>
      </c>
      <c r="E220" s="511" t="s">
        <v>279</v>
      </c>
      <c r="F220" s="511" t="s">
        <v>280</v>
      </c>
      <c r="G220" s="511" t="s">
        <v>281</v>
      </c>
      <c r="H220" s="517" t="s">
        <v>282</v>
      </c>
      <c r="J220" s="444" t="s">
        <v>1370</v>
      </c>
      <c r="K220" s="445">
        <f>K203</f>
        <v>7.17</v>
      </c>
      <c r="L220" s="445">
        <f>L203</f>
        <v>7.17</v>
      </c>
      <c r="M220" s="449">
        <f>L220/K220</f>
        <v>1</v>
      </c>
      <c r="R220" s="444"/>
      <c r="S220" s="450" t="s">
        <v>1406</v>
      </c>
      <c r="T220" s="450" t="s">
        <v>1407</v>
      </c>
      <c r="U220" s="450" t="s">
        <v>1408</v>
      </c>
      <c r="V220" s="450" t="s">
        <v>1409</v>
      </c>
      <c r="W220" s="450" t="s">
        <v>1410</v>
      </c>
      <c r="X220" s="450" t="s">
        <v>1411</v>
      </c>
      <c r="Y220" s="450" t="s">
        <v>1394</v>
      </c>
      <c r="AF220" s="458"/>
      <c r="AG220" s="444" t="s">
        <v>1372</v>
      </c>
      <c r="AH220" s="464">
        <f>2*(AI204*COS(AH199)-AI203*SIN(AH199))</f>
        <v>4.4829002290110485E-5</v>
      </c>
      <c r="AI220" s="458"/>
    </row>
    <row r="221" spans="1:35">
      <c r="A221" s="511" t="s">
        <v>1591</v>
      </c>
      <c r="B221" s="511" t="s">
        <v>1592</v>
      </c>
      <c r="C221" s="511" t="s">
        <v>1537</v>
      </c>
      <c r="D221" s="511" t="s">
        <v>1539</v>
      </c>
      <c r="E221" s="511" t="s">
        <v>295</v>
      </c>
      <c r="F221" s="511" t="s">
        <v>283</v>
      </c>
      <c r="G221" s="511" t="s">
        <v>284</v>
      </c>
      <c r="H221" s="517" t="s">
        <v>285</v>
      </c>
      <c r="J221" s="443" t="s">
        <v>1510</v>
      </c>
      <c r="K221" s="445"/>
      <c r="L221" s="445"/>
      <c r="N221" s="443" t="s">
        <v>1375</v>
      </c>
      <c r="R221" s="444">
        <v>1</v>
      </c>
      <c r="S221" s="458">
        <f>((L217+L219)/2*P205+(L219+L218)/2*P206)/1000000</f>
        <v>1.5083176634230242E-4</v>
      </c>
      <c r="T221" s="458">
        <f>((L217+L219)/2*P208+(L219+L218)/2*P209)</f>
        <v>3.9729249522510592</v>
      </c>
      <c r="U221" s="464">
        <f>S221+S222*Y221</f>
        <v>1.9183913812607494E-4</v>
      </c>
      <c r="V221" s="455">
        <f>T221+T222*Y221</f>
        <v>5.0903100950716693</v>
      </c>
      <c r="W221" s="455">
        <f>(U221*S213+U222*S215+U223*S217)*T199*1000000</f>
        <v>0</v>
      </c>
      <c r="X221" s="455">
        <f>(V221*S213+V222*S215+V223*S217)*T199</f>
        <v>0</v>
      </c>
      <c r="Y221" s="455">
        <f>COS(S201)</f>
        <v>-0.49999999999999978</v>
      </c>
      <c r="AF221" s="458"/>
      <c r="AG221" s="458"/>
      <c r="AH221" s="458"/>
      <c r="AI221" s="458"/>
    </row>
    <row r="222" spans="1:35">
      <c r="A222" s="518" t="s">
        <v>286</v>
      </c>
      <c r="B222" s="518" t="s">
        <v>287</v>
      </c>
      <c r="C222" s="518" t="s">
        <v>288</v>
      </c>
      <c r="D222" s="518" t="s">
        <v>289</v>
      </c>
      <c r="E222" s="518" t="s">
        <v>290</v>
      </c>
      <c r="F222" s="521"/>
      <c r="G222" s="518"/>
      <c r="H222" s="522"/>
      <c r="J222" s="444" t="s">
        <v>1380</v>
      </c>
      <c r="K222" s="445">
        <f>(3*K217+3*K218+2*K219+4*K220)/8</f>
        <v>76.368217701426829</v>
      </c>
      <c r="L222" s="445">
        <f>(3*L217+3*L218+2*L219+4*L220)/8</f>
        <v>76.368217701426843</v>
      </c>
      <c r="M222" s="449">
        <f>L222/K222</f>
        <v>1.0000000000000002</v>
      </c>
      <c r="N222" s="444" t="s">
        <v>1381</v>
      </c>
      <c r="O222" s="445">
        <f>1/O212/O213*1000000</f>
        <v>0.44444444444444442</v>
      </c>
      <c r="P222" s="445">
        <f>1/P212/P213*1000000</f>
        <v>0.44444444444444442</v>
      </c>
      <c r="Q222" s="445">
        <f>P222/O222</f>
        <v>1</v>
      </c>
      <c r="R222" s="444">
        <v>2</v>
      </c>
      <c r="S222" s="458">
        <f>((L217-L219)/2*P205+(L219-L218)/2*P206)/1000000</f>
        <v>-8.2014743567545106E-5</v>
      </c>
      <c r="T222" s="458">
        <f>((L217-L219)/2*P208+(L219-L218)/2*P209)</f>
        <v>-2.234770285641221</v>
      </c>
      <c r="U222" s="464">
        <f>S221-S222*Y221</f>
        <v>1.0982439455852989E-4</v>
      </c>
      <c r="V222" s="455">
        <f>T221-T222*Y221</f>
        <v>2.8555398094304492</v>
      </c>
      <c r="W222" s="455">
        <f>(U221*S215+U222*S214+U223*S218)*T199*1000000</f>
        <v>0</v>
      </c>
      <c r="X222" s="455">
        <f>(V221*S215+V222*S214+V223*S218)*T199</f>
        <v>0</v>
      </c>
      <c r="Y222" s="455">
        <f>SIN(S201)</f>
        <v>-0.86602540378443871</v>
      </c>
      <c r="AF222" s="458"/>
      <c r="AG222" s="462" t="s">
        <v>1383</v>
      </c>
      <c r="AH222" s="479">
        <f>P228*AH218^2+2*P230*AH218*AH219+P229*AH219^2+P231*AH220^2</f>
        <v>5.5865767194595885E-3</v>
      </c>
      <c r="AI222" s="458"/>
    </row>
    <row r="223" spans="1:35">
      <c r="J223" s="444" t="s">
        <v>1384</v>
      </c>
      <c r="K223" s="445">
        <f>(K217-K218)/2</f>
        <v>85.732490057298719</v>
      </c>
      <c r="L223" s="445">
        <f>(L217-L218)/2</f>
        <v>85.732490057298733</v>
      </c>
      <c r="M223" s="449">
        <f>L223/K223</f>
        <v>1.0000000000000002</v>
      </c>
      <c r="N223" s="444" t="s">
        <v>1385</v>
      </c>
      <c r="O223" s="445">
        <f>1/O214/O215*1000000</f>
        <v>101.6260162601626</v>
      </c>
      <c r="P223" s="445">
        <f>1/P214/P215*1000000</f>
        <v>101.6260162601626</v>
      </c>
      <c r="Q223" s="445">
        <f>P223/O223</f>
        <v>1</v>
      </c>
      <c r="R223" s="444">
        <v>6</v>
      </c>
      <c r="S223" s="450" t="s">
        <v>1419</v>
      </c>
      <c r="T223" s="450" t="s">
        <v>1420</v>
      </c>
      <c r="U223" s="464">
        <f>S222*Y222</f>
        <v>7.1026851414360449E-5</v>
      </c>
      <c r="V223" s="455">
        <f>T222*Y222</f>
        <v>1.9353678389879039</v>
      </c>
      <c r="W223" s="455">
        <f>(U221*S217+U222*S218+U223*S216)*T199*1000000</f>
        <v>0</v>
      </c>
      <c r="X223" s="455">
        <f>(V221*S217+V222*S218+V223*S216)*T199</f>
        <v>0</v>
      </c>
      <c r="Y223" s="450" t="s">
        <v>406</v>
      </c>
      <c r="AF223" s="458"/>
      <c r="AG223" s="462" t="s">
        <v>1387</v>
      </c>
      <c r="AH223" s="479">
        <f>P232*AH218+P233*AH219</f>
        <v>-0.15557572764378377</v>
      </c>
      <c r="AI223" s="458"/>
    </row>
    <row r="224" spans="1:35">
      <c r="J224" s="444" t="s">
        <v>1388</v>
      </c>
      <c r="K224" s="445">
        <f>(K217+K218-2*K219-4*K220)/8</f>
        <v>19.710431085692363</v>
      </c>
      <c r="L224" s="445">
        <f>(L217+L218-2*L219-4*L220)/8</f>
        <v>19.710431085692367</v>
      </c>
      <c r="M224" s="449">
        <f>L224/K224</f>
        <v>1.0000000000000002</v>
      </c>
      <c r="N224" s="444" t="s">
        <v>1389</v>
      </c>
      <c r="O224" s="445">
        <f>O217*(O222*O223)^0.5</f>
        <v>-3.3603243272729659</v>
      </c>
      <c r="P224" s="445">
        <f>P217*(P222*P223)^0.5</f>
        <v>-3.3603243272729659</v>
      </c>
      <c r="Q224" s="445">
        <f>P224/O224</f>
        <v>1</v>
      </c>
      <c r="R224" s="444">
        <v>1</v>
      </c>
      <c r="S224" s="471">
        <f>P202*U221+P198*V221</f>
        <v>6.2676366627508508E-3</v>
      </c>
      <c r="T224" s="446">
        <f>P202*W221/1000000+P198*X221</f>
        <v>0</v>
      </c>
      <c r="U224" s="450" t="s">
        <v>1423</v>
      </c>
      <c r="V224" s="446">
        <f>P202*P205/1000000+P198*P208</f>
        <v>-1.9999999999999999E-6</v>
      </c>
      <c r="W224" s="443"/>
      <c r="Y224" s="455">
        <f>Y221+Y260+Y299+W343+W382+W421+W460+W499</f>
        <v>0.50000000000000044</v>
      </c>
      <c r="AF224" s="458"/>
      <c r="AG224" s="462" t="s">
        <v>1390</v>
      </c>
      <c r="AH224" s="479">
        <f>AH222+AH223</f>
        <v>-0.14998915092432419</v>
      </c>
      <c r="AI224" s="458"/>
    </row>
    <row r="225" spans="10:35">
      <c r="J225" s="444" t="s">
        <v>1391</v>
      </c>
      <c r="K225" s="445">
        <f>(K217+K218+6*K219-4*K220)/8</f>
        <v>22.607355530042096</v>
      </c>
      <c r="L225" s="445">
        <f>(L217+L218+6*L219-4*L220)/8</f>
        <v>22.607355530042099</v>
      </c>
      <c r="M225" s="449">
        <f>L225/K225</f>
        <v>1.0000000000000002</v>
      </c>
      <c r="N225" s="444" t="s">
        <v>1392</v>
      </c>
      <c r="O225" s="445">
        <f>1/O216^2*1000000</f>
        <v>216.26297577854672</v>
      </c>
      <c r="P225" s="445">
        <f>1/P216^2*1000000</f>
        <v>216.26297577854672</v>
      </c>
      <c r="Q225" s="445">
        <f>P225/O225</f>
        <v>1</v>
      </c>
      <c r="R225" s="444">
        <v>2</v>
      </c>
      <c r="S225" s="471">
        <f>P202*U222+P198*V222</f>
        <v>3.2952595912992561E-3</v>
      </c>
      <c r="T225" s="446">
        <f>P202*W222/1000000+P198*X222</f>
        <v>0</v>
      </c>
      <c r="U225" s="450" t="s">
        <v>1427</v>
      </c>
      <c r="V225" s="446">
        <f>P202*P206/1000000+P198*P209</f>
        <v>7.5000000000000023E-4</v>
      </c>
      <c r="W225" s="443"/>
      <c r="Y225" s="455">
        <f>Y222+Y261+Y300+W344+W383+W422+W461+W500</f>
        <v>-0.86602540378443871</v>
      </c>
      <c r="AA225" s="442" t="s">
        <v>699</v>
      </c>
      <c r="AB225" s="442" t="s">
        <v>701</v>
      </c>
      <c r="AC225" s="444" t="s">
        <v>408</v>
      </c>
      <c r="AD225" s="444" t="s">
        <v>409</v>
      </c>
      <c r="AE225" s="443" t="s">
        <v>410</v>
      </c>
      <c r="AF225" s="458"/>
      <c r="AG225" s="462" t="s">
        <v>1395</v>
      </c>
      <c r="AH225" s="479">
        <f>-1+AH224</f>
        <v>-1.1499891509243243</v>
      </c>
      <c r="AI225" s="458"/>
    </row>
    <row r="226" spans="10:35">
      <c r="J226" s="444" t="s">
        <v>1396</v>
      </c>
      <c r="K226" s="445">
        <f>(K222-K225)/2</f>
        <v>26.880431085692365</v>
      </c>
      <c r="L226" s="445">
        <f>(L222-L225)/2</f>
        <v>26.880431085692372</v>
      </c>
      <c r="M226" s="449">
        <f>L226/K226</f>
        <v>1.0000000000000002</v>
      </c>
      <c r="N226" s="444" t="s">
        <v>1397</v>
      </c>
      <c r="O226" s="445">
        <f>(1/O212-1/O213)*1000</f>
        <v>0</v>
      </c>
      <c r="P226" s="445">
        <f>(1/P212-1/P213)*1000</f>
        <v>0</v>
      </c>
      <c r="Q226" s="445">
        <f>IF(O226=0,1,P226/O226)</f>
        <v>1</v>
      </c>
      <c r="R226" s="444">
        <v>6</v>
      </c>
      <c r="S226" s="471">
        <f>P202*U223+P198*V223</f>
        <v>2.5741540535034737E-3</v>
      </c>
      <c r="T226" s="446">
        <f>P202*W223/1000000+P198*X223</f>
        <v>0</v>
      </c>
      <c r="U226" s="450" t="s">
        <v>1429</v>
      </c>
      <c r="V226" s="446">
        <f>0</f>
        <v>0</v>
      </c>
      <c r="W226" s="443"/>
      <c r="Y226" s="446"/>
      <c r="AA226" s="458">
        <f t="shared" ref="AA226:AE228" si="48">AA187</f>
        <v>2.9711368780229658E-5</v>
      </c>
      <c r="AB226" s="458">
        <f t="shared" si="48"/>
        <v>0.7678998340530242</v>
      </c>
      <c r="AC226" s="458">
        <f t="shared" si="48"/>
        <v>1.363735669153409</v>
      </c>
      <c r="AD226" s="458">
        <f t="shared" si="48"/>
        <v>3.5864831027226207E-2</v>
      </c>
      <c r="AE226" s="458">
        <f t="shared" si="48"/>
        <v>4.2950588220790124E-5</v>
      </c>
      <c r="AF226" s="458"/>
      <c r="AG226" s="462" t="s">
        <v>1399</v>
      </c>
      <c r="AH226" s="479">
        <f>2*(P228*AH202*AH218+P229*AH203*AH219+P230*(AH202*AH219+AH218*AH203)+P231*AH204*AH220)</f>
        <v>0</v>
      </c>
      <c r="AI226" s="458"/>
    </row>
    <row r="227" spans="10:35">
      <c r="J227" s="443" t="s">
        <v>1400</v>
      </c>
      <c r="N227" s="444" t="s">
        <v>1401</v>
      </c>
      <c r="O227" s="445">
        <f>(1/O214-1/O215)*1000</f>
        <v>20.934959349593495</v>
      </c>
      <c r="P227" s="445">
        <f>(1/P214-1/P215)*1000</f>
        <v>20.934959349593495</v>
      </c>
      <c r="Q227" s="445">
        <f t="shared" ref="Q227:Q233" si="49">P227/O227</f>
        <v>1</v>
      </c>
      <c r="R227" s="444"/>
      <c r="S227" s="455"/>
      <c r="T227" s="455"/>
      <c r="U227" s="455"/>
      <c r="V227" s="455"/>
      <c r="W227" s="443"/>
      <c r="X227" s="443"/>
      <c r="Y227" s="446"/>
      <c r="AA227" s="458">
        <f t="shared" si="48"/>
        <v>1.7675632838392989E-5</v>
      </c>
      <c r="AB227" s="458">
        <f t="shared" si="48"/>
        <v>0.42306828615470354</v>
      </c>
      <c r="AC227" s="458">
        <f t="shared" si="48"/>
        <v>-0.1836797069434101</v>
      </c>
      <c r="AD227" s="458">
        <f t="shared" si="48"/>
        <v>-5.4362911105892316E-3</v>
      </c>
      <c r="AE227" s="458">
        <f t="shared" si="48"/>
        <v>-8.8134848586051478E-6</v>
      </c>
      <c r="AG227" s="462" t="s">
        <v>1403</v>
      </c>
      <c r="AH227" s="479">
        <f>AH226+AH210</f>
        <v>0</v>
      </c>
      <c r="AI227" s="458"/>
    </row>
    <row r="228" spans="10:35">
      <c r="J228" s="444" t="s">
        <v>1404</v>
      </c>
      <c r="K228" s="445">
        <f>(1-(K225/K222)^2)*K222</f>
        <v>69.675740916648124</v>
      </c>
      <c r="L228" s="445">
        <f>(1-(L225/L222)^2)*L222</f>
        <v>69.675740916648138</v>
      </c>
      <c r="M228" s="445">
        <f>L228/K228</f>
        <v>1.0000000000000002</v>
      </c>
      <c r="N228" s="444" t="s">
        <v>1405</v>
      </c>
      <c r="O228" s="448">
        <f>(O222*K217^2+2*O224*K217*K219+O223*K219^2)</f>
        <v>12004.38353147296</v>
      </c>
      <c r="P228" s="448">
        <f>(P222*L217^2+2*P224*L217*L219+P223*L219^2)</f>
        <v>12004.38353147296</v>
      </c>
      <c r="Q228" s="445">
        <f t="shared" si="49"/>
        <v>1</v>
      </c>
      <c r="S228" s="443"/>
      <c r="T228" s="443"/>
      <c r="W228" s="443"/>
      <c r="X228" s="443"/>
      <c r="Y228" s="446"/>
      <c r="AA228" s="458">
        <f t="shared" si="48"/>
        <v>-8.4703294725430034E-22</v>
      </c>
      <c r="AB228" s="458">
        <f t="shared" si="48"/>
        <v>-2.7755575615628914E-17</v>
      </c>
      <c r="AC228" s="458">
        <f t="shared" si="48"/>
        <v>-9.002744015469067E-18</v>
      </c>
      <c r="AD228" s="458">
        <f t="shared" si="48"/>
        <v>-3.8174105857845086E-19</v>
      </c>
      <c r="AE228" s="458">
        <f t="shared" si="48"/>
        <v>-1.0084308913453477E-21</v>
      </c>
      <c r="AG228" s="462" t="s">
        <v>1412</v>
      </c>
      <c r="AH228" s="479" t="e">
        <f>AH227/2/AH209</f>
        <v>#DIV/0!</v>
      </c>
      <c r="AI228" s="458"/>
    </row>
    <row r="229" spans="10:35">
      <c r="J229" s="444" t="s">
        <v>1414</v>
      </c>
      <c r="K229" s="445">
        <f>K225/K222</f>
        <v>0.29603094337527941</v>
      </c>
      <c r="L229" s="445">
        <f>L225/L222</f>
        <v>0.29603094337527941</v>
      </c>
      <c r="M229" s="445">
        <f>L229/K229</f>
        <v>1</v>
      </c>
      <c r="N229" s="444" t="s">
        <v>1415</v>
      </c>
      <c r="O229" s="448">
        <f>(O222*K219^2+2*O224*K219*K218+O223*K218^2)</f>
        <v>10680.652008265077</v>
      </c>
      <c r="P229" s="448">
        <f>(P222*L219^2+2*P224*L219*L218+P223*L218^2)</f>
        <v>10680.652008265077</v>
      </c>
      <c r="Q229" s="445">
        <f t="shared" si="49"/>
        <v>1</v>
      </c>
      <c r="S229" s="443"/>
      <c r="T229" s="443"/>
      <c r="W229" s="443"/>
      <c r="X229" s="443"/>
      <c r="Y229" s="446"/>
      <c r="Z229" s="444"/>
      <c r="AG229" s="462"/>
      <c r="AH229" s="455"/>
      <c r="AI229" s="458"/>
    </row>
    <row r="230" spans="10:35">
      <c r="N230" s="444" t="s">
        <v>1416</v>
      </c>
      <c r="O230" s="448">
        <f>(O222*K217*K219+O224*(K217*K218+K219^2)+O223*K219*K218)</f>
        <v>-3069.103206291968</v>
      </c>
      <c r="P230" s="448">
        <f>(P222*L217*L219+P224*(L217*L218+L219^2)+P223*L219*L218)</f>
        <v>-3069.1032062919689</v>
      </c>
      <c r="Q230" s="445">
        <f t="shared" si="49"/>
        <v>1.0000000000000002</v>
      </c>
      <c r="S230" s="443"/>
      <c r="T230" s="443"/>
      <c r="W230" s="443"/>
      <c r="X230" s="443"/>
      <c r="Y230" s="446"/>
      <c r="AA230" s="443" t="s">
        <v>188</v>
      </c>
      <c r="AE230" s="450"/>
      <c r="AG230" s="462"/>
      <c r="AH230" s="455"/>
      <c r="AI230" s="458"/>
    </row>
    <row r="231" spans="10:35">
      <c r="J231" s="444" t="s">
        <v>1193</v>
      </c>
      <c r="K231" s="445">
        <f>D85</f>
        <v>1.6</v>
      </c>
      <c r="L231" s="445">
        <f>L232*(1-L206)+L233*L206</f>
        <v>1.6</v>
      </c>
      <c r="M231" s="445">
        <f>L231/K231</f>
        <v>1</v>
      </c>
      <c r="N231" s="444" t="s">
        <v>1418</v>
      </c>
      <c r="O231" s="448">
        <f>O225*K220^2</f>
        <v>11117.841695501729</v>
      </c>
      <c r="P231" s="448">
        <f>P225*L220^2</f>
        <v>11117.841695501729</v>
      </c>
      <c r="Q231" s="445">
        <f t="shared" si="49"/>
        <v>1</v>
      </c>
      <c r="S231" s="443"/>
      <c r="T231" s="443"/>
      <c r="W231" s="443"/>
      <c r="X231" s="443"/>
      <c r="Y231" s="468"/>
      <c r="Z231" s="442"/>
      <c r="AA231" s="442"/>
      <c r="AB231" s="442"/>
      <c r="AC231" s="444"/>
      <c r="AD231" s="444"/>
      <c r="AE231" s="446"/>
      <c r="AG231" s="462"/>
      <c r="AH231" s="455"/>
      <c r="AI231" s="462" t="s">
        <v>1421</v>
      </c>
    </row>
    <row r="232" spans="10:35">
      <c r="J232" s="444" t="s">
        <v>274</v>
      </c>
      <c r="K232" s="445">
        <f>F84</f>
        <v>1.2</v>
      </c>
      <c r="L232" s="445">
        <f>K232</f>
        <v>1.2</v>
      </c>
      <c r="M232" s="445">
        <f>L232/K232</f>
        <v>1</v>
      </c>
      <c r="N232" s="444" t="s">
        <v>1422</v>
      </c>
      <c r="O232" s="448">
        <f>(O226*K217+O227*K219)</f>
        <v>60.646995481305353</v>
      </c>
      <c r="P232" s="448">
        <f>(P226*L217+P227*L219)</f>
        <v>60.646995481305353</v>
      </c>
      <c r="Q232" s="445">
        <f t="shared" si="49"/>
        <v>1</v>
      </c>
      <c r="S232" s="443"/>
      <c r="T232" s="443"/>
      <c r="W232" s="443"/>
      <c r="X232" s="443"/>
      <c r="Y232" s="471"/>
      <c r="Z232" s="471"/>
      <c r="AA232" s="455"/>
      <c r="AB232" s="455"/>
      <c r="AC232" s="455"/>
      <c r="AD232" s="455"/>
      <c r="AG232" s="444" t="s">
        <v>1424</v>
      </c>
      <c r="AH232" s="455" t="e">
        <f>(AH228^2-AH225/AH209)^0.5-AH228</f>
        <v>#DIV/0!</v>
      </c>
      <c r="AI232" s="455">
        <f>AH233</f>
        <v>1000000000</v>
      </c>
    </row>
    <row r="233" spans="10:35">
      <c r="J233" s="444" t="s">
        <v>1195</v>
      </c>
      <c r="K233" s="445">
        <f>(K231-K232*(1-K206))/K206</f>
        <v>1.7714285714285716</v>
      </c>
      <c r="L233" s="445">
        <f>K233</f>
        <v>1.7714285714285716</v>
      </c>
      <c r="M233" s="445">
        <f>L233/K233</f>
        <v>1</v>
      </c>
      <c r="N233" s="444" t="s">
        <v>1426</v>
      </c>
      <c r="O233" s="448">
        <f>(O226*K219+O227*K218)</f>
        <v>216.59641243323335</v>
      </c>
      <c r="P233" s="448">
        <f>(P226*L219+P227*L218)</f>
        <v>216.59641243323335</v>
      </c>
      <c r="Q233" s="445">
        <f t="shared" si="49"/>
        <v>1</v>
      </c>
      <c r="S233" s="443"/>
      <c r="T233" s="443"/>
      <c r="W233" s="443"/>
      <c r="X233" s="443"/>
      <c r="Y233" s="471"/>
      <c r="Z233" s="471"/>
      <c r="AA233" s="455"/>
      <c r="AB233" s="455"/>
      <c r="AC233" s="455"/>
      <c r="AD233" s="455"/>
      <c r="AG233" s="444" t="s">
        <v>194</v>
      </c>
      <c r="AH233" s="455">
        <f>IF(AH198=0,1000000000,AH232)</f>
        <v>1000000000</v>
      </c>
    </row>
    <row r="234" spans="10:35">
      <c r="L234" s="443" t="s">
        <v>1428</v>
      </c>
      <c r="S234" s="443"/>
      <c r="T234" s="443"/>
      <c r="W234" s="443"/>
      <c r="X234" s="443"/>
      <c r="Y234" s="471"/>
      <c r="Z234" s="471"/>
      <c r="AA234" s="455"/>
      <c r="AB234" s="455"/>
      <c r="AC234" s="455"/>
      <c r="AD234" s="455"/>
      <c r="AG234" s="444" t="s">
        <v>194</v>
      </c>
      <c r="AH234" s="455">
        <f>IF(AH198=0,0,AH232)</f>
        <v>0</v>
      </c>
    </row>
    <row r="235" spans="10:35">
      <c r="J235" s="442" t="s">
        <v>851</v>
      </c>
      <c r="K235" s="444"/>
      <c r="L235" s="444"/>
      <c r="N235" s="443" t="s">
        <v>1551</v>
      </c>
      <c r="P235" s="445"/>
      <c r="R235" s="443" t="s">
        <v>634</v>
      </c>
      <c r="Z235" s="443" t="s">
        <v>635</v>
      </c>
      <c r="AG235" s="443" t="s">
        <v>636</v>
      </c>
    </row>
    <row r="236" spans="10:35">
      <c r="J236" s="444" t="str">
        <f>A90</f>
        <v>T3/N52[SI]</v>
      </c>
      <c r="K236" s="442"/>
      <c r="L236" s="444"/>
      <c r="N236" s="444" t="s">
        <v>596</v>
      </c>
      <c r="O236" s="448">
        <f>G91</f>
        <v>22</v>
      </c>
      <c r="P236" s="448">
        <f>B48</f>
        <v>22</v>
      </c>
      <c r="Q236" s="449">
        <f t="shared" ref="Q236:Q241" si="50">P236/O236</f>
        <v>1</v>
      </c>
      <c r="R236" s="442"/>
      <c r="X236" s="450"/>
      <c r="Z236" s="444" t="s">
        <v>531</v>
      </c>
      <c r="AA236" s="451">
        <f>S238</f>
        <v>30</v>
      </c>
      <c r="AB236" s="451"/>
      <c r="AC236" s="451"/>
      <c r="AD236" s="451"/>
      <c r="AE236" s="444" t="s">
        <v>532</v>
      </c>
      <c r="AF236" s="450" t="s">
        <v>533</v>
      </c>
      <c r="AG236" s="444" t="s">
        <v>531</v>
      </c>
      <c r="AH236" s="451">
        <f>AA236</f>
        <v>30</v>
      </c>
    </row>
    <row r="237" spans="10:35">
      <c r="J237" s="444"/>
      <c r="K237" s="444"/>
      <c r="L237" s="444"/>
      <c r="N237" s="444" t="s">
        <v>600</v>
      </c>
      <c r="O237" s="455">
        <f>H91</f>
        <v>5.0000000000000001E-3</v>
      </c>
      <c r="P237" s="455">
        <f>C48</f>
        <v>5.0000000000000001E-3</v>
      </c>
      <c r="Q237" s="449">
        <f t="shared" si="50"/>
        <v>1</v>
      </c>
      <c r="R237" s="444" t="s">
        <v>243</v>
      </c>
      <c r="S237" s="450" t="s">
        <v>1562</v>
      </c>
      <c r="T237" s="450" t="s">
        <v>652</v>
      </c>
      <c r="U237" s="450" t="s">
        <v>646</v>
      </c>
      <c r="V237" s="450"/>
      <c r="W237" s="450"/>
      <c r="X237" s="450"/>
      <c r="Z237" s="444" t="s">
        <v>536</v>
      </c>
      <c r="AA237" s="451">
        <f>S239</f>
        <v>0</v>
      </c>
      <c r="AB237" s="451"/>
      <c r="AC237" s="451"/>
      <c r="AD237" s="451"/>
      <c r="AE237" s="444">
        <f>W239</f>
        <v>0</v>
      </c>
      <c r="AF237" s="451">
        <f>X239</f>
        <v>0</v>
      </c>
      <c r="AG237" s="444" t="s">
        <v>536</v>
      </c>
      <c r="AH237" s="451">
        <f>AA237</f>
        <v>0</v>
      </c>
    </row>
    <row r="238" spans="10:35">
      <c r="J238" s="444" t="s">
        <v>1553</v>
      </c>
      <c r="K238" s="444" t="s">
        <v>1554</v>
      </c>
      <c r="L238" s="444" t="s">
        <v>1555</v>
      </c>
      <c r="M238" s="456" t="s">
        <v>1556</v>
      </c>
      <c r="N238" s="444" t="s">
        <v>1557</v>
      </c>
      <c r="O238" s="448">
        <f>G90</f>
        <v>122</v>
      </c>
      <c r="P238" s="448">
        <f>O238</f>
        <v>122</v>
      </c>
      <c r="Q238" s="449">
        <f t="shared" si="50"/>
        <v>1</v>
      </c>
      <c r="R238" s="444" t="s">
        <v>537</v>
      </c>
      <c r="S238" s="457">
        <f>C9</f>
        <v>30</v>
      </c>
      <c r="T238" s="458">
        <f>E9*L243/1000000</f>
        <v>0</v>
      </c>
      <c r="U238" s="455">
        <f>U199</f>
        <v>2E-3</v>
      </c>
      <c r="V238" s="457"/>
      <c r="W238" s="450"/>
      <c r="X238" s="450"/>
      <c r="Z238" s="444" t="s">
        <v>539</v>
      </c>
      <c r="AA238" s="451">
        <f>S240</f>
        <v>1.0471975511965976</v>
      </c>
      <c r="AB238" s="451"/>
      <c r="AC238" s="451"/>
      <c r="AD238" s="451"/>
      <c r="AE238" s="444" t="s">
        <v>540</v>
      </c>
      <c r="AF238" s="446">
        <f>T238</f>
        <v>0</v>
      </c>
      <c r="AG238" s="444" t="s">
        <v>539</v>
      </c>
      <c r="AH238" s="451">
        <f>AA238</f>
        <v>1.0471975511965976</v>
      </c>
    </row>
    <row r="239" spans="10:35">
      <c r="J239" s="444" t="s">
        <v>298</v>
      </c>
      <c r="K239" s="445">
        <f>B90</f>
        <v>181</v>
      </c>
      <c r="L239" s="445">
        <f>L246*L245*I80</f>
        <v>181.00000000000003</v>
      </c>
      <c r="M239" s="449">
        <f>L239/K239</f>
        <v>1.0000000000000002</v>
      </c>
      <c r="N239" s="444" t="s">
        <v>299</v>
      </c>
      <c r="O239" s="448">
        <f>H90</f>
        <v>160</v>
      </c>
      <c r="P239" s="448">
        <f>O239-H93*(P237)</f>
        <v>150</v>
      </c>
      <c r="Q239" s="449">
        <f t="shared" si="50"/>
        <v>0.9375</v>
      </c>
      <c r="R239" s="444" t="s">
        <v>541</v>
      </c>
      <c r="S239" s="457">
        <f>D9</f>
        <v>0</v>
      </c>
      <c r="T239" s="445"/>
      <c r="U239" s="443">
        <f>T238/U238</f>
        <v>0</v>
      </c>
      <c r="V239" s="457"/>
      <c r="W239" s="459"/>
      <c r="X239" s="451"/>
      <c r="Z239" s="444"/>
      <c r="AA239" s="446"/>
      <c r="AB239" s="446"/>
      <c r="AC239" s="446"/>
      <c r="AD239" s="446"/>
      <c r="AE239" s="450"/>
      <c r="AI239" s="444" t="s">
        <v>109</v>
      </c>
    </row>
    <row r="240" spans="10:35">
      <c r="J240" s="444" t="s">
        <v>1579</v>
      </c>
      <c r="K240" s="445">
        <f>C90</f>
        <v>10.3</v>
      </c>
      <c r="L240" s="445">
        <f>(1+L249)/(1/L250+L249/L247)*I90</f>
        <v>10.3</v>
      </c>
      <c r="M240" s="449">
        <f>L240/K240</f>
        <v>1</v>
      </c>
      <c r="N240" s="444" t="s">
        <v>1580</v>
      </c>
      <c r="O240" s="445">
        <f>(O239-O236)/(O239-O236)</f>
        <v>1</v>
      </c>
      <c r="P240" s="445">
        <f>(P239-P236)/(P239-O236)</f>
        <v>1</v>
      </c>
      <c r="Q240" s="449">
        <f t="shared" si="50"/>
        <v>1</v>
      </c>
      <c r="R240" s="444" t="s">
        <v>1295</v>
      </c>
      <c r="S240" s="461">
        <f>S238*PI()/90</f>
        <v>1.0471975511965976</v>
      </c>
      <c r="T240" s="461"/>
      <c r="U240" s="461"/>
      <c r="V240" s="461"/>
      <c r="W240" s="450"/>
      <c r="X240" s="462"/>
      <c r="Y240" s="444"/>
      <c r="Z240" s="442" t="s">
        <v>1297</v>
      </c>
      <c r="AA240" s="450"/>
      <c r="AB240" s="450"/>
      <c r="AC240" s="446"/>
      <c r="AD240" s="446"/>
      <c r="AE240" s="446"/>
      <c r="AG240" s="442" t="s">
        <v>1298</v>
      </c>
      <c r="AI240" s="444" t="s">
        <v>1299</v>
      </c>
    </row>
    <row r="241" spans="10:35">
      <c r="J241" s="444" t="s">
        <v>259</v>
      </c>
      <c r="K241" s="445">
        <f>D90</f>
        <v>0.28000000000000003</v>
      </c>
      <c r="L241" s="445">
        <f>K241*I48*I70</f>
        <v>0.28000000000000003</v>
      </c>
      <c r="M241" s="449">
        <f>L241/K241</f>
        <v>1</v>
      </c>
      <c r="N241" s="444" t="s">
        <v>260</v>
      </c>
      <c r="O241" s="448">
        <f>O236-O238</f>
        <v>-100</v>
      </c>
      <c r="P241" s="448">
        <f>P236-P238</f>
        <v>-100</v>
      </c>
      <c r="Q241" s="449">
        <f t="shared" si="50"/>
        <v>1</v>
      </c>
      <c r="R241" s="444" t="s">
        <v>1300</v>
      </c>
      <c r="S241" s="461">
        <f>2*S240</f>
        <v>2.0943951023931953</v>
      </c>
      <c r="T241" s="461"/>
      <c r="U241" s="461"/>
      <c r="V241" s="461"/>
      <c r="W241" s="459"/>
      <c r="X241" s="451"/>
      <c r="Y241" s="446"/>
      <c r="Z241" s="444"/>
      <c r="AA241" s="450" t="s">
        <v>1301</v>
      </c>
      <c r="AB241" s="450"/>
      <c r="AC241" s="463" t="s">
        <v>619</v>
      </c>
      <c r="AD241" s="463"/>
      <c r="AE241" s="450" t="s">
        <v>1303</v>
      </c>
      <c r="AF241" s="450" t="s">
        <v>1304</v>
      </c>
      <c r="AG241" s="444" t="s">
        <v>1305</v>
      </c>
      <c r="AH241" s="455">
        <f>AA247/1000</f>
        <v>0</v>
      </c>
      <c r="AI241" s="464">
        <f>($AE$31+$AE$32)/2</f>
        <v>1.7068551681092488E-5</v>
      </c>
    </row>
    <row r="242" spans="10:35">
      <c r="J242" s="444" t="s">
        <v>261</v>
      </c>
      <c r="K242" s="445">
        <f>E90</f>
        <v>7.17</v>
      </c>
      <c r="L242" s="445">
        <f>(1+L252)/(1/L253+L252*2.7/L247)</f>
        <v>7.17</v>
      </c>
      <c r="M242" s="449">
        <f>L242/K242</f>
        <v>1</v>
      </c>
      <c r="N242" s="444"/>
      <c r="O242" s="445"/>
      <c r="P242" s="445"/>
      <c r="Q242" s="445"/>
      <c r="S242" s="465"/>
      <c r="T242" s="465"/>
      <c r="U242" s="465"/>
      <c r="V242" s="484"/>
      <c r="W242" s="450"/>
      <c r="X242" s="450"/>
      <c r="Y242" s="446"/>
      <c r="Z242" s="444">
        <v>1</v>
      </c>
      <c r="AA242" s="445">
        <f>AA203</f>
        <v>0.5</v>
      </c>
      <c r="AB242" s="458"/>
      <c r="AC242" s="445">
        <f>AC203</f>
        <v>14.199945665574337</v>
      </c>
      <c r="AD242" s="458"/>
      <c r="AE242" s="462" t="s">
        <v>1306</v>
      </c>
      <c r="AF242" s="458">
        <f>IF(T238=0,0,(AC242+AC243)/2)</f>
        <v>0</v>
      </c>
      <c r="AG242" s="444" t="s">
        <v>1307</v>
      </c>
      <c r="AH242" s="455">
        <f>AA248/1000</f>
        <v>0</v>
      </c>
      <c r="AI242" s="464">
        <f>($AE$31-$AE$32)/2</f>
        <v>2.5882036539697636E-5</v>
      </c>
    </row>
    <row r="243" spans="10:35">
      <c r="J243" s="444" t="s">
        <v>262</v>
      </c>
      <c r="K243" s="448">
        <f>B92</f>
        <v>125</v>
      </c>
      <c r="L243" s="448">
        <f>K243/M245</f>
        <v>125</v>
      </c>
      <c r="M243" s="449">
        <f>L243/K243</f>
        <v>1</v>
      </c>
      <c r="N243" s="442" t="s">
        <v>1531</v>
      </c>
      <c r="O243" s="445"/>
      <c r="P243" s="445"/>
      <c r="Q243" s="445"/>
      <c r="R243" s="444" t="s">
        <v>1325</v>
      </c>
      <c r="S243" s="450" t="s">
        <v>1326</v>
      </c>
      <c r="T243" s="450"/>
      <c r="U243" s="450" t="s">
        <v>1330</v>
      </c>
      <c r="V243" s="444" t="s">
        <v>172</v>
      </c>
      <c r="W243" s="444" t="s">
        <v>187</v>
      </c>
      <c r="X243" s="450"/>
      <c r="Y243" s="455"/>
      <c r="Z243" s="444">
        <v>2</v>
      </c>
      <c r="AA243" s="445">
        <f>AA204</f>
        <v>0</v>
      </c>
      <c r="AB243" s="458"/>
      <c r="AC243" s="445">
        <f>AC204</f>
        <v>-4.5806509889074913</v>
      </c>
      <c r="AD243" s="458"/>
      <c r="AE243" s="462" t="s">
        <v>1309</v>
      </c>
      <c r="AF243" s="458">
        <f>IF(T238=0,0,(AC242-AC243)/2)</f>
        <v>0</v>
      </c>
      <c r="AG243" s="444" t="s">
        <v>1310</v>
      </c>
      <c r="AH243" s="455">
        <f>AA249/1000</f>
        <v>0</v>
      </c>
      <c r="AI243" s="464">
        <f>$AE$33/2</f>
        <v>-5.0421544567267384E-22</v>
      </c>
    </row>
    <row r="244" spans="10:35">
      <c r="J244" s="442" t="s">
        <v>264</v>
      </c>
      <c r="K244" s="445"/>
      <c r="L244" s="445"/>
      <c r="N244" s="444" t="s">
        <v>265</v>
      </c>
      <c r="O244" s="445">
        <f>A93</f>
        <v>0.02</v>
      </c>
      <c r="P244" s="445">
        <f>O244</f>
        <v>0.02</v>
      </c>
      <c r="Q244" s="445">
        <f>P244/O244</f>
        <v>1</v>
      </c>
      <c r="R244" s="444">
        <v>11</v>
      </c>
      <c r="S244" s="445">
        <f>L261+L262*COS(S240)+L263*COS(S241)</f>
        <v>109.37924718723004</v>
      </c>
      <c r="T244" s="445"/>
      <c r="U244" s="458">
        <f>S244*T238</f>
        <v>0</v>
      </c>
      <c r="V244" s="458">
        <f t="shared" ref="V244:W249" si="51">V205</f>
        <v>4.9567741608415233E-2</v>
      </c>
      <c r="W244" s="445">
        <f t="shared" si="51"/>
        <v>24.783870804207616</v>
      </c>
      <c r="X244" s="455"/>
      <c r="Y244" s="446"/>
      <c r="Z244" s="444">
        <v>6</v>
      </c>
      <c r="AA244" s="445">
        <f>AA205</f>
        <v>0</v>
      </c>
      <c r="AB244" s="458"/>
      <c r="AC244" s="445">
        <f>AC205</f>
        <v>6.8206751737942824E-16</v>
      </c>
      <c r="AD244" s="458"/>
      <c r="AE244" s="462" t="s">
        <v>1312</v>
      </c>
      <c r="AF244" s="458">
        <f>IF(T238=0,0,AC244/2)</f>
        <v>0</v>
      </c>
      <c r="AG244" s="444"/>
      <c r="AH244" s="458"/>
      <c r="AI244" s="458"/>
    </row>
    <row r="245" spans="10:35">
      <c r="J245" s="444" t="s">
        <v>1532</v>
      </c>
      <c r="K245" s="445">
        <f>C92</f>
        <v>0.7</v>
      </c>
      <c r="L245" s="445">
        <f>D48</f>
        <v>0.7</v>
      </c>
      <c r="M245" s="449">
        <f t="shared" ref="M245:M253" si="52">L245/K245</f>
        <v>1</v>
      </c>
      <c r="N245" s="444" t="s">
        <v>1533</v>
      </c>
      <c r="O245" s="445">
        <f>B93</f>
        <v>22.5</v>
      </c>
      <c r="P245" s="445">
        <f>O245*(1-L245)/(1-K245)</f>
        <v>22.5</v>
      </c>
      <c r="Q245" s="445">
        <f>P245/O245</f>
        <v>1</v>
      </c>
      <c r="R245" s="444">
        <v>22</v>
      </c>
      <c r="S245" s="445">
        <f>S244-2*L262*COS(S240)</f>
        <v>23.646757129931288</v>
      </c>
      <c r="T245" s="445"/>
      <c r="U245" s="458">
        <f>S245*T238</f>
        <v>0</v>
      </c>
      <c r="V245" s="458">
        <f t="shared" si="51"/>
        <v>0.13796301355045693</v>
      </c>
      <c r="W245" s="445">
        <f t="shared" si="51"/>
        <v>68.981506775228468</v>
      </c>
      <c r="X245" s="450"/>
      <c r="AA245" s="458"/>
      <c r="AB245" s="458"/>
      <c r="AC245" s="458"/>
      <c r="AD245" s="458"/>
      <c r="AE245" s="462"/>
      <c r="AF245" s="458"/>
      <c r="AG245" s="444"/>
      <c r="AH245" s="458"/>
      <c r="AI245" s="458"/>
    </row>
    <row r="246" spans="10:35">
      <c r="J246" s="444" t="s">
        <v>1534</v>
      </c>
      <c r="K246" s="448">
        <f>K239/K245</f>
        <v>258.57142857142861</v>
      </c>
      <c r="L246" s="448">
        <f>F48*P240^F93*I70</f>
        <v>258.57142857142861</v>
      </c>
      <c r="M246" s="449">
        <f t="shared" si="52"/>
        <v>1</v>
      </c>
      <c r="N246" s="443" t="s">
        <v>1535</v>
      </c>
      <c r="O246" s="445"/>
      <c r="P246" s="445"/>
      <c r="Q246" s="445"/>
      <c r="R246" s="444" t="s">
        <v>1345</v>
      </c>
      <c r="S246" s="445">
        <f>L264-L263*COS(S241)</f>
        <v>32.462571072888281</v>
      </c>
      <c r="T246" s="445"/>
      <c r="U246" s="458">
        <f>S246*T238</f>
        <v>0</v>
      </c>
      <c r="V246" s="458">
        <f t="shared" si="51"/>
        <v>4.4504424829219763E-2</v>
      </c>
      <c r="W246" s="445">
        <f t="shared" si="51"/>
        <v>22.252212414609883</v>
      </c>
      <c r="X246" s="458"/>
      <c r="Z246" s="442" t="s">
        <v>1323</v>
      </c>
      <c r="AA246" s="458"/>
      <c r="AB246" s="458"/>
      <c r="AC246" s="458"/>
      <c r="AD246" s="458"/>
      <c r="AE246" s="462"/>
      <c r="AF246" s="458"/>
      <c r="AG246" s="444"/>
      <c r="AH246" s="458"/>
      <c r="AI246" s="458"/>
    </row>
    <row r="247" spans="10:35">
      <c r="J247" s="444" t="s">
        <v>1536</v>
      </c>
      <c r="K247" s="445">
        <f>F90</f>
        <v>3.4</v>
      </c>
      <c r="L247" s="445">
        <f>E48*P240^F92*I48*I70</f>
        <v>3.4</v>
      </c>
      <c r="M247" s="449">
        <f t="shared" si="52"/>
        <v>1</v>
      </c>
      <c r="N247" s="444" t="s">
        <v>1537</v>
      </c>
      <c r="O247" s="445">
        <f>C93</f>
        <v>0</v>
      </c>
      <c r="P247" s="445">
        <f>O247</f>
        <v>0</v>
      </c>
      <c r="Q247" s="445">
        <v>1</v>
      </c>
      <c r="R247" s="444">
        <v>66</v>
      </c>
      <c r="S247" s="445">
        <f>S246-L264+L265</f>
        <v>36.735646628538554</v>
      </c>
      <c r="T247" s="445"/>
      <c r="U247" s="458">
        <f>S247*T238</f>
        <v>0</v>
      </c>
      <c r="V247" s="458">
        <f t="shared" si="51"/>
        <v>4.6600447042217497E-2</v>
      </c>
      <c r="W247" s="445">
        <f t="shared" si="51"/>
        <v>23.300223521108748</v>
      </c>
      <c r="X247" s="445"/>
      <c r="Z247" s="444" t="s">
        <v>1324</v>
      </c>
      <c r="AA247" s="455">
        <f>(AF242+AF243*COS(AA238)+AF244*SIN(AA238))</f>
        <v>0</v>
      </c>
      <c r="AB247" s="455" t="e">
        <f>IF(ABS(AA247/AA250)&lt;0.0000000001,0,AA247)</f>
        <v>#DIV/0!</v>
      </c>
      <c r="AC247" s="455"/>
      <c r="AD247" s="455"/>
      <c r="AE247" s="462"/>
      <c r="AF247" s="458"/>
      <c r="AG247" s="442"/>
      <c r="AH247" s="462"/>
      <c r="AI247" s="458"/>
    </row>
    <row r="248" spans="10:35">
      <c r="J248" s="444" t="s">
        <v>1538</v>
      </c>
      <c r="K248" s="445">
        <f>E92</f>
        <v>0.51600000000000001</v>
      </c>
      <c r="L248" s="445">
        <f>K248*P240^G92</f>
        <v>0.51600000000000001</v>
      </c>
      <c r="M248" s="449">
        <f t="shared" si="52"/>
        <v>1</v>
      </c>
      <c r="N248" s="444" t="s">
        <v>1539</v>
      </c>
      <c r="O248" s="445">
        <f>D93</f>
        <v>0.6</v>
      </c>
      <c r="P248" s="445">
        <f>O248*(1-L245)/(1-K245)</f>
        <v>0.6</v>
      </c>
      <c r="Q248" s="445">
        <f>P248/O248</f>
        <v>1</v>
      </c>
      <c r="R248" s="444" t="s">
        <v>1347</v>
      </c>
      <c r="S248" s="445">
        <f>L262*SIN(S240)/2+L263*SIN(S241)</f>
        <v>54.192991199410834</v>
      </c>
      <c r="T248" s="445"/>
      <c r="U248" s="458">
        <f>S248*T238</f>
        <v>0</v>
      </c>
      <c r="V248" s="458">
        <f t="shared" si="51"/>
        <v>0</v>
      </c>
      <c r="W248" s="445">
        <f t="shared" si="51"/>
        <v>0</v>
      </c>
      <c r="X248" s="450"/>
      <c r="Z248" s="444" t="s">
        <v>1332</v>
      </c>
      <c r="AA248" s="455">
        <f>2*AF242-AA247</f>
        <v>0</v>
      </c>
      <c r="AB248" s="455" t="e">
        <f>IF(ABS(AA248/AA250)&lt;0.0000000001,0,AA248)</f>
        <v>#DIV/0!</v>
      </c>
      <c r="AC248" s="455"/>
      <c r="AD248" s="455"/>
      <c r="AE248" s="458"/>
      <c r="AF248" s="458"/>
      <c r="AG248" s="444" t="s">
        <v>1333</v>
      </c>
      <c r="AH248" s="458">
        <f>P267*AH241^2+2*P269*AH241*AH242+P268*AH242^2+P270*AH243^2</f>
        <v>0</v>
      </c>
      <c r="AI248" s="458"/>
    </row>
    <row r="249" spans="10:35">
      <c r="J249" s="444" t="s">
        <v>1547</v>
      </c>
      <c r="K249" s="445">
        <f>K248*(1-K245)/K245</f>
        <v>0.2211428571428572</v>
      </c>
      <c r="L249" s="445">
        <f>L248*(1-L245)/L245</f>
        <v>0.2211428571428572</v>
      </c>
      <c r="M249" s="449">
        <f t="shared" si="52"/>
        <v>1</v>
      </c>
      <c r="O249" s="445"/>
      <c r="P249" s="445"/>
      <c r="Q249" s="445"/>
      <c r="R249" s="444" t="s">
        <v>1349</v>
      </c>
      <c r="S249" s="445">
        <f>L262*SIN(S240)-S248</f>
        <v>20.053523119906664</v>
      </c>
      <c r="T249" s="445"/>
      <c r="U249" s="458">
        <f>S249*T238</f>
        <v>0</v>
      </c>
      <c r="V249" s="458">
        <f t="shared" si="51"/>
        <v>6.9388939039072284E-18</v>
      </c>
      <c r="W249" s="445">
        <f t="shared" si="51"/>
        <v>3.4694469519536142E-15</v>
      </c>
      <c r="X249" s="458"/>
      <c r="Z249" s="444" t="s">
        <v>1334</v>
      </c>
      <c r="AA249" s="455">
        <f>(2*(AF244*COS(AA238)-AF243*SIN(AA238)))</f>
        <v>0</v>
      </c>
      <c r="AB249" s="455" t="e">
        <f>IF(ABS(AA249/AA250)&lt;0.0000000001,0,AA249)</f>
        <v>#DIV/0!</v>
      </c>
      <c r="AC249" s="455"/>
      <c r="AD249" s="455"/>
      <c r="AE249" s="458"/>
      <c r="AF249" s="458"/>
      <c r="AG249" s="444" t="s">
        <v>1335</v>
      </c>
      <c r="AH249" s="458">
        <f>P271*AH241+P272*AH242</f>
        <v>0</v>
      </c>
      <c r="AI249" s="458"/>
    </row>
    <row r="250" spans="10:35">
      <c r="J250" s="444" t="s">
        <v>1643</v>
      </c>
      <c r="K250" s="445">
        <f>1/((1+K249)/K240-K249/K247)</f>
        <v>18.686160319541436</v>
      </c>
      <c r="L250" s="445">
        <f>K250*P240^F93*I70</f>
        <v>18.686160319541436</v>
      </c>
      <c r="M250" s="449">
        <f t="shared" si="52"/>
        <v>1</v>
      </c>
      <c r="N250" s="443" t="s">
        <v>176</v>
      </c>
      <c r="O250" s="445"/>
      <c r="P250" s="445"/>
      <c r="Q250" s="445"/>
      <c r="S250" s="443"/>
      <c r="T250" s="450" t="s">
        <v>1353</v>
      </c>
      <c r="U250" s="446">
        <f>U244*U245*U247+2*U246*U248*U249-U245*U248^2-U247*U246^2-U244*U249^2</f>
        <v>0</v>
      </c>
      <c r="V250" s="446">
        <f>V244*V245*V247+2*V246*V248*V249-V245*V248^2-V247*V246^2-V244*V249^2</f>
        <v>2.2637896855934086E-4</v>
      </c>
      <c r="W250" s="443"/>
      <c r="X250" s="458"/>
      <c r="Z250" s="444" t="s">
        <v>1363</v>
      </c>
      <c r="AA250" s="458">
        <f>SQRT(AA247^2+AA248^2+AA249^2)</f>
        <v>0</v>
      </c>
      <c r="AB250" s="458"/>
      <c r="AC250" s="458"/>
      <c r="AD250" s="458"/>
      <c r="AE250" s="458"/>
      <c r="AF250" s="458"/>
      <c r="AG250" s="444" t="s">
        <v>1344</v>
      </c>
      <c r="AH250" s="458" t="e">
        <f>AH249/2/AH248</f>
        <v>#DIV/0!</v>
      </c>
      <c r="AI250" s="458"/>
    </row>
    <row r="251" spans="10:35">
      <c r="J251" s="444" t="s">
        <v>295</v>
      </c>
      <c r="K251" s="445">
        <f>E93</f>
        <v>0.316</v>
      </c>
      <c r="L251" s="445">
        <f>K251*P240^G92</f>
        <v>0.316</v>
      </c>
      <c r="M251" s="449">
        <f t="shared" si="52"/>
        <v>1</v>
      </c>
      <c r="N251" s="444" t="s">
        <v>296</v>
      </c>
      <c r="O251" s="448">
        <f>A91</f>
        <v>1500</v>
      </c>
      <c r="P251" s="448">
        <f>P257*L245</f>
        <v>1500</v>
      </c>
      <c r="Q251" s="445">
        <f t="shared" ref="Q251:Q258" si="53">P251/O251</f>
        <v>1</v>
      </c>
      <c r="R251" s="444" t="s">
        <v>1355</v>
      </c>
      <c r="S251" s="450" t="s">
        <v>382</v>
      </c>
      <c r="T251" s="450" t="s">
        <v>182</v>
      </c>
      <c r="U251" s="450" t="s">
        <v>669</v>
      </c>
      <c r="V251" s="450" t="s">
        <v>670</v>
      </c>
      <c r="W251" s="443"/>
      <c r="X251" s="458"/>
      <c r="Z251" s="444"/>
      <c r="AA251" s="458"/>
      <c r="AB251" s="458"/>
      <c r="AC251" s="458"/>
      <c r="AD251" s="458"/>
      <c r="AE251" s="458"/>
      <c r="AF251" s="458"/>
      <c r="AG251" s="444"/>
      <c r="AH251" s="458"/>
      <c r="AI251" s="458"/>
    </row>
    <row r="252" spans="10:35">
      <c r="J252" s="444" t="s">
        <v>301</v>
      </c>
      <c r="K252" s="445">
        <f>K251*(1-K245)/K245</f>
        <v>0.13542857142857145</v>
      </c>
      <c r="L252" s="445">
        <f>L251*(1-L245)/L245</f>
        <v>0.13542857142857145</v>
      </c>
      <c r="M252" s="449">
        <f t="shared" si="52"/>
        <v>1</v>
      </c>
      <c r="N252" s="444" t="s">
        <v>302</v>
      </c>
      <c r="O252" s="448">
        <f>B91</f>
        <v>1500</v>
      </c>
      <c r="P252" s="448">
        <f>O252*Q251*M242^E94</f>
        <v>1500</v>
      </c>
      <c r="Q252" s="445">
        <f t="shared" si="53"/>
        <v>1</v>
      </c>
      <c r="R252" s="444">
        <v>11</v>
      </c>
      <c r="S252" s="446">
        <f>IF(U250=0,1E+99,(U245*U247-U249^2)/U250)</f>
        <v>9.9999999999999997E+98</v>
      </c>
      <c r="T252" s="445">
        <f t="shared" ref="T252:V257" si="54">T213</f>
        <v>28.399891331148673</v>
      </c>
      <c r="U252" s="445">
        <f t="shared" si="54"/>
        <v>5.6799782662297349E-2</v>
      </c>
      <c r="V252" s="445">
        <f t="shared" si="54"/>
        <v>17.605701168708549</v>
      </c>
      <c r="W252" s="443"/>
      <c r="X252" s="458"/>
      <c r="Z252" s="444"/>
      <c r="AA252" s="458"/>
      <c r="AB252" s="458"/>
      <c r="AC252" s="458"/>
      <c r="AD252" s="458"/>
      <c r="AE252" s="458"/>
      <c r="AF252" s="458"/>
      <c r="AG252" s="444"/>
      <c r="AH252" s="458"/>
      <c r="AI252" s="458"/>
    </row>
    <row r="253" spans="10:35">
      <c r="J253" s="444" t="s">
        <v>304</v>
      </c>
      <c r="K253" s="445">
        <f>1/((1+K252)/K242-K252*2.7/K247)</f>
        <v>19.680382632972858</v>
      </c>
      <c r="L253" s="445">
        <f>K253*P240^F93*I70</f>
        <v>19.680382632972858</v>
      </c>
      <c r="M253" s="449">
        <f t="shared" si="52"/>
        <v>1</v>
      </c>
      <c r="N253" s="444" t="s">
        <v>305</v>
      </c>
      <c r="O253" s="448">
        <f>C91</f>
        <v>40</v>
      </c>
      <c r="P253" s="448">
        <f>O253*Q258</f>
        <v>40</v>
      </c>
      <c r="Q253" s="445">
        <f t="shared" si="53"/>
        <v>1</v>
      </c>
      <c r="R253" s="444">
        <v>22</v>
      </c>
      <c r="S253" s="446">
        <f>IF(U250=0,1E+99,(U244*U247-U248^2)/U250)</f>
        <v>9.9999999999999997E+98</v>
      </c>
      <c r="T253" s="445">
        <f t="shared" si="54"/>
        <v>10.203593260121179</v>
      </c>
      <c r="U253" s="445">
        <f t="shared" si="54"/>
        <v>2.040718652024236E-2</v>
      </c>
      <c r="V253" s="445">
        <f t="shared" si="54"/>
        <v>49.002345277144251</v>
      </c>
      <c r="W253" s="443"/>
      <c r="X253" s="458"/>
      <c r="AA253" s="458"/>
      <c r="AB253" s="458"/>
      <c r="AC253" s="458"/>
      <c r="AD253" s="458"/>
      <c r="AE253" s="458"/>
      <c r="AF253" s="458"/>
      <c r="AG253" s="444"/>
      <c r="AH253" s="458"/>
      <c r="AI253" s="462" t="s">
        <v>1348</v>
      </c>
    </row>
    <row r="254" spans="10:35">
      <c r="L254" s="445"/>
      <c r="N254" s="444" t="s">
        <v>1542</v>
      </c>
      <c r="O254" s="448">
        <f>D91</f>
        <v>246</v>
      </c>
      <c r="P254" s="448">
        <f>O254*Q258</f>
        <v>246</v>
      </c>
      <c r="Q254" s="445">
        <f t="shared" si="53"/>
        <v>1</v>
      </c>
      <c r="R254" s="444" t="s">
        <v>1345</v>
      </c>
      <c r="S254" s="446">
        <f>IF(U250=0,1E+99,(U248*U249-U246*U247)/U250)</f>
        <v>9.9999999999999997E+98</v>
      </c>
      <c r="T254" s="445">
        <f t="shared" si="54"/>
        <v>-9.1613019778149827</v>
      </c>
      <c r="U254" s="445">
        <f t="shared" si="54"/>
        <v>-1.8322603955629967E-2</v>
      </c>
      <c r="V254" s="445">
        <f t="shared" si="54"/>
        <v>0.32258228987541837</v>
      </c>
      <c r="W254" s="443"/>
      <c r="X254" s="458"/>
      <c r="AF254" s="458"/>
      <c r="AG254" s="444" t="s">
        <v>1351</v>
      </c>
      <c r="AH254" s="455" t="e">
        <f>(AH250^2+1/AH248)^0.5-AH250</f>
        <v>#DIV/0!</v>
      </c>
      <c r="AI254" s="455">
        <f>AH255</f>
        <v>1000000000</v>
      </c>
    </row>
    <row r="255" spans="10:35">
      <c r="J255" s="443" t="s">
        <v>1507</v>
      </c>
      <c r="N255" s="444" t="s">
        <v>1543</v>
      </c>
      <c r="O255" s="475">
        <f>E91</f>
        <v>68</v>
      </c>
      <c r="P255" s="475">
        <f>O255*Q258</f>
        <v>68</v>
      </c>
      <c r="Q255" s="445">
        <f t="shared" si="53"/>
        <v>1</v>
      </c>
      <c r="R255" s="444">
        <v>66</v>
      </c>
      <c r="S255" s="446">
        <f>IF(U250=0,1E+99,(U244*U245-U246^2)/U250)</f>
        <v>9.9999999999999997E+98</v>
      </c>
      <c r="T255" s="445">
        <f t="shared" si="54"/>
        <v>21.45902160754067</v>
      </c>
      <c r="U255" s="445">
        <f t="shared" si="54"/>
        <v>4.2918043215081345E-2</v>
      </c>
      <c r="V255" s="445">
        <f t="shared" si="54"/>
        <v>23.300223521108748</v>
      </c>
      <c r="W255" s="443"/>
      <c r="AF255" s="458"/>
      <c r="AG255" s="444"/>
      <c r="AH255" s="455">
        <f>IF(AH237=0,1000000000,AH254)</f>
        <v>1000000000</v>
      </c>
    </row>
    <row r="256" spans="10:35">
      <c r="J256" s="444" t="s">
        <v>1354</v>
      </c>
      <c r="K256" s="445">
        <f>K239/(1-K241^2*K240/K239)</f>
        <v>181.81113884441791</v>
      </c>
      <c r="L256" s="445">
        <f>L239/(1-L241^2*L240/L239)</f>
        <v>181.81113884441794</v>
      </c>
      <c r="M256" s="449">
        <f>L256/K256</f>
        <v>1.0000000000000002</v>
      </c>
      <c r="N256" s="444" t="s">
        <v>1168</v>
      </c>
      <c r="O256" s="449">
        <f>A92</f>
        <v>-0.5</v>
      </c>
      <c r="P256" s="449">
        <f>O256*I48*I70</f>
        <v>-0.5</v>
      </c>
      <c r="Q256" s="445">
        <f t="shared" si="53"/>
        <v>1</v>
      </c>
      <c r="R256" s="444" t="s">
        <v>1347</v>
      </c>
      <c r="S256" s="446">
        <f>IF(U250=0,1E+99,(U246*U249-U245*U248)/U250)</f>
        <v>9.9999999999999997E+98</v>
      </c>
      <c r="T256" s="445">
        <f t="shared" si="54"/>
        <v>1.3641350347588565E-15</v>
      </c>
      <c r="U256" s="445">
        <f t="shared" si="54"/>
        <v>2.7282700695177132E-18</v>
      </c>
      <c r="V256" s="445">
        <f t="shared" si="54"/>
        <v>4.8033107551460555E-17</v>
      </c>
      <c r="W256" s="443"/>
      <c r="X256" s="443"/>
      <c r="Y256" s="444"/>
      <c r="AF256" s="458"/>
      <c r="AG256" s="443" t="s">
        <v>1360</v>
      </c>
      <c r="AH256" s="455">
        <f>IF(AH237=0,0,AH254)</f>
        <v>0</v>
      </c>
    </row>
    <row r="257" spans="10:35">
      <c r="J257" s="444" t="s">
        <v>1361</v>
      </c>
      <c r="K257" s="445">
        <f>K256*K240/K239</f>
        <v>10.346158729820468</v>
      </c>
      <c r="L257" s="445">
        <f>L256*L240/L239</f>
        <v>10.346158729820468</v>
      </c>
      <c r="M257" s="449">
        <f>L257/K257</f>
        <v>1</v>
      </c>
      <c r="N257" s="444" t="s">
        <v>1175</v>
      </c>
      <c r="O257" s="448">
        <f>O251/K245</f>
        <v>2142.8571428571431</v>
      </c>
      <c r="P257" s="448">
        <f>H48*P240^G93</f>
        <v>2142.8571428571431</v>
      </c>
      <c r="Q257" s="445">
        <f t="shared" si="53"/>
        <v>1</v>
      </c>
      <c r="R257" s="444" t="s">
        <v>1349</v>
      </c>
      <c r="S257" s="446">
        <f>IF(U250=0,1E+99,(U246*U248-U244*U249)/U250)</f>
        <v>9.9999999999999997E+98</v>
      </c>
      <c r="T257" s="445">
        <f t="shared" si="54"/>
        <v>-1.5193341601736405E-15</v>
      </c>
      <c r="U257" s="445">
        <f t="shared" si="54"/>
        <v>-3.0386683203472813E-18</v>
      </c>
      <c r="V257" s="445">
        <f t="shared" si="54"/>
        <v>-5.3497886398855771E-17</v>
      </c>
      <c r="W257" s="443"/>
      <c r="X257" s="443"/>
      <c r="Y257" s="445"/>
      <c r="AF257" s="458"/>
      <c r="AG257" s="444" t="s">
        <v>1364</v>
      </c>
      <c r="AH257" s="464">
        <f>AI241+AI242*COS(AH238)+AI243*SIN(AH238)-V263</f>
        <v>3.2009569950941313E-5</v>
      </c>
      <c r="AI257" s="458"/>
    </row>
    <row r="258" spans="10:35">
      <c r="J258" s="444" t="s">
        <v>1365</v>
      </c>
      <c r="K258" s="445">
        <f>K257*K241</f>
        <v>2.8969244443497315</v>
      </c>
      <c r="L258" s="445">
        <f>L257*L241</f>
        <v>2.8969244443497315</v>
      </c>
      <c r="M258" s="449">
        <f>L258/K258</f>
        <v>1</v>
      </c>
      <c r="N258" s="444" t="s">
        <v>1176</v>
      </c>
      <c r="O258" s="448">
        <f>O253</f>
        <v>40</v>
      </c>
      <c r="P258" s="448">
        <f>G48*P240^H92</f>
        <v>40</v>
      </c>
      <c r="Q258" s="445">
        <f t="shared" si="53"/>
        <v>1</v>
      </c>
      <c r="S258" s="443"/>
      <c r="T258" s="471"/>
      <c r="W258" s="443"/>
      <c r="X258" s="443"/>
      <c r="Y258" s="445"/>
      <c r="AF258" s="458"/>
      <c r="AG258" s="444" t="s">
        <v>1367</v>
      </c>
      <c r="AH258" s="464">
        <f>2*AI241-AH257-V264-V263</f>
        <v>-7.4587246658875653E-4</v>
      </c>
      <c r="AI258" s="458"/>
    </row>
    <row r="259" spans="10:35">
      <c r="J259" s="444" t="s">
        <v>1370</v>
      </c>
      <c r="K259" s="445">
        <f>K242</f>
        <v>7.17</v>
      </c>
      <c r="L259" s="445">
        <f>L242</f>
        <v>7.17</v>
      </c>
      <c r="M259" s="449">
        <f>L259/K259</f>
        <v>1</v>
      </c>
      <c r="R259" s="444"/>
      <c r="S259" s="450" t="s">
        <v>1406</v>
      </c>
      <c r="T259" s="450" t="s">
        <v>1407</v>
      </c>
      <c r="U259" s="450" t="s">
        <v>1408</v>
      </c>
      <c r="V259" s="450" t="s">
        <v>1409</v>
      </c>
      <c r="W259" s="450" t="s">
        <v>1410</v>
      </c>
      <c r="X259" s="450" t="s">
        <v>1411</v>
      </c>
      <c r="Y259" s="450" t="s">
        <v>1394</v>
      </c>
      <c r="AF259" s="458"/>
      <c r="AG259" s="444" t="s">
        <v>1372</v>
      </c>
      <c r="AH259" s="464">
        <f>2*(AI243*COS(AH238)-AI242*SIN(AH238))</f>
        <v>-4.4829002290110478E-5</v>
      </c>
      <c r="AI259" s="458"/>
    </row>
    <row r="260" spans="10:35">
      <c r="J260" s="443" t="s">
        <v>1510</v>
      </c>
      <c r="K260" s="445"/>
      <c r="L260" s="445"/>
      <c r="N260" s="443" t="s">
        <v>1375</v>
      </c>
      <c r="R260" s="444">
        <v>1</v>
      </c>
      <c r="S260" s="458">
        <f>((L256+L258)/2*P244+(L258+L257)/2*P245)/1000000</f>
        <v>1.5083176634230242E-4</v>
      </c>
      <c r="T260" s="458">
        <f>((L256+L258)/2*P247+(L258+L257)/2*P248)</f>
        <v>3.9729249522510592</v>
      </c>
      <c r="U260" s="464">
        <f>S260+S261*Y260</f>
        <v>1.0982439455852986E-4</v>
      </c>
      <c r="V260" s="455">
        <f>T260+T261*Y260</f>
        <v>2.8555398094304483</v>
      </c>
      <c r="W260" s="455">
        <f>(U260*S252+U261*S254+U262*S256)*T238*1000000</f>
        <v>0</v>
      </c>
      <c r="X260" s="455">
        <f>(V260*S252+V261*S254+V262*S256)*T238</f>
        <v>0</v>
      </c>
      <c r="Y260" s="455">
        <f>COS(S240)</f>
        <v>0.50000000000000011</v>
      </c>
      <c r="AF260" s="458"/>
      <c r="AG260" s="458"/>
      <c r="AH260" s="458"/>
      <c r="AI260" s="458"/>
    </row>
    <row r="261" spans="10:35">
      <c r="J261" s="444" t="s">
        <v>1380</v>
      </c>
      <c r="K261" s="445">
        <f>(3*K256+3*K257+2*K258+4*K259)/8</f>
        <v>76.368217701426829</v>
      </c>
      <c r="L261" s="445">
        <f>(3*L256+3*L257+2*L258+4*L259)/8</f>
        <v>76.368217701426843</v>
      </c>
      <c r="M261" s="449">
        <f>L261/K261</f>
        <v>1.0000000000000002</v>
      </c>
      <c r="N261" s="444" t="s">
        <v>1381</v>
      </c>
      <c r="O261" s="445">
        <f>1/O251/O252*1000000</f>
        <v>0.44444444444444442</v>
      </c>
      <c r="P261" s="445">
        <f>1/P251/P252*1000000</f>
        <v>0.44444444444444442</v>
      </c>
      <c r="Q261" s="445">
        <f>P261/O261</f>
        <v>1</v>
      </c>
      <c r="R261" s="444">
        <v>2</v>
      </c>
      <c r="S261" s="458">
        <f>((L256-L258)/2*P244+(L258-L257)/2*P245)/1000000</f>
        <v>-8.2014743567545106E-5</v>
      </c>
      <c r="T261" s="458">
        <f>((L256-L258)/2*P247+(L258-L257)/2*P248)</f>
        <v>-2.234770285641221</v>
      </c>
      <c r="U261" s="464">
        <f>S260-S261*Y260</f>
        <v>1.9183913812607499E-4</v>
      </c>
      <c r="V261" s="455">
        <f>T260-T261*Y260</f>
        <v>5.0903100950716702</v>
      </c>
      <c r="W261" s="455">
        <f>(U260*S254+U261*S253+U262*S257)*T238*1000000</f>
        <v>0</v>
      </c>
      <c r="X261" s="455">
        <f>(V260*S254+V261*S253+V262*S257)*T238</f>
        <v>0</v>
      </c>
      <c r="Y261" s="455">
        <f>SIN(S240)</f>
        <v>0.8660254037844386</v>
      </c>
      <c r="AF261" s="458"/>
      <c r="AG261" s="462" t="s">
        <v>1383</v>
      </c>
      <c r="AH261" s="479">
        <f>P267*AH257^2+2*P269*AH257*AH258+P268*AH258^2+P270*AH259^2</f>
        <v>6.1231143166906223E-3</v>
      </c>
      <c r="AI261" s="458"/>
    </row>
    <row r="262" spans="10:35">
      <c r="J262" s="444" t="s">
        <v>1384</v>
      </c>
      <c r="K262" s="445">
        <f>(K256-K257)/2</f>
        <v>85.732490057298719</v>
      </c>
      <c r="L262" s="445">
        <f>(L256-L257)/2</f>
        <v>85.732490057298733</v>
      </c>
      <c r="M262" s="449">
        <f>L262/K262</f>
        <v>1.0000000000000002</v>
      </c>
      <c r="N262" s="444" t="s">
        <v>1385</v>
      </c>
      <c r="O262" s="445">
        <f>1/O253/O254*1000000</f>
        <v>101.6260162601626</v>
      </c>
      <c r="P262" s="445">
        <f>1/P253/P254*1000000</f>
        <v>101.6260162601626</v>
      </c>
      <c r="Q262" s="445">
        <f>P262/O262</f>
        <v>1</v>
      </c>
      <c r="R262" s="444">
        <v>6</v>
      </c>
      <c r="S262" s="450" t="s">
        <v>1419</v>
      </c>
      <c r="T262" s="450" t="s">
        <v>1420</v>
      </c>
      <c r="U262" s="464">
        <f>S261*Y261</f>
        <v>-7.1026851414360436E-5</v>
      </c>
      <c r="V262" s="455">
        <f>T261*Y261</f>
        <v>-1.9353678389879037</v>
      </c>
      <c r="W262" s="455">
        <f>(U260*S256+U261*S257+U262*S255)*T238*1000000</f>
        <v>0</v>
      </c>
      <c r="X262" s="455">
        <f>(V260*S256+V261*S257+V262*S255)*T238</f>
        <v>0</v>
      </c>
      <c r="Y262" s="450" t="s">
        <v>406</v>
      </c>
      <c r="AF262" s="458"/>
      <c r="AG262" s="462" t="s">
        <v>1387</v>
      </c>
      <c r="AH262" s="479">
        <f>P271*AH257+P272*AH258</f>
        <v>-0.15961201615167811</v>
      </c>
      <c r="AI262" s="458"/>
    </row>
    <row r="263" spans="10:35">
      <c r="J263" s="444" t="s">
        <v>1388</v>
      </c>
      <c r="K263" s="445">
        <f>(K256+K257-2*K258-4*K259)/8</f>
        <v>19.710431085692363</v>
      </c>
      <c r="L263" s="445">
        <f>(L256+L257-2*L258-4*L259)/8</f>
        <v>19.710431085692367</v>
      </c>
      <c r="M263" s="449">
        <f>L263/K263</f>
        <v>1.0000000000000002</v>
      </c>
      <c r="N263" s="444" t="s">
        <v>1389</v>
      </c>
      <c r="O263" s="445">
        <f>O256*(O261*O262)^0.5</f>
        <v>-3.3603243272729659</v>
      </c>
      <c r="P263" s="445">
        <f>P256*(P261*P262)^0.5</f>
        <v>-3.3603243272729659</v>
      </c>
      <c r="Q263" s="445">
        <f>P263/O263</f>
        <v>1</v>
      </c>
      <c r="R263" s="444">
        <v>1</v>
      </c>
      <c r="S263" s="471">
        <f>P241*U260+P237*V260</f>
        <v>3.2952595912992561E-3</v>
      </c>
      <c r="T263" s="446">
        <f>P241*W260/1000000+P237*X260</f>
        <v>0</v>
      </c>
      <c r="U263" s="450" t="s">
        <v>1423</v>
      </c>
      <c r="V263" s="446">
        <f>P241*P244/1000000+P237*P247</f>
        <v>-1.9999999999999999E-6</v>
      </c>
      <c r="W263" s="443"/>
      <c r="Y263" s="455">
        <f>Y260+Y299+W343+W382+W421+W460+W499+W538</f>
        <v>1.0000000000000002</v>
      </c>
      <c r="AF263" s="458"/>
      <c r="AG263" s="462" t="s">
        <v>1390</v>
      </c>
      <c r="AH263" s="479">
        <f>AH261+AH262</f>
        <v>-0.15348890183498748</v>
      </c>
      <c r="AI263" s="458"/>
    </row>
    <row r="264" spans="10:35">
      <c r="J264" s="444" t="s">
        <v>1391</v>
      </c>
      <c r="K264" s="445">
        <f>(K256+K257+6*K258-4*K259)/8</f>
        <v>22.607355530042096</v>
      </c>
      <c r="L264" s="445">
        <f>(L256+L257+6*L258-4*L259)/8</f>
        <v>22.607355530042099</v>
      </c>
      <c r="M264" s="449">
        <f>L264/K264</f>
        <v>1.0000000000000002</v>
      </c>
      <c r="N264" s="444" t="s">
        <v>1392</v>
      </c>
      <c r="O264" s="445">
        <f>1/O255^2*1000000</f>
        <v>216.26297577854672</v>
      </c>
      <c r="P264" s="445">
        <f>1/P255^2*1000000</f>
        <v>216.26297577854672</v>
      </c>
      <c r="Q264" s="445">
        <f>P264/O264</f>
        <v>1</v>
      </c>
      <c r="R264" s="444">
        <v>2</v>
      </c>
      <c r="S264" s="471">
        <f>P241*U261+P237*V261</f>
        <v>6.2676366627508542E-3</v>
      </c>
      <c r="T264" s="446">
        <f>P241*W261/1000000+P237*X261</f>
        <v>0</v>
      </c>
      <c r="U264" s="450" t="s">
        <v>1427</v>
      </c>
      <c r="V264" s="446">
        <f>P241*P245/1000000+P237*P248</f>
        <v>7.5000000000000023E-4</v>
      </c>
      <c r="W264" s="443"/>
      <c r="Y264" s="455">
        <f>Y261+Y300+W344+W383+W422+W461+W500+W539</f>
        <v>0</v>
      </c>
      <c r="AA264" s="442" t="s">
        <v>699</v>
      </c>
      <c r="AB264" s="442" t="s">
        <v>701</v>
      </c>
      <c r="AC264" s="444" t="s">
        <v>408</v>
      </c>
      <c r="AD264" s="444" t="s">
        <v>409</v>
      </c>
      <c r="AE264" s="443" t="s">
        <v>410</v>
      </c>
      <c r="AF264" s="458"/>
      <c r="AG264" s="462" t="s">
        <v>1395</v>
      </c>
      <c r="AH264" s="479">
        <f>-1+AH263</f>
        <v>-1.1534889018349874</v>
      </c>
      <c r="AI264" s="458"/>
    </row>
    <row r="265" spans="10:35">
      <c r="J265" s="444" t="s">
        <v>1396</v>
      </c>
      <c r="K265" s="445">
        <f>(K261-K264)/2</f>
        <v>26.880431085692365</v>
      </c>
      <c r="L265" s="445">
        <f>(L261-L264)/2</f>
        <v>26.880431085692372</v>
      </c>
      <c r="M265" s="449">
        <f>L265/K265</f>
        <v>1.0000000000000002</v>
      </c>
      <c r="N265" s="444" t="s">
        <v>1397</v>
      </c>
      <c r="O265" s="445">
        <f>(1/O251-1/O252)*1000</f>
        <v>0</v>
      </c>
      <c r="P265" s="445">
        <f>(1/P251-1/P252)*1000</f>
        <v>0</v>
      </c>
      <c r="Q265" s="445">
        <f>IF(O265=0,1,P265/O265)</f>
        <v>1</v>
      </c>
      <c r="R265" s="444">
        <v>6</v>
      </c>
      <c r="S265" s="471">
        <f>P241*U262+P237*V262</f>
        <v>-2.5741540535034755E-3</v>
      </c>
      <c r="T265" s="446">
        <f>P241*W262/1000000+P237*X262</f>
        <v>0</v>
      </c>
      <c r="U265" s="450" t="s">
        <v>1429</v>
      </c>
      <c r="V265" s="446">
        <f>0</f>
        <v>0</v>
      </c>
      <c r="W265" s="443"/>
      <c r="Y265" s="446"/>
      <c r="AA265" s="458">
        <f t="shared" ref="AA265:AE267" si="55">AA226</f>
        <v>2.9711368780229658E-5</v>
      </c>
      <c r="AB265" s="458">
        <f t="shared" si="55"/>
        <v>0.7678998340530242</v>
      </c>
      <c r="AC265" s="458">
        <f t="shared" si="55"/>
        <v>1.363735669153409</v>
      </c>
      <c r="AD265" s="458">
        <f t="shared" si="55"/>
        <v>3.5864831027226207E-2</v>
      </c>
      <c r="AE265" s="458">
        <f t="shared" si="55"/>
        <v>4.2950588220790124E-5</v>
      </c>
      <c r="AF265" s="458"/>
      <c r="AG265" s="462" t="s">
        <v>1399</v>
      </c>
      <c r="AH265" s="479">
        <f>2*(P267*AH241*AH257+P268*AH242*AH258+P269*(AH241*AH258+AH257*AH242)+P270*AH243*AH259)</f>
        <v>0</v>
      </c>
      <c r="AI265" s="458"/>
    </row>
    <row r="266" spans="10:35">
      <c r="J266" s="443" t="s">
        <v>1400</v>
      </c>
      <c r="N266" s="444" t="s">
        <v>1401</v>
      </c>
      <c r="O266" s="445">
        <f>(1/O253-1/O254)*1000</f>
        <v>20.934959349593495</v>
      </c>
      <c r="P266" s="445">
        <f>(1/P253-1/P254)*1000</f>
        <v>20.934959349593495</v>
      </c>
      <c r="Q266" s="445">
        <f t="shared" ref="Q266:Q272" si="56">P266/O266</f>
        <v>1</v>
      </c>
      <c r="R266" s="444"/>
      <c r="S266" s="455"/>
      <c r="T266" s="455"/>
      <c r="U266" s="455"/>
      <c r="V266" s="455"/>
      <c r="W266" s="443"/>
      <c r="X266" s="443"/>
      <c r="Y266" s="446"/>
      <c r="AA266" s="458">
        <f t="shared" si="55"/>
        <v>1.7675632838392989E-5</v>
      </c>
      <c r="AB266" s="458">
        <f t="shared" si="55"/>
        <v>0.42306828615470354</v>
      </c>
      <c r="AC266" s="458">
        <f t="shared" si="55"/>
        <v>-0.1836797069434101</v>
      </c>
      <c r="AD266" s="458">
        <f t="shared" si="55"/>
        <v>-5.4362911105892316E-3</v>
      </c>
      <c r="AE266" s="458">
        <f t="shared" si="55"/>
        <v>-8.8134848586051478E-6</v>
      </c>
      <c r="AG266" s="462" t="s">
        <v>1403</v>
      </c>
      <c r="AH266" s="479">
        <f>AH265+AH249</f>
        <v>0</v>
      </c>
      <c r="AI266" s="458"/>
    </row>
    <row r="267" spans="10:35">
      <c r="J267" s="444" t="s">
        <v>1404</v>
      </c>
      <c r="K267" s="445">
        <f>(1-(K264/K261)^2)*K261</f>
        <v>69.675740916648124</v>
      </c>
      <c r="L267" s="445">
        <f>(1-(L264/L261)^2)*L261</f>
        <v>69.675740916648138</v>
      </c>
      <c r="M267" s="445">
        <f>L267/K267</f>
        <v>1.0000000000000002</v>
      </c>
      <c r="N267" s="444" t="s">
        <v>1405</v>
      </c>
      <c r="O267" s="448">
        <f>(O261*K256^2+2*O263*K256*K258+O262*K258^2)</f>
        <v>12004.38353147296</v>
      </c>
      <c r="P267" s="448">
        <f>(P261*L256^2+2*P263*L256*L258+P262*L258^2)</f>
        <v>12004.38353147296</v>
      </c>
      <c r="Q267" s="445">
        <f t="shared" si="56"/>
        <v>1</v>
      </c>
      <c r="S267" s="443"/>
      <c r="T267" s="443"/>
      <c r="W267" s="443"/>
      <c r="X267" s="443"/>
      <c r="Y267" s="446"/>
      <c r="AA267" s="458">
        <f t="shared" si="55"/>
        <v>-8.4703294725430034E-22</v>
      </c>
      <c r="AB267" s="458">
        <f t="shared" si="55"/>
        <v>-2.7755575615628914E-17</v>
      </c>
      <c r="AC267" s="458">
        <f t="shared" si="55"/>
        <v>-9.002744015469067E-18</v>
      </c>
      <c r="AD267" s="458">
        <f t="shared" si="55"/>
        <v>-3.8174105857845086E-19</v>
      </c>
      <c r="AE267" s="458">
        <f t="shared" si="55"/>
        <v>-1.0084308913453477E-21</v>
      </c>
      <c r="AG267" s="462" t="s">
        <v>1412</v>
      </c>
      <c r="AH267" s="479" t="e">
        <f>AH266/2/AH248</f>
        <v>#DIV/0!</v>
      </c>
      <c r="AI267" s="458"/>
    </row>
    <row r="268" spans="10:35">
      <c r="J268" s="444" t="s">
        <v>1414</v>
      </c>
      <c r="K268" s="445">
        <f>K264/K261</f>
        <v>0.29603094337527941</v>
      </c>
      <c r="L268" s="445">
        <f>L264/L261</f>
        <v>0.29603094337527941</v>
      </c>
      <c r="M268" s="445">
        <f>L268/K268</f>
        <v>1</v>
      </c>
      <c r="N268" s="444" t="s">
        <v>1415</v>
      </c>
      <c r="O268" s="448">
        <f>(O261*K258^2+2*O263*K258*K257+O262*K257^2)</f>
        <v>10680.652008265077</v>
      </c>
      <c r="P268" s="448">
        <f>(P261*L258^2+2*P263*L258*L257+P262*L257^2)</f>
        <v>10680.652008265077</v>
      </c>
      <c r="Q268" s="445">
        <f t="shared" si="56"/>
        <v>1</v>
      </c>
      <c r="S268" s="443"/>
      <c r="T268" s="443"/>
      <c r="W268" s="443"/>
      <c r="X268" s="443"/>
      <c r="Y268" s="446"/>
      <c r="Z268" s="444"/>
      <c r="AG268" s="462"/>
      <c r="AH268" s="455"/>
      <c r="AI268" s="458"/>
    </row>
    <row r="269" spans="10:35">
      <c r="N269" s="444" t="s">
        <v>1416</v>
      </c>
      <c r="O269" s="448">
        <f>(O261*K256*K258+O263*(K256*K257+K258^2)+O262*K258*K257)</f>
        <v>-3069.103206291968</v>
      </c>
      <c r="P269" s="448">
        <f>(P261*L256*L258+P263*(L256*L257+L258^2)+P262*L258*L257)</f>
        <v>-3069.1032062919689</v>
      </c>
      <c r="Q269" s="445">
        <f t="shared" si="56"/>
        <v>1.0000000000000002</v>
      </c>
      <c r="S269" s="443"/>
      <c r="T269" s="443"/>
      <c r="W269" s="443"/>
      <c r="X269" s="443"/>
      <c r="Y269" s="446"/>
      <c r="AE269" s="450"/>
      <c r="AG269" s="462"/>
      <c r="AH269" s="455"/>
      <c r="AI269" s="458"/>
    </row>
    <row r="270" spans="10:35">
      <c r="J270" s="444" t="s">
        <v>1193</v>
      </c>
      <c r="K270" s="445">
        <f>D92</f>
        <v>1.6</v>
      </c>
      <c r="L270" s="445">
        <f>L271*(1-L245)+L272*L245</f>
        <v>1.6</v>
      </c>
      <c r="M270" s="445">
        <f>L270/K270</f>
        <v>1</v>
      </c>
      <c r="N270" s="444" t="s">
        <v>1418</v>
      </c>
      <c r="O270" s="448">
        <f>O264*K259^2</f>
        <v>11117.841695501729</v>
      </c>
      <c r="P270" s="448">
        <f>P264*L259^2</f>
        <v>11117.841695501729</v>
      </c>
      <c r="Q270" s="445">
        <f t="shared" si="56"/>
        <v>1</v>
      </c>
      <c r="S270" s="443"/>
      <c r="T270" s="443"/>
      <c r="W270" s="443"/>
      <c r="X270" s="443"/>
      <c r="Y270" s="468"/>
      <c r="Z270" s="442"/>
      <c r="AA270" s="442"/>
      <c r="AB270" s="442"/>
      <c r="AC270" s="444"/>
      <c r="AD270" s="444"/>
      <c r="AE270" s="446"/>
      <c r="AG270" s="462"/>
      <c r="AH270" s="455"/>
      <c r="AI270" s="462" t="s">
        <v>1421</v>
      </c>
    </row>
    <row r="271" spans="10:35">
      <c r="J271" s="444" t="s">
        <v>274</v>
      </c>
      <c r="K271" s="445">
        <f>F91</f>
        <v>1.2</v>
      </c>
      <c r="L271" s="445">
        <f>K271</f>
        <v>1.2</v>
      </c>
      <c r="M271" s="445">
        <f>L271/K271</f>
        <v>1</v>
      </c>
      <c r="N271" s="444" t="s">
        <v>1422</v>
      </c>
      <c r="O271" s="448">
        <f>(O265*K256+O266*K258)</f>
        <v>60.646995481305353</v>
      </c>
      <c r="P271" s="448">
        <f>(P265*L256+P266*L258)</f>
        <v>60.646995481305353</v>
      </c>
      <c r="Q271" s="445">
        <f t="shared" si="56"/>
        <v>1</v>
      </c>
      <c r="S271" s="443"/>
      <c r="T271" s="443"/>
      <c r="W271" s="443"/>
      <c r="X271" s="443"/>
      <c r="Y271" s="471"/>
      <c r="Z271" s="471"/>
      <c r="AA271" s="455"/>
      <c r="AB271" s="455"/>
      <c r="AC271" s="455"/>
      <c r="AD271" s="455"/>
      <c r="AG271" s="444" t="s">
        <v>1424</v>
      </c>
      <c r="AH271" s="455" t="e">
        <f>(AH267^2-AH264/AH248)^0.5-AH267</f>
        <v>#DIV/0!</v>
      </c>
      <c r="AI271" s="455">
        <f>AH272</f>
        <v>1000000000</v>
      </c>
    </row>
    <row r="272" spans="10:35">
      <c r="J272" s="444" t="s">
        <v>1195</v>
      </c>
      <c r="K272" s="445">
        <f>(K270-K271*(1-K245))/K245</f>
        <v>1.7714285714285716</v>
      </c>
      <c r="L272" s="445">
        <f>K272</f>
        <v>1.7714285714285716</v>
      </c>
      <c r="M272" s="445">
        <f>L272/K272</f>
        <v>1</v>
      </c>
      <c r="N272" s="444" t="s">
        <v>1426</v>
      </c>
      <c r="O272" s="448">
        <f>(O265*K258+O266*K257)</f>
        <v>216.59641243323335</v>
      </c>
      <c r="P272" s="448">
        <f>(P265*L258+P266*L257)</f>
        <v>216.59641243323335</v>
      </c>
      <c r="Q272" s="445">
        <f t="shared" si="56"/>
        <v>1</v>
      </c>
      <c r="S272" s="443"/>
      <c r="T272" s="443"/>
      <c r="W272" s="443"/>
      <c r="X272" s="443"/>
      <c r="Y272" s="471"/>
      <c r="Z272" s="471"/>
      <c r="AA272" s="455"/>
      <c r="AB272" s="455"/>
      <c r="AC272" s="455"/>
      <c r="AD272" s="455"/>
      <c r="AG272" s="444" t="s">
        <v>194</v>
      </c>
      <c r="AH272" s="455">
        <f>IF(AH237=0,1000000000,AH271)</f>
        <v>1000000000</v>
      </c>
    </row>
    <row r="273" spans="10:35">
      <c r="L273" s="443" t="s">
        <v>1428</v>
      </c>
      <c r="S273" s="443"/>
      <c r="T273" s="443"/>
      <c r="W273" s="443"/>
      <c r="X273" s="443"/>
      <c r="Y273" s="471"/>
      <c r="Z273" s="471"/>
      <c r="AA273" s="455"/>
      <c r="AB273" s="455"/>
      <c r="AC273" s="455"/>
      <c r="AD273" s="455"/>
      <c r="AG273" s="444" t="s">
        <v>194</v>
      </c>
      <c r="AH273" s="455">
        <f>IF(AH237=0,0,AH271)</f>
        <v>0</v>
      </c>
    </row>
    <row r="274" spans="10:35">
      <c r="J274" s="442" t="s">
        <v>852</v>
      </c>
      <c r="K274" s="444"/>
      <c r="L274" s="444"/>
      <c r="N274" s="443" t="s">
        <v>1551</v>
      </c>
      <c r="P274" s="445"/>
      <c r="R274" s="443" t="s">
        <v>634</v>
      </c>
      <c r="Z274" s="443" t="s">
        <v>635</v>
      </c>
      <c r="AG274" s="443" t="s">
        <v>636</v>
      </c>
    </row>
    <row r="275" spans="10:35">
      <c r="J275" s="444" t="str">
        <f>A95</f>
        <v>T3/N52[SI]</v>
      </c>
      <c r="K275" s="442"/>
      <c r="L275" s="444"/>
      <c r="N275" s="444" t="s">
        <v>596</v>
      </c>
      <c r="O275" s="448">
        <f>G96</f>
        <v>22</v>
      </c>
      <c r="P275" s="448">
        <f>B50</f>
        <v>22</v>
      </c>
      <c r="Q275" s="449">
        <f t="shared" ref="Q275:Q280" si="57">P275/O275</f>
        <v>1</v>
      </c>
      <c r="R275" s="442"/>
      <c r="X275" s="450"/>
      <c r="Z275" s="444" t="s">
        <v>531</v>
      </c>
      <c r="AA275" s="451">
        <f>S277</f>
        <v>-30</v>
      </c>
      <c r="AB275" s="451"/>
      <c r="AC275" s="451"/>
      <c r="AD275" s="451"/>
      <c r="AE275" s="444" t="s">
        <v>532</v>
      </c>
      <c r="AF275" s="450" t="s">
        <v>533</v>
      </c>
      <c r="AG275" s="444" t="s">
        <v>531</v>
      </c>
      <c r="AH275" s="451">
        <f>AA275</f>
        <v>-30</v>
      </c>
    </row>
    <row r="276" spans="10:35">
      <c r="J276" s="444"/>
      <c r="K276" s="444"/>
      <c r="L276" s="444"/>
      <c r="N276" s="444" t="s">
        <v>600</v>
      </c>
      <c r="O276" s="455">
        <f>H96</f>
        <v>5.0000000000000001E-3</v>
      </c>
      <c r="P276" s="455">
        <f>C50</f>
        <v>5.0000000000000001E-3</v>
      </c>
      <c r="Q276" s="449">
        <f t="shared" si="57"/>
        <v>1</v>
      </c>
      <c r="R276" s="444" t="s">
        <v>243</v>
      </c>
      <c r="S276" s="450" t="s">
        <v>1562</v>
      </c>
      <c r="T276" s="450" t="s">
        <v>652</v>
      </c>
      <c r="U276" s="450" t="s">
        <v>646</v>
      </c>
      <c r="V276" s="450"/>
      <c r="W276" s="450"/>
      <c r="X276" s="450"/>
      <c r="Z276" s="444" t="s">
        <v>536</v>
      </c>
      <c r="AA276" s="451">
        <f>S278</f>
        <v>0</v>
      </c>
      <c r="AB276" s="451"/>
      <c r="AC276" s="451"/>
      <c r="AD276" s="451"/>
      <c r="AE276" s="444">
        <f>W278</f>
        <v>0</v>
      </c>
      <c r="AF276" s="451">
        <f>X278</f>
        <v>0</v>
      </c>
      <c r="AG276" s="444" t="s">
        <v>536</v>
      </c>
      <c r="AH276" s="451">
        <f>AA276</f>
        <v>0</v>
      </c>
    </row>
    <row r="277" spans="10:35">
      <c r="J277" s="444" t="s">
        <v>1553</v>
      </c>
      <c r="K277" s="444" t="s">
        <v>1554</v>
      </c>
      <c r="L277" s="444" t="s">
        <v>1555</v>
      </c>
      <c r="M277" s="456" t="s">
        <v>1556</v>
      </c>
      <c r="N277" s="444" t="s">
        <v>1557</v>
      </c>
      <c r="O277" s="448">
        <f>G95</f>
        <v>122</v>
      </c>
      <c r="P277" s="448">
        <f>O277</f>
        <v>122</v>
      </c>
      <c r="Q277" s="449">
        <f t="shared" si="57"/>
        <v>1</v>
      </c>
      <c r="R277" s="444" t="s">
        <v>537</v>
      </c>
      <c r="S277" s="457">
        <f>C10</f>
        <v>-30</v>
      </c>
      <c r="T277" s="458">
        <f>E10*L282/1000000</f>
        <v>0</v>
      </c>
      <c r="U277" s="455">
        <f>U238</f>
        <v>2E-3</v>
      </c>
      <c r="V277" s="457"/>
      <c r="W277" s="450"/>
      <c r="X277" s="450"/>
      <c r="Z277" s="444" t="s">
        <v>539</v>
      </c>
      <c r="AA277" s="451">
        <f>S279</f>
        <v>-1.0471975511965976</v>
      </c>
      <c r="AB277" s="451"/>
      <c r="AC277" s="451"/>
      <c r="AD277" s="451"/>
      <c r="AE277" s="444" t="s">
        <v>540</v>
      </c>
      <c r="AF277" s="446">
        <f>T277</f>
        <v>0</v>
      </c>
      <c r="AG277" s="444" t="s">
        <v>539</v>
      </c>
      <c r="AH277" s="451">
        <f>AA277</f>
        <v>-1.0471975511965976</v>
      </c>
    </row>
    <row r="278" spans="10:35">
      <c r="J278" s="444" t="s">
        <v>298</v>
      </c>
      <c r="K278" s="445">
        <f>B95</f>
        <v>181</v>
      </c>
      <c r="L278" s="445">
        <f>L285*L284*I81</f>
        <v>181.00000000000003</v>
      </c>
      <c r="M278" s="449">
        <f>L278/K278</f>
        <v>1.0000000000000002</v>
      </c>
      <c r="N278" s="444" t="s">
        <v>299</v>
      </c>
      <c r="O278" s="448">
        <f>H95</f>
        <v>160</v>
      </c>
      <c r="P278" s="448">
        <f>O278-H98*(P276)</f>
        <v>150</v>
      </c>
      <c r="Q278" s="449">
        <f t="shared" si="57"/>
        <v>0.9375</v>
      </c>
      <c r="R278" s="444" t="s">
        <v>541</v>
      </c>
      <c r="S278" s="457">
        <f>D10</f>
        <v>0</v>
      </c>
      <c r="T278" s="445"/>
      <c r="U278" s="443">
        <f>T277/U277</f>
        <v>0</v>
      </c>
      <c r="V278" s="457"/>
      <c r="W278" s="459"/>
      <c r="X278" s="451"/>
      <c r="Z278" s="444"/>
      <c r="AA278" s="446"/>
      <c r="AB278" s="446"/>
      <c r="AC278" s="446"/>
      <c r="AD278" s="446"/>
      <c r="AE278" s="450"/>
      <c r="AI278" s="444" t="s">
        <v>109</v>
      </c>
    </row>
    <row r="279" spans="10:35">
      <c r="J279" s="444" t="s">
        <v>1579</v>
      </c>
      <c r="K279" s="445">
        <f>C95</f>
        <v>10.3</v>
      </c>
      <c r="L279" s="445">
        <f>(1+L288)/(1/L289+L288/L286)*I91</f>
        <v>10.3</v>
      </c>
      <c r="M279" s="449">
        <f>L279/K279</f>
        <v>1</v>
      </c>
      <c r="N279" s="444" t="s">
        <v>1580</v>
      </c>
      <c r="O279" s="445">
        <f>(O278-O275)/(O278-O275)</f>
        <v>1</v>
      </c>
      <c r="P279" s="445">
        <f>(P278-P275)/(P278-O275)</f>
        <v>1</v>
      </c>
      <c r="Q279" s="449">
        <f t="shared" si="57"/>
        <v>1</v>
      </c>
      <c r="R279" s="444" t="s">
        <v>1295</v>
      </c>
      <c r="S279" s="461">
        <f>S277*PI()/90</f>
        <v>-1.0471975511965976</v>
      </c>
      <c r="T279" s="461"/>
      <c r="U279" s="461"/>
      <c r="V279" s="461"/>
      <c r="W279" s="450"/>
      <c r="X279" s="462"/>
      <c r="Y279" s="444"/>
      <c r="Z279" s="442" t="s">
        <v>1297</v>
      </c>
      <c r="AA279" s="450"/>
      <c r="AB279" s="450"/>
      <c r="AC279" s="446"/>
      <c r="AD279" s="446"/>
      <c r="AE279" s="446"/>
      <c r="AG279" s="442" t="s">
        <v>1298</v>
      </c>
      <c r="AI279" s="444" t="s">
        <v>1299</v>
      </c>
    </row>
    <row r="280" spans="10:35">
      <c r="J280" s="444" t="s">
        <v>259</v>
      </c>
      <c r="K280" s="445">
        <f>D95</f>
        <v>0.28000000000000003</v>
      </c>
      <c r="L280" s="445">
        <f>K280*I50*I71</f>
        <v>0.28000000000000003</v>
      </c>
      <c r="M280" s="449">
        <f>L280/K280</f>
        <v>1</v>
      </c>
      <c r="N280" s="444" t="s">
        <v>260</v>
      </c>
      <c r="O280" s="448">
        <f>O275-O277</f>
        <v>-100</v>
      </c>
      <c r="P280" s="448">
        <f>P275-P277</f>
        <v>-100</v>
      </c>
      <c r="Q280" s="449">
        <f t="shared" si="57"/>
        <v>1</v>
      </c>
      <c r="R280" s="444" t="s">
        <v>1300</v>
      </c>
      <c r="S280" s="461">
        <f>2*S279</f>
        <v>-2.0943951023931953</v>
      </c>
      <c r="T280" s="461"/>
      <c r="U280" s="461"/>
      <c r="V280" s="461"/>
      <c r="W280" s="459"/>
      <c r="X280" s="451"/>
      <c r="Y280" s="446"/>
      <c r="Z280" s="444"/>
      <c r="AA280" s="450" t="s">
        <v>1301</v>
      </c>
      <c r="AB280" s="450"/>
      <c r="AC280" s="463" t="s">
        <v>619</v>
      </c>
      <c r="AD280" s="463"/>
      <c r="AE280" s="450" t="s">
        <v>1303</v>
      </c>
      <c r="AF280" s="450" t="s">
        <v>1304</v>
      </c>
      <c r="AG280" s="444" t="s">
        <v>1305</v>
      </c>
      <c r="AH280" s="455">
        <f>AA286/1000</f>
        <v>0</v>
      </c>
      <c r="AI280" s="464">
        <f>($AE$31+$AE$32)/2</f>
        <v>1.7068551681092488E-5</v>
      </c>
    </row>
    <row r="281" spans="10:35">
      <c r="J281" s="444" t="s">
        <v>261</v>
      </c>
      <c r="K281" s="445">
        <f>E95</f>
        <v>7.17</v>
      </c>
      <c r="L281" s="445">
        <f>(1+L291)/(1/L292+L291*2.7/L286)</f>
        <v>7.17</v>
      </c>
      <c r="M281" s="449">
        <f>L281/K281</f>
        <v>1</v>
      </c>
      <c r="N281" s="444"/>
      <c r="O281" s="445"/>
      <c r="P281" s="445"/>
      <c r="Q281" s="445"/>
      <c r="S281" s="465"/>
      <c r="T281" s="465"/>
      <c r="U281" s="465"/>
      <c r="V281" s="484"/>
      <c r="W281" s="450"/>
      <c r="X281" s="450"/>
      <c r="Y281" s="446"/>
      <c r="Z281" s="444">
        <v>1</v>
      </c>
      <c r="AA281" s="445">
        <f>AA242</f>
        <v>0.5</v>
      </c>
      <c r="AB281" s="458"/>
      <c r="AC281" s="445">
        <f>AC242</f>
        <v>14.199945665574337</v>
      </c>
      <c r="AD281" s="458"/>
      <c r="AE281" s="462" t="s">
        <v>1306</v>
      </c>
      <c r="AF281" s="458">
        <f>IF(T277=0,0,(AC281+AC282)/2)</f>
        <v>0</v>
      </c>
      <c r="AG281" s="444" t="s">
        <v>1307</v>
      </c>
      <c r="AH281" s="455">
        <f>AA287/1000</f>
        <v>0</v>
      </c>
      <c r="AI281" s="464">
        <f>($AE$31-$AE$32)/2</f>
        <v>2.5882036539697636E-5</v>
      </c>
    </row>
    <row r="282" spans="10:35">
      <c r="J282" s="444" t="s">
        <v>262</v>
      </c>
      <c r="K282" s="448">
        <f>B97</f>
        <v>125</v>
      </c>
      <c r="L282" s="448">
        <f>K282/M284</f>
        <v>125</v>
      </c>
      <c r="M282" s="449">
        <f>L282/K282</f>
        <v>1</v>
      </c>
      <c r="N282" s="442" t="s">
        <v>1531</v>
      </c>
      <c r="O282" s="445"/>
      <c r="P282" s="445"/>
      <c r="Q282" s="445"/>
      <c r="R282" s="444" t="s">
        <v>1325</v>
      </c>
      <c r="S282" s="450" t="s">
        <v>1326</v>
      </c>
      <c r="T282" s="450"/>
      <c r="U282" s="450" t="s">
        <v>1330</v>
      </c>
      <c r="V282" s="444" t="s">
        <v>172</v>
      </c>
      <c r="W282" s="444" t="s">
        <v>187</v>
      </c>
      <c r="X282" s="450"/>
      <c r="Y282" s="455"/>
      <c r="Z282" s="444">
        <v>2</v>
      </c>
      <c r="AA282" s="445">
        <f>AA243</f>
        <v>0</v>
      </c>
      <c r="AB282" s="458"/>
      <c r="AC282" s="445">
        <f>AC243</f>
        <v>-4.5806509889074913</v>
      </c>
      <c r="AD282" s="458"/>
      <c r="AE282" s="462" t="s">
        <v>1309</v>
      </c>
      <c r="AF282" s="458">
        <f>IF(T277=0,0,(AC281-AC282)/2)</f>
        <v>0</v>
      </c>
      <c r="AG282" s="444" t="s">
        <v>1310</v>
      </c>
      <c r="AH282" s="455">
        <f>AA288/1000</f>
        <v>0</v>
      </c>
      <c r="AI282" s="464">
        <f>$AE$33/2</f>
        <v>-5.0421544567267384E-22</v>
      </c>
    </row>
    <row r="283" spans="10:35">
      <c r="J283" s="442" t="s">
        <v>264</v>
      </c>
      <c r="K283" s="445"/>
      <c r="L283" s="445"/>
      <c r="N283" s="444" t="s">
        <v>265</v>
      </c>
      <c r="O283" s="445">
        <f>A98</f>
        <v>0.02</v>
      </c>
      <c r="P283" s="445">
        <f>O283</f>
        <v>0.02</v>
      </c>
      <c r="Q283" s="445">
        <f>P283/O283</f>
        <v>1</v>
      </c>
      <c r="R283" s="444">
        <v>11</v>
      </c>
      <c r="S283" s="445">
        <f>L300+L301*COS(S279)+L302*COS(S280)</f>
        <v>109.37924718723004</v>
      </c>
      <c r="T283" s="445"/>
      <c r="U283" s="458">
        <f>S283*T277</f>
        <v>0</v>
      </c>
      <c r="V283" s="458">
        <f t="shared" ref="V283:W288" si="58">V244</f>
        <v>4.9567741608415233E-2</v>
      </c>
      <c r="W283" s="445">
        <f t="shared" si="58"/>
        <v>24.783870804207616</v>
      </c>
      <c r="X283" s="455"/>
      <c r="Y283" s="446"/>
      <c r="Z283" s="444">
        <v>6</v>
      </c>
      <c r="AA283" s="445">
        <f>AA244</f>
        <v>0</v>
      </c>
      <c r="AB283" s="458"/>
      <c r="AC283" s="445">
        <f>AC244</f>
        <v>6.8206751737942824E-16</v>
      </c>
      <c r="AD283" s="458"/>
      <c r="AE283" s="462" t="s">
        <v>1312</v>
      </c>
      <c r="AF283" s="458">
        <f>IF(T277=0,0,AC283/2)</f>
        <v>0</v>
      </c>
      <c r="AG283" s="444"/>
      <c r="AH283" s="458"/>
      <c r="AI283" s="458"/>
    </row>
    <row r="284" spans="10:35">
      <c r="J284" s="444" t="s">
        <v>1532</v>
      </c>
      <c r="K284" s="445">
        <f>C97</f>
        <v>0.7</v>
      </c>
      <c r="L284" s="445">
        <f>D50</f>
        <v>0.7</v>
      </c>
      <c r="M284" s="449">
        <f t="shared" ref="M284:M292" si="59">L284/K284</f>
        <v>1</v>
      </c>
      <c r="N284" s="444" t="s">
        <v>1533</v>
      </c>
      <c r="O284" s="445">
        <f>B98</f>
        <v>22.5</v>
      </c>
      <c r="P284" s="445">
        <f>O284*(1-L284)/(1-K284)</f>
        <v>22.5</v>
      </c>
      <c r="Q284" s="445">
        <f>P284/O284</f>
        <v>1</v>
      </c>
      <c r="R284" s="444">
        <v>22</v>
      </c>
      <c r="S284" s="445">
        <f>S283-2*L301*COS(S279)</f>
        <v>23.646757129931288</v>
      </c>
      <c r="T284" s="445"/>
      <c r="U284" s="458">
        <f>S284*T277</f>
        <v>0</v>
      </c>
      <c r="V284" s="458">
        <f t="shared" si="58"/>
        <v>0.13796301355045693</v>
      </c>
      <c r="W284" s="445">
        <f t="shared" si="58"/>
        <v>68.981506775228468</v>
      </c>
      <c r="X284" s="450"/>
      <c r="AA284" s="458"/>
      <c r="AB284" s="458"/>
      <c r="AC284" s="458"/>
      <c r="AD284" s="458"/>
      <c r="AE284" s="462"/>
      <c r="AF284" s="458"/>
      <c r="AG284" s="444"/>
      <c r="AH284" s="458"/>
      <c r="AI284" s="458"/>
    </row>
    <row r="285" spans="10:35">
      <c r="J285" s="444" t="s">
        <v>1534</v>
      </c>
      <c r="K285" s="448">
        <f>K278/K284</f>
        <v>258.57142857142861</v>
      </c>
      <c r="L285" s="448">
        <f>F50*P279^F98*I71</f>
        <v>258.57142857142861</v>
      </c>
      <c r="M285" s="449">
        <f t="shared" si="59"/>
        <v>1</v>
      </c>
      <c r="N285" s="443" t="s">
        <v>1535</v>
      </c>
      <c r="O285" s="445"/>
      <c r="P285" s="445"/>
      <c r="Q285" s="445"/>
      <c r="R285" s="444" t="s">
        <v>1345</v>
      </c>
      <c r="S285" s="445">
        <f>L303-L302*COS(S280)</f>
        <v>32.462571072888281</v>
      </c>
      <c r="T285" s="445"/>
      <c r="U285" s="458">
        <f>S285*T277</f>
        <v>0</v>
      </c>
      <c r="V285" s="458">
        <f t="shared" si="58"/>
        <v>4.4504424829219763E-2</v>
      </c>
      <c r="W285" s="445">
        <f t="shared" si="58"/>
        <v>22.252212414609883</v>
      </c>
      <c r="X285" s="458"/>
      <c r="Z285" s="442" t="s">
        <v>1323</v>
      </c>
      <c r="AA285" s="458"/>
      <c r="AB285" s="458"/>
      <c r="AC285" s="458"/>
      <c r="AD285" s="458"/>
      <c r="AE285" s="462"/>
      <c r="AF285" s="458"/>
      <c r="AG285" s="444"/>
      <c r="AH285" s="458"/>
      <c r="AI285" s="458"/>
    </row>
    <row r="286" spans="10:35">
      <c r="J286" s="444" t="s">
        <v>1536</v>
      </c>
      <c r="K286" s="445">
        <f>F95</f>
        <v>3.4</v>
      </c>
      <c r="L286" s="445">
        <f>E50*P279^F97*I50*I71</f>
        <v>3.4</v>
      </c>
      <c r="M286" s="449">
        <f t="shared" si="59"/>
        <v>1</v>
      </c>
      <c r="N286" s="444" t="s">
        <v>1537</v>
      </c>
      <c r="O286" s="445">
        <f>C98</f>
        <v>0</v>
      </c>
      <c r="P286" s="445">
        <f>O286</f>
        <v>0</v>
      </c>
      <c r="Q286" s="445">
        <v>1</v>
      </c>
      <c r="R286" s="444">
        <v>66</v>
      </c>
      <c r="S286" s="445">
        <f>S285-L303+L304</f>
        <v>36.735646628538554</v>
      </c>
      <c r="T286" s="445"/>
      <c r="U286" s="458">
        <f>S286*T277</f>
        <v>0</v>
      </c>
      <c r="V286" s="458">
        <f t="shared" si="58"/>
        <v>4.6600447042217497E-2</v>
      </c>
      <c r="W286" s="445">
        <f t="shared" si="58"/>
        <v>23.300223521108748</v>
      </c>
      <c r="X286" s="445"/>
      <c r="Z286" s="444" t="s">
        <v>1324</v>
      </c>
      <c r="AA286" s="455">
        <f>(AF281+AF282*COS(AA277)+AF283*SIN(AA277))</f>
        <v>0</v>
      </c>
      <c r="AB286" s="455" t="e">
        <f>IF(ABS(AA286/AA289)&lt;0.0000000001,0,AA286)</f>
        <v>#DIV/0!</v>
      </c>
      <c r="AC286" s="455"/>
      <c r="AD286" s="455"/>
      <c r="AE286" s="462"/>
      <c r="AF286" s="458"/>
      <c r="AG286" s="442"/>
      <c r="AH286" s="462"/>
      <c r="AI286" s="458"/>
    </row>
    <row r="287" spans="10:35">
      <c r="J287" s="444" t="s">
        <v>1538</v>
      </c>
      <c r="K287" s="445">
        <f>E97</f>
        <v>0.51600000000000001</v>
      </c>
      <c r="L287" s="445">
        <f>K287*P279^G97</f>
        <v>0.51600000000000001</v>
      </c>
      <c r="M287" s="449">
        <f t="shared" si="59"/>
        <v>1</v>
      </c>
      <c r="N287" s="444" t="s">
        <v>1539</v>
      </c>
      <c r="O287" s="445">
        <f>D98</f>
        <v>0.6</v>
      </c>
      <c r="P287" s="445">
        <f>O287*(1-L284)/(1-K284)</f>
        <v>0.6</v>
      </c>
      <c r="Q287" s="445">
        <f>P287/O287</f>
        <v>1</v>
      </c>
      <c r="R287" s="444" t="s">
        <v>1347</v>
      </c>
      <c r="S287" s="445">
        <f>L301*SIN(S279)/2+L302*SIN(S280)</f>
        <v>-54.192991199410834</v>
      </c>
      <c r="T287" s="445"/>
      <c r="U287" s="458">
        <f>S287*T277</f>
        <v>0</v>
      </c>
      <c r="V287" s="458">
        <f t="shared" si="58"/>
        <v>0</v>
      </c>
      <c r="W287" s="445">
        <f t="shared" si="58"/>
        <v>0</v>
      </c>
      <c r="X287" s="450"/>
      <c r="Z287" s="444" t="s">
        <v>1332</v>
      </c>
      <c r="AA287" s="455">
        <f>2*AF281-AA286</f>
        <v>0</v>
      </c>
      <c r="AB287" s="455" t="e">
        <f>IF(ABS(AA287/AA289)&lt;0.0000000001,0,AA287)</f>
        <v>#DIV/0!</v>
      </c>
      <c r="AC287" s="455"/>
      <c r="AD287" s="455"/>
      <c r="AE287" s="458"/>
      <c r="AF287" s="458"/>
      <c r="AG287" s="444" t="s">
        <v>1333</v>
      </c>
      <c r="AH287" s="458">
        <f>P306*AH280^2+2*P308*AH280*AH281+P307*AH281^2+P309*AH282^2</f>
        <v>0</v>
      </c>
      <c r="AI287" s="458"/>
    </row>
    <row r="288" spans="10:35">
      <c r="J288" s="444" t="s">
        <v>1547</v>
      </c>
      <c r="K288" s="445">
        <f>K287*(1-K284)/K284</f>
        <v>0.2211428571428572</v>
      </c>
      <c r="L288" s="445">
        <f>L287*(1-L284)/L284</f>
        <v>0.2211428571428572</v>
      </c>
      <c r="M288" s="449">
        <f t="shared" si="59"/>
        <v>1</v>
      </c>
      <c r="O288" s="445"/>
      <c r="P288" s="445"/>
      <c r="Q288" s="445"/>
      <c r="R288" s="444" t="s">
        <v>1349</v>
      </c>
      <c r="S288" s="445">
        <f>L301*SIN(S279)-S287</f>
        <v>-20.053523119906664</v>
      </c>
      <c r="T288" s="445"/>
      <c r="U288" s="458">
        <f>S288*T277</f>
        <v>0</v>
      </c>
      <c r="V288" s="458">
        <f t="shared" si="58"/>
        <v>6.9388939039072284E-18</v>
      </c>
      <c r="W288" s="445">
        <f t="shared" si="58"/>
        <v>3.4694469519536142E-15</v>
      </c>
      <c r="X288" s="458"/>
      <c r="Z288" s="444" t="s">
        <v>1334</v>
      </c>
      <c r="AA288" s="455">
        <f>(2*(AF283*COS(AA277)-AF282*SIN(AA277)))</f>
        <v>0</v>
      </c>
      <c r="AB288" s="455" t="e">
        <f>IF(ABS(AA288/AA289)&lt;0.0000000001,0,AA288)</f>
        <v>#DIV/0!</v>
      </c>
      <c r="AC288" s="455"/>
      <c r="AD288" s="455"/>
      <c r="AE288" s="458"/>
      <c r="AF288" s="458"/>
      <c r="AG288" s="444" t="s">
        <v>1335</v>
      </c>
      <c r="AH288" s="458">
        <f>P310*AH280+P311*AH281</f>
        <v>0</v>
      </c>
      <c r="AI288" s="458"/>
    </row>
    <row r="289" spans="10:35">
      <c r="J289" s="444" t="s">
        <v>1643</v>
      </c>
      <c r="K289" s="445">
        <f>1/((1+K288)/K279-K288/K286)</f>
        <v>18.686160319541436</v>
      </c>
      <c r="L289" s="445">
        <f>K289*P279^F98*I71</f>
        <v>18.686160319541436</v>
      </c>
      <c r="M289" s="449">
        <f t="shared" si="59"/>
        <v>1</v>
      </c>
      <c r="N289" s="443" t="s">
        <v>176</v>
      </c>
      <c r="O289" s="445"/>
      <c r="P289" s="445"/>
      <c r="Q289" s="445"/>
      <c r="S289" s="443"/>
      <c r="T289" s="450" t="s">
        <v>1353</v>
      </c>
      <c r="U289" s="446">
        <f>U283*U284*U286+2*U285*U287*U288-U284*U287^2-U286*U285^2-U283*U288^2</f>
        <v>0</v>
      </c>
      <c r="V289" s="446">
        <f>V283*V284*V286+2*V285*V287*V288-V284*V287^2-V286*V285^2-V283*V288^2</f>
        <v>2.2637896855934086E-4</v>
      </c>
      <c r="W289" s="443"/>
      <c r="X289" s="458"/>
      <c r="Z289" s="444" t="s">
        <v>1363</v>
      </c>
      <c r="AA289" s="458">
        <f>SQRT(AA286^2+AA287^2+AA288^2)</f>
        <v>0</v>
      </c>
      <c r="AB289" s="458"/>
      <c r="AC289" s="458"/>
      <c r="AD289" s="458"/>
      <c r="AE289" s="458"/>
      <c r="AF289" s="458"/>
      <c r="AG289" s="444" t="s">
        <v>1344</v>
      </c>
      <c r="AH289" s="458" t="e">
        <f>AH288/2/AH287</f>
        <v>#DIV/0!</v>
      </c>
      <c r="AI289" s="458"/>
    </row>
    <row r="290" spans="10:35">
      <c r="J290" s="444" t="s">
        <v>295</v>
      </c>
      <c r="K290" s="445">
        <f>E98</f>
        <v>0.316</v>
      </c>
      <c r="L290" s="445">
        <f>K290*P279^G97</f>
        <v>0.316</v>
      </c>
      <c r="M290" s="449">
        <f t="shared" si="59"/>
        <v>1</v>
      </c>
      <c r="N290" s="444" t="s">
        <v>296</v>
      </c>
      <c r="O290" s="448">
        <f>A96</f>
        <v>1500</v>
      </c>
      <c r="P290" s="448">
        <f>P296*L284</f>
        <v>1500</v>
      </c>
      <c r="Q290" s="445">
        <f t="shared" ref="Q290:Q297" si="60">P290/O290</f>
        <v>1</v>
      </c>
      <c r="R290" s="444" t="s">
        <v>1355</v>
      </c>
      <c r="S290" s="450" t="s">
        <v>382</v>
      </c>
      <c r="T290" s="450" t="s">
        <v>182</v>
      </c>
      <c r="U290" s="450" t="s">
        <v>669</v>
      </c>
      <c r="V290" s="450" t="s">
        <v>670</v>
      </c>
      <c r="W290" s="443"/>
      <c r="X290" s="458"/>
      <c r="Z290" s="444"/>
      <c r="AA290" s="458"/>
      <c r="AB290" s="458"/>
      <c r="AC290" s="458"/>
      <c r="AD290" s="458"/>
      <c r="AE290" s="458"/>
      <c r="AF290" s="458"/>
      <c r="AG290" s="444"/>
      <c r="AH290" s="458"/>
      <c r="AI290" s="458"/>
    </row>
    <row r="291" spans="10:35">
      <c r="J291" s="444" t="s">
        <v>301</v>
      </c>
      <c r="K291" s="445">
        <f>K290*(1-K284)/K284</f>
        <v>0.13542857142857145</v>
      </c>
      <c r="L291" s="445">
        <f>L290*(1-L284)/L284</f>
        <v>0.13542857142857145</v>
      </c>
      <c r="M291" s="449">
        <f t="shared" si="59"/>
        <v>1</v>
      </c>
      <c r="N291" s="444" t="s">
        <v>302</v>
      </c>
      <c r="O291" s="448">
        <f>B96</f>
        <v>1500</v>
      </c>
      <c r="P291" s="448">
        <f>O291*Q290*M281^E99</f>
        <v>1500</v>
      </c>
      <c r="Q291" s="445">
        <f t="shared" si="60"/>
        <v>1</v>
      </c>
      <c r="R291" s="444">
        <v>11</v>
      </c>
      <c r="S291" s="446">
        <f>IF(U289=0,1E+99,(U284*U286-U288^2)/U289)</f>
        <v>9.9999999999999997E+98</v>
      </c>
      <c r="T291" s="445">
        <f t="shared" ref="T291:V296" si="61">T252</f>
        <v>28.399891331148673</v>
      </c>
      <c r="U291" s="445">
        <f t="shared" si="61"/>
        <v>5.6799782662297349E-2</v>
      </c>
      <c r="V291" s="445">
        <f t="shared" si="61"/>
        <v>17.605701168708549</v>
      </c>
      <c r="W291" s="443"/>
      <c r="X291" s="458"/>
      <c r="Z291" s="444"/>
      <c r="AA291" s="458"/>
      <c r="AB291" s="458"/>
      <c r="AC291" s="458"/>
      <c r="AD291" s="458"/>
      <c r="AE291" s="458"/>
      <c r="AF291" s="458"/>
      <c r="AG291" s="444"/>
      <c r="AH291" s="458"/>
      <c r="AI291" s="458"/>
    </row>
    <row r="292" spans="10:35">
      <c r="J292" s="444" t="s">
        <v>304</v>
      </c>
      <c r="K292" s="445">
        <f>1/((1+K291)/K281-K291*2.7/K286)</f>
        <v>19.680382632972858</v>
      </c>
      <c r="L292" s="445">
        <f>K292*P279^F98*I71</f>
        <v>19.680382632972858</v>
      </c>
      <c r="M292" s="449">
        <f t="shared" si="59"/>
        <v>1</v>
      </c>
      <c r="N292" s="444" t="s">
        <v>305</v>
      </c>
      <c r="O292" s="448">
        <f>C96</f>
        <v>40</v>
      </c>
      <c r="P292" s="448">
        <f>O292*Q297</f>
        <v>40</v>
      </c>
      <c r="Q292" s="445">
        <f t="shared" si="60"/>
        <v>1</v>
      </c>
      <c r="R292" s="444">
        <v>22</v>
      </c>
      <c r="S292" s="446">
        <f>IF(U289=0,1E+99,(U283*U286-U287^2)/U289)</f>
        <v>9.9999999999999997E+98</v>
      </c>
      <c r="T292" s="445">
        <f t="shared" si="61"/>
        <v>10.203593260121179</v>
      </c>
      <c r="U292" s="445">
        <f t="shared" si="61"/>
        <v>2.040718652024236E-2</v>
      </c>
      <c r="V292" s="445">
        <f t="shared" si="61"/>
        <v>49.002345277144251</v>
      </c>
      <c r="W292" s="443"/>
      <c r="X292" s="458"/>
      <c r="AA292" s="458"/>
      <c r="AB292" s="458"/>
      <c r="AC292" s="458"/>
      <c r="AD292" s="458"/>
      <c r="AE292" s="458"/>
      <c r="AF292" s="458"/>
      <c r="AG292" s="444"/>
      <c r="AH292" s="458"/>
      <c r="AI292" s="462" t="s">
        <v>1348</v>
      </c>
    </row>
    <row r="293" spans="10:35">
      <c r="L293" s="445"/>
      <c r="N293" s="444" t="s">
        <v>1542</v>
      </c>
      <c r="O293" s="448">
        <f>D96</f>
        <v>246</v>
      </c>
      <c r="P293" s="448">
        <f>O293*Q297</f>
        <v>246</v>
      </c>
      <c r="Q293" s="445">
        <f t="shared" si="60"/>
        <v>1</v>
      </c>
      <c r="R293" s="444" t="s">
        <v>1345</v>
      </c>
      <c r="S293" s="446">
        <f>IF(U289=0,1E+99,(U287*U288-U285*U286)/U289)</f>
        <v>9.9999999999999997E+98</v>
      </c>
      <c r="T293" s="445">
        <f t="shared" si="61"/>
        <v>-9.1613019778149827</v>
      </c>
      <c r="U293" s="445">
        <f t="shared" si="61"/>
        <v>-1.8322603955629967E-2</v>
      </c>
      <c r="V293" s="445">
        <f t="shared" si="61"/>
        <v>0.32258228987541837</v>
      </c>
      <c r="W293" s="443"/>
      <c r="X293" s="458"/>
      <c r="AF293" s="458"/>
      <c r="AG293" s="444" t="s">
        <v>1351</v>
      </c>
      <c r="AH293" s="455" t="e">
        <f>(AH289^2+1/AH287)^0.5-AH289</f>
        <v>#DIV/0!</v>
      </c>
      <c r="AI293" s="455">
        <f>AH294</f>
        <v>1000000000</v>
      </c>
    </row>
    <row r="294" spans="10:35">
      <c r="J294" s="443" t="s">
        <v>1507</v>
      </c>
      <c r="N294" s="444" t="s">
        <v>1543</v>
      </c>
      <c r="O294" s="475">
        <f>E96</f>
        <v>68</v>
      </c>
      <c r="P294" s="475">
        <f>O294*Q297</f>
        <v>68</v>
      </c>
      <c r="Q294" s="445">
        <f t="shared" si="60"/>
        <v>1</v>
      </c>
      <c r="R294" s="444">
        <v>66</v>
      </c>
      <c r="S294" s="446">
        <f>IF(U289=0,1E+99,(U283*U284-U285^2)/U289)</f>
        <v>9.9999999999999997E+98</v>
      </c>
      <c r="T294" s="445">
        <f t="shared" si="61"/>
        <v>21.45902160754067</v>
      </c>
      <c r="U294" s="445">
        <f t="shared" si="61"/>
        <v>4.2918043215081345E-2</v>
      </c>
      <c r="V294" s="445">
        <f t="shared" si="61"/>
        <v>23.300223521108748</v>
      </c>
      <c r="W294" s="443"/>
      <c r="AF294" s="458"/>
      <c r="AG294" s="444"/>
      <c r="AH294" s="455">
        <f>IF(AH276=0,1000000000,AH293)</f>
        <v>1000000000</v>
      </c>
    </row>
    <row r="295" spans="10:35">
      <c r="J295" s="444" t="s">
        <v>1354</v>
      </c>
      <c r="K295" s="445">
        <f>K278/(1-K280^2*K279/K278)</f>
        <v>181.81113884441791</v>
      </c>
      <c r="L295" s="445">
        <f>L278/(1-L280^2*L279/L278)</f>
        <v>181.81113884441794</v>
      </c>
      <c r="M295" s="449">
        <f>L295/K295</f>
        <v>1.0000000000000002</v>
      </c>
      <c r="N295" s="444" t="s">
        <v>1168</v>
      </c>
      <c r="O295" s="449">
        <f>A97</f>
        <v>-0.5</v>
      </c>
      <c r="P295" s="449">
        <f>O295*I50*I71</f>
        <v>-0.5</v>
      </c>
      <c r="Q295" s="445">
        <f t="shared" si="60"/>
        <v>1</v>
      </c>
      <c r="R295" s="444" t="s">
        <v>1347</v>
      </c>
      <c r="S295" s="446">
        <f>IF(U289=0,1E+99,(U285*U288-U284*U287)/U289)</f>
        <v>9.9999999999999997E+98</v>
      </c>
      <c r="T295" s="445">
        <f t="shared" si="61"/>
        <v>1.3641350347588565E-15</v>
      </c>
      <c r="U295" s="445">
        <f t="shared" si="61"/>
        <v>2.7282700695177132E-18</v>
      </c>
      <c r="V295" s="445">
        <f t="shared" si="61"/>
        <v>4.8033107551460555E-17</v>
      </c>
      <c r="W295" s="443"/>
      <c r="X295" s="443"/>
      <c r="Y295" s="444"/>
      <c r="AF295" s="458"/>
      <c r="AG295" s="443" t="s">
        <v>1360</v>
      </c>
      <c r="AH295" s="455">
        <f>IF(AH276=0,0,AH293)</f>
        <v>0</v>
      </c>
    </row>
    <row r="296" spans="10:35">
      <c r="J296" s="444" t="s">
        <v>1361</v>
      </c>
      <c r="K296" s="445">
        <f>K295*K279/K278</f>
        <v>10.346158729820468</v>
      </c>
      <c r="L296" s="445">
        <f>L295*L279/L278</f>
        <v>10.346158729820468</v>
      </c>
      <c r="M296" s="449">
        <f>L296/K296</f>
        <v>1</v>
      </c>
      <c r="N296" s="444" t="s">
        <v>1175</v>
      </c>
      <c r="O296" s="448">
        <f>O290/K284</f>
        <v>2142.8571428571431</v>
      </c>
      <c r="P296" s="448">
        <f>H50*P279^G98</f>
        <v>2142.8571428571431</v>
      </c>
      <c r="Q296" s="445">
        <f t="shared" si="60"/>
        <v>1</v>
      </c>
      <c r="R296" s="444" t="s">
        <v>1349</v>
      </c>
      <c r="S296" s="446">
        <f>IF(U289=0,1E+99,(U285*U287-U283*U288)/U289)</f>
        <v>9.9999999999999997E+98</v>
      </c>
      <c r="T296" s="445">
        <f t="shared" si="61"/>
        <v>-1.5193341601736405E-15</v>
      </c>
      <c r="U296" s="445">
        <f t="shared" si="61"/>
        <v>-3.0386683203472813E-18</v>
      </c>
      <c r="V296" s="445">
        <f t="shared" si="61"/>
        <v>-5.3497886398855771E-17</v>
      </c>
      <c r="W296" s="443"/>
      <c r="X296" s="443"/>
      <c r="Y296" s="445"/>
      <c r="AF296" s="458"/>
      <c r="AG296" s="444" t="s">
        <v>1364</v>
      </c>
      <c r="AH296" s="464">
        <f>AI280+AI281*COS(AH277)+AI282*SIN(AH277)-V302</f>
        <v>3.2009569950941313E-5</v>
      </c>
      <c r="AI296" s="458"/>
    </row>
    <row r="297" spans="10:35">
      <c r="J297" s="444" t="s">
        <v>1365</v>
      </c>
      <c r="K297" s="445">
        <f>K296*K280</f>
        <v>2.8969244443497315</v>
      </c>
      <c r="L297" s="445">
        <f>L296*L280</f>
        <v>2.8969244443497315</v>
      </c>
      <c r="M297" s="449">
        <f>L297/K297</f>
        <v>1</v>
      </c>
      <c r="N297" s="444" t="s">
        <v>1176</v>
      </c>
      <c r="O297" s="448">
        <f>O292</f>
        <v>40</v>
      </c>
      <c r="P297" s="448">
        <f>G50*P279^H97</f>
        <v>40</v>
      </c>
      <c r="Q297" s="445">
        <f t="shared" si="60"/>
        <v>1</v>
      </c>
      <c r="S297" s="443"/>
      <c r="T297" s="471"/>
      <c r="W297" s="443"/>
      <c r="X297" s="443"/>
      <c r="Y297" s="445"/>
      <c r="AF297" s="458"/>
      <c r="AG297" s="444" t="s">
        <v>1367</v>
      </c>
      <c r="AH297" s="464">
        <f>2*AI280-AH296-V303-V302</f>
        <v>-7.4587246658875653E-4</v>
      </c>
      <c r="AI297" s="458"/>
    </row>
    <row r="298" spans="10:35">
      <c r="J298" s="444" t="s">
        <v>1370</v>
      </c>
      <c r="K298" s="445">
        <f>K281</f>
        <v>7.17</v>
      </c>
      <c r="L298" s="445">
        <f>L281</f>
        <v>7.17</v>
      </c>
      <c r="M298" s="449">
        <f>L298/K298</f>
        <v>1</v>
      </c>
      <c r="R298" s="444"/>
      <c r="S298" s="450" t="s">
        <v>1406</v>
      </c>
      <c r="T298" s="450" t="s">
        <v>1407</v>
      </c>
      <c r="U298" s="450" t="s">
        <v>1408</v>
      </c>
      <c r="V298" s="450" t="s">
        <v>1409</v>
      </c>
      <c r="W298" s="450" t="s">
        <v>1410</v>
      </c>
      <c r="X298" s="450" t="s">
        <v>1411</v>
      </c>
      <c r="Y298" s="450" t="s">
        <v>1394</v>
      </c>
      <c r="AF298" s="458"/>
      <c r="AG298" s="444" t="s">
        <v>1372</v>
      </c>
      <c r="AH298" s="464">
        <f>2*(AI282*COS(AH277)-AI281*SIN(AH277))</f>
        <v>4.4829002290110478E-5</v>
      </c>
      <c r="AI298" s="458"/>
    </row>
    <row r="299" spans="10:35">
      <c r="J299" s="443" t="s">
        <v>1510</v>
      </c>
      <c r="K299" s="445"/>
      <c r="L299" s="445"/>
      <c r="N299" s="443" t="s">
        <v>1375</v>
      </c>
      <c r="R299" s="444">
        <v>1</v>
      </c>
      <c r="S299" s="458">
        <f>((L295+L297)/2*P283+(L297+L296)/2*P284)/1000000</f>
        <v>1.5083176634230242E-4</v>
      </c>
      <c r="T299" s="458">
        <f>((L295+L297)/2*P286+(L297+L296)/2*P287)</f>
        <v>3.9729249522510592</v>
      </c>
      <c r="U299" s="464">
        <f>S299+S300*Y299</f>
        <v>1.0982439455852986E-4</v>
      </c>
      <c r="V299" s="455">
        <f>T299+T300*Y299</f>
        <v>2.8555398094304483</v>
      </c>
      <c r="W299" s="455">
        <f>(U299*S291+U300*S293+U301*S295)*T277*1000000</f>
        <v>0</v>
      </c>
      <c r="X299" s="455">
        <f>(V299*S291+V300*S293+V301*S295)*T277</f>
        <v>0</v>
      </c>
      <c r="Y299" s="455">
        <f>COS(S279)</f>
        <v>0.50000000000000011</v>
      </c>
      <c r="AF299" s="458"/>
      <c r="AG299" s="458"/>
      <c r="AH299" s="458"/>
      <c r="AI299" s="458"/>
    </row>
    <row r="300" spans="10:35">
      <c r="J300" s="444" t="s">
        <v>1380</v>
      </c>
      <c r="K300" s="445">
        <f>(3*K295+3*K296+2*K297+4*K298)/8</f>
        <v>76.368217701426829</v>
      </c>
      <c r="L300" s="445">
        <f>(3*L295+3*L296+2*L297+4*L298)/8</f>
        <v>76.368217701426843</v>
      </c>
      <c r="M300" s="449">
        <f>L300/K300</f>
        <v>1.0000000000000002</v>
      </c>
      <c r="N300" s="444" t="s">
        <v>1381</v>
      </c>
      <c r="O300" s="445">
        <f>1/O290/O291*1000000</f>
        <v>0.44444444444444442</v>
      </c>
      <c r="P300" s="445">
        <f>1/P290/P291*1000000</f>
        <v>0.44444444444444442</v>
      </c>
      <c r="Q300" s="445">
        <f>P300/O300</f>
        <v>1</v>
      </c>
      <c r="R300" s="444">
        <v>2</v>
      </c>
      <c r="S300" s="458">
        <f>((L295-L297)/2*P283+(L297-L296)/2*P284)/1000000</f>
        <v>-8.2014743567545106E-5</v>
      </c>
      <c r="T300" s="458">
        <f>((L295-L297)/2*P286+(L297-L296)/2*P287)</f>
        <v>-2.234770285641221</v>
      </c>
      <c r="U300" s="464">
        <f>S299-S300*Y299</f>
        <v>1.9183913812607499E-4</v>
      </c>
      <c r="V300" s="455">
        <f>T299-T300*Y299</f>
        <v>5.0903100950716702</v>
      </c>
      <c r="W300" s="455">
        <f>(U299*S293+U300*S292+U301*S296)*T277*1000000</f>
        <v>0</v>
      </c>
      <c r="X300" s="455">
        <f>(V299*S293+V300*S292+V301*S296)*T277</f>
        <v>0</v>
      </c>
      <c r="Y300" s="455">
        <f>SIN(S279)</f>
        <v>-0.8660254037844386</v>
      </c>
      <c r="AF300" s="458"/>
      <c r="AG300" s="462" t="s">
        <v>1383</v>
      </c>
      <c r="AH300" s="479">
        <f>P306*AH296^2+2*P308*AH296*AH297+P307*AH297^2+P309*AH298^2</f>
        <v>6.1231143166906223E-3</v>
      </c>
      <c r="AI300" s="458"/>
    </row>
    <row r="301" spans="10:35">
      <c r="J301" s="444" t="s">
        <v>1384</v>
      </c>
      <c r="K301" s="445">
        <f>(K295-K296)/2</f>
        <v>85.732490057298719</v>
      </c>
      <c r="L301" s="445">
        <f>(L295-L296)/2</f>
        <v>85.732490057298733</v>
      </c>
      <c r="M301" s="449">
        <f>L301/K301</f>
        <v>1.0000000000000002</v>
      </c>
      <c r="N301" s="444" t="s">
        <v>1385</v>
      </c>
      <c r="O301" s="445">
        <f>1/O292/O293*1000000</f>
        <v>101.6260162601626</v>
      </c>
      <c r="P301" s="445">
        <f>1/P292/P293*1000000</f>
        <v>101.6260162601626</v>
      </c>
      <c r="Q301" s="445">
        <f>P301/O301</f>
        <v>1</v>
      </c>
      <c r="R301" s="444">
        <v>6</v>
      </c>
      <c r="S301" s="450" t="s">
        <v>1419</v>
      </c>
      <c r="T301" s="450" t="s">
        <v>1420</v>
      </c>
      <c r="U301" s="464">
        <f>S300*Y300</f>
        <v>7.1026851414360436E-5</v>
      </c>
      <c r="V301" s="455">
        <f>T300*Y300</f>
        <v>1.9353678389879037</v>
      </c>
      <c r="W301" s="455">
        <f>(U299*S295+U300*S296+U301*S294)*T277*1000000</f>
        <v>0</v>
      </c>
      <c r="X301" s="455">
        <f>(V299*S295+V300*S296+V301*S294)*T277</f>
        <v>0</v>
      </c>
      <c r="Y301" s="450" t="s">
        <v>406</v>
      </c>
      <c r="AF301" s="458"/>
      <c r="AG301" s="462" t="s">
        <v>1387</v>
      </c>
      <c r="AH301" s="479">
        <f>P310*AH296+P311*AH297</f>
        <v>-0.15961201615167811</v>
      </c>
      <c r="AI301" s="458"/>
    </row>
    <row r="302" spans="10:35">
      <c r="J302" s="444" t="s">
        <v>1388</v>
      </c>
      <c r="K302" s="445">
        <f>(K295+K296-2*K297-4*K298)/8</f>
        <v>19.710431085692363</v>
      </c>
      <c r="L302" s="445">
        <f>(L295+L296-2*L297-4*L298)/8</f>
        <v>19.710431085692367</v>
      </c>
      <c r="M302" s="449">
        <f>L302/K302</f>
        <v>1.0000000000000002</v>
      </c>
      <c r="N302" s="444" t="s">
        <v>1389</v>
      </c>
      <c r="O302" s="445">
        <f>O295*(O300*O301)^0.5</f>
        <v>-3.3603243272729659</v>
      </c>
      <c r="P302" s="445">
        <f>P295*(P300*P301)^0.5</f>
        <v>-3.3603243272729659</v>
      </c>
      <c r="Q302" s="445">
        <f>P302/O302</f>
        <v>1</v>
      </c>
      <c r="R302" s="444">
        <v>1</v>
      </c>
      <c r="S302" s="471">
        <f>P280*U299+P276*V299</f>
        <v>3.2952595912992561E-3</v>
      </c>
      <c r="T302" s="446">
        <f>P280*W299/1000000+P276*X299</f>
        <v>0</v>
      </c>
      <c r="U302" s="450" t="s">
        <v>1423</v>
      </c>
      <c r="V302" s="446">
        <f>P280*P283/1000000+P276*P286</f>
        <v>-1.9999999999999999E-6</v>
      </c>
      <c r="W302" s="443"/>
      <c r="Y302" s="455">
        <f>Y299+W343+W382+W421+W460+W499+W538+W577</f>
        <v>0.50000000000000011</v>
      </c>
      <c r="AF302" s="458"/>
      <c r="AG302" s="462" t="s">
        <v>1390</v>
      </c>
      <c r="AH302" s="479">
        <f>AH300+AH301</f>
        <v>-0.15348890183498748</v>
      </c>
      <c r="AI302" s="458"/>
    </row>
    <row r="303" spans="10:35">
      <c r="J303" s="444" t="s">
        <v>1391</v>
      </c>
      <c r="K303" s="445">
        <f>(K295+K296+6*K297-4*K298)/8</f>
        <v>22.607355530042096</v>
      </c>
      <c r="L303" s="445">
        <f>(L295+L296+6*L297-4*L298)/8</f>
        <v>22.607355530042099</v>
      </c>
      <c r="M303" s="449">
        <f>L303/K303</f>
        <v>1.0000000000000002</v>
      </c>
      <c r="N303" s="444" t="s">
        <v>1392</v>
      </c>
      <c r="O303" s="445">
        <f>1/O294^2*1000000</f>
        <v>216.26297577854672</v>
      </c>
      <c r="P303" s="445">
        <f>1/P294^2*1000000</f>
        <v>216.26297577854672</v>
      </c>
      <c r="Q303" s="445">
        <f>P303/O303</f>
        <v>1</v>
      </c>
      <c r="R303" s="444">
        <v>2</v>
      </c>
      <c r="S303" s="471">
        <f>P280*U300+P276*V300</f>
        <v>6.2676366627508542E-3</v>
      </c>
      <c r="T303" s="446">
        <f>P280*W300/1000000+P276*X300</f>
        <v>0</v>
      </c>
      <c r="U303" s="450" t="s">
        <v>1427</v>
      </c>
      <c r="V303" s="446">
        <f>P280*P284/1000000+P276*P287</f>
        <v>7.5000000000000023E-4</v>
      </c>
      <c r="W303" s="443"/>
      <c r="Y303" s="455">
        <f>Y300+W344+W383+W422+W461+W500+W539+W578</f>
        <v>-0.8660254037844386</v>
      </c>
      <c r="AA303" s="442" t="s">
        <v>699</v>
      </c>
      <c r="AB303" s="442" t="s">
        <v>701</v>
      </c>
      <c r="AC303" s="444" t="s">
        <v>408</v>
      </c>
      <c r="AD303" s="444" t="s">
        <v>409</v>
      </c>
      <c r="AE303" s="443" t="s">
        <v>410</v>
      </c>
      <c r="AF303" s="458"/>
      <c r="AG303" s="462" t="s">
        <v>1395</v>
      </c>
      <c r="AH303" s="479">
        <f>-1+AH302</f>
        <v>-1.1534889018349874</v>
      </c>
      <c r="AI303" s="458"/>
    </row>
    <row r="304" spans="10:35">
      <c r="J304" s="444" t="s">
        <v>1396</v>
      </c>
      <c r="K304" s="445">
        <f>(K300-K303)/2</f>
        <v>26.880431085692365</v>
      </c>
      <c r="L304" s="445">
        <f>(L300-L303)/2</f>
        <v>26.880431085692372</v>
      </c>
      <c r="M304" s="449">
        <f>L304/K304</f>
        <v>1.0000000000000002</v>
      </c>
      <c r="N304" s="444" t="s">
        <v>1397</v>
      </c>
      <c r="O304" s="445">
        <f>(1/O290-1/O291)*1000</f>
        <v>0</v>
      </c>
      <c r="P304" s="445">
        <f>(1/P290-1/P291)*1000</f>
        <v>0</v>
      </c>
      <c r="Q304" s="445">
        <f>IF(O304=0,1,P304/O304)</f>
        <v>1</v>
      </c>
      <c r="R304" s="444">
        <v>6</v>
      </c>
      <c r="S304" s="471">
        <f>P280*U301+P276*V301</f>
        <v>2.5741540535034755E-3</v>
      </c>
      <c r="T304" s="446">
        <f>P280*W301/1000000+P276*X301</f>
        <v>0</v>
      </c>
      <c r="U304" s="450" t="s">
        <v>1429</v>
      </c>
      <c r="V304" s="446">
        <f>0</f>
        <v>0</v>
      </c>
      <c r="W304" s="443"/>
      <c r="Y304" s="446"/>
      <c r="AA304" s="458">
        <f t="shared" ref="AA304:AE306" si="62">AA265</f>
        <v>2.9711368780229658E-5</v>
      </c>
      <c r="AB304" s="458">
        <f t="shared" si="62"/>
        <v>0.7678998340530242</v>
      </c>
      <c r="AC304" s="458">
        <f t="shared" si="62"/>
        <v>1.363735669153409</v>
      </c>
      <c r="AD304" s="458">
        <f t="shared" si="62"/>
        <v>3.5864831027226207E-2</v>
      </c>
      <c r="AE304" s="458">
        <f t="shared" si="62"/>
        <v>4.2950588220790124E-5</v>
      </c>
      <c r="AF304" s="458"/>
      <c r="AG304" s="462" t="s">
        <v>1399</v>
      </c>
      <c r="AH304" s="479">
        <f>2*(P306*AH280*AH296+P307*AH281*AH297+P308*(AH280*AH297+AH296*AH281)+P309*AH282*AH298)</f>
        <v>0</v>
      </c>
      <c r="AI304" s="458"/>
    </row>
    <row r="305" spans="10:35">
      <c r="J305" s="443" t="s">
        <v>1400</v>
      </c>
      <c r="N305" s="444" t="s">
        <v>1401</v>
      </c>
      <c r="O305" s="445">
        <f>(1/O292-1/O293)*1000</f>
        <v>20.934959349593495</v>
      </c>
      <c r="P305" s="445">
        <f>(1/P292-1/P293)*1000</f>
        <v>20.934959349593495</v>
      </c>
      <c r="Q305" s="445">
        <f t="shared" ref="Q305:Q311" si="63">P305/O305</f>
        <v>1</v>
      </c>
      <c r="R305" s="444"/>
      <c r="S305" s="455"/>
      <c r="T305" s="455"/>
      <c r="U305" s="455"/>
      <c r="V305" s="455"/>
      <c r="W305" s="443"/>
      <c r="X305" s="443"/>
      <c r="Y305" s="446"/>
      <c r="AA305" s="458">
        <f t="shared" si="62"/>
        <v>1.7675632838392989E-5</v>
      </c>
      <c r="AB305" s="458">
        <f t="shared" si="62"/>
        <v>0.42306828615470354</v>
      </c>
      <c r="AC305" s="458">
        <f t="shared" si="62"/>
        <v>-0.1836797069434101</v>
      </c>
      <c r="AD305" s="458">
        <f t="shared" si="62"/>
        <v>-5.4362911105892316E-3</v>
      </c>
      <c r="AE305" s="458">
        <f t="shared" si="62"/>
        <v>-8.8134848586051478E-6</v>
      </c>
      <c r="AG305" s="462" t="s">
        <v>1403</v>
      </c>
      <c r="AH305" s="479">
        <f>AH304+AH288</f>
        <v>0</v>
      </c>
      <c r="AI305" s="458"/>
    </row>
    <row r="306" spans="10:35">
      <c r="J306" s="444" t="s">
        <v>1404</v>
      </c>
      <c r="K306" s="445">
        <f>(1-(K303/K300)^2)*K300</f>
        <v>69.675740916648124</v>
      </c>
      <c r="L306" s="445">
        <f>(1-(L303/L300)^2)*L300</f>
        <v>69.675740916648138</v>
      </c>
      <c r="M306" s="445">
        <f>L306/K306</f>
        <v>1.0000000000000002</v>
      </c>
      <c r="N306" s="444" t="s">
        <v>1405</v>
      </c>
      <c r="O306" s="448">
        <f>(O300*K295^2+2*O302*K295*K297+O301*K297^2)</f>
        <v>12004.38353147296</v>
      </c>
      <c r="P306" s="448">
        <f>(P300*L295^2+2*P302*L295*L297+P301*L297^2)</f>
        <v>12004.38353147296</v>
      </c>
      <c r="Q306" s="445">
        <f t="shared" si="63"/>
        <v>1</v>
      </c>
      <c r="S306" s="443"/>
      <c r="T306" s="443"/>
      <c r="W306" s="443"/>
      <c r="X306" s="443"/>
      <c r="Y306" s="446"/>
      <c r="AA306" s="458">
        <f t="shared" si="62"/>
        <v>-8.4703294725430034E-22</v>
      </c>
      <c r="AB306" s="458">
        <f t="shared" si="62"/>
        <v>-2.7755575615628914E-17</v>
      </c>
      <c r="AC306" s="458">
        <f t="shared" si="62"/>
        <v>-9.002744015469067E-18</v>
      </c>
      <c r="AD306" s="458">
        <f t="shared" si="62"/>
        <v>-3.8174105857845086E-19</v>
      </c>
      <c r="AE306" s="458">
        <f t="shared" si="62"/>
        <v>-1.0084308913453477E-21</v>
      </c>
      <c r="AG306" s="462" t="s">
        <v>1412</v>
      </c>
      <c r="AH306" s="479" t="e">
        <f>AH305/2/AH287</f>
        <v>#DIV/0!</v>
      </c>
      <c r="AI306" s="458"/>
    </row>
    <row r="307" spans="10:35">
      <c r="J307" s="444" t="s">
        <v>1414</v>
      </c>
      <c r="K307" s="445">
        <f>K303/K300</f>
        <v>0.29603094337527941</v>
      </c>
      <c r="L307" s="445">
        <f>L303/L300</f>
        <v>0.29603094337527941</v>
      </c>
      <c r="M307" s="445">
        <f>L307/K307</f>
        <v>1</v>
      </c>
      <c r="N307" s="444" t="s">
        <v>1415</v>
      </c>
      <c r="O307" s="448">
        <f>(O300*K297^2+2*O302*K297*K296+O301*K296^2)</f>
        <v>10680.652008265077</v>
      </c>
      <c r="P307" s="448">
        <f>(P300*L297^2+2*P302*L297*L296+P301*L296^2)</f>
        <v>10680.652008265077</v>
      </c>
      <c r="Q307" s="445">
        <f t="shared" si="63"/>
        <v>1</v>
      </c>
      <c r="S307" s="443"/>
      <c r="T307" s="443"/>
      <c r="W307" s="443"/>
      <c r="X307" s="443"/>
      <c r="Y307" s="446"/>
      <c r="Z307" s="444"/>
      <c r="AG307" s="462"/>
      <c r="AH307" s="455"/>
      <c r="AI307" s="458"/>
    </row>
    <row r="308" spans="10:35">
      <c r="N308" s="444" t="s">
        <v>1416</v>
      </c>
      <c r="O308" s="448">
        <f>(O300*K295*K297+O302*(K295*K296+K297^2)+O301*K297*K296)</f>
        <v>-3069.103206291968</v>
      </c>
      <c r="P308" s="448">
        <f>(P300*L295*L297+P302*(L295*L296+L297^2)+P301*L297*L296)</f>
        <v>-3069.1032062919689</v>
      </c>
      <c r="Q308" s="445">
        <f t="shared" si="63"/>
        <v>1.0000000000000002</v>
      </c>
      <c r="S308" s="443"/>
      <c r="T308" s="443"/>
      <c r="W308" s="443"/>
      <c r="X308" s="443"/>
      <c r="Y308" s="446"/>
      <c r="AE308" s="450"/>
      <c r="AG308" s="462"/>
      <c r="AH308" s="455"/>
      <c r="AI308" s="458"/>
    </row>
    <row r="309" spans="10:35">
      <c r="J309" s="444" t="s">
        <v>1193</v>
      </c>
      <c r="K309" s="445">
        <f>D97</f>
        <v>1.6</v>
      </c>
      <c r="L309" s="445">
        <f>L310*(1-L284)+L311*L284</f>
        <v>1.6</v>
      </c>
      <c r="M309" s="445">
        <f>L309/K309</f>
        <v>1</v>
      </c>
      <c r="N309" s="444" t="s">
        <v>1418</v>
      </c>
      <c r="O309" s="448">
        <f>O303*K298^2</f>
        <v>11117.841695501729</v>
      </c>
      <c r="P309" s="448">
        <f>P303*L298^2</f>
        <v>11117.841695501729</v>
      </c>
      <c r="Q309" s="445">
        <f t="shared" si="63"/>
        <v>1</v>
      </c>
      <c r="S309" s="443"/>
      <c r="T309" s="443"/>
      <c r="W309" s="443"/>
      <c r="X309" s="443"/>
      <c r="Y309" s="468"/>
      <c r="Z309" s="442"/>
      <c r="AA309" s="442"/>
      <c r="AB309" s="442"/>
      <c r="AC309" s="444"/>
      <c r="AD309" s="444"/>
      <c r="AE309" s="446"/>
      <c r="AG309" s="462"/>
      <c r="AH309" s="455"/>
      <c r="AI309" s="462" t="s">
        <v>1421</v>
      </c>
    </row>
    <row r="310" spans="10:35">
      <c r="J310" s="444" t="s">
        <v>274</v>
      </c>
      <c r="K310" s="445">
        <f>F96</f>
        <v>1.2</v>
      </c>
      <c r="L310" s="445">
        <f>K310</f>
        <v>1.2</v>
      </c>
      <c r="M310" s="445">
        <f>L310/K310</f>
        <v>1</v>
      </c>
      <c r="N310" s="444" t="s">
        <v>1422</v>
      </c>
      <c r="O310" s="448">
        <f>(O304*K295+O305*K297)</f>
        <v>60.646995481305353</v>
      </c>
      <c r="P310" s="448">
        <f>(P304*L295+P305*L297)</f>
        <v>60.646995481305353</v>
      </c>
      <c r="Q310" s="445">
        <f t="shared" si="63"/>
        <v>1</v>
      </c>
      <c r="S310" s="443"/>
      <c r="T310" s="443"/>
      <c r="W310" s="443"/>
      <c r="X310" s="443"/>
      <c r="Y310" s="471"/>
      <c r="Z310" s="471"/>
      <c r="AA310" s="455"/>
      <c r="AB310" s="455"/>
      <c r="AC310" s="455"/>
      <c r="AD310" s="455"/>
      <c r="AG310" s="444" t="s">
        <v>1424</v>
      </c>
      <c r="AH310" s="455" t="e">
        <f>(AH306^2-AH303/AH287)^0.5-AH306</f>
        <v>#DIV/0!</v>
      </c>
      <c r="AI310" s="455">
        <f>AH311</f>
        <v>1000000000</v>
      </c>
    </row>
    <row r="311" spans="10:35">
      <c r="J311" s="444" t="s">
        <v>1195</v>
      </c>
      <c r="K311" s="445">
        <f>(K309-K310*(1-K284))/K284</f>
        <v>1.7714285714285716</v>
      </c>
      <c r="L311" s="445">
        <f>K311</f>
        <v>1.7714285714285716</v>
      </c>
      <c r="M311" s="445">
        <f>L311/K311</f>
        <v>1</v>
      </c>
      <c r="N311" s="444" t="s">
        <v>1426</v>
      </c>
      <c r="O311" s="448">
        <f>(O304*K297+O305*K296)</f>
        <v>216.59641243323335</v>
      </c>
      <c r="P311" s="448">
        <f>(P304*L297+P305*L296)</f>
        <v>216.59641243323335</v>
      </c>
      <c r="Q311" s="445">
        <f t="shared" si="63"/>
        <v>1</v>
      </c>
      <c r="S311" s="443"/>
      <c r="T311" s="443"/>
      <c r="W311" s="443"/>
      <c r="X311" s="443"/>
      <c r="Y311" s="471"/>
      <c r="Z311" s="471"/>
      <c r="AA311" s="455"/>
      <c r="AB311" s="455"/>
      <c r="AC311" s="455"/>
      <c r="AD311" s="455"/>
      <c r="AG311" s="444" t="s">
        <v>194</v>
      </c>
      <c r="AH311" s="455">
        <f>IF(AH276=0,1000000000,AH310)</f>
        <v>1000000000</v>
      </c>
    </row>
    <row r="312" spans="10:35">
      <c r="L312" s="443" t="s">
        <v>1428</v>
      </c>
      <c r="S312" s="443"/>
      <c r="T312" s="443"/>
      <c r="W312" s="443"/>
      <c r="X312" s="443"/>
      <c r="Y312" s="471"/>
      <c r="Z312" s="471"/>
      <c r="AA312" s="455"/>
      <c r="AB312" s="455"/>
      <c r="AC312" s="455"/>
      <c r="AD312" s="455"/>
      <c r="AG312" s="444" t="s">
        <v>194</v>
      </c>
      <c r="AH312" s="455">
        <f>IF(AH276=0,0,AH310)</f>
        <v>0</v>
      </c>
    </row>
    <row r="313" spans="10:35">
      <c r="S313" s="443"/>
      <c r="T313" s="443"/>
      <c r="W313" s="443"/>
      <c r="X313" s="443"/>
      <c r="AF313" s="443"/>
    </row>
    <row r="314" spans="10:35">
      <c r="S314" s="443"/>
      <c r="T314" s="443"/>
      <c r="W314" s="443"/>
      <c r="X314" s="443"/>
      <c r="AF314" s="443"/>
    </row>
    <row r="315" spans="10:35">
      <c r="S315" s="443"/>
      <c r="T315" s="443"/>
      <c r="W315" s="443"/>
      <c r="X315" s="443"/>
      <c r="AF315" s="443"/>
    </row>
    <row r="316" spans="10:35">
      <c r="S316" s="443"/>
      <c r="T316" s="443"/>
      <c r="W316" s="443"/>
      <c r="X316" s="443"/>
      <c r="AF316" s="443"/>
    </row>
    <row r="317" spans="10:35">
      <c r="S317" s="443"/>
      <c r="T317" s="443"/>
      <c r="W317" s="443"/>
      <c r="X317" s="443"/>
      <c r="AF317" s="443"/>
    </row>
    <row r="318" spans="10:35">
      <c r="S318" s="443"/>
      <c r="T318" s="443"/>
      <c r="W318" s="443"/>
      <c r="X318" s="443"/>
      <c r="AF318" s="443"/>
    </row>
    <row r="319" spans="10:35">
      <c r="S319" s="443"/>
      <c r="T319" s="443"/>
      <c r="W319" s="443"/>
      <c r="X319" s="443"/>
      <c r="AF319" s="443"/>
    </row>
    <row r="320" spans="10:35">
      <c r="S320" s="443"/>
      <c r="T320" s="443"/>
      <c r="W320" s="443"/>
      <c r="X320" s="443"/>
      <c r="AF320" s="443"/>
    </row>
    <row r="321" s="443" customFormat="1"/>
    <row r="322" s="443" customFormat="1"/>
    <row r="323" s="443" customFormat="1"/>
    <row r="324" s="443" customFormat="1"/>
    <row r="325" s="443" customFormat="1"/>
    <row r="326" s="443" customFormat="1"/>
    <row r="327" s="443" customFormat="1"/>
    <row r="328" s="443" customFormat="1"/>
    <row r="329" s="443" customFormat="1"/>
    <row r="330" s="443" customFormat="1"/>
    <row r="331" s="443" customFormat="1"/>
    <row r="332" s="443" customFormat="1"/>
    <row r="333" s="443" customFormat="1"/>
    <row r="334" s="443" customFormat="1"/>
    <row r="335" s="443" customFormat="1"/>
    <row r="336" s="443" customFormat="1"/>
    <row r="337" s="443" customFormat="1"/>
    <row r="338" s="443" customFormat="1"/>
    <row r="339" s="443" customFormat="1"/>
    <row r="340" s="443" customFormat="1"/>
    <row r="341" s="443" customFormat="1"/>
    <row r="342" s="443" customFormat="1"/>
    <row r="343" s="443" customFormat="1"/>
    <row r="344" s="443" customFormat="1"/>
    <row r="345" s="443" customFormat="1"/>
    <row r="346" s="443" customFormat="1"/>
    <row r="347" s="443" customFormat="1"/>
    <row r="348" s="443" customFormat="1"/>
    <row r="349" s="443" customFormat="1"/>
    <row r="350" s="443" customFormat="1"/>
    <row r="351" s="443" customFormat="1"/>
    <row r="352" s="443" customFormat="1"/>
    <row r="353" s="443" customFormat="1"/>
    <row r="354" s="443" customFormat="1"/>
    <row r="355" s="443" customFormat="1"/>
    <row r="356" s="443" customFormat="1"/>
    <row r="357" s="443" customFormat="1"/>
    <row r="358" s="443" customFormat="1"/>
    <row r="359" s="443" customFormat="1"/>
    <row r="360" s="443" customFormat="1"/>
    <row r="361" s="443" customFormat="1"/>
    <row r="362" s="443" customFormat="1"/>
    <row r="363" s="443" customFormat="1"/>
    <row r="364" s="443" customFormat="1"/>
    <row r="365" s="443" customFormat="1"/>
    <row r="366" s="443" customFormat="1"/>
    <row r="367" s="443" customFormat="1"/>
    <row r="368" s="443" customFormat="1"/>
    <row r="369" s="443" customFormat="1"/>
    <row r="370" s="443" customFormat="1"/>
    <row r="371" s="443" customFormat="1"/>
    <row r="372" s="443" customFormat="1"/>
    <row r="373" s="443" customFormat="1"/>
    <row r="374" s="443" customFormat="1"/>
    <row r="375" s="443" customFormat="1"/>
    <row r="376" s="443" customFormat="1"/>
    <row r="377" s="443" customFormat="1"/>
    <row r="378" s="443" customFormat="1"/>
    <row r="379" s="443" customFormat="1"/>
    <row r="380" s="443" customFormat="1"/>
    <row r="381" s="443" customFormat="1"/>
    <row r="382" s="443" customFormat="1"/>
    <row r="383" s="443" customFormat="1"/>
    <row r="384" s="443" customFormat="1"/>
    <row r="385" s="443" customFormat="1"/>
    <row r="386" s="443" customFormat="1"/>
    <row r="387" s="443" customFormat="1"/>
    <row r="388" s="443" customFormat="1"/>
    <row r="389" s="443" customFormat="1"/>
    <row r="390" s="443" customFormat="1"/>
    <row r="391" s="443" customFormat="1"/>
    <row r="392" s="443" customFormat="1"/>
    <row r="393" s="443" customFormat="1"/>
    <row r="394" s="443" customFormat="1"/>
    <row r="395" s="443" customFormat="1"/>
    <row r="396" s="443" customFormat="1"/>
    <row r="397" s="443" customFormat="1"/>
    <row r="398" s="443" customFormat="1"/>
    <row r="399" s="443" customFormat="1"/>
    <row r="400" s="443" customFormat="1"/>
    <row r="401" s="443" customFormat="1"/>
    <row r="402" s="443" customFormat="1"/>
    <row r="403" s="443" customFormat="1"/>
    <row r="404" s="443" customFormat="1"/>
    <row r="405" s="443" customFormat="1"/>
    <row r="406" s="443" customFormat="1"/>
    <row r="407" s="443" customFormat="1"/>
    <row r="408" s="443" customFormat="1"/>
    <row r="409" s="443" customFormat="1"/>
    <row r="410" s="443" customFormat="1"/>
    <row r="411" s="443" customFormat="1"/>
    <row r="412" s="443" customFormat="1"/>
    <row r="413" s="443" customFormat="1"/>
    <row r="414" s="443" customFormat="1"/>
    <row r="415" s="443" customFormat="1"/>
    <row r="416" s="443" customFormat="1"/>
    <row r="417" s="443" customFormat="1"/>
    <row r="418" s="443" customFormat="1"/>
    <row r="419" s="443" customFormat="1"/>
    <row r="420" s="443" customFormat="1"/>
    <row r="421" s="443" customFormat="1"/>
    <row r="422" s="443" customFormat="1"/>
    <row r="423" s="443" customFormat="1"/>
    <row r="424" s="443" customFormat="1"/>
    <row r="425" s="443" customFormat="1"/>
    <row r="426" s="443" customFormat="1"/>
    <row r="427" s="443" customFormat="1"/>
    <row r="428" s="443" customFormat="1"/>
    <row r="429" s="443" customFormat="1"/>
    <row r="430" s="443" customFormat="1"/>
    <row r="431" s="443" customFormat="1"/>
    <row r="432" s="443" customFormat="1"/>
    <row r="433" s="443" customFormat="1"/>
    <row r="434" s="443" customFormat="1"/>
    <row r="435" s="443" customFormat="1"/>
    <row r="436" s="443" customFormat="1"/>
    <row r="437" s="443" customFormat="1"/>
    <row r="438" s="443" customFormat="1"/>
    <row r="439" s="443" customFormat="1"/>
    <row r="440" s="443" customFormat="1"/>
    <row r="441" s="443" customFormat="1"/>
    <row r="442" s="443" customFormat="1"/>
    <row r="443" s="443" customFormat="1"/>
    <row r="444" s="443" customFormat="1"/>
    <row r="445" s="443" customFormat="1"/>
    <row r="446" s="443" customFormat="1"/>
    <row r="447" s="443" customFormat="1"/>
    <row r="448" s="443" customFormat="1"/>
    <row r="449" s="443" customFormat="1"/>
    <row r="450" s="443" customFormat="1"/>
    <row r="451" s="443" customFormat="1"/>
    <row r="452" s="443" customFormat="1"/>
    <row r="453" s="443" customFormat="1"/>
    <row r="454" s="443" customFormat="1"/>
    <row r="455" s="443" customFormat="1"/>
    <row r="456" s="443" customFormat="1"/>
    <row r="457" s="443" customFormat="1"/>
    <row r="458" s="443" customFormat="1"/>
    <row r="459" s="443" customFormat="1"/>
    <row r="460" s="443" customFormat="1"/>
    <row r="461" s="443" customFormat="1"/>
    <row r="462" s="443" customFormat="1"/>
    <row r="463" s="443" customFormat="1"/>
    <row r="464" s="443" customFormat="1"/>
    <row r="465" s="443" customFormat="1"/>
    <row r="466" s="443" customFormat="1"/>
    <row r="467" s="443" customFormat="1"/>
    <row r="468" s="443" customFormat="1"/>
    <row r="469" s="443" customFormat="1"/>
    <row r="470" s="443" customFormat="1"/>
    <row r="471" s="443" customFormat="1"/>
    <row r="472" s="443" customFormat="1"/>
    <row r="473" s="443" customFormat="1"/>
    <row r="474" s="443" customFormat="1"/>
    <row r="475" s="443" customFormat="1"/>
    <row r="476" s="443" customFormat="1"/>
    <row r="477" s="443" customFormat="1"/>
    <row r="478" s="443" customFormat="1"/>
    <row r="479" s="443" customFormat="1"/>
    <row r="480" s="443" customFormat="1"/>
    <row r="481" s="443" customFormat="1"/>
    <row r="482" s="443" customFormat="1"/>
    <row r="483" s="443" customFormat="1"/>
    <row r="484" s="443" customFormat="1"/>
    <row r="485" s="443" customFormat="1"/>
    <row r="486" s="443" customFormat="1"/>
    <row r="487" s="443" customFormat="1"/>
    <row r="488" s="443" customFormat="1"/>
    <row r="489" s="443" customFormat="1"/>
    <row r="490" s="443" customFormat="1"/>
    <row r="491" s="443" customFormat="1"/>
    <row r="492" s="443" customFormat="1"/>
    <row r="493" s="443" customFormat="1"/>
    <row r="494" s="443" customFormat="1"/>
    <row r="495" s="443" customFormat="1"/>
    <row r="496" s="443" customFormat="1"/>
    <row r="497" s="443" customFormat="1"/>
    <row r="498" s="443" customFormat="1"/>
    <row r="499" s="443" customFormat="1"/>
    <row r="500" s="443" customFormat="1"/>
    <row r="501" s="443" customFormat="1"/>
    <row r="502" s="443" customFormat="1"/>
    <row r="503" s="443" customFormat="1"/>
    <row r="504" s="443" customFormat="1"/>
    <row r="505" s="443" customFormat="1"/>
    <row r="506" s="443" customFormat="1"/>
    <row r="507" s="443" customFormat="1"/>
    <row r="508" s="443" customFormat="1"/>
    <row r="509" s="443" customFormat="1"/>
    <row r="510" s="443" customFormat="1"/>
    <row r="511" s="443" customFormat="1"/>
    <row r="512" s="443" customFormat="1"/>
    <row r="513" s="443" customFormat="1"/>
    <row r="514" s="443" customFormat="1"/>
    <row r="515" s="443" customFormat="1"/>
    <row r="516" s="443" customFormat="1"/>
    <row r="517" s="443" customFormat="1"/>
    <row r="518" s="443" customFormat="1"/>
    <row r="519" s="443" customFormat="1"/>
    <row r="520" s="443" customFormat="1"/>
    <row r="521" s="443" customFormat="1"/>
    <row r="522" s="443" customFormat="1"/>
    <row r="523" s="443" customFormat="1"/>
    <row r="524" s="443" customFormat="1"/>
    <row r="525" s="443" customFormat="1"/>
    <row r="526" s="443" customFormat="1"/>
    <row r="527" s="443" customFormat="1"/>
    <row r="528" s="443" customFormat="1"/>
    <row r="529" s="443" customFormat="1"/>
    <row r="530" s="443" customFormat="1"/>
    <row r="531" s="443" customFormat="1"/>
    <row r="532" s="443" customFormat="1"/>
    <row r="533" s="443" customFormat="1"/>
    <row r="534" s="443" customFormat="1"/>
    <row r="535" s="443" customFormat="1"/>
    <row r="536" s="443" customFormat="1"/>
    <row r="537" s="443" customFormat="1"/>
    <row r="538" s="443" customFormat="1"/>
    <row r="539" s="443" customFormat="1"/>
    <row r="540" s="443" customFormat="1"/>
    <row r="541" s="443" customFormat="1"/>
    <row r="542" s="443" customFormat="1"/>
    <row r="543" s="443" customFormat="1"/>
    <row r="544" s="443" customFormat="1"/>
    <row r="545" s="443" customFormat="1"/>
    <row r="546" s="443" customFormat="1"/>
    <row r="547" s="443" customFormat="1"/>
    <row r="548" s="443" customFormat="1"/>
    <row r="549" s="443" customFormat="1"/>
    <row r="550" s="443" customFormat="1"/>
    <row r="551" s="443" customFormat="1"/>
    <row r="552" s="443" customFormat="1"/>
    <row r="553" s="443" customFormat="1"/>
    <row r="554" s="443" customFormat="1"/>
    <row r="555" s="443" customFormat="1"/>
    <row r="556" s="443" customFormat="1"/>
    <row r="557" s="443" customFormat="1"/>
    <row r="558" s="443" customFormat="1"/>
    <row r="559" s="443" customFormat="1"/>
    <row r="560" s="443" customFormat="1"/>
    <row r="561" s="443" customFormat="1"/>
    <row r="562" s="443" customFormat="1"/>
    <row r="563" s="443" customFormat="1"/>
    <row r="564" s="443" customFormat="1"/>
    <row r="565" s="443" customFormat="1"/>
    <row r="566" s="443" customFormat="1"/>
    <row r="567" s="443" customFormat="1"/>
    <row r="568" s="443" customFormat="1"/>
    <row r="569" s="443" customFormat="1"/>
    <row r="570" s="443" customFormat="1"/>
    <row r="571" s="443" customFormat="1"/>
    <row r="572" s="443" customFormat="1"/>
    <row r="573" s="443" customFormat="1"/>
    <row r="574" s="443" customFormat="1"/>
    <row r="575" s="443" customFormat="1"/>
    <row r="576" s="443" customFormat="1"/>
    <row r="577" s="443" customFormat="1"/>
    <row r="578" s="443" customFormat="1"/>
    <row r="579" s="443" customFormat="1"/>
    <row r="580" s="443" customFormat="1"/>
    <row r="581" s="443" customFormat="1"/>
    <row r="582" s="443" customFormat="1"/>
    <row r="583" s="443" customFormat="1"/>
    <row r="584" s="443" customFormat="1"/>
    <row r="585" s="443" customFormat="1"/>
    <row r="586" s="443" customFormat="1"/>
    <row r="587" s="443" customFormat="1"/>
    <row r="588" s="443" customFormat="1"/>
    <row r="589" s="443" customFormat="1"/>
    <row r="590" s="443" customFormat="1"/>
    <row r="591" s="443" customFormat="1"/>
    <row r="592" s="443" customFormat="1"/>
    <row r="593" s="443" customFormat="1"/>
    <row r="594" s="443" customFormat="1"/>
    <row r="595" s="443" customFormat="1"/>
    <row r="596" s="443" customFormat="1"/>
    <row r="597" s="443" customFormat="1"/>
    <row r="598" s="443" customFormat="1"/>
    <row r="599" s="443" customFormat="1"/>
    <row r="600" s="443" customFormat="1"/>
    <row r="601" s="443" customFormat="1"/>
    <row r="602" s="443" customFormat="1"/>
    <row r="603" s="443" customFormat="1"/>
    <row r="604" s="443" customFormat="1"/>
    <row r="605" s="443" customFormat="1"/>
    <row r="606" s="443" customFormat="1"/>
    <row r="607" s="443" customFormat="1"/>
    <row r="608" s="443" customFormat="1"/>
    <row r="609" s="443" customFormat="1"/>
    <row r="610" s="443" customFormat="1"/>
    <row r="611" s="443" customFormat="1"/>
    <row r="612" s="443" customFormat="1"/>
    <row r="613" s="443" customFormat="1"/>
    <row r="614" s="443" customFormat="1"/>
    <row r="615" s="443" customFormat="1"/>
    <row r="616" s="443" customFormat="1"/>
    <row r="617" s="443" customFormat="1"/>
    <row r="618" s="443" customFormat="1"/>
    <row r="619" s="443" customFormat="1"/>
    <row r="620" s="443" customFormat="1"/>
    <row r="621" s="443" customFormat="1"/>
    <row r="622" s="443" customFormat="1"/>
    <row r="623" s="443" customFormat="1"/>
    <row r="624" s="443" customFormat="1"/>
    <row r="625" s="443" customFormat="1"/>
    <row r="626" s="443" customFormat="1"/>
    <row r="627" s="443" customFormat="1"/>
    <row r="628" s="443" customFormat="1"/>
    <row r="629" s="443" customFormat="1"/>
    <row r="630" s="443" customFormat="1"/>
    <row r="631" s="443" customFormat="1"/>
    <row r="632" s="443" customFormat="1"/>
    <row r="633" s="443" customFormat="1"/>
    <row r="634" s="443" customFormat="1"/>
    <row r="635" s="443" customFormat="1"/>
    <row r="636" s="443" customFormat="1"/>
    <row r="637" s="443" customFormat="1"/>
    <row r="638" s="443" customFormat="1"/>
    <row r="639" s="443" customFormat="1"/>
    <row r="640" s="443" customFormat="1"/>
    <row r="641" s="443" customFormat="1"/>
    <row r="642" s="443" customFormat="1"/>
    <row r="643" s="443" customFormat="1"/>
    <row r="644" s="443" customFormat="1"/>
    <row r="645" s="443" customFormat="1"/>
    <row r="646" s="443" customFormat="1"/>
    <row r="647" s="443" customFormat="1"/>
    <row r="648" s="443" customFormat="1"/>
    <row r="649" s="443" customFormat="1"/>
    <row r="650" s="443" customFormat="1"/>
    <row r="651" s="443" customFormat="1"/>
    <row r="652" s="443" customFormat="1"/>
    <row r="653" s="443" customFormat="1"/>
    <row r="654" s="443" customFormat="1"/>
    <row r="655" s="443" customFormat="1"/>
    <row r="656" s="443" customFormat="1"/>
    <row r="657" s="443" customFormat="1"/>
    <row r="658" s="443" customFormat="1"/>
    <row r="659" s="443" customFormat="1"/>
    <row r="660" s="443" customFormat="1"/>
    <row r="661" s="443" customFormat="1"/>
    <row r="662" s="443" customFormat="1"/>
    <row r="663" s="443" customFormat="1"/>
    <row r="664" s="443" customFormat="1"/>
    <row r="665" s="443" customFormat="1"/>
    <row r="666" s="443" customFormat="1"/>
    <row r="667" s="443" customFormat="1"/>
    <row r="668" s="443" customFormat="1"/>
    <row r="669" s="443" customFormat="1"/>
    <row r="670" s="443" customFormat="1"/>
    <row r="671" s="443" customFormat="1"/>
    <row r="672" s="443" customFormat="1"/>
    <row r="673" s="443" customFormat="1"/>
    <row r="674" s="443" customFormat="1"/>
  </sheetData>
  <dataConsolidate/>
  <phoneticPr fontId="0" type="noConversion"/>
  <printOptions headings="1" gridLines="1" gridLinesSet="0"/>
  <pageMargins left="0.75" right="0.75" top="1" bottom="1" header="0.5" footer="0.5"/>
  <pageSetup orientation="portrait" horizontalDpi="300" verticalDpi="4294967292"/>
  <headerFooter alignWithMargins="0">
    <oddHeader>&amp;F</oddHeader>
    <oddFooter>Page &amp;P</oddFooter>
  </headerFooter>
  <rowBreaks count="3" manualBreakCount="3">
    <brk id="39" max="65535" man="1"/>
    <brk id="59" max="65535" man="1"/>
    <brk id="78" max="65535" man="1"/>
  </rowBreaks>
  <colBreaks count="4" manualBreakCount="4">
    <brk id="9" max="1048575" man="1"/>
    <brk id="17" max="1048575" man="1"/>
    <brk id="25" max="1048575" man="1"/>
    <brk id="32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D2:Z58"/>
  <sheetViews>
    <sheetView workbookViewId="0"/>
  </sheetViews>
  <sheetFormatPr defaultColWidth="8.6328125" defaultRowHeight="15"/>
  <cols>
    <col min="4" max="8" width="3.453125" style="39" customWidth="1"/>
    <col min="9" max="9" width="14.90625" style="39" customWidth="1"/>
    <col min="10" max="10" width="6.6328125" style="39" customWidth="1"/>
    <col min="12" max="16" width="4.08984375" style="39" customWidth="1"/>
    <col min="17" max="17" width="13.453125" style="39" customWidth="1"/>
    <col min="18" max="18" width="5.453125" style="39" customWidth="1"/>
    <col min="19" max="19" width="10.453125" style="39" customWidth="1"/>
    <col min="20" max="24" width="4.08984375" style="39" customWidth="1"/>
    <col min="25" max="25" width="13.08984375" style="39" customWidth="1"/>
    <col min="26" max="26" width="5.90625" style="39" customWidth="1"/>
  </cols>
  <sheetData>
    <row r="2" spans="4:26" ht="15.6" thickBot="1">
      <c r="D2" s="38" t="s">
        <v>1613</v>
      </c>
      <c r="L2" s="38" t="s">
        <v>1614</v>
      </c>
      <c r="T2" s="38" t="s">
        <v>432</v>
      </c>
    </row>
    <row r="3" spans="4:26">
      <c r="D3" s="40"/>
      <c r="E3" s="41"/>
      <c r="F3" s="41"/>
      <c r="G3" s="41">
        <v>408</v>
      </c>
      <c r="H3" s="41">
        <v>366</v>
      </c>
      <c r="I3" s="41"/>
      <c r="J3" s="42"/>
      <c r="L3" s="40"/>
      <c r="M3" s="41"/>
      <c r="N3" s="41"/>
      <c r="O3" s="41">
        <v>650</v>
      </c>
      <c r="P3" s="41">
        <v>354</v>
      </c>
      <c r="Q3" s="41"/>
      <c r="R3" s="42"/>
      <c r="T3" s="40"/>
      <c r="U3" s="41"/>
      <c r="V3" s="41"/>
      <c r="W3" s="41">
        <v>400</v>
      </c>
      <c r="X3" s="41">
        <v>340</v>
      </c>
      <c r="Y3" s="41"/>
      <c r="Z3" s="42"/>
    </row>
    <row r="4" spans="4:26">
      <c r="D4" s="43">
        <v>14</v>
      </c>
      <c r="E4" s="39">
        <v>46</v>
      </c>
      <c r="F4" s="39">
        <v>15</v>
      </c>
      <c r="G4" s="39">
        <v>324</v>
      </c>
      <c r="H4" s="39">
        <v>253</v>
      </c>
      <c r="I4" s="39" t="s">
        <v>433</v>
      </c>
      <c r="J4" s="44"/>
      <c r="L4" s="43">
        <v>14</v>
      </c>
      <c r="M4" s="39">
        <v>15</v>
      </c>
      <c r="N4" s="39">
        <v>15</v>
      </c>
      <c r="O4" s="39">
        <v>300</v>
      </c>
      <c r="P4" s="39">
        <v>260</v>
      </c>
      <c r="Q4" s="39" t="s">
        <v>434</v>
      </c>
      <c r="R4" s="44"/>
      <c r="T4" s="43">
        <v>14</v>
      </c>
      <c r="U4" s="39">
        <v>20</v>
      </c>
      <c r="V4" s="39">
        <v>15</v>
      </c>
      <c r="W4" s="39">
        <v>125</v>
      </c>
      <c r="X4" s="39">
        <v>240</v>
      </c>
      <c r="Y4" s="39" t="s">
        <v>435</v>
      </c>
      <c r="Z4" s="44"/>
    </row>
    <row r="5" spans="4:26">
      <c r="D5" s="43">
        <v>11</v>
      </c>
      <c r="J5" s="44">
        <v>13</v>
      </c>
      <c r="L5" s="43">
        <v>11</v>
      </c>
      <c r="R5" s="44">
        <v>12</v>
      </c>
      <c r="T5" s="43">
        <v>11</v>
      </c>
      <c r="Z5" s="45">
        <v>7</v>
      </c>
    </row>
    <row r="6" spans="4:26">
      <c r="D6" s="43">
        <v>12</v>
      </c>
      <c r="E6" s="39">
        <v>75</v>
      </c>
      <c r="F6" s="39">
        <v>35</v>
      </c>
      <c r="I6" s="39" t="str">
        <f>IF(ISTEXT(INDEX(IF($J$32,Materials!K:K,Materials!A:A),5*(ROW(I6)-ROW(I$6))+8)), MID(INDEX(IF($J$32,Materials!K:K,Materials!A:A),5*(ROW(I6)-ROW(I$6))+8), 1, LEN(INDEX(IF($J$32,Materials!K:K,Materials!A:A),5*(ROW(I6)-ROW(I$6))+8))-IF($J$32,5,4)), "Custom Material")</f>
        <v>AS4/H3501</v>
      </c>
      <c r="J6" s="44"/>
      <c r="L6" s="43">
        <v>12</v>
      </c>
      <c r="M6" s="39">
        <v>40</v>
      </c>
      <c r="N6" s="39">
        <v>35</v>
      </c>
      <c r="Q6" s="39" t="str">
        <f>IF(ISTEXT(INDEX(IF($R$58,Materials!K:K,Materials!A:A),5*(ROW(Q6)-ROW(Q$6))+8)), MID(INDEX(IF($R$58,Materials!K:K,Materials!A:A),5*(ROW(Q6)-ROW(Q$6))+8), 1, LEN(INDEX(IF($R$58,Materials!K:K,Materials!A:A),5*(ROW(Q6)-ROW(Q$6))+8))-IF($R$58,5,4)), "Custom Material")</f>
        <v>AS4/H3501</v>
      </c>
      <c r="R6" s="44"/>
      <c r="T6" s="43">
        <v>12</v>
      </c>
      <c r="Y6" s="39" t="str">
        <f>IF(ISTEXT(INDEX(IF($Z$48,Materials!K:K,Materials!A:A),5*(ROW(Y6)-ROW(Y$6))+8)), MID(INDEX(IF($Z$48,Materials!K:K,Materials!A:A),5*(ROW(Y6)-ROW(Y$6))+8), 1, LEN(INDEX(IF($Z$48,Materials!K:K,Materials!A:A),5*(ROW(Y6)-ROW(Y$6))+8))-IF($Z$48,5,4)), "Custom Material")</f>
        <v>AS4/H3501</v>
      </c>
      <c r="Z6" s="44"/>
    </row>
    <row r="7" spans="4:26">
      <c r="D7" s="43">
        <v>12</v>
      </c>
      <c r="I7" s="39" t="str">
        <f>IF(ISTEXT(INDEX(IF($J$32,Materials!K:K,Materials!A:A),5*(ROW(I7)-ROW(I$6))+8)), MID(INDEX(IF($J$32,Materials!K:K,Materials!A:A),5*(ROW(I7)-ROW(I$6))+8), 1, LEN(INDEX(IF($J$32,Materials!K:K,Materials!A:A),5*(ROW(I7)-ROW(I$6))+8))-IF($J$32,5,4)), "Custom Material")</f>
        <v>AS4/PEEK</v>
      </c>
      <c r="J7" s="44"/>
      <c r="L7" s="43">
        <v>12</v>
      </c>
      <c r="Q7" s="39" t="str">
        <f>IF(ISTEXT(INDEX(IF($R$58,Materials!K:K,Materials!A:A),5*(ROW(Q7)-ROW(Q$6))+8)), MID(INDEX(IF($R$58,Materials!K:K,Materials!A:A),5*(ROW(Q7)-ROW(Q$6))+8), 1, LEN(INDEX(IF($R$58,Materials!K:K,Materials!A:A),5*(ROW(Q7)-ROW(Q$6))+8))-IF($R$58,5,4)), "Custom Material")</f>
        <v>AS4/PEEK</v>
      </c>
      <c r="R7" s="44"/>
      <c r="T7" s="43">
        <v>12</v>
      </c>
      <c r="Y7" s="39" t="str">
        <f>IF(ISTEXT(INDEX(IF($Z$48,Materials!K:K,Materials!A:A),5*(ROW(Y7)-ROW(Y$6))+8)), MID(INDEX(IF($Z$48,Materials!K:K,Materials!A:A),5*(ROW(Y7)-ROW(Y$6))+8), 1, LEN(INDEX(IF($Z$48,Materials!K:K,Materials!A:A),5*(ROW(Y7)-ROW(Y$6))+8))-IF($Z$48,5,4)), "Custom Material")</f>
        <v>AS4/PEEK</v>
      </c>
      <c r="Z7" s="44"/>
    </row>
    <row r="8" spans="4:26">
      <c r="D8" s="43">
        <v>12</v>
      </c>
      <c r="I8" s="39" t="str">
        <f>IF(ISTEXT(INDEX(IF($J$32,Materials!K:K,Materials!A:A),5*(ROW(I8)-ROW(I$6))+8)), MID(INDEX(IF($J$32,Materials!K:K,Materials!A:A),5*(ROW(I8)-ROW(I$6))+8), 1, LEN(INDEX(IF($J$32,Materials!K:K,Materials!A:A),5*(ROW(I8)-ROW(I$6))+8))-IF($J$32,5,4)), "Custom Material")</f>
        <v>B4/N55</v>
      </c>
      <c r="J8" s="44"/>
      <c r="L8" s="43">
        <v>12</v>
      </c>
      <c r="Q8" s="39" t="str">
        <f>IF(ISTEXT(INDEX(IF($R$58,Materials!K:K,Materials!A:A),5*(ROW(Q8)-ROW(Q$6))+8)), MID(INDEX(IF($R$58,Materials!K:K,Materials!A:A),5*(ROW(Q8)-ROW(Q$6))+8), 1, LEN(INDEX(IF($R$58,Materials!K:K,Materials!A:A),5*(ROW(Q8)-ROW(Q$6))+8))-IF($R$58,5,4)), "Custom Material")</f>
        <v>B4/N55</v>
      </c>
      <c r="R8" s="44"/>
      <c r="T8" s="43">
        <v>12</v>
      </c>
      <c r="Y8" s="39" t="str">
        <f>IF(ISTEXT(INDEX(IF($Z$48,Materials!K:K,Materials!A:A),5*(ROW(Y8)-ROW(Y$6))+8)), MID(INDEX(IF($Z$48,Materials!K:K,Materials!A:A),5*(ROW(Y8)-ROW(Y$6))+8), 1, LEN(INDEX(IF($Z$48,Materials!K:K,Materials!A:A),5*(ROW(Y8)-ROW(Y$6))+8))-IF($Z$48,5,4)), "Custom Material")</f>
        <v>B4/N55</v>
      </c>
      <c r="Z8" s="44"/>
    </row>
    <row r="9" spans="4:26">
      <c r="D9" s="43">
        <v>12</v>
      </c>
      <c r="I9" s="39" t="str">
        <f>IF(ISTEXT(INDEX(IF($J$32,Materials!K:K,Materials!A:A),5*(ROW(I9)-ROW(I$6))+8)), MID(INDEX(IF($J$32,Materials!K:K,Materials!A:A),5*(ROW(I9)-ROW(I$6))+8), 1, LEN(INDEX(IF($J$32,Materials!K:K,Materials!A:A),5*(ROW(I9)-ROW(I$6))+8))-IF($J$32,5,4)), "Custom Material")</f>
        <v>IM6/ep</v>
      </c>
      <c r="J9" s="44"/>
      <c r="L9" s="43">
        <v>12</v>
      </c>
      <c r="Q9" s="39" t="str">
        <f>IF(ISTEXT(INDEX(IF($R$58,Materials!K:K,Materials!A:A),5*(ROW(Q9)-ROW(Q$6))+8)), MID(INDEX(IF($R$58,Materials!K:K,Materials!A:A),5*(ROW(Q9)-ROW(Q$6))+8), 1, LEN(INDEX(IF($R$58,Materials!K:K,Materials!A:A),5*(ROW(Q9)-ROW(Q$6))+8))-IF($R$58,5,4)), "Custom Material")</f>
        <v>IM6/ep</v>
      </c>
      <c r="R9" s="44"/>
      <c r="T9" s="43">
        <v>12</v>
      </c>
      <c r="Y9" s="39" t="str">
        <f>IF(ISTEXT(INDEX(IF($Z$48,Materials!K:K,Materials!A:A),5*(ROW(Y9)-ROW(Y$6))+8)), MID(INDEX(IF($Z$48,Materials!K:K,Materials!A:A),5*(ROW(Y9)-ROW(Y$6))+8), 1, LEN(INDEX(IF($Z$48,Materials!K:K,Materials!A:A),5*(ROW(Y9)-ROW(Y$6))+8))-IF($Z$48,5,4)), "Custom Material")</f>
        <v>IM6/epoxy</v>
      </c>
      <c r="Z9" s="44"/>
    </row>
    <row r="10" spans="4:26">
      <c r="D10" s="43">
        <v>12</v>
      </c>
      <c r="I10" s="39" t="str">
        <f>IF(ISTEXT(INDEX(IF($J$32,Materials!K:K,Materials!A:A),5*(ROW(I10)-ROW(I$6))+8)), MID(INDEX(IF($J$32,Materials!K:K,Materials!A:A),5*(ROW(I10)-ROW(I$6))+8), 1, LEN(INDEX(IF($J$32,Materials!K:K,Materials!A:A),5*(ROW(I10)-ROW(I$6))+8))-IF($J$32,5,4)), "Custom Material")</f>
        <v>Kevlar/ep</v>
      </c>
      <c r="J10" s="44"/>
      <c r="L10" s="43">
        <v>12</v>
      </c>
      <c r="Q10" s="39" t="str">
        <f>IF(ISTEXT(INDEX(IF($R$58,Materials!K:K,Materials!A:A),5*(ROW(Q10)-ROW(Q$6))+8)), MID(INDEX(IF($R$58,Materials!K:K,Materials!A:A),5*(ROW(Q10)-ROW(Q$6))+8), 1, LEN(INDEX(IF($R$58,Materials!K:K,Materials!A:A),5*(ROW(Q10)-ROW(Q$6))+8))-IF($R$58,5,4)), "Custom Material")</f>
        <v>Kevlar/ep</v>
      </c>
      <c r="R10" s="44"/>
      <c r="T10" s="43">
        <v>12</v>
      </c>
      <c r="Y10" s="39" t="str">
        <f>IF(ISTEXT(INDEX(IF($Z$48,Materials!K:K,Materials!A:A),5*(ROW(Y10)-ROW(Y$6))+8)), MID(INDEX(IF($Z$48,Materials!K:K,Materials!A:A),5*(ROW(Y10)-ROW(Y$6))+8), 1, LEN(INDEX(IF($Z$48,Materials!K:K,Materials!A:A),5*(ROW(Y10)-ROW(Y$6))+8))-IF($Z$48,5,4)), "Custom Material")</f>
        <v>Kevlar/epoxy</v>
      </c>
      <c r="Z10" s="44"/>
    </row>
    <row r="11" spans="4:26">
      <c r="D11" s="43">
        <v>12</v>
      </c>
      <c r="I11" s="39" t="str">
        <f>IF(ISTEXT(INDEX(IF($J$32,Materials!K:K,Materials!A:A),5*(ROW(I11)-ROW(I$6))+8)), MID(INDEX(IF($J$32,Materials!K:K,Materials!A:A),5*(ROW(I11)-ROW(I$6))+8), 1, LEN(INDEX(IF($J$32,Materials!K:K,Materials!A:A),5*(ROW(I11)-ROW(I$6))+8))-IF($J$32,5,4)), "Custom Material")</f>
        <v>Scotch</v>
      </c>
      <c r="J11" s="44"/>
      <c r="L11" s="43">
        <v>12</v>
      </c>
      <c r="Q11" s="39" t="str">
        <f>IF(ISTEXT(INDEX(IF($R$58,Materials!K:K,Materials!A:A),5*(ROW(Q11)-ROW(Q$6))+8)), MID(INDEX(IF($R$58,Materials!K:K,Materials!A:A),5*(ROW(Q11)-ROW(Q$6))+8), 1, LEN(INDEX(IF($R$58,Materials!K:K,Materials!A:A),5*(ROW(Q11)-ROW(Q$6))+8))-IF($R$58,5,4)), "Custom Material")</f>
        <v>Scotch</v>
      </c>
      <c r="R11" s="44"/>
      <c r="T11" s="43">
        <v>12</v>
      </c>
      <c r="Y11" s="39" t="str">
        <f>IF(ISTEXT(INDEX(IF($Z$48,Materials!K:K,Materials!A:A),5*(ROW(Y11)-ROW(Y$6))+8)), MID(INDEX(IF($Z$48,Materials!K:K,Materials!A:A),5*(ROW(Y11)-ROW(Y$6))+8), 1, LEN(INDEX(IF($Z$48,Materials!K:K,Materials!A:A),5*(ROW(Y11)-ROW(Y$6))+8))-IF($Z$48,5,4)), "Custom Material")</f>
        <v>Scotch</v>
      </c>
      <c r="Z11" s="44"/>
    </row>
    <row r="12" spans="4:26">
      <c r="D12" s="43">
        <v>12</v>
      </c>
      <c r="I12" s="39" t="str">
        <f>IF(ISTEXT(INDEX(IF($J$32,Materials!K:K,Materials!A:A),5*(ROW(I12)-ROW(I$6))+8)), MID(INDEX(IF($J$32,Materials!K:K,Materials!A:A),5*(ROW(I12)-ROW(I$6))+8), 1, LEN(INDEX(IF($J$32,Materials!K:K,Materials!A:A),5*(ROW(I12)-ROW(I$6))+8))-IF($J$32,5,4)), "Custom Material")</f>
        <v>T3/F93</v>
      </c>
      <c r="J12" s="44"/>
      <c r="L12" s="43">
        <v>12</v>
      </c>
      <c r="Q12" s="39" t="str">
        <f>IF(ISTEXT(INDEX(IF($R$58,Materials!K:K,Materials!A:A),5*(ROW(Q12)-ROW(Q$6))+8)), MID(INDEX(IF($R$58,Materials!K:K,Materials!A:A),5*(ROW(Q12)-ROW(Q$6))+8), 1, LEN(INDEX(IF($R$58,Materials!K:K,Materials!A:A),5*(ROW(Q12)-ROW(Q$6))+8))-IF($R$58,5,4)), "Custom Material")</f>
        <v>T3/F93</v>
      </c>
      <c r="R12" s="44"/>
      <c r="T12" s="43">
        <v>12</v>
      </c>
      <c r="Y12" s="39" t="str">
        <f>IF(ISTEXT(INDEX(IF($Z$48,Materials!K:K,Materials!A:A),5*(ROW(Y12)-ROW(Y$6))+8)), MID(INDEX(IF($Z$48,Materials!K:K,Materials!A:A),5*(ROW(Y12)-ROW(Y$6))+8), 1, LEN(INDEX(IF($Z$48,Materials!K:K,Materials!A:A),5*(ROW(Y12)-ROW(Y$6))+8))-IF($Z$48,5,4)), "Custom Material")</f>
        <v>T3/F93</v>
      </c>
      <c r="Z12" s="44"/>
    </row>
    <row r="13" spans="4:26">
      <c r="D13" s="43">
        <v>12</v>
      </c>
      <c r="I13" s="39" t="str">
        <f>IF(ISTEXT(INDEX(IF($J$32,Materials!K:K,Materials!A:A),5*(ROW(I13)-ROW(I$6))+8)), MID(INDEX(IF($J$32,Materials!K:K,Materials!A:A),5*(ROW(I13)-ROW(I$6))+8), 1, LEN(INDEX(IF($J$32,Materials!K:K,Materials!A:A),5*(ROW(I13)-ROW(I$6))+8))-IF($J$32,5,4)), "Custom Material")</f>
        <v>T3/N52</v>
      </c>
      <c r="J13" s="44"/>
      <c r="L13" s="43">
        <v>12</v>
      </c>
      <c r="Q13" s="39" t="str">
        <f>IF(ISTEXT(INDEX(IF($R$58,Materials!K:K,Materials!A:A),5*(ROW(Q13)-ROW(Q$6))+8)), MID(INDEX(IF($R$58,Materials!K:K,Materials!A:A),5*(ROW(Q13)-ROW(Q$6))+8), 1, LEN(INDEX(IF($R$58,Materials!K:K,Materials!A:A),5*(ROW(Q13)-ROW(Q$6))+8))-IF($R$58,5,4)), "Custom Material")</f>
        <v>T3/N52</v>
      </c>
      <c r="R13" s="44"/>
      <c r="T13" s="43">
        <v>12</v>
      </c>
      <c r="Y13" s="39" t="str">
        <f>IF(ISTEXT(INDEX(IF($Z$48,Materials!K:K,Materials!A:A),5*(ROW(Y13)-ROW(Y$6))+8)), MID(INDEX(IF($Z$48,Materials!K:K,Materials!A:A),5*(ROW(Y13)-ROW(Y$6))+8), 1, LEN(INDEX(IF($Z$48,Materials!K:K,Materials!A:A),5*(ROW(Y13)-ROW(Y$6))+8))-IF($Z$48,5,4)), "Custom Material")</f>
        <v>T3/N52</v>
      </c>
      <c r="Z13" s="44"/>
    </row>
    <row r="14" spans="4:26">
      <c r="D14" s="43">
        <v>12</v>
      </c>
      <c r="I14" s="39" t="str">
        <f>IF(ISTEXT(INDEX(IF($J$32,Materials!K:K,Materials!A:A),5*(ROW(I14)-ROW(I$6))+8)), MID(INDEX(IF($J$32,Materials!K:K,Materials!A:A),5*(ROW(I14)-ROW(I$6))+8), 1, LEN(INDEX(IF($J$32,Materials!K:K,Materials!A:A),5*(ROW(I14)-ROW(I$6))+8))-IF($J$32,5,4)), "Custom Material")</f>
        <v>Alum</v>
      </c>
      <c r="J14" s="44"/>
      <c r="L14" s="43">
        <v>12</v>
      </c>
      <c r="Q14" s="39" t="str">
        <f>IF(ISTEXT(INDEX(IF($R$58,Materials!K:K,Materials!A:A),5*(ROW(Q14)-ROW(Q$6))+8)), MID(INDEX(IF($R$58,Materials!K:K,Materials!A:A),5*(ROW(Q14)-ROW(Q$6))+8), 1, LEN(INDEX(IF($R$58,Materials!K:K,Materials!A:A),5*(ROW(Q14)-ROW(Q$6))+8))-IF($R$58,5,4)), "Custom Material")</f>
        <v>Alum</v>
      </c>
      <c r="R14" s="44"/>
      <c r="T14" s="43">
        <v>12</v>
      </c>
      <c r="Y14" s="39" t="str">
        <f>IF(ISTEXT(INDEX(IF($Z$48,Materials!K:K,Materials!A:A),5*(ROW(Y14)-ROW(Y$6))+8)), MID(INDEX(IF($Z$48,Materials!K:K,Materials!A:A),5*(ROW(Y14)-ROW(Y$6))+8), 1, LEN(INDEX(IF($Z$48,Materials!K:K,Materials!A:A),5*(ROW(Y14)-ROW(Y$6))+8))-IF($Z$48,5,4)), "Custom Material")</f>
        <v>Aluminum</v>
      </c>
      <c r="Z14" s="44"/>
    </row>
    <row r="15" spans="4:26">
      <c r="D15" s="43">
        <v>12</v>
      </c>
      <c r="I15" s="39" t="str">
        <f>IF(ISTEXT(INDEX(IF($J$32,Materials!K:K,Materials!A:A),5*(ROW(I15)-ROW(I$6))+8)), MID(INDEX(IF($J$32,Materials!K:K,Materials!A:A),5*(ROW(I15)-ROW(I$6))+8), 1, LEN(INDEX(IF($J$32,Materials!K:K,Materials!A:A),5*(ROW(I15)-ROW(I$6))+8))-IF($J$32,5,4)), "Custom Material")</f>
        <v>C-Ply 55</v>
      </c>
      <c r="J15" s="44"/>
      <c r="L15" s="43">
        <v>12</v>
      </c>
      <c r="Q15" s="39" t="str">
        <f>IF(ISTEXT(INDEX(IF($R$58,Materials!K:K,Materials!A:A),5*(ROW(Q15)-ROW(Q$6))+8)), MID(INDEX(IF($R$58,Materials!K:K,Materials!A:A),5*(ROW(Q15)-ROW(Q$6))+8), 1, LEN(INDEX(IF($R$58,Materials!K:K,Materials!A:A),5*(ROW(Q15)-ROW(Q$6))+8))-IF($R$58,5,4)), "Custom Material")</f>
        <v>C-Ply 55</v>
      </c>
      <c r="R15" s="44"/>
      <c r="T15" s="43">
        <v>12</v>
      </c>
      <c r="Y15" s="39" t="str">
        <f>IF(ISTEXT(INDEX(IF($Z$48,Materials!K:K,Materials!A:A),5*(ROW(Y15)-ROW(Y$6))+8)), MID(INDEX(IF($Z$48,Materials!K:K,Materials!A:A),5*(ROW(Y15)-ROW(Y$6))+8), 1, LEN(INDEX(IF($Z$48,Materials!K:K,Materials!A:A),5*(ROW(Y15)-ROW(Y$6))+8))-IF($Z$48,5,4)), "Custom Material")</f>
        <v>Steel</v>
      </c>
      <c r="Z15" s="44"/>
    </row>
    <row r="16" spans="4:26">
      <c r="D16" s="43">
        <v>12</v>
      </c>
      <c r="I16" s="39" t="str">
        <f>IF(ISTEXT(INDEX(IF($J$32,Materials!K:K,Materials!A:A),5*(ROW(I16)-ROW(I$6))+8)), MID(INDEX(IF($J$32,Materials!K:K,Materials!A:A),5*(ROW(I16)-ROW(I$6))+8), 1, LEN(INDEX(IF($J$32,Materials!K:K,Materials!A:A),5*(ROW(I16)-ROW(I$6))+8))-IF($J$32,5,4)), "Custom Material")</f>
        <v>C-Ply 64</v>
      </c>
      <c r="J16" s="44"/>
      <c r="L16" s="43">
        <v>12</v>
      </c>
      <c r="Q16" s="39" t="str">
        <f>IF(ISTEXT(INDEX(IF($R$58,Materials!K:K,Materials!A:A),5*(ROW(Q16)-ROW(Q$6))+8)), MID(INDEX(IF($R$58,Materials!K:K,Materials!A:A),5*(ROW(Q16)-ROW(Q$6))+8), 1, LEN(INDEX(IF($R$58,Materials!K:K,Materials!A:A),5*(ROW(Q16)-ROW(Q$6))+8))-IF($R$58,5,4)), "Custom Material")</f>
        <v>C-Ply 64</v>
      </c>
      <c r="R16" s="44"/>
      <c r="T16" s="43">
        <v>12</v>
      </c>
      <c r="Y16" s="39" t="str">
        <f>IF(ISTEXT(INDEX(IF($Z$48,Materials!K:K,Materials!A:A),5*(ROW(Y16)-ROW(Y$6))+8)), MID(INDEX(IF($Z$48,Materials!K:K,Materials!A:A),5*(ROW(Y16)-ROW(Y$6))+8), 1, LEN(INDEX(IF($Z$48,Materials!K:K,Materials!A:A),5*(ROW(Y16)-ROW(Y$6))+8))-IF($Z$48,5,4)), "Custom Material")</f>
        <v>C-Ply 55</v>
      </c>
      <c r="Z16" s="44"/>
    </row>
    <row r="17" spans="4:26">
      <c r="D17" s="43">
        <v>12</v>
      </c>
      <c r="I17" s="39" t="str">
        <f>IF(ISTEXT(INDEX(IF($J$32,Materials!K:K,Materials!A:A),5*(ROW(I17)-ROW(I$6))+8)), MID(INDEX(IF($J$32,Materials!K:K,Materials!A:A),5*(ROW(I17)-ROW(I$6))+8), 1, LEN(INDEX(IF($J$32,Materials!K:K,Materials!A:A),5*(ROW(I17)-ROW(I$6))+8))-IF($J$32,5,4)), "Custom Material")</f>
        <v>IM7/977</v>
      </c>
      <c r="J17" s="44"/>
      <c r="L17" s="43">
        <v>12</v>
      </c>
      <c r="Q17" s="39" t="str">
        <f>IF(ISTEXT(INDEX(IF($R$58,Materials!K:K,Materials!A:A),5*(ROW(Q17)-ROW(Q$6))+8)), MID(INDEX(IF($R$58,Materials!K:K,Materials!A:A),5*(ROW(Q17)-ROW(Q$6))+8), 1, LEN(INDEX(IF($R$58,Materials!K:K,Materials!A:A),5*(ROW(Q17)-ROW(Q$6))+8))-IF($R$58,5,4)), "Custom Material")</f>
        <v>IM7/977</v>
      </c>
      <c r="R17" s="44"/>
      <c r="T17" s="43">
        <v>12</v>
      </c>
      <c r="Y17" s="39" t="str">
        <f>IF(ISTEXT(INDEX(IF($Z$48,Materials!K:K,Materials!A:A),5*(ROW(Y17)-ROW(Y$6))+8)), MID(INDEX(IF($Z$48,Materials!K:K,Materials!A:A),5*(ROW(Y17)-ROW(Y$6))+8), 1, LEN(INDEX(IF($Z$48,Materials!K:K,Materials!A:A),5*(ROW(Y17)-ROW(Y$6))+8))-IF($Z$48,5,4)), "Custom Material")</f>
        <v>IM7/977</v>
      </c>
      <c r="Z17" s="44"/>
    </row>
    <row r="18" spans="4:26">
      <c r="D18" s="43">
        <v>12</v>
      </c>
      <c r="E18" s="39">
        <v>225</v>
      </c>
      <c r="F18" s="39">
        <v>35</v>
      </c>
      <c r="I18" s="39" t="str">
        <f>IF(ISTEXT(INDEX(IF($J$32,Materials!K:K,Materials!A:A),5*(ROW(I18)-ROW(I$6))+8)), MID(INDEX(IF($J$32,Materials!K:K,Materials!A:A),5*(ROW(I18)-ROW(I$6))+8), 1, LEN(INDEX(IF($J$32,Materials!K:K,Materials!A:A),5*(ROW(I18)-ROW(I$6))+8))-IF($J$32,5,4)), "Custom Material")</f>
        <v>T800/Cyt</v>
      </c>
      <c r="J18" s="44"/>
      <c r="L18" s="43">
        <v>12</v>
      </c>
      <c r="M18" s="39">
        <v>170</v>
      </c>
      <c r="N18" s="39">
        <v>35</v>
      </c>
      <c r="Q18" s="39" t="str">
        <f>IF(ISTEXT(INDEX(IF($R$58,Materials!K:K,Materials!A:A),5*(ROW(Q18)-ROW(Q$6))+8)), MID(INDEX(IF($R$58,Materials!K:K,Materials!A:A),5*(ROW(Q18)-ROW(Q$6))+8), 1, LEN(INDEX(IF($R$58,Materials!K:K,Materials!A:A),5*(ROW(Q18)-ROW(Q$6))+8))-IF($R$58,5,4)), "Custom Material")</f>
        <v>T800/Cyt</v>
      </c>
      <c r="R18" s="44"/>
      <c r="T18" s="43">
        <v>14</v>
      </c>
      <c r="U18" s="39">
        <v>160</v>
      </c>
      <c r="V18" s="39">
        <v>15</v>
      </c>
      <c r="W18" s="39">
        <v>125</v>
      </c>
      <c r="X18" s="39">
        <v>240</v>
      </c>
      <c r="Y18" s="39" t="s">
        <v>450</v>
      </c>
      <c r="Z18" s="44"/>
    </row>
    <row r="19" spans="4:26">
      <c r="D19" s="43">
        <v>12</v>
      </c>
      <c r="I19" s="39" t="str">
        <f>IF(ISTEXT(INDEX(IF($J$32,Materials!K:K,Materials!A:A),5*(ROW(I19)-ROW(I$6))+8)), MID(INDEX(IF($J$32,Materials!K:K,Materials!A:A),5*(ROW(I19)-ROW(I$6))+8), 1, LEN(INDEX(IF($J$32,Materials!K:K,Materials!A:A),5*(ROW(I19)-ROW(I$6))+8))-IF($J$32,5,4)), "Custom Material")</f>
        <v>Master ply</v>
      </c>
      <c r="J19" s="44"/>
      <c r="L19" s="43">
        <v>12</v>
      </c>
      <c r="Q19" s="39" t="str">
        <f>IF(ISTEXT(INDEX(IF($R$58,Materials!K:K,Materials!A:A),5*(ROW(Q19)-ROW(Q$6))+8)), MID(INDEX(IF($R$58,Materials!K:K,Materials!A:A),5*(ROW(Q19)-ROW(Q$6))+8), 1, LEN(INDEX(IF($R$58,Materials!K:K,Materials!A:A),5*(ROW(Q19)-ROW(Q$6))+8))-IF($R$58,5,4)), "Custom Material")</f>
        <v>Master ply</v>
      </c>
      <c r="R19" s="44"/>
      <c r="T19" s="43">
        <v>11</v>
      </c>
      <c r="Z19" s="45">
        <v>8</v>
      </c>
    </row>
    <row r="20" spans="4:26">
      <c r="D20" s="43">
        <v>12</v>
      </c>
      <c r="I20" s="39" t="str">
        <f>IF(ISTEXT(INDEX(IF($J$32,Materials!K:K,Materials!A:A),5*(ROW(I20)-ROW(I$6))+8)), MID(INDEX(IF($J$32,Materials!K:K,Materials!A:A),5*(ROW(I20)-ROW(I$6))+8), 1, LEN(INDEX(IF($J$32,Materials!K:K,Materials!A:A),5*(ROW(I20)-ROW(I$6))+8))-IF($J$32,5,4)), "Custom Material")</f>
        <v>IM7/8552</v>
      </c>
      <c r="J20" s="44"/>
      <c r="L20" s="43">
        <v>12</v>
      </c>
      <c r="Q20" s="39" t="str">
        <f>IF(ISTEXT(INDEX(IF($R$58,Materials!K:K,Materials!A:A),5*(ROW(Q20)-ROW(Q$6))+8)), MID(INDEX(IF($R$58,Materials!K:K,Materials!A:A),5*(ROW(Q20)-ROW(Q$6))+8), 1, LEN(INDEX(IF($R$58,Materials!K:K,Materials!A:A),5*(ROW(Q20)-ROW(Q$6))+8))-IF($R$58,5,4)), "Custom Material")</f>
        <v>IM7/8552</v>
      </c>
      <c r="R20" s="44"/>
      <c r="T20" s="43">
        <v>12</v>
      </c>
      <c r="Y20" s="39" t="str">
        <f>IF(ISTEXT(INDEX(IF($Z$48,Materials!K:K,Materials!A:A),5*(ROW(Y6)-ROW(Y$6))+8)), MID(INDEX(IF($Z$48,Materials!K:K,Materials!A:A),5*(ROW(Y6)-ROW(Y$6))+8), 1, LEN(INDEX(IF($Z$48,Materials!K:K,Materials!A:A),5*(ROW(Y6)-ROW(Y$6))+8))-IF($Z$48,5,4)), "Custom Material")</f>
        <v>AS4/H3501</v>
      </c>
      <c r="Z20" s="44"/>
    </row>
    <row r="21" spans="4:26">
      <c r="D21" s="43">
        <v>12</v>
      </c>
      <c r="I21" s="39" t="str">
        <f>IF(ISTEXT(INDEX(IF($J$32,Materials!K:K,Materials!A:A),5*(ROW(I21)-ROW(I$6))+8)), MID(INDEX(IF($J$32,Materials!K:K,Materials!A:A),5*(ROW(I21)-ROW(I$6))+8), 1, LEN(INDEX(IF($J$32,Materials!K:K,Materials!A:A),5*(ROW(I21)-ROW(I$6))+8))-IF($J$32,5,4)), "Custom Material")</f>
        <v>IM7/MTM</v>
      </c>
      <c r="J21" s="44"/>
      <c r="L21" s="43">
        <v>12</v>
      </c>
      <c r="Q21" s="39" t="str">
        <f>IF(ISTEXT(INDEX(IF($R$58,Materials!K:K,Materials!A:A),5*(ROW(Q21)-ROW(Q$6))+8)), MID(INDEX(IF($R$58,Materials!K:K,Materials!A:A),5*(ROW(Q21)-ROW(Q$6))+8), 1, LEN(INDEX(IF($R$58,Materials!K:K,Materials!A:A),5*(ROW(Q21)-ROW(Q$6))+8))-IF($R$58,5,4)), "Custom Material")</f>
        <v>IM7/MTM</v>
      </c>
      <c r="R21" s="44"/>
      <c r="T21" s="43">
        <v>12</v>
      </c>
      <c r="Y21" s="39" t="str">
        <f>IF(ISTEXT(INDEX(IF($Z$48,Materials!K:K,Materials!A:A),5*(ROW(Y7)-ROW(Y$6))+8)), MID(INDEX(IF($Z$48,Materials!K:K,Materials!A:A),5*(ROW(Y7)-ROW(Y$6))+8), 1, LEN(INDEX(IF($Z$48,Materials!K:K,Materials!A:A),5*(ROW(Y7)-ROW(Y$6))+8))-IF($Z$48,5,4)), "Custom Material")</f>
        <v>AS4/PEEK</v>
      </c>
      <c r="Z21" s="44"/>
    </row>
    <row r="22" spans="4:26">
      <c r="D22" s="43">
        <v>12</v>
      </c>
      <c r="I22" s="39" t="str">
        <f>IF(ISTEXT(INDEX(IF($J$32,Materials!K:K,Materials!A:A),5*(ROW(I22)-ROW(I$6))+8)), MID(INDEX(IF($J$32,Materials!K:K,Materials!A:A),5*(ROW(I22)-ROW(I$6))+8), 1, LEN(INDEX(IF($J$32,Materials!K:K,Materials!A:A),5*(ROW(I22)-ROW(I$6))+8))-IF($J$32,5,4)), "Custom Material")</f>
        <v>T7/2510</v>
      </c>
      <c r="J22" s="44"/>
      <c r="L22" s="43">
        <v>12</v>
      </c>
      <c r="Q22" s="39" t="str">
        <f>IF(ISTEXT(INDEX(IF($R$58,Materials!K:K,Materials!A:A),5*(ROW(Q22)-ROW(Q$6))+8)), MID(INDEX(IF($R$58,Materials!K:K,Materials!A:A),5*(ROW(Q22)-ROW(Q$6))+8), 1, LEN(INDEX(IF($R$58,Materials!K:K,Materials!A:A),5*(ROW(Q22)-ROW(Q$6))+8))-IF($R$58,5,4)), "Custom Material")</f>
        <v>T7/2510</v>
      </c>
      <c r="R22" s="44"/>
      <c r="T22" s="43">
        <v>12</v>
      </c>
      <c r="Y22" s="39" t="str">
        <f>IF(ISTEXT(INDEX(IF($Z$48,Materials!K:K,Materials!A:A),5*(ROW(Y8)-ROW(Y$6))+8)), MID(INDEX(IF($Z$48,Materials!K:K,Materials!A:A),5*(ROW(Y8)-ROW(Y$6))+8), 1, LEN(INDEX(IF($Z$48,Materials!K:K,Materials!A:A),5*(ROW(Y8)-ROW(Y$6))+8))-IF($Z$48,5,4)), "Custom Material")</f>
        <v>B4/N55</v>
      </c>
      <c r="Z22" s="44"/>
    </row>
    <row r="23" spans="4:26">
      <c r="D23" s="43">
        <v>12</v>
      </c>
      <c r="I23" s="39" t="str">
        <f>IF(ISTEXT(INDEX(IF($J$32,Materials!K:K,Materials!A:A),5*(ROW(I23)-ROW(I$6))+8)), MID(INDEX(IF($J$32,Materials!K:K,Materials!A:A),5*(ROW(I23)-ROW(I$6))+8), 1, LEN(INDEX(IF($J$32,Materials!K:K,Materials!A:A),5*(ROW(I23)-ROW(I$6))+8))-IF($J$32,5,4)), "Custom Material")</f>
        <v>T650/ep</v>
      </c>
      <c r="J23" s="44"/>
      <c r="L23" s="43">
        <v>12</v>
      </c>
      <c r="Q23" s="39" t="str">
        <f>IF(ISTEXT(INDEX(IF($R$58,Materials!K:K,Materials!A:A),5*(ROW(Q23)-ROW(Q$6))+8)), MID(INDEX(IF($R$58,Materials!K:K,Materials!A:A),5*(ROW(Q23)-ROW(Q$6))+8), 1, LEN(INDEX(IF($R$58,Materials!K:K,Materials!A:A),5*(ROW(Q23)-ROW(Q$6))+8))-IF($R$58,5,4)), "Custom Material")</f>
        <v>T650/ep</v>
      </c>
      <c r="R23" s="44"/>
      <c r="T23" s="43">
        <v>12</v>
      </c>
      <c r="Y23" s="39" t="str">
        <f>IF(ISTEXT(INDEX(IF($Z$48,Materials!K:K,Materials!A:A),5*(ROW(Y9)-ROW(Y$6))+8)), MID(INDEX(IF($Z$48,Materials!K:K,Materials!A:A),5*(ROW(Y9)-ROW(Y$6))+8), 1, LEN(INDEX(IF($Z$48,Materials!K:K,Materials!A:A),5*(ROW(Y9)-ROW(Y$6))+8))-IF($Z$48,5,4)), "Custom Material")</f>
        <v>IM6/epoxy</v>
      </c>
      <c r="Z23" s="44"/>
    </row>
    <row r="24" spans="4:26">
      <c r="D24" s="43">
        <v>12</v>
      </c>
      <c r="I24" s="39" t="str">
        <f>IF(ISTEXT(INDEX(IF($J$32,Materials!K:K,Materials!A:A),5*(ROW(I24)-ROW(I$6))+8)), MID(INDEX(IF($J$32,Materials!K:K,Materials!A:A),5*(ROW(I24)-ROW(I$6))+8), 1, LEN(INDEX(IF($J$32,Materials!K:K,Materials!A:A),5*(ROW(I24)-ROW(I$6))+8))-IF($J$32,5,4)), "Custom Material")</f>
        <v>IM7/8552'</v>
      </c>
      <c r="J24" s="44"/>
      <c r="L24" s="43">
        <v>12</v>
      </c>
      <c r="Q24" s="39" t="str">
        <f>IF(ISTEXT(INDEX(IF($R$58,Materials!K:K,Materials!A:A),5*(ROW(Q24)-ROW(Q$6))+8)), MID(INDEX(IF($R$58,Materials!K:K,Materials!A:A),5*(ROW(Q24)-ROW(Q$6))+8), 1, LEN(INDEX(IF($R$58,Materials!K:K,Materials!A:A),5*(ROW(Q24)-ROW(Q$6))+8))-IF($R$58,5,4)), "Custom Material")</f>
        <v>IM7/8552'</v>
      </c>
      <c r="R24" s="44"/>
      <c r="T24" s="43">
        <v>12</v>
      </c>
      <c r="Y24" s="39" t="str">
        <f>IF(ISTEXT(INDEX(IF($Z$48,Materials!K:K,Materials!A:A),5*(ROW(Y10)-ROW(Y$6))+8)), MID(INDEX(IF($Z$48,Materials!K:K,Materials!A:A),5*(ROW(Y10)-ROW(Y$6))+8), 1, LEN(INDEX(IF($Z$48,Materials!K:K,Materials!A:A),5*(ROW(Y10)-ROW(Y$6))+8))-IF($Z$48,5,4)), "Custom Material")</f>
        <v>Kevlar/epoxy</v>
      </c>
      <c r="Z24" s="44"/>
    </row>
    <row r="25" spans="4:26">
      <c r="D25" s="43">
        <v>12</v>
      </c>
      <c r="I25" s="39" t="str">
        <f>IF(ISTEXT(INDEX(IF($J$32,Materials!K:K,Materials!A:A),5*(ROW(I25)-ROW(I$6))+8)), MID(INDEX(IF($J$32,Materials!K:K,Materials!A:A),5*(ROW(I25)-ROW(I$6))+8), 1, LEN(INDEX(IF($J$32,Materials!K:K,Materials!A:A),5*(ROW(I25)-ROW(I$6))+8))-IF($J$32,5,4)), "Custom Material")</f>
        <v>T4708/MR</v>
      </c>
      <c r="J25" s="44"/>
      <c r="L25" s="43">
        <v>12</v>
      </c>
      <c r="Q25" s="39" t="str">
        <f>IF(ISTEXT(INDEX(IF($R$58,Materials!K:K,Materials!A:A),5*(ROW(Q25)-ROW(Q$6))+8)), MID(INDEX(IF($R$58,Materials!K:K,Materials!A:A),5*(ROW(Q25)-ROW(Q$6))+8), 1, LEN(INDEX(IF($R$58,Materials!K:K,Materials!A:A),5*(ROW(Q25)-ROW(Q$6))+8))-IF($R$58,5,4)), "Custom Material")</f>
        <v>T4708/MR</v>
      </c>
      <c r="R25" s="44"/>
      <c r="T25" s="43">
        <v>12</v>
      </c>
      <c r="Y25" s="39" t="str">
        <f>IF(ISTEXT(INDEX(IF($Z$48,Materials!K:K,Materials!A:A),5*(ROW(Y11)-ROW(Y$6))+8)), MID(INDEX(IF($Z$48,Materials!K:K,Materials!A:A),5*(ROW(Y11)-ROW(Y$6))+8), 1, LEN(INDEX(IF($Z$48,Materials!K:K,Materials!A:A),5*(ROW(Y11)-ROW(Y$6))+8))-IF($Z$48,5,4)), "Custom Material")</f>
        <v>Scotch</v>
      </c>
      <c r="Z25" s="44"/>
    </row>
    <row r="26" spans="4:26">
      <c r="D26" s="43">
        <v>12</v>
      </c>
      <c r="I26" s="39" t="str">
        <f>IF(ISTEXT(INDEX(IF($J$32,Materials!K:K,Materials!A:A),5*(ROW(I26)-ROW(I$6))+8)), MID(INDEX(IF($J$32,Materials!K:K,Materials!A:A),5*(ROW(I26)-ROW(I$6))+8), 1, LEN(INDEX(IF($J$32,Materials!K:K,Materials!A:A),5*(ROW(I26)-ROW(I$6))+8))-IF($J$32,5,4)), "Custom Material")</f>
        <v>IM7/MTM'</v>
      </c>
      <c r="J26" s="44"/>
      <c r="L26" s="43">
        <v>12</v>
      </c>
      <c r="Q26" s="39" t="str">
        <f>IF(ISTEXT(INDEX(IF($R$58,Materials!K:K,Materials!A:A),5*(ROW(Q26)-ROW(Q$6))+8)), MID(INDEX(IF($R$58,Materials!K:K,Materials!A:A),5*(ROW(Q26)-ROW(Q$6))+8), 1, LEN(INDEX(IF($R$58,Materials!K:K,Materials!A:A),5*(ROW(Q26)-ROW(Q$6))+8))-IF($R$58,5,4)), "Custom Material")</f>
        <v>IM7/MTM'</v>
      </c>
      <c r="R26" s="44"/>
      <c r="T26" s="43">
        <v>12</v>
      </c>
      <c r="Y26" s="39" t="str">
        <f>IF(ISTEXT(INDEX(IF($Z$48,Materials!K:K,Materials!A:A),5*(ROW(Y12)-ROW(Y$6))+8)), MID(INDEX(IF($Z$48,Materials!K:K,Materials!A:A),5*(ROW(Y12)-ROW(Y$6))+8), 1, LEN(INDEX(IF($Z$48,Materials!K:K,Materials!A:A),5*(ROW(Y12)-ROW(Y$6))+8))-IF($Z$48,5,4)), "Custom Material")</f>
        <v>T3/F93</v>
      </c>
      <c r="Z26" s="44"/>
    </row>
    <row r="27" spans="4:26">
      <c r="D27" s="43">
        <v>12</v>
      </c>
      <c r="I27" s="39" t="str">
        <f>IF(ISTEXT(INDEX(IF($J$32,Materials!K:K,Materials!A:A),5*(ROW(I27)-ROW(I$6))+8)), MID(INDEX(IF($J$32,Materials!K:K,Materials!A:A),5*(ROW(I27)-ROW(I$6))+8), 1, LEN(INDEX(IF($J$32,Materials!K:K,Materials!A:A),5*(ROW(I27)-ROW(I$6))+8))-IF($J$32,5,4)), "Custom Material")</f>
        <v>T8S/3900</v>
      </c>
      <c r="J27" s="44"/>
      <c r="L27" s="43">
        <v>12</v>
      </c>
      <c r="Q27" s="39" t="str">
        <f>IF(ISTEXT(INDEX(IF($R$58,Materials!K:K,Materials!A:A),5*(ROW(Q27)-ROW(Q$6))+8)), MID(INDEX(IF($R$58,Materials!K:K,Materials!A:A),5*(ROW(Q27)-ROW(Q$6))+8), 1, LEN(INDEX(IF($R$58,Materials!K:K,Materials!A:A),5*(ROW(Q27)-ROW(Q$6))+8))-IF($R$58,5,4)), "Custom Material")</f>
        <v>T8S/3900</v>
      </c>
      <c r="R27" s="44"/>
      <c r="T27" s="43">
        <v>12</v>
      </c>
      <c r="Y27" s="39" t="str">
        <f>IF(ISTEXT(INDEX(IF($Z$48,Materials!K:K,Materials!A:A),5*(ROW(Y13)-ROW(Y$6))+8)), MID(INDEX(IF($Z$48,Materials!K:K,Materials!A:A),5*(ROW(Y13)-ROW(Y$6))+8), 1, LEN(INDEX(IF($Z$48,Materials!K:K,Materials!A:A),5*(ROW(Y13)-ROW(Y$6))+8))-IF($Z$48,5,4)), "Custom Material")</f>
        <v>T3/N52</v>
      </c>
      <c r="Z27" s="44"/>
    </row>
    <row r="28" spans="4:26">
      <c r="D28" s="43">
        <v>12</v>
      </c>
      <c r="I28" s="39" t="str">
        <f>IF(ISTEXT(INDEX(IF($J$32,Materials!K:K,Materials!A:A),5*(ROW(I28)-ROW(I$6))+8)), MID(INDEX(IF($J$32,Materials!K:K,Materials!A:A),5*(ROW(I28)-ROW(I$6))+8), 1, LEN(INDEX(IF($J$32,Materials!K:K,Materials!A:A),5*(ROW(I28)-ROW(I$6))+8))-IF($J$32,5,4)), "Custom Material")</f>
        <v xml:space="preserve">T650/ep fabric </v>
      </c>
      <c r="J28" s="44"/>
      <c r="L28" s="43">
        <v>12</v>
      </c>
      <c r="Q28" s="39" t="str">
        <f>IF(ISTEXT(INDEX(IF($R$58,Materials!K:K,Materials!A:A),5*(ROW(Q28)-ROW(Q$6))+8)), MID(INDEX(IF($R$58,Materials!K:K,Materials!A:A),5*(ROW(Q28)-ROW(Q$6))+8), 1, LEN(INDEX(IF($R$58,Materials!K:K,Materials!A:A),5*(ROW(Q28)-ROW(Q$6))+8))-IF($R$58,5,4)), "Custom Material")</f>
        <v xml:space="preserve">T650/ep fabric </v>
      </c>
      <c r="R28" s="44"/>
      <c r="T28" s="43">
        <v>12</v>
      </c>
      <c r="Y28" s="39" t="str">
        <f>IF(ISTEXT(INDEX(IF($Z$48,Materials!K:K,Materials!A:A),5*(ROW(Y14)-ROW(Y$6))+8)), MID(INDEX(IF($Z$48,Materials!K:K,Materials!A:A),5*(ROW(Y14)-ROW(Y$6))+8), 1, LEN(INDEX(IF($Z$48,Materials!K:K,Materials!A:A),5*(ROW(Y14)-ROW(Y$6))+8))-IF($Z$48,5,4)), "Custom Material")</f>
        <v>Aluminum</v>
      </c>
      <c r="Z28" s="44"/>
    </row>
    <row r="29" spans="4:26">
      <c r="D29" s="43">
        <v>12</v>
      </c>
      <c r="I29" s="39" t="str">
        <f>IF(ISTEXT(INDEX(IF($J$32,Materials!K:K,Materials!A:A),5*(ROW(I29)-ROW(I$6))+8)), MID(INDEX(IF($J$32,Materials!K:K,Materials!A:A),5*(ROW(I29)-ROW(I$6))+8), 1, LEN(INDEX(IF($J$32,Materials!K:K,Materials!A:A),5*(ROW(I29)-ROW(I$6))+8))-IF($J$32,5,4)), "Custom Material")</f>
        <v>T720</v>
      </c>
      <c r="J29" s="44"/>
      <c r="L29" s="43">
        <v>12</v>
      </c>
      <c r="Q29" s="39" t="str">
        <f>IF(ISTEXT(INDEX(IF($R$58,Materials!K:K,Materials!A:A),5*(ROW(Q29)-ROW(Q$6))+8)), MID(INDEX(IF($R$58,Materials!K:K,Materials!A:A),5*(ROW(Q29)-ROW(Q$6))+8), 1, LEN(INDEX(IF($R$58,Materials!K:K,Materials!A:A),5*(ROW(Q29)-ROW(Q$6))+8))-IF($R$58,5,4)), "Custom Material")</f>
        <v>T720</v>
      </c>
      <c r="R29" s="44"/>
      <c r="T29" s="43">
        <v>12</v>
      </c>
      <c r="Y29" s="39" t="str">
        <f>IF(ISTEXT(INDEX(IF($Z$48,Materials!K:K,Materials!A:A),5*(ROW(Y15)-ROW(Y$6))+8)), MID(INDEX(IF($Z$48,Materials!K:K,Materials!A:A),5*(ROW(Y15)-ROW(Y$6))+8), 1, LEN(INDEX(IF($Z$48,Materials!K:K,Materials!A:A),5*(ROW(Y15)-ROW(Y$6))+8))-IF($Z$48,5,4)), "Custom Material")</f>
        <v>Steel</v>
      </c>
      <c r="Z29" s="44"/>
    </row>
    <row r="30" spans="4:26">
      <c r="D30" s="43">
        <v>1</v>
      </c>
      <c r="E30" s="39">
        <v>244</v>
      </c>
      <c r="F30" s="39">
        <v>318</v>
      </c>
      <c r="G30" s="39">
        <v>90</v>
      </c>
      <c r="H30" s="39">
        <v>25</v>
      </c>
      <c r="I30" s="39" t="s">
        <v>462</v>
      </c>
      <c r="J30" s="44"/>
      <c r="L30" s="43">
        <v>14</v>
      </c>
      <c r="M30" s="39">
        <v>330</v>
      </c>
      <c r="N30" s="39">
        <v>15</v>
      </c>
      <c r="O30" s="39">
        <v>300</v>
      </c>
      <c r="P30" s="39">
        <v>260</v>
      </c>
      <c r="Q30" s="39" t="s">
        <v>463</v>
      </c>
      <c r="R30" s="44"/>
      <c r="T30" s="43">
        <v>12</v>
      </c>
      <c r="Y30" s="39" t="str">
        <f>IF(ISTEXT(INDEX(IF($Z$48,Materials!K:K,Materials!A:A),5*(ROW(Y16)-ROW(Y$6))+8)), MID(INDEX(IF($Z$48,Materials!K:K,Materials!A:A),5*(ROW(Y16)-ROW(Y$6))+8), 1, LEN(INDEX(IF($Z$48,Materials!K:K,Materials!A:A),5*(ROW(Y16)-ROW(Y$6))+8))-IF($Z$48,5,4)), "Custom Material")</f>
        <v>C-Ply 55</v>
      </c>
      <c r="Z30" s="44"/>
    </row>
    <row r="31" spans="4:26">
      <c r="D31" s="43">
        <v>2</v>
      </c>
      <c r="E31" s="39">
        <v>122</v>
      </c>
      <c r="F31" s="39">
        <v>320</v>
      </c>
      <c r="G31" s="39">
        <v>90</v>
      </c>
      <c r="H31" s="39">
        <v>25</v>
      </c>
      <c r="I31" s="39" t="s">
        <v>464</v>
      </c>
      <c r="J31" s="44"/>
      <c r="L31" s="43">
        <v>11</v>
      </c>
      <c r="R31" s="44">
        <v>12</v>
      </c>
      <c r="T31" s="43">
        <v>12</v>
      </c>
      <c r="Y31" s="39" t="str">
        <f>IF(ISTEXT(INDEX(IF($Z$48,Materials!K:K,Materials!A:A),5*(ROW(Y17)-ROW(Y$6))+8)), MID(INDEX(IF($Z$48,Materials!K:K,Materials!A:A),5*(ROW(Y17)-ROW(Y$6))+8), 1, LEN(INDEX(IF($Z$48,Materials!K:K,Materials!A:A),5*(ROW(Y17)-ROW(Y$6))+8))-IF($Z$48,5,4)), "Custom Material")</f>
        <v>IM7/977</v>
      </c>
      <c r="Z31" s="44"/>
    </row>
    <row r="32" spans="4:26" ht="15.6" thickBot="1">
      <c r="D32" s="46">
        <v>13</v>
      </c>
      <c r="E32" s="47">
        <v>58</v>
      </c>
      <c r="F32" s="47">
        <v>278</v>
      </c>
      <c r="G32" s="47"/>
      <c r="H32" s="47"/>
      <c r="I32" s="47" t="s">
        <v>465</v>
      </c>
      <c r="J32" s="48" t="b">
        <v>0</v>
      </c>
      <c r="L32" s="43">
        <v>12</v>
      </c>
      <c r="M32" s="39">
        <v>360</v>
      </c>
      <c r="N32" s="39">
        <v>35</v>
      </c>
      <c r="Q32" s="39" t="str">
        <f>IF(ISTEXT(INDEX(IF($R$58,Materials!K:K,Materials!A:A),5*(ROW(Q6)-ROW(Q$6))+8)), MID(INDEX(IF($R$58,Materials!K:K,Materials!A:A),5*(ROW(Q6)-ROW(Q$6))+8), 1, LEN(INDEX(IF($R$58,Materials!K:K,Materials!A:A),5*(ROW(Q6)-ROW(Q$6))+8))-IF($R$58,5,4)), "Custom Material")</f>
        <v>AS4/H3501</v>
      </c>
      <c r="R32" s="44"/>
      <c r="T32" s="43">
        <v>14</v>
      </c>
      <c r="U32" s="39">
        <v>300</v>
      </c>
      <c r="V32" s="39">
        <v>15</v>
      </c>
      <c r="W32" s="39">
        <v>125</v>
      </c>
      <c r="X32" s="39">
        <v>240</v>
      </c>
      <c r="Y32" s="39" t="s">
        <v>466</v>
      </c>
      <c r="Z32" s="44"/>
    </row>
    <row r="33" spans="12:26">
      <c r="L33" s="43">
        <v>12</v>
      </c>
      <c r="Q33" s="39" t="str">
        <f>IF(ISTEXT(INDEX(IF($R$58,Materials!K:K,Materials!A:A),5*(ROW(Q7)-ROW(Q$6))+8)), MID(INDEX(IF($R$58,Materials!K:K,Materials!A:A),5*(ROW(Q7)-ROW(Q$6))+8), 1, LEN(INDEX(IF($R$58,Materials!K:K,Materials!A:A),5*(ROW(Q7)-ROW(Q$6))+8))-IF($R$58,5,4)), "Custom Material")</f>
        <v>AS4/PEEK</v>
      </c>
      <c r="R33" s="44"/>
      <c r="T33" s="43">
        <v>11</v>
      </c>
      <c r="Z33" s="45">
        <v>8</v>
      </c>
    </row>
    <row r="34" spans="12:26">
      <c r="L34" s="43">
        <v>12</v>
      </c>
      <c r="Q34" s="39" t="str">
        <f>IF(ISTEXT(INDEX(IF($R$58,Materials!K:K,Materials!A:A),5*(ROW(Q8)-ROW(Q$6))+8)), MID(INDEX(IF($R$58,Materials!K:K,Materials!A:A),5*(ROW(Q8)-ROW(Q$6))+8), 1, LEN(INDEX(IF($R$58,Materials!K:K,Materials!A:A),5*(ROW(Q8)-ROW(Q$6))+8))-IF($R$58,5,4)), "Custom Material")</f>
        <v>B4/N55</v>
      </c>
      <c r="R34" s="44"/>
      <c r="T34" s="43">
        <v>12</v>
      </c>
      <c r="Y34" s="39" t="str">
        <f>IF(ISTEXT(INDEX(IF($Z$48,Materials!K:K,Materials!A:A),5*(ROW(Y6)-ROW(Y$6))+8)), MID(INDEX(IF($Z$48,Materials!K:K,Materials!A:A),5*(ROW(Y6)-ROW(Y$6))+8), 1, LEN(INDEX(IF($Z$48,Materials!K:K,Materials!A:A),5*(ROW(Y6)-ROW(Y$6))+8))-IF($Z$48,5,4)), "Custom Material")</f>
        <v>AS4/H3501</v>
      </c>
      <c r="Z34" s="44"/>
    </row>
    <row r="35" spans="12:26">
      <c r="L35" s="43">
        <v>12</v>
      </c>
      <c r="Q35" s="39" t="str">
        <f>IF(ISTEXT(INDEX(IF($R$58,Materials!K:K,Materials!A:A),5*(ROW(Q9)-ROW(Q$6))+8)), MID(INDEX(IF($R$58,Materials!K:K,Materials!A:A),5*(ROW(Q9)-ROW(Q$6))+8), 1, LEN(INDEX(IF($R$58,Materials!K:K,Materials!A:A),5*(ROW(Q9)-ROW(Q$6))+8))-IF($R$58,5,4)), "Custom Material")</f>
        <v>IM6/ep</v>
      </c>
      <c r="R35" s="44"/>
      <c r="T35" s="43">
        <v>12</v>
      </c>
      <c r="Y35" s="39" t="str">
        <f>IF(ISTEXT(INDEX(IF($Z$48,Materials!K:K,Materials!A:A),5*(ROW(Y7)-ROW(Y$6))+8)), MID(INDEX(IF($Z$48,Materials!K:K,Materials!A:A),5*(ROW(Y7)-ROW(Y$6))+8), 1, LEN(INDEX(IF($Z$48,Materials!K:K,Materials!A:A),5*(ROW(Y7)-ROW(Y$6))+8))-IF($Z$48,5,4)), "Custom Material")</f>
        <v>AS4/PEEK</v>
      </c>
      <c r="Z35" s="44"/>
    </row>
    <row r="36" spans="12:26">
      <c r="L36" s="43">
        <v>12</v>
      </c>
      <c r="Q36" s="39" t="str">
        <f>IF(ISTEXT(INDEX(IF($R$58,Materials!K:K,Materials!A:A),5*(ROW(Q10)-ROW(Q$6))+8)), MID(INDEX(IF($R$58,Materials!K:K,Materials!A:A),5*(ROW(Q10)-ROW(Q$6))+8), 1, LEN(INDEX(IF($R$58,Materials!K:K,Materials!A:A),5*(ROW(Q10)-ROW(Q$6))+8))-IF($R$58,5,4)), "Custom Material")</f>
        <v>Kevlar/ep</v>
      </c>
      <c r="R36" s="44"/>
      <c r="T36" s="43">
        <v>12</v>
      </c>
      <c r="Y36" s="39" t="str">
        <f>IF(ISTEXT(INDEX(IF($Z$48,Materials!K:K,Materials!A:A),5*(ROW(Y8)-ROW(Y$6))+8)), MID(INDEX(IF($Z$48,Materials!K:K,Materials!A:A),5*(ROW(Y8)-ROW(Y$6))+8), 1, LEN(INDEX(IF($Z$48,Materials!K:K,Materials!A:A),5*(ROW(Y8)-ROW(Y$6))+8))-IF($Z$48,5,4)), "Custom Material")</f>
        <v>B4/N55</v>
      </c>
      <c r="Z36" s="44"/>
    </row>
    <row r="37" spans="12:26">
      <c r="L37" s="43">
        <v>12</v>
      </c>
      <c r="Q37" s="39" t="str">
        <f>IF(ISTEXT(INDEX(IF($R$58,Materials!K:K,Materials!A:A),5*(ROW(Q11)-ROW(Q$6))+8)), MID(INDEX(IF($R$58,Materials!K:K,Materials!A:A),5*(ROW(Q11)-ROW(Q$6))+8), 1, LEN(INDEX(IF($R$58,Materials!K:K,Materials!A:A),5*(ROW(Q11)-ROW(Q$6))+8))-IF($R$58,5,4)), "Custom Material")</f>
        <v>Scotch</v>
      </c>
      <c r="R37" s="44"/>
      <c r="T37" s="43">
        <v>12</v>
      </c>
      <c r="Y37" s="39" t="str">
        <f>IF(ISTEXT(INDEX(IF($Z$48,Materials!K:K,Materials!A:A),5*(ROW(Y9)-ROW(Y$6))+8)), MID(INDEX(IF($Z$48,Materials!K:K,Materials!A:A),5*(ROW(Y9)-ROW(Y$6))+8), 1, LEN(INDEX(IF($Z$48,Materials!K:K,Materials!A:A),5*(ROW(Y9)-ROW(Y$6))+8))-IF($Z$48,5,4)), "Custom Material")</f>
        <v>IM6/epoxy</v>
      </c>
      <c r="Z37" s="44"/>
    </row>
    <row r="38" spans="12:26">
      <c r="L38" s="43">
        <v>12</v>
      </c>
      <c r="Q38" s="39" t="str">
        <f>IF(ISTEXT(INDEX(IF($R$58,Materials!K:K,Materials!A:A),5*(ROW(Q12)-ROW(Q$6))+8)), MID(INDEX(IF($R$58,Materials!K:K,Materials!A:A),5*(ROW(Q12)-ROW(Q$6))+8), 1, LEN(INDEX(IF($R$58,Materials!K:K,Materials!A:A),5*(ROW(Q12)-ROW(Q$6))+8))-IF($R$58,5,4)), "Custom Material")</f>
        <v>T3/F93</v>
      </c>
      <c r="R38" s="44"/>
      <c r="T38" s="43">
        <v>12</v>
      </c>
      <c r="Y38" s="39" t="str">
        <f>IF(ISTEXT(INDEX(IF($Z$48,Materials!K:K,Materials!A:A),5*(ROW(Y10)-ROW(Y$6))+8)), MID(INDEX(IF($Z$48,Materials!K:K,Materials!A:A),5*(ROW(Y10)-ROW(Y$6))+8), 1, LEN(INDEX(IF($Z$48,Materials!K:K,Materials!A:A),5*(ROW(Y10)-ROW(Y$6))+8))-IF($Z$48,5,4)), "Custom Material")</f>
        <v>Kevlar/epoxy</v>
      </c>
      <c r="Z38" s="44"/>
    </row>
    <row r="39" spans="12:26">
      <c r="L39" s="43">
        <v>12</v>
      </c>
      <c r="Q39" s="39" t="str">
        <f>IF(ISTEXT(INDEX(IF($R$58,Materials!K:K,Materials!A:A),5*(ROW(Q13)-ROW(Q$6))+8)), MID(INDEX(IF($R$58,Materials!K:K,Materials!A:A),5*(ROW(Q13)-ROW(Q$6))+8), 1, LEN(INDEX(IF($R$58,Materials!K:K,Materials!A:A),5*(ROW(Q13)-ROW(Q$6))+8))-IF($R$58,5,4)), "Custom Material")</f>
        <v>T3/N52</v>
      </c>
      <c r="R39" s="44"/>
      <c r="T39" s="43">
        <v>12</v>
      </c>
      <c r="Y39" s="39" t="str">
        <f>IF(ISTEXT(INDEX(IF($Z$48,Materials!K:K,Materials!A:A),5*(ROW(Y11)-ROW(Y$6))+8)), MID(INDEX(IF($Z$48,Materials!K:K,Materials!A:A),5*(ROW(Y11)-ROW(Y$6))+8), 1, LEN(INDEX(IF($Z$48,Materials!K:K,Materials!A:A),5*(ROW(Y11)-ROW(Y$6))+8))-IF($Z$48,5,4)), "Custom Material")</f>
        <v>Scotch</v>
      </c>
      <c r="Z39" s="44"/>
    </row>
    <row r="40" spans="12:26">
      <c r="L40" s="43">
        <v>12</v>
      </c>
      <c r="Q40" s="39" t="str">
        <f>IF(ISTEXT(INDEX(IF($R$58,Materials!K:K,Materials!A:A),5*(ROW(Q14)-ROW(Q$6))+8)), MID(INDEX(IF($R$58,Materials!K:K,Materials!A:A),5*(ROW(Q14)-ROW(Q$6))+8), 1, LEN(INDEX(IF($R$58,Materials!K:K,Materials!A:A),5*(ROW(Q14)-ROW(Q$6))+8))-IF($R$58,5,4)), "Custom Material")</f>
        <v>Alum</v>
      </c>
      <c r="R40" s="44"/>
      <c r="T40" s="43">
        <v>12</v>
      </c>
      <c r="Y40" s="39" t="str">
        <f>IF(ISTEXT(INDEX(IF($Z$48,Materials!K:K,Materials!A:A),5*(ROW(Y12)-ROW(Y$6))+8)), MID(INDEX(IF($Z$48,Materials!K:K,Materials!A:A),5*(ROW(Y12)-ROW(Y$6))+8), 1, LEN(INDEX(IF($Z$48,Materials!K:K,Materials!A:A),5*(ROW(Y12)-ROW(Y$6))+8))-IF($Z$48,5,4)), "Custom Material")</f>
        <v>T3/F93</v>
      </c>
      <c r="Z40" s="44"/>
    </row>
    <row r="41" spans="12:26">
      <c r="L41" s="43">
        <v>12</v>
      </c>
      <c r="Q41" s="39" t="str">
        <f>IF(ISTEXT(INDEX(IF($R$58,Materials!K:K,Materials!A:A),5*(ROW(Q15)-ROW(Q$6))+8)), MID(INDEX(IF($R$58,Materials!K:K,Materials!A:A),5*(ROW(Q15)-ROW(Q$6))+8), 1, LEN(INDEX(IF($R$58,Materials!K:K,Materials!A:A),5*(ROW(Q15)-ROW(Q$6))+8))-IF($R$58,5,4)), "Custom Material")</f>
        <v>C-Ply 55</v>
      </c>
      <c r="R41" s="44"/>
      <c r="T41" s="43">
        <v>12</v>
      </c>
      <c r="Y41" s="39" t="str">
        <f>IF(ISTEXT(INDEX(IF($Z$48,Materials!K:K,Materials!A:A),5*(ROW(Y13)-ROW(Y$6))+8)), MID(INDEX(IF($Z$48,Materials!K:K,Materials!A:A),5*(ROW(Y13)-ROW(Y$6))+8), 1, LEN(INDEX(IF($Z$48,Materials!K:K,Materials!A:A),5*(ROW(Y13)-ROW(Y$6))+8))-IF($Z$48,5,4)), "Custom Material")</f>
        <v>T3/N52</v>
      </c>
      <c r="Z41" s="44"/>
    </row>
    <row r="42" spans="12:26">
      <c r="L42" s="43">
        <v>12</v>
      </c>
      <c r="Q42" s="39" t="str">
        <f>IF(ISTEXT(INDEX(IF($R$58,Materials!K:K,Materials!A:A),5*(ROW(Q16)-ROW(Q$6))+8)), MID(INDEX(IF($R$58,Materials!K:K,Materials!A:A),5*(ROW(Q16)-ROW(Q$6))+8), 1, LEN(INDEX(IF($R$58,Materials!K:K,Materials!A:A),5*(ROW(Q16)-ROW(Q$6))+8))-IF($R$58,5,4)), "Custom Material")</f>
        <v>C-Ply 64</v>
      </c>
      <c r="R42" s="44"/>
      <c r="T42" s="43">
        <v>12</v>
      </c>
      <c r="Y42" s="39" t="str">
        <f>IF(ISTEXT(INDEX(IF($Z$48,Materials!K:K,Materials!A:A),5*(ROW(Y14)-ROW(Y$6))+8)), MID(INDEX(IF($Z$48,Materials!K:K,Materials!A:A),5*(ROW(Y14)-ROW(Y$6))+8), 1, LEN(INDEX(IF($Z$48,Materials!K:K,Materials!A:A),5*(ROW(Y14)-ROW(Y$6))+8))-IF($Z$48,5,4)), "Custom Material")</f>
        <v>Aluminum</v>
      </c>
      <c r="Z42" s="44"/>
    </row>
    <row r="43" spans="12:26">
      <c r="L43" s="43">
        <v>12</v>
      </c>
      <c r="Q43" s="39" t="str">
        <f>IF(ISTEXT(INDEX(IF($R$58,Materials!K:K,Materials!A:A),5*(ROW(Q17)-ROW(Q$6))+8)), MID(INDEX(IF($R$58,Materials!K:K,Materials!A:A),5*(ROW(Q17)-ROW(Q$6))+8), 1, LEN(INDEX(IF($R$58,Materials!K:K,Materials!A:A),5*(ROW(Q17)-ROW(Q$6))+8))-IF($R$58,5,4)), "Custom Material")</f>
        <v>IM7/977</v>
      </c>
      <c r="R43" s="44"/>
      <c r="T43" s="43">
        <v>12</v>
      </c>
      <c r="Y43" s="39" t="str">
        <f>IF(ISTEXT(INDEX(IF($Z$48,Materials!K:K,Materials!A:A),5*(ROW(Y15)-ROW(Y$6))+8)), MID(INDEX(IF($Z$48,Materials!K:K,Materials!A:A),5*(ROW(Y15)-ROW(Y$6))+8), 1, LEN(INDEX(IF($Z$48,Materials!K:K,Materials!A:A),5*(ROW(Y15)-ROW(Y$6))+8))-IF($Z$48,5,4)), "Custom Material")</f>
        <v>Steel</v>
      </c>
      <c r="Z43" s="44"/>
    </row>
    <row r="44" spans="12:26">
      <c r="L44" s="43">
        <v>12</v>
      </c>
      <c r="M44" s="39">
        <v>490</v>
      </c>
      <c r="N44" s="39">
        <v>35</v>
      </c>
      <c r="Q44" s="39" t="str">
        <f>IF(ISTEXT(INDEX(IF($R$58,Materials!K:K,Materials!A:A),5*(ROW(Q18)-ROW(Q$6))+8)), MID(INDEX(IF($R$58,Materials!K:K,Materials!A:A),5*(ROW(Q18)-ROW(Q$6))+8), 1, LEN(INDEX(IF($R$58,Materials!K:K,Materials!A:A),5*(ROW(Q18)-ROW(Q$6))+8))-IF($R$58,5,4)), "Custom Material")</f>
        <v>T800/Cyt</v>
      </c>
      <c r="R44" s="44"/>
      <c r="T44" s="43">
        <v>12</v>
      </c>
      <c r="Y44" s="39" t="str">
        <f>IF(ISTEXT(INDEX(IF($Z$48,Materials!K:K,Materials!A:A),5*(ROW(Y16)-ROW(Y$6))+8)), MID(INDEX(IF($Z$48,Materials!K:K,Materials!A:A),5*(ROW(Y16)-ROW(Y$6))+8), 1, LEN(INDEX(IF($Z$48,Materials!K:K,Materials!A:A),5*(ROW(Y16)-ROW(Y$6))+8))-IF($Z$48,5,4)), "Custom Material")</f>
        <v>C-Ply 55</v>
      </c>
      <c r="Z44" s="44"/>
    </row>
    <row r="45" spans="12:26">
      <c r="L45" s="43">
        <v>12</v>
      </c>
      <c r="Q45" s="39" t="str">
        <f>IF(ISTEXT(INDEX(IF($R$58,Materials!K:K,Materials!A:A),5*(ROW(Q19)-ROW(Q$6))+8)), MID(INDEX(IF($R$58,Materials!K:K,Materials!A:A),5*(ROW(Q19)-ROW(Q$6))+8), 1, LEN(INDEX(IF($R$58,Materials!K:K,Materials!A:A),5*(ROW(Q19)-ROW(Q$6))+8))-IF($R$58,5,4)), "Custom Material")</f>
        <v>Master ply</v>
      </c>
      <c r="R45" s="44"/>
      <c r="T45" s="43">
        <v>12</v>
      </c>
      <c r="Y45" s="39" t="str">
        <f>IF(ISTEXT(INDEX(IF($Z$48,Materials!K:K,Materials!A:A),5*(ROW(Y17)-ROW(Y$6))+8)), MID(INDEX(IF($Z$48,Materials!K:K,Materials!A:A),5*(ROW(Y17)-ROW(Y$6))+8), 1, LEN(INDEX(IF($Z$48,Materials!K:K,Materials!A:A),5*(ROW(Y17)-ROW(Y$6))+8))-IF($Z$48,5,4)), "Custom Material")</f>
        <v>IM7/977</v>
      </c>
      <c r="Z45" s="44"/>
    </row>
    <row r="46" spans="12:26">
      <c r="L46" s="43">
        <v>12</v>
      </c>
      <c r="Q46" s="39" t="str">
        <f>IF(ISTEXT(INDEX(IF($R$58,Materials!K:K,Materials!A:A),5*(ROW(Q20)-ROW(Q$6))+8)), MID(INDEX(IF($R$58,Materials!K:K,Materials!A:A),5*(ROW(Q20)-ROW(Q$6))+8), 1, LEN(INDEX(IF($R$58,Materials!K:K,Materials!A:A),5*(ROW(Q20)-ROW(Q$6))+8))-IF($R$58,5,4)), "Custom Material")</f>
        <v>IM7/8552</v>
      </c>
      <c r="R46" s="44"/>
      <c r="T46" s="43">
        <v>1</v>
      </c>
      <c r="U46" s="39">
        <v>175</v>
      </c>
      <c r="V46" s="39">
        <v>300</v>
      </c>
      <c r="W46" s="39">
        <v>64</v>
      </c>
      <c r="Y46" s="39" t="s">
        <v>462</v>
      </c>
      <c r="Z46" s="44"/>
    </row>
    <row r="47" spans="12:26">
      <c r="L47" s="43">
        <v>12</v>
      </c>
      <c r="Q47" s="39" t="str">
        <f>IF(ISTEXT(INDEX(IF($R$58,Materials!K:K,Materials!A:A),5*(ROW(Q21)-ROW(Q$6))+8)), MID(INDEX(IF($R$58,Materials!K:K,Materials!A:A),5*(ROW(Q21)-ROW(Q$6))+8), 1, LEN(INDEX(IF($R$58,Materials!K:K,Materials!A:A),5*(ROW(Q21)-ROW(Q$6))+8))-IF($R$58,5,4)), "Custom Material")</f>
        <v>IM7/MTM</v>
      </c>
      <c r="R47" s="44"/>
      <c r="T47" s="43">
        <v>2</v>
      </c>
      <c r="U47" s="39">
        <v>45</v>
      </c>
      <c r="V47" s="39">
        <v>300</v>
      </c>
      <c r="W47" s="39">
        <v>64</v>
      </c>
      <c r="Y47" s="39" t="s">
        <v>464</v>
      </c>
      <c r="Z47" s="44"/>
    </row>
    <row r="48" spans="12:26" ht="15.6" thickBot="1">
      <c r="L48" s="43">
        <v>12</v>
      </c>
      <c r="Q48" s="39" t="str">
        <f>IF(ISTEXT(INDEX(IF($R$58,Materials!K:K,Materials!A:A),5*(ROW(Q22)-ROW(Q$6))+8)), MID(INDEX(IF($R$58,Materials!K:K,Materials!A:A),5*(ROW(Q22)-ROW(Q$6))+8), 1, LEN(INDEX(IF($R$58,Materials!K:K,Materials!A:A),5*(ROW(Q22)-ROW(Q$6))+8))-IF($R$58,5,4)), "Custom Material")</f>
        <v>T7/2510</v>
      </c>
      <c r="R48" s="44"/>
      <c r="T48" s="46">
        <v>13</v>
      </c>
      <c r="U48" s="47">
        <v>20</v>
      </c>
      <c r="V48" s="47">
        <v>270</v>
      </c>
      <c r="W48" s="47"/>
      <c r="X48" s="47"/>
      <c r="Y48" s="47" t="s">
        <v>465</v>
      </c>
      <c r="Z48" s="49" t="b">
        <v>1</v>
      </c>
    </row>
    <row r="49" spans="12:18">
      <c r="L49" s="43">
        <v>12</v>
      </c>
      <c r="Q49" s="39" t="str">
        <f>IF(ISTEXT(INDEX(IF($R$58,Materials!K:K,Materials!A:A),5*(ROW(Q23)-ROW(Q$6))+8)), MID(INDEX(IF($R$58,Materials!K:K,Materials!A:A),5*(ROW(Q23)-ROW(Q$6))+8), 1, LEN(INDEX(IF($R$58,Materials!K:K,Materials!A:A),5*(ROW(Q23)-ROW(Q$6))+8))-IF($R$58,5,4)), "Custom Material")</f>
        <v>T650/ep</v>
      </c>
      <c r="R49" s="44"/>
    </row>
    <row r="50" spans="12:18">
      <c r="L50" s="43">
        <v>12</v>
      </c>
      <c r="Q50" s="39" t="str">
        <f>IF(ISTEXT(INDEX(IF($R$58,Materials!K:K,Materials!A:A),5*(ROW(Q24)-ROW(Q$6))+8)), MID(INDEX(IF($R$58,Materials!K:K,Materials!A:A),5*(ROW(Q24)-ROW(Q$6))+8), 1, LEN(INDEX(IF($R$58,Materials!K:K,Materials!A:A),5*(ROW(Q24)-ROW(Q$6))+8))-IF($R$58,5,4)), "Custom Material")</f>
        <v>IM7/8552'</v>
      </c>
      <c r="R50" s="44"/>
    </row>
    <row r="51" spans="12:18">
      <c r="L51" s="43">
        <v>12</v>
      </c>
      <c r="Q51" s="39" t="str">
        <f>IF(ISTEXT(INDEX(IF($R$58,Materials!K:K,Materials!A:A),5*(ROW(Q25)-ROW(Q$6))+8)), MID(INDEX(IF($R$58,Materials!K:K,Materials!A:A),5*(ROW(Q25)-ROW(Q$6))+8), 1, LEN(INDEX(IF($R$58,Materials!K:K,Materials!A:A),5*(ROW(Q25)-ROW(Q$6))+8))-IF($R$58,5,4)), "Custom Material")</f>
        <v>T4708/MR</v>
      </c>
      <c r="R51" s="44"/>
    </row>
    <row r="52" spans="12:18">
      <c r="L52" s="43">
        <v>12</v>
      </c>
      <c r="Q52" s="39" t="str">
        <f>IF(ISTEXT(INDEX(IF($R$58,Materials!K:K,Materials!A:A),5*(ROW(Q26)-ROW(Q$6))+8)), MID(INDEX(IF($R$58,Materials!K:K,Materials!A:A),5*(ROW(Q26)-ROW(Q$6))+8), 1, LEN(INDEX(IF($R$58,Materials!K:K,Materials!A:A),5*(ROW(Q26)-ROW(Q$6))+8))-IF($R$58,5,4)), "Custom Material")</f>
        <v>IM7/MTM'</v>
      </c>
      <c r="R52" s="44"/>
    </row>
    <row r="53" spans="12:18">
      <c r="L53" s="43">
        <v>12</v>
      </c>
      <c r="Q53" s="39" t="str">
        <f>IF(ISTEXT(INDEX(IF($R$58,Materials!K:K,Materials!A:A),5*(ROW(Q27)-ROW(Q$6))+8)), MID(INDEX(IF($R$58,Materials!K:K,Materials!A:A),5*(ROW(Q27)-ROW(Q$6))+8), 1, LEN(INDEX(IF($R$58,Materials!K:K,Materials!A:A),5*(ROW(Q27)-ROW(Q$6))+8))-IF($R$58,5,4)), "Custom Material")</f>
        <v>T8S/3900</v>
      </c>
      <c r="R53" s="44"/>
    </row>
    <row r="54" spans="12:18">
      <c r="L54" s="43">
        <v>12</v>
      </c>
      <c r="Q54" s="39" t="str">
        <f>IF(ISTEXT(INDEX(IF($R$58,Materials!K:K,Materials!A:A),5*(ROW(Q28)-ROW(Q$6))+8)), MID(INDEX(IF($R$58,Materials!K:K,Materials!A:A),5*(ROW(Q28)-ROW(Q$6))+8), 1, LEN(INDEX(IF($R$58,Materials!K:K,Materials!A:A),5*(ROW(Q28)-ROW(Q$6))+8))-IF($R$58,5,4)), "Custom Material")</f>
        <v xml:space="preserve">T650/ep fabric </v>
      </c>
      <c r="R54" s="44"/>
    </row>
    <row r="55" spans="12:18">
      <c r="L55" s="43">
        <v>12</v>
      </c>
      <c r="Q55" s="39" t="str">
        <f>IF(ISTEXT(INDEX(IF($R$58,Materials!K:K,Materials!A:A),5*(ROW(Q29)-ROW(Q$6))+8)), MID(INDEX(IF($R$58,Materials!K:K,Materials!A:A),5*(ROW(Q29)-ROW(Q$6))+8), 1, LEN(INDEX(IF($R$58,Materials!K:K,Materials!A:A),5*(ROW(Q29)-ROW(Q$6))+8))-IF($R$58,5,4)), "Custom Material")</f>
        <v>T720</v>
      </c>
      <c r="R55" s="44"/>
    </row>
    <row r="56" spans="12:18">
      <c r="L56" s="43">
        <v>1</v>
      </c>
      <c r="M56" s="39">
        <v>493</v>
      </c>
      <c r="N56" s="39">
        <v>302</v>
      </c>
      <c r="O56" s="39">
        <v>90</v>
      </c>
      <c r="P56" s="39">
        <v>25</v>
      </c>
      <c r="Q56" s="39" t="s">
        <v>462</v>
      </c>
      <c r="R56" s="44"/>
    </row>
    <row r="57" spans="12:18">
      <c r="L57" s="43">
        <v>2</v>
      </c>
      <c r="M57" s="39">
        <v>370</v>
      </c>
      <c r="N57" s="39">
        <v>305</v>
      </c>
      <c r="O57" s="39">
        <v>88</v>
      </c>
      <c r="P57" s="39">
        <v>25</v>
      </c>
      <c r="Q57" s="39" t="s">
        <v>464</v>
      </c>
      <c r="R57" s="44"/>
    </row>
    <row r="58" spans="12:18" ht="15.6" thickBot="1">
      <c r="L58" s="46">
        <v>13</v>
      </c>
      <c r="M58" s="47">
        <v>32</v>
      </c>
      <c r="N58" s="47">
        <v>288</v>
      </c>
      <c r="O58" s="47"/>
      <c r="P58" s="47"/>
      <c r="Q58" s="47" t="s">
        <v>465</v>
      </c>
      <c r="R58" s="48" t="b">
        <v>0</v>
      </c>
    </row>
  </sheetData>
  <pageMargins left="0.75" right="0.75" top="1" bottom="1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3">
    <outlinePr summaryBelow="0"/>
  </sheetPr>
  <dimension ref="A1:EU286"/>
  <sheetViews>
    <sheetView zoomScale="90" zoomScaleNormal="90" zoomScalePageLayoutView="125" workbookViewId="0">
      <selection activeCell="P16" sqref="P16"/>
    </sheetView>
  </sheetViews>
  <sheetFormatPr defaultColWidth="11" defaultRowHeight="15.6" outlineLevelRow="1" outlineLevelCol="1"/>
  <cols>
    <col min="1" max="1" width="11.08984375" style="650" customWidth="1"/>
    <col min="2" max="2" width="10.36328125" style="652" customWidth="1"/>
    <col min="3" max="3" width="8.90625" style="650" customWidth="1" outlineLevel="1"/>
    <col min="4" max="4" width="7.54296875" style="650" customWidth="1" outlineLevel="1"/>
    <col min="5" max="6" width="6.36328125" style="650" customWidth="1" outlineLevel="1"/>
    <col min="7" max="7" width="7.90625" style="650" customWidth="1" outlineLevel="1"/>
    <col min="8" max="8" width="7.36328125" style="650" customWidth="1"/>
    <col min="9" max="9" width="7.6328125" style="650" customWidth="1"/>
    <col min="10" max="10" width="7.90625" style="650" customWidth="1"/>
    <col min="11" max="11" width="6.36328125" style="650" customWidth="1"/>
    <col min="12" max="13" width="6.36328125" style="650" customWidth="1" outlineLevel="1"/>
    <col min="14" max="15" width="6.6328125" style="650" customWidth="1"/>
    <col min="16" max="17" width="6.6328125" style="650" customWidth="1" outlineLevel="1"/>
    <col min="18" max="26" width="6.6328125" style="650" customWidth="1"/>
    <col min="27" max="27" width="7.81640625" style="655" customWidth="1" outlineLevel="1"/>
    <col min="28" max="28" width="7.36328125" style="655" customWidth="1" outlineLevel="1"/>
    <col min="29" max="29" width="7.90625" style="650" customWidth="1" outlineLevel="1"/>
    <col min="30" max="30" width="8.08984375" style="650" customWidth="1" outlineLevel="1"/>
    <col min="31" max="31" width="8.36328125" style="655" customWidth="1"/>
    <col min="32" max="32" width="8.6328125" style="655" customWidth="1"/>
    <col min="33" max="33" width="7.36328125" style="655" customWidth="1"/>
    <col min="34" max="36" width="7.54296875" style="650" customWidth="1"/>
    <col min="37" max="38" width="6.36328125" style="650" customWidth="1"/>
    <col min="39" max="42" width="6.6328125" style="650" customWidth="1"/>
    <col min="43" max="43" width="6.6328125" style="655" customWidth="1"/>
    <col min="44" max="44" width="6.6328125" style="650" customWidth="1"/>
    <col min="45" max="48" width="6.6328125" style="650" customWidth="1" outlineLevel="1"/>
    <col min="49" max="60" width="6.6328125" style="650" customWidth="1"/>
    <col min="61" max="66" width="4.36328125" style="650" customWidth="1"/>
    <col min="67" max="67" width="4.36328125" style="674" customWidth="1"/>
    <col min="68" max="80" width="2.90625" style="650" customWidth="1"/>
    <col min="81" max="81" width="2.6328125" style="650" customWidth="1"/>
    <col min="82" max="82" width="4.08984375" style="652" customWidth="1"/>
    <col min="83" max="95" width="2.90625" style="650" customWidth="1"/>
    <col min="96" max="98" width="3.90625" style="650" customWidth="1"/>
    <col min="99" max="104" width="6.90625" style="650" customWidth="1"/>
    <col min="105" max="105" width="6.90625" style="856" customWidth="1"/>
    <col min="106" max="112" width="6.90625" style="650" customWidth="1"/>
    <col min="113" max="116" width="11" style="650"/>
    <col min="117" max="151" width="2.6328125" style="650" customWidth="1"/>
    <col min="152" max="16384" width="11" style="650"/>
  </cols>
  <sheetData>
    <row r="1" spans="1:151" ht="58.5" customHeight="1">
      <c r="A1" s="650" t="s">
        <v>402</v>
      </c>
      <c r="B1" s="735" t="s">
        <v>1695</v>
      </c>
      <c r="K1" s="653" t="s">
        <v>963</v>
      </c>
      <c r="L1" s="652"/>
      <c r="M1" s="652"/>
      <c r="O1" s="650" t="s">
        <v>591</v>
      </c>
      <c r="Q1" s="654"/>
      <c r="Z1" s="650" t="s">
        <v>964</v>
      </c>
      <c r="AQ1" s="650" t="s">
        <v>965</v>
      </c>
      <c r="AW1" s="655"/>
      <c r="AX1" s="650" t="s">
        <v>966</v>
      </c>
    </row>
    <row r="2" spans="1:151">
      <c r="B2" s="652" t="s">
        <v>962</v>
      </c>
      <c r="Z2" s="653" t="s">
        <v>967</v>
      </c>
      <c r="AF2" s="656"/>
      <c r="AG2" s="656"/>
      <c r="AQ2" s="652" t="s">
        <v>531</v>
      </c>
      <c r="AR2" s="661">
        <f t="shared" ref="AR2:AU4" si="0">AA4</f>
        <v>45</v>
      </c>
      <c r="AS2" s="661">
        <f t="shared" si="0"/>
        <v>73.8</v>
      </c>
      <c r="AT2" s="661">
        <f t="shared" si="0"/>
        <v>-34.4</v>
      </c>
      <c r="AU2" s="661">
        <f t="shared" si="0"/>
        <v>42.8</v>
      </c>
      <c r="AV2" s="652" t="s">
        <v>532</v>
      </c>
      <c r="AW2" s="656" t="s">
        <v>533</v>
      </c>
      <c r="AX2" s="652" t="s">
        <v>531</v>
      </c>
      <c r="AY2" s="661">
        <f t="shared" ref="AY2:BB4" si="1">AR2</f>
        <v>45</v>
      </c>
      <c r="AZ2" s="661">
        <f t="shared" si="1"/>
        <v>73.8</v>
      </c>
      <c r="BA2" s="661">
        <f t="shared" si="1"/>
        <v>-34.4</v>
      </c>
      <c r="BB2" s="661">
        <f t="shared" si="1"/>
        <v>42.8</v>
      </c>
      <c r="BF2" s="650" t="s">
        <v>2064</v>
      </c>
      <c r="BH2" s="650" t="s">
        <v>2086</v>
      </c>
      <c r="BO2" s="650"/>
      <c r="BU2" s="674"/>
      <c r="BW2" s="1243">
        <v>0.02</v>
      </c>
      <c r="CD2" s="650"/>
      <c r="CJ2" s="652"/>
      <c r="DA2" s="650"/>
      <c r="DG2" s="856" t="s">
        <v>2078</v>
      </c>
      <c r="DP2" s="655"/>
      <c r="DQ2" s="655"/>
      <c r="DT2" s="655"/>
      <c r="DU2" s="655"/>
      <c r="DV2" s="655"/>
    </row>
    <row r="3" spans="1:151">
      <c r="B3" s="652" t="s">
        <v>968</v>
      </c>
      <c r="Z3" s="652" t="s">
        <v>601</v>
      </c>
      <c r="AA3" s="1303" t="s">
        <v>2114</v>
      </c>
      <c r="AB3" s="1309" t="s">
        <v>2113</v>
      </c>
      <c r="AC3" s="1310" t="s">
        <v>2112</v>
      </c>
      <c r="AD3" s="1310" t="s">
        <v>2111</v>
      </c>
      <c r="AE3" s="1310" t="s">
        <v>2105</v>
      </c>
      <c r="AF3" s="1310" t="s">
        <v>2106</v>
      </c>
      <c r="AG3" s="1310" t="s">
        <v>2107</v>
      </c>
      <c r="AH3" s="1161" t="s">
        <v>2108</v>
      </c>
      <c r="AI3" s="1161" t="s">
        <v>2093</v>
      </c>
      <c r="AJ3" s="1161" t="s">
        <v>2094</v>
      </c>
      <c r="AK3" s="1161" t="s">
        <v>2095</v>
      </c>
      <c r="AL3" s="1161" t="s">
        <v>2096</v>
      </c>
      <c r="AQ3" s="652" t="s">
        <v>536</v>
      </c>
      <c r="AR3" s="661">
        <f t="shared" si="0"/>
        <v>1</v>
      </c>
      <c r="AS3" s="661">
        <f t="shared" si="0"/>
        <v>1</v>
      </c>
      <c r="AT3" s="661">
        <f t="shared" si="0"/>
        <v>1</v>
      </c>
      <c r="AU3" s="661">
        <f t="shared" si="0"/>
        <v>1</v>
      </c>
      <c r="AV3" s="652">
        <f>AM5</f>
        <v>2</v>
      </c>
      <c r="AW3" s="661">
        <f>AN5</f>
        <v>0</v>
      </c>
      <c r="AX3" s="652" t="s">
        <v>536</v>
      </c>
      <c r="AY3" s="661">
        <f t="shared" si="1"/>
        <v>1</v>
      </c>
      <c r="AZ3" s="661">
        <f t="shared" si="1"/>
        <v>1</v>
      </c>
      <c r="BA3" s="661">
        <f t="shared" si="1"/>
        <v>1</v>
      </c>
      <c r="BB3" s="661">
        <f t="shared" si="1"/>
        <v>1</v>
      </c>
      <c r="BG3" s="659">
        <v>0</v>
      </c>
      <c r="BH3" s="659">
        <v>7.5</v>
      </c>
      <c r="BI3" s="659">
        <v>15</v>
      </c>
      <c r="BJ3" s="659">
        <v>22.5</v>
      </c>
      <c r="BK3" s="659">
        <v>30</v>
      </c>
      <c r="BL3" s="659">
        <v>37.5</v>
      </c>
      <c r="BM3" s="659">
        <v>45</v>
      </c>
      <c r="BN3" s="659">
        <v>52.5</v>
      </c>
      <c r="BO3" s="659">
        <v>60</v>
      </c>
      <c r="BP3" s="659">
        <v>67.5</v>
      </c>
      <c r="BQ3" s="659">
        <v>75</v>
      </c>
      <c r="BR3" s="659">
        <v>82.5</v>
      </c>
      <c r="BS3" s="659">
        <v>90</v>
      </c>
      <c r="BT3" s="659"/>
      <c r="BV3" s="659">
        <v>0</v>
      </c>
      <c r="BW3" s="659">
        <v>7.5</v>
      </c>
      <c r="BX3" s="659">
        <v>15</v>
      </c>
      <c r="BY3" s="659">
        <v>22.5</v>
      </c>
      <c r="BZ3" s="659">
        <v>30</v>
      </c>
      <c r="CA3" s="659">
        <v>37.5</v>
      </c>
      <c r="CB3" s="659">
        <v>45</v>
      </c>
      <c r="CC3" s="659">
        <v>52.5</v>
      </c>
      <c r="CD3" s="659">
        <v>60</v>
      </c>
      <c r="CE3" s="659">
        <v>67.5</v>
      </c>
      <c r="CF3" s="659">
        <v>75</v>
      </c>
      <c r="CG3" s="659">
        <v>82.5</v>
      </c>
      <c r="CH3" s="659">
        <v>90</v>
      </c>
      <c r="CJ3" s="652"/>
      <c r="DA3" s="650"/>
      <c r="DF3" s="654" t="s">
        <v>1951</v>
      </c>
      <c r="DG3" s="1223" t="s">
        <v>2079</v>
      </c>
      <c r="DH3" s="1158" t="s">
        <v>2080</v>
      </c>
      <c r="DI3" s="1158" t="s">
        <v>2079</v>
      </c>
      <c r="DJ3" s="1158" t="s">
        <v>2080</v>
      </c>
      <c r="DM3" s="1334" t="s">
        <v>2138</v>
      </c>
      <c r="DN3" s="1194"/>
      <c r="DO3" s="1194"/>
      <c r="DP3" s="1194"/>
      <c r="DQ3" s="1194"/>
      <c r="DR3" s="1194"/>
      <c r="DS3" s="1194"/>
      <c r="DT3" s="1194"/>
      <c r="DU3" s="1194"/>
      <c r="DV3" s="1194"/>
      <c r="DW3" s="1194"/>
    </row>
    <row r="4" spans="1:151" ht="15.9" customHeight="1">
      <c r="A4" s="653" t="s">
        <v>969</v>
      </c>
      <c r="B4" s="1303" t="s">
        <v>2114</v>
      </c>
      <c r="C4" s="1309" t="s">
        <v>2113</v>
      </c>
      <c r="D4" s="1310" t="s">
        <v>2112</v>
      </c>
      <c r="E4" s="1310" t="s">
        <v>2111</v>
      </c>
      <c r="F4" s="1310" t="s">
        <v>2105</v>
      </c>
      <c r="G4" s="1310" t="s">
        <v>2106</v>
      </c>
      <c r="H4" s="1310" t="s">
        <v>2107</v>
      </c>
      <c r="I4" s="1161" t="s">
        <v>2108</v>
      </c>
      <c r="J4" s="1161" t="s">
        <v>2093</v>
      </c>
      <c r="K4" s="1161" t="s">
        <v>2094</v>
      </c>
      <c r="L4" s="1161" t="s">
        <v>2095</v>
      </c>
      <c r="M4" s="1161" t="s">
        <v>2096</v>
      </c>
      <c r="N4" s="866"/>
      <c r="O4" s="1064" t="s">
        <v>1566</v>
      </c>
      <c r="P4" s="1065" t="str">
        <f>B44</f>
        <v>IM7/977[SI]</v>
      </c>
      <c r="Q4" s="1301"/>
      <c r="R4" s="653" t="s">
        <v>1553</v>
      </c>
      <c r="S4" s="652" t="s">
        <v>1554</v>
      </c>
      <c r="T4" s="652" t="s">
        <v>1555</v>
      </c>
      <c r="U4" s="665" t="s">
        <v>1556</v>
      </c>
      <c r="V4" s="652" t="s">
        <v>596</v>
      </c>
      <c r="W4" s="659">
        <f>$H$45</f>
        <v>22</v>
      </c>
      <c r="X4" s="659">
        <f>C34</f>
        <v>22</v>
      </c>
      <c r="Y4" s="660">
        <f t="shared" ref="Y4:Y9" si="2">X4/W4</f>
        <v>1</v>
      </c>
      <c r="Z4" s="652" t="s">
        <v>537</v>
      </c>
      <c r="AA4" s="1300">
        <f t="shared" ref="AA4:AL4" si="3">B5+$P$12</f>
        <v>45</v>
      </c>
      <c r="AB4" s="1300">
        <f t="shared" si="3"/>
        <v>73.8</v>
      </c>
      <c r="AC4" s="1300">
        <f t="shared" si="3"/>
        <v>-34.4</v>
      </c>
      <c r="AD4" s="1300">
        <f t="shared" si="3"/>
        <v>42.8</v>
      </c>
      <c r="AE4" s="1300">
        <f t="shared" si="3"/>
        <v>-54.3</v>
      </c>
      <c r="AF4" s="1300">
        <f t="shared" si="3"/>
        <v>-43.7</v>
      </c>
      <c r="AG4" s="1300">
        <f t="shared" si="3"/>
        <v>-34.799999999999997</v>
      </c>
      <c r="AH4" s="1300">
        <f t="shared" si="3"/>
        <v>32.5</v>
      </c>
      <c r="AI4" s="1300">
        <f t="shared" si="3"/>
        <v>83</v>
      </c>
      <c r="AJ4" s="1300">
        <f t="shared" si="3"/>
        <v>-9.4</v>
      </c>
      <c r="AK4" s="1300">
        <f t="shared" si="3"/>
        <v>-9.1</v>
      </c>
      <c r="AL4" s="1300">
        <f t="shared" si="3"/>
        <v>7.7</v>
      </c>
      <c r="AM4" s="656" t="s">
        <v>532</v>
      </c>
      <c r="AN4" s="656" t="s">
        <v>533</v>
      </c>
      <c r="AO4" s="656"/>
      <c r="AQ4" s="652" t="s">
        <v>539</v>
      </c>
      <c r="AR4" s="665">
        <f t="shared" si="0"/>
        <v>1.5707963267948966</v>
      </c>
      <c r="AS4" s="665">
        <f t="shared" si="0"/>
        <v>2.5761059759436304</v>
      </c>
      <c r="AT4" s="665">
        <f t="shared" si="0"/>
        <v>-1.2007865253720986</v>
      </c>
      <c r="AU4" s="665">
        <f t="shared" si="0"/>
        <v>1.494001839707146</v>
      </c>
      <c r="AV4" s="652" t="s">
        <v>603</v>
      </c>
      <c r="AW4" s="655">
        <f>$AM12</f>
        <v>6.0000000000000001E-3</v>
      </c>
      <c r="AX4" s="652" t="s">
        <v>539</v>
      </c>
      <c r="AY4" s="665">
        <f t="shared" si="1"/>
        <v>1.5707963267948966</v>
      </c>
      <c r="AZ4" s="665">
        <f t="shared" si="1"/>
        <v>2.5761059759436304</v>
      </c>
      <c r="BA4" s="665">
        <f t="shared" si="1"/>
        <v>-1.2007865253720986</v>
      </c>
      <c r="BB4" s="665">
        <f t="shared" si="1"/>
        <v>1.494001839707146</v>
      </c>
      <c r="BF4" s="664">
        <v>0</v>
      </c>
      <c r="BG4" s="1250">
        <v>1</v>
      </c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80"/>
      <c r="BT4" s="1166"/>
      <c r="BU4" s="659">
        <v>0</v>
      </c>
      <c r="BV4" s="1264">
        <v>1</v>
      </c>
      <c r="BW4" s="1179"/>
      <c r="BX4" s="1179"/>
      <c r="BY4" s="1179"/>
      <c r="BZ4" s="1179"/>
      <c r="CA4" s="1179"/>
      <c r="CB4" s="1179"/>
      <c r="CC4" s="1179"/>
      <c r="CD4" s="1179"/>
      <c r="CE4" s="1179"/>
      <c r="CF4" s="1179"/>
      <c r="CG4" s="1179"/>
      <c r="CH4" s="1180"/>
      <c r="CJ4" s="652"/>
      <c r="DA4" s="650"/>
      <c r="DF4" s="659">
        <v>1</v>
      </c>
      <c r="DG4" s="659">
        <v>42</v>
      </c>
      <c r="DH4" s="668">
        <v>0</v>
      </c>
      <c r="DI4" s="668">
        <f>DG4</f>
        <v>42</v>
      </c>
      <c r="DJ4" s="652">
        <v>0</v>
      </c>
      <c r="DK4" s="659">
        <v>42</v>
      </c>
      <c r="DM4" s="1332" t="s">
        <v>2136</v>
      </c>
      <c r="DN4" s="1330"/>
      <c r="DO4" s="1331" t="s">
        <v>2087</v>
      </c>
      <c r="DP4" s="1330"/>
      <c r="DQ4" s="1330"/>
      <c r="DR4" s="1330"/>
      <c r="DS4" s="1126"/>
      <c r="DT4" s="1126"/>
      <c r="DU4" s="1126"/>
      <c r="DV4" s="1126"/>
      <c r="DW4" s="1126"/>
      <c r="DY4" s="1329" t="s">
        <v>2135</v>
      </c>
      <c r="DZ4" s="1326"/>
      <c r="EA4" s="1327" t="s">
        <v>2088</v>
      </c>
      <c r="EB4" s="1328"/>
      <c r="EC4" s="1328"/>
      <c r="ED4" s="1327"/>
      <c r="EF4" s="655"/>
      <c r="EG4" s="655"/>
      <c r="EH4" s="655"/>
      <c r="EI4" s="1126"/>
    </row>
    <row r="5" spans="1:151">
      <c r="A5" s="653" t="s">
        <v>598</v>
      </c>
      <c r="B5" s="1316">
        <f t="shared" ref="B5:M5" si="4">B8</f>
        <v>45</v>
      </c>
      <c r="C5" s="1316">
        <f t="shared" si="4"/>
        <v>73.8</v>
      </c>
      <c r="D5" s="1316">
        <f t="shared" si="4"/>
        <v>-34.4</v>
      </c>
      <c r="E5" s="1316">
        <f t="shared" si="4"/>
        <v>42.8</v>
      </c>
      <c r="F5" s="1316">
        <f t="shared" si="4"/>
        <v>-54.3</v>
      </c>
      <c r="G5" s="1316">
        <f t="shared" si="4"/>
        <v>-43.7</v>
      </c>
      <c r="H5" s="1316">
        <f t="shared" si="4"/>
        <v>-34.799999999999997</v>
      </c>
      <c r="I5" s="1316">
        <f t="shared" si="4"/>
        <v>32.5</v>
      </c>
      <c r="J5" s="1316">
        <f t="shared" si="4"/>
        <v>83</v>
      </c>
      <c r="K5" s="1316">
        <f t="shared" si="4"/>
        <v>-9.4</v>
      </c>
      <c r="L5" s="1316">
        <f t="shared" si="4"/>
        <v>-9.1</v>
      </c>
      <c r="M5" s="1316">
        <f t="shared" si="4"/>
        <v>7.7</v>
      </c>
      <c r="N5" s="1064" t="s">
        <v>1570</v>
      </c>
      <c r="O5" s="1064" t="s">
        <v>534</v>
      </c>
      <c r="P5" s="1064" t="s">
        <v>974</v>
      </c>
      <c r="Q5" s="650" t="s">
        <v>403</v>
      </c>
      <c r="R5" s="652" t="s">
        <v>298</v>
      </c>
      <c r="S5" s="654">
        <f>$C$44</f>
        <v>191</v>
      </c>
      <c r="T5" s="654">
        <f>T12*T11</f>
        <v>191</v>
      </c>
      <c r="U5" s="660">
        <f>T5/S5</f>
        <v>1</v>
      </c>
      <c r="V5" s="652" t="s">
        <v>600</v>
      </c>
      <c r="W5" s="651">
        <f>$I$45</f>
        <v>5.0000000000000001E-3</v>
      </c>
      <c r="X5" s="651">
        <f>D34</f>
        <v>5.0000000000000001E-3</v>
      </c>
      <c r="Y5" s="660">
        <f t="shared" si="2"/>
        <v>1</v>
      </c>
      <c r="Z5" s="652" t="s">
        <v>541</v>
      </c>
      <c r="AA5" s="1300">
        <f t="shared" ref="AA5:AM5" si="5">B6</f>
        <v>1</v>
      </c>
      <c r="AB5" s="1300">
        <f t="shared" si="5"/>
        <v>1</v>
      </c>
      <c r="AC5" s="1300">
        <f t="shared" si="5"/>
        <v>1</v>
      </c>
      <c r="AD5" s="1300">
        <f t="shared" si="5"/>
        <v>1</v>
      </c>
      <c r="AE5" s="1300">
        <f t="shared" si="5"/>
        <v>1</v>
      </c>
      <c r="AF5" s="1300">
        <f t="shared" si="5"/>
        <v>1</v>
      </c>
      <c r="AG5" s="1300">
        <f t="shared" si="5"/>
        <v>1</v>
      </c>
      <c r="AH5" s="1300">
        <f t="shared" si="5"/>
        <v>1</v>
      </c>
      <c r="AI5" s="1300">
        <f t="shared" si="5"/>
        <v>1</v>
      </c>
      <c r="AJ5" s="1300">
        <f t="shared" si="5"/>
        <v>1</v>
      </c>
      <c r="AK5" s="1300">
        <f t="shared" si="5"/>
        <v>1</v>
      </c>
      <c r="AL5" s="1300">
        <f t="shared" si="5"/>
        <v>1</v>
      </c>
      <c r="AM5" s="668">
        <f t="shared" si="5"/>
        <v>2</v>
      </c>
      <c r="AN5" s="661">
        <f>N$11/2/T9*1000</f>
        <v>0</v>
      </c>
      <c r="AO5" s="661"/>
      <c r="AQ5" s="652" t="s">
        <v>605</v>
      </c>
      <c r="AR5" s="676">
        <f>AA9*$AM12/2</f>
        <v>3.0000000000000001E-3</v>
      </c>
      <c r="AS5" s="676">
        <f>AB9*$AM12/2</f>
        <v>2.8750000000000004E-3</v>
      </c>
      <c r="AT5" s="676">
        <f>AC9*$AM12/2</f>
        <v>2.7500000000000003E-3</v>
      </c>
      <c r="AU5" s="676">
        <f>AD9*$AM12/2</f>
        <v>2.6250000000000006E-3</v>
      </c>
      <c r="AV5" s="656" t="s">
        <v>606</v>
      </c>
      <c r="AW5" s="655">
        <f>AW4^2/6</f>
        <v>6.0000000000000002E-6</v>
      </c>
      <c r="BF5" s="664">
        <v>7.5</v>
      </c>
      <c r="BG5" s="1184">
        <v>3</v>
      </c>
      <c r="BH5" s="1183">
        <v>3</v>
      </c>
      <c r="BI5" s="1166"/>
      <c r="BJ5" s="1166"/>
      <c r="BK5" s="1166"/>
      <c r="BL5" s="1166"/>
      <c r="BM5" s="1166"/>
      <c r="BN5" s="1166"/>
      <c r="BO5" s="1166"/>
      <c r="BP5" s="1166"/>
      <c r="BQ5" s="1166"/>
      <c r="BR5" s="1166"/>
      <c r="BS5" s="1181"/>
      <c r="BT5" s="1166"/>
      <c r="BU5" s="659">
        <v>7.5</v>
      </c>
      <c r="BV5" s="1265">
        <v>2</v>
      </c>
      <c r="BW5" s="1266">
        <v>2</v>
      </c>
      <c r="BX5" s="1166"/>
      <c r="BY5" s="1166"/>
      <c r="BZ5" s="1166"/>
      <c r="CA5" s="1166"/>
      <c r="CB5" s="1166"/>
      <c r="CC5" s="1166"/>
      <c r="CD5" s="1166"/>
      <c r="CE5" s="1166"/>
      <c r="CF5" s="1166"/>
      <c r="CG5" s="1166"/>
      <c r="CH5" s="1181"/>
      <c r="CJ5" s="652"/>
      <c r="DA5" s="650"/>
      <c r="DF5" s="659">
        <v>2</v>
      </c>
      <c r="DG5" s="659">
        <v>65</v>
      </c>
      <c r="DH5" s="668">
        <v>0</v>
      </c>
      <c r="DI5" s="668">
        <f t="shared" ref="DI5:DI29" si="6">DG5</f>
        <v>65</v>
      </c>
      <c r="DJ5" s="652">
        <v>0</v>
      </c>
      <c r="DK5" s="659">
        <v>65</v>
      </c>
      <c r="DM5" s="50">
        <v>0</v>
      </c>
      <c r="DN5" s="1279">
        <v>1</v>
      </c>
      <c r="DO5" s="1280"/>
      <c r="DP5" s="1280"/>
      <c r="DQ5" s="1280"/>
      <c r="DR5" s="1281"/>
      <c r="DS5" s="1280"/>
      <c r="DT5" s="1282"/>
      <c r="DU5" s="1282"/>
      <c r="DV5" s="1282"/>
      <c r="DW5" s="1283"/>
      <c r="DY5" s="50">
        <v>0</v>
      </c>
      <c r="DZ5" s="1279">
        <v>1</v>
      </c>
      <c r="EA5" s="1280"/>
      <c r="EB5" s="1280"/>
      <c r="EC5" s="1280"/>
      <c r="ED5" s="1281"/>
      <c r="EE5" s="1280"/>
      <c r="EF5" s="1282"/>
      <c r="EG5" s="1282"/>
      <c r="EH5" s="1282"/>
      <c r="EI5" s="1283"/>
    </row>
    <row r="6" spans="1:151" outlineLevel="1">
      <c r="A6" s="653" t="s">
        <v>1952</v>
      </c>
      <c r="B6" s="1311">
        <v>1</v>
      </c>
      <c r="C6" s="1311">
        <f t="shared" ref="C6:M6" si="7">C9</f>
        <v>1</v>
      </c>
      <c r="D6" s="1311">
        <f t="shared" si="7"/>
        <v>1</v>
      </c>
      <c r="E6" s="1311">
        <f t="shared" si="7"/>
        <v>1</v>
      </c>
      <c r="F6" s="1311">
        <f t="shared" si="7"/>
        <v>1</v>
      </c>
      <c r="G6" s="1311">
        <f t="shared" si="7"/>
        <v>1</v>
      </c>
      <c r="H6" s="1311">
        <f t="shared" si="7"/>
        <v>1</v>
      </c>
      <c r="I6" s="1311">
        <f t="shared" si="7"/>
        <v>1</v>
      </c>
      <c r="J6" s="1311">
        <f t="shared" si="7"/>
        <v>1</v>
      </c>
      <c r="K6" s="1311">
        <f t="shared" si="7"/>
        <v>1</v>
      </c>
      <c r="L6" s="1311">
        <f t="shared" si="7"/>
        <v>1</v>
      </c>
      <c r="M6" s="1311">
        <f t="shared" si="7"/>
        <v>1</v>
      </c>
      <c r="N6" s="1315">
        <v>2</v>
      </c>
      <c r="O6" s="1066">
        <f>SUM(B6:M6)*N6</f>
        <v>24</v>
      </c>
      <c r="P6" s="865">
        <f>O6*T9/1000</f>
        <v>3</v>
      </c>
      <c r="R6" s="652" t="s">
        <v>1579</v>
      </c>
      <c r="S6" s="654">
        <f>$D$44</f>
        <v>9.94</v>
      </c>
      <c r="T6" s="654">
        <f>(1+T15)/(1/T16+T15/T13)</f>
        <v>9.94</v>
      </c>
      <c r="U6" s="660">
        <f>T6/S6</f>
        <v>1</v>
      </c>
      <c r="V6" s="652" t="s">
        <v>1557</v>
      </c>
      <c r="W6" s="659">
        <f>$H$44</f>
        <v>122</v>
      </c>
      <c r="X6" s="659">
        <f>W6</f>
        <v>122</v>
      </c>
      <c r="Y6" s="660">
        <f t="shared" si="2"/>
        <v>1</v>
      </c>
      <c r="Z6" s="652" t="s">
        <v>1295</v>
      </c>
      <c r="AA6" s="660">
        <f t="shared" ref="AA6:AJ6" si="8">AA4*PI()/90</f>
        <v>1.5707963267948966</v>
      </c>
      <c r="AB6" s="660">
        <f t="shared" si="8"/>
        <v>2.5761059759436304</v>
      </c>
      <c r="AC6" s="660">
        <f t="shared" si="8"/>
        <v>-1.2007865253720986</v>
      </c>
      <c r="AD6" s="660">
        <f t="shared" si="8"/>
        <v>1.494001839707146</v>
      </c>
      <c r="AE6" s="660">
        <f t="shared" si="8"/>
        <v>-1.8954275676658416</v>
      </c>
      <c r="AF6" s="660">
        <f t="shared" si="8"/>
        <v>-1.5254177662430441</v>
      </c>
      <c r="AG6" s="660">
        <f t="shared" si="8"/>
        <v>-1.2147491593880533</v>
      </c>
      <c r="AH6" s="660">
        <f t="shared" si="8"/>
        <v>1.1344640137963142</v>
      </c>
      <c r="AI6" s="660">
        <f t="shared" si="8"/>
        <v>2.8972465583105871</v>
      </c>
      <c r="AJ6" s="660">
        <f t="shared" si="8"/>
        <v>-0.32812189937493397</v>
      </c>
      <c r="AK6" s="660">
        <f>AK4*PI()/90</f>
        <v>-0.31764992386296798</v>
      </c>
      <c r="AL6" s="660">
        <f>AL4*PI()/90</f>
        <v>0.26878070480712679</v>
      </c>
      <c r="AM6" s="656" t="s">
        <v>614</v>
      </c>
      <c r="AN6" s="669" t="s">
        <v>615</v>
      </c>
      <c r="AO6" s="669" t="s">
        <v>2132</v>
      </c>
      <c r="AP6" s="652" t="s">
        <v>616</v>
      </c>
      <c r="AQ6" s="653" t="s">
        <v>1434</v>
      </c>
      <c r="AR6" s="656"/>
      <c r="AS6" s="656"/>
      <c r="AT6" s="655"/>
      <c r="AU6" s="655"/>
      <c r="AV6" s="655"/>
      <c r="AW6" s="655"/>
      <c r="AX6" s="653" t="s">
        <v>975</v>
      </c>
      <c r="BC6" s="652" t="s">
        <v>1299</v>
      </c>
      <c r="BF6" s="664">
        <v>15</v>
      </c>
      <c r="BG6" s="1184">
        <v>5</v>
      </c>
      <c r="BH6" s="1183">
        <v>4</v>
      </c>
      <c r="BI6" s="1183">
        <v>4</v>
      </c>
      <c r="BJ6" s="1166"/>
      <c r="BK6" s="1166"/>
      <c r="BL6" s="1166"/>
      <c r="BM6" s="1166"/>
      <c r="BN6" s="1166"/>
      <c r="BO6" s="1166"/>
      <c r="BP6" s="1166"/>
      <c r="BQ6" s="1166"/>
      <c r="BR6" s="1166"/>
      <c r="BS6" s="1181"/>
      <c r="BT6" s="1166"/>
      <c r="BU6" s="659">
        <v>15</v>
      </c>
      <c r="BV6" s="1265">
        <v>3</v>
      </c>
      <c r="BW6" s="1266">
        <v>3</v>
      </c>
      <c r="BX6" s="1266">
        <v>3</v>
      </c>
      <c r="BY6" s="1166"/>
      <c r="BZ6" s="1166"/>
      <c r="CA6" s="1166"/>
      <c r="CB6" s="1166"/>
      <c r="CC6" s="1166"/>
      <c r="CD6" s="1166"/>
      <c r="CE6" s="1166"/>
      <c r="CF6" s="1166"/>
      <c r="CG6" s="1166"/>
      <c r="CH6" s="1181"/>
      <c r="CJ6" s="652"/>
      <c r="DA6" s="650"/>
      <c r="DF6" s="659">
        <v>3</v>
      </c>
      <c r="DG6" s="659">
        <v>77</v>
      </c>
      <c r="DH6" s="668">
        <v>13</v>
      </c>
      <c r="DI6" s="668">
        <f t="shared" si="6"/>
        <v>77</v>
      </c>
      <c r="DJ6" s="652">
        <v>13</v>
      </c>
      <c r="DK6" s="659">
        <v>77</v>
      </c>
      <c r="DM6" s="50">
        <v>10</v>
      </c>
      <c r="DN6" s="1284">
        <v>2</v>
      </c>
      <c r="DO6" s="53">
        <v>2</v>
      </c>
      <c r="DP6" s="53"/>
      <c r="DQ6" s="53"/>
      <c r="DR6" s="52"/>
      <c r="DS6" s="53"/>
      <c r="DT6" s="52"/>
      <c r="DU6" s="52"/>
      <c r="DV6" s="52"/>
      <c r="DW6" s="1285"/>
      <c r="DY6" s="50">
        <v>10</v>
      </c>
      <c r="DZ6" s="1284">
        <v>1</v>
      </c>
      <c r="EA6" s="53">
        <v>4</v>
      </c>
      <c r="EB6" s="53"/>
      <c r="EC6" s="53"/>
      <c r="ED6" s="52"/>
      <c r="EE6" s="53"/>
      <c r="EF6" s="52"/>
      <c r="EG6" s="52"/>
      <c r="EH6" s="52"/>
      <c r="EI6" s="1285"/>
    </row>
    <row r="7" spans="1:151" outlineLevel="1">
      <c r="A7" s="653" t="s">
        <v>976</v>
      </c>
      <c r="B7" s="1303" t="s">
        <v>1562</v>
      </c>
      <c r="C7" s="1309" t="s">
        <v>1563</v>
      </c>
      <c r="D7" s="1309" t="s">
        <v>1563</v>
      </c>
      <c r="E7" s="1309" t="s">
        <v>1563</v>
      </c>
      <c r="F7" s="1310" t="s">
        <v>973</v>
      </c>
      <c r="G7" s="1310" t="s">
        <v>972</v>
      </c>
      <c r="H7" s="1310" t="s">
        <v>971</v>
      </c>
      <c r="I7" s="1161" t="s">
        <v>970</v>
      </c>
      <c r="J7" s="1161" t="s">
        <v>2100</v>
      </c>
      <c r="K7" s="1161" t="s">
        <v>2099</v>
      </c>
      <c r="L7" s="1161" t="s">
        <v>2098</v>
      </c>
      <c r="M7" s="1161" t="s">
        <v>2097</v>
      </c>
      <c r="N7" s="1064"/>
      <c r="O7" s="1064" t="s">
        <v>1566</v>
      </c>
      <c r="P7" s="937" t="str">
        <f>B50</f>
        <v>IM7/977[SI]</v>
      </c>
      <c r="Q7" s="907"/>
      <c r="R7" s="652" t="s">
        <v>259</v>
      </c>
      <c r="S7" s="654">
        <f>$E$44</f>
        <v>0.35</v>
      </c>
      <c r="T7" s="654">
        <f>S7</f>
        <v>0.35</v>
      </c>
      <c r="U7" s="660">
        <f>T7/S7</f>
        <v>1</v>
      </c>
      <c r="V7" s="652" t="s">
        <v>299</v>
      </c>
      <c r="W7" s="659">
        <f>$I$44</f>
        <v>160</v>
      </c>
      <c r="X7" s="659">
        <f>W7-$I$47*(X5-W5)</f>
        <v>160</v>
      </c>
      <c r="Y7" s="660">
        <f t="shared" si="2"/>
        <v>1</v>
      </c>
      <c r="Z7" s="652" t="s">
        <v>1300</v>
      </c>
      <c r="AA7" s="660">
        <f t="shared" ref="AA7:AJ7" si="9">2*AA6</f>
        <v>3.1415926535897931</v>
      </c>
      <c r="AB7" s="660">
        <f t="shared" si="9"/>
        <v>5.1522119518872609</v>
      </c>
      <c r="AC7" s="660">
        <f t="shared" si="9"/>
        <v>-2.4015730507441972</v>
      </c>
      <c r="AD7" s="660">
        <f t="shared" si="9"/>
        <v>2.9880036794142919</v>
      </c>
      <c r="AE7" s="660">
        <f t="shared" si="9"/>
        <v>-3.7908551353316833</v>
      </c>
      <c r="AF7" s="660">
        <f t="shared" si="9"/>
        <v>-3.0508355324860883</v>
      </c>
      <c r="AG7" s="660">
        <f t="shared" si="9"/>
        <v>-2.4294983187761066</v>
      </c>
      <c r="AH7" s="660">
        <f t="shared" si="9"/>
        <v>2.2689280275926285</v>
      </c>
      <c r="AI7" s="660">
        <f t="shared" si="9"/>
        <v>5.7944931166211742</v>
      </c>
      <c r="AJ7" s="660">
        <f t="shared" si="9"/>
        <v>-0.65624379874986793</v>
      </c>
      <c r="AK7" s="660">
        <f>2*AK6</f>
        <v>-0.63529984772593595</v>
      </c>
      <c r="AL7" s="660">
        <f>2*AL6</f>
        <v>0.53756140961425358</v>
      </c>
      <c r="AM7" s="668">
        <f>SUM(B6:M6)</f>
        <v>12</v>
      </c>
      <c r="AN7" s="661">
        <f>AM7*AM5+AN5</f>
        <v>24</v>
      </c>
      <c r="AO7" s="1314">
        <f t="shared" ref="AO7:AO12" si="10">AP7/AP48</f>
        <v>1</v>
      </c>
      <c r="AP7" s="676">
        <f t="shared" ref="AP7:AP12" si="11">(AA15*AA$11+AB15*AB$11+AC15*AC$11+AD15*AD$11+AE15*$AE$11+AF15*AF$11+AG15*AG$11+AH15*AH$11+AI15*AI$11+AJ15*AJ$11+AK15*AK$11+AL15*AL$11)*$AM$12/2</f>
        <v>0.13796060916394412</v>
      </c>
      <c r="AQ7" s="652"/>
      <c r="AR7" s="656" t="s">
        <v>1301</v>
      </c>
      <c r="AS7" s="656" t="s">
        <v>618</v>
      </c>
      <c r="AT7" s="672" t="s">
        <v>977</v>
      </c>
      <c r="AU7" s="672" t="s">
        <v>620</v>
      </c>
      <c r="AV7" s="656" t="s">
        <v>1303</v>
      </c>
      <c r="AW7" s="656" t="s">
        <v>621</v>
      </c>
      <c r="AX7" s="652" t="s">
        <v>978</v>
      </c>
      <c r="AY7" s="676">
        <f>(AR13+AR16*AR5)/1000</f>
        <v>7.7836343646216926E-4</v>
      </c>
      <c r="AZ7" s="676">
        <f>(AS13+AS16*$AS$5)/1000</f>
        <v>-6.1423607198442308E-4</v>
      </c>
      <c r="BA7" s="676">
        <f>(AT13+AT16*$AT$5)/1000</f>
        <v>9.5638209086504897E-4</v>
      </c>
      <c r="BB7" s="676">
        <f>(AU13+AU16*$AU$5)/1000</f>
        <v>8.9604091135243207E-4</v>
      </c>
      <c r="BC7" s="676">
        <f>($AG$105+$AG$106)/2</f>
        <v>4.87400475848534E-5</v>
      </c>
      <c r="BD7" s="652" t="s">
        <v>979</v>
      </c>
      <c r="BF7" s="664">
        <v>22.5</v>
      </c>
      <c r="BG7" s="1184">
        <v>7</v>
      </c>
      <c r="BH7" s="1183">
        <v>4</v>
      </c>
      <c r="BI7" s="1183">
        <v>4</v>
      </c>
      <c r="BJ7" s="1183">
        <v>5</v>
      </c>
      <c r="BK7" s="1166"/>
      <c r="BL7" s="1166"/>
      <c r="BM7" s="1166"/>
      <c r="BN7" s="1166"/>
      <c r="BO7" s="1166"/>
      <c r="BP7" s="1166"/>
      <c r="BQ7" s="1166"/>
      <c r="BR7" s="1166"/>
      <c r="BS7" s="1181"/>
      <c r="BT7" s="1166"/>
      <c r="BU7" s="659">
        <v>22.5</v>
      </c>
      <c r="BV7" s="1265">
        <v>3</v>
      </c>
      <c r="BW7" s="1266">
        <v>2</v>
      </c>
      <c r="BX7" s="1266">
        <v>3</v>
      </c>
      <c r="BY7" s="1266">
        <v>3</v>
      </c>
      <c r="BZ7" s="1166"/>
      <c r="CA7" s="1166"/>
      <c r="CB7" s="1166"/>
      <c r="CC7" s="1166"/>
      <c r="CD7" s="1166"/>
      <c r="CE7" s="1166"/>
      <c r="CF7" s="1166"/>
      <c r="CG7" s="1166"/>
      <c r="CH7" s="1181"/>
      <c r="CJ7" s="652"/>
      <c r="DA7" s="650"/>
      <c r="DF7" s="659">
        <v>4</v>
      </c>
      <c r="DG7" s="659">
        <v>90</v>
      </c>
      <c r="DH7" s="668">
        <v>23</v>
      </c>
      <c r="DI7" s="668">
        <f t="shared" si="6"/>
        <v>90</v>
      </c>
      <c r="DJ7" s="652">
        <v>23</v>
      </c>
      <c r="DK7" s="659">
        <v>90</v>
      </c>
      <c r="DM7" s="50">
        <v>20</v>
      </c>
      <c r="DN7" s="1284">
        <v>3</v>
      </c>
      <c r="DO7" s="53">
        <v>3</v>
      </c>
      <c r="DP7" s="1294">
        <v>3</v>
      </c>
      <c r="DQ7" s="53"/>
      <c r="DR7" s="52"/>
      <c r="DS7" s="53"/>
      <c r="DT7" s="52"/>
      <c r="DU7" s="52"/>
      <c r="DV7" s="52"/>
      <c r="DW7" s="1285"/>
      <c r="DY7" s="50">
        <v>20</v>
      </c>
      <c r="DZ7" s="1284">
        <v>3</v>
      </c>
      <c r="EA7" s="53">
        <v>5</v>
      </c>
      <c r="EB7" s="53">
        <v>6</v>
      </c>
      <c r="EC7" s="53"/>
      <c r="ED7" s="52"/>
      <c r="EE7" s="53"/>
      <c r="EF7" s="52"/>
      <c r="EG7" s="52"/>
      <c r="EH7" s="52"/>
      <c r="EI7" s="1285"/>
    </row>
    <row r="8" spans="1:151" outlineLevel="1">
      <c r="A8" s="653" t="s">
        <v>598</v>
      </c>
      <c r="B8" s="1316">
        <v>45</v>
      </c>
      <c r="C8" s="1316">
        <v>73.8</v>
      </c>
      <c r="D8" s="1316">
        <v>-34.4</v>
      </c>
      <c r="E8" s="1316">
        <v>42.8</v>
      </c>
      <c r="F8" s="1316">
        <v>-54.3</v>
      </c>
      <c r="G8" s="1316">
        <v>-43.7</v>
      </c>
      <c r="H8" s="1316">
        <v>-34.799999999999997</v>
      </c>
      <c r="I8" s="1316">
        <v>32.5</v>
      </c>
      <c r="J8" s="1316">
        <v>83</v>
      </c>
      <c r="K8" s="1316">
        <v>-9.4</v>
      </c>
      <c r="L8" s="1316">
        <v>-9.1</v>
      </c>
      <c r="M8" s="1316">
        <v>7.7</v>
      </c>
      <c r="N8" s="1064" t="s">
        <v>1570</v>
      </c>
      <c r="O8" s="1064" t="s">
        <v>534</v>
      </c>
      <c r="P8" s="1064" t="s">
        <v>980</v>
      </c>
      <c r="Q8" s="650" t="s">
        <v>403</v>
      </c>
      <c r="R8" s="652" t="s">
        <v>261</v>
      </c>
      <c r="S8" s="654">
        <f>$F$44</f>
        <v>7.79</v>
      </c>
      <c r="T8" s="654">
        <f>(1+T18)/(1/T19+T18*2.7/T13)</f>
        <v>7.79</v>
      </c>
      <c r="U8" s="660">
        <f>T8/S8</f>
        <v>1</v>
      </c>
      <c r="V8" s="652" t="s">
        <v>1580</v>
      </c>
      <c r="W8" s="654">
        <f>(W7-W4)/(W7-W4)</f>
        <v>1</v>
      </c>
      <c r="X8" s="654">
        <f>(X7-X4)/(X7-W4)</f>
        <v>1</v>
      </c>
      <c r="Y8" s="660">
        <f t="shared" si="2"/>
        <v>1</v>
      </c>
      <c r="AA8" s="671"/>
      <c r="AB8" s="671"/>
      <c r="AC8" s="671"/>
      <c r="AD8" s="671"/>
      <c r="AE8" s="671"/>
      <c r="AF8" s="671"/>
      <c r="AG8" s="671"/>
      <c r="AH8" s="671"/>
      <c r="AI8" s="671"/>
      <c r="AJ8" s="671"/>
      <c r="AK8" s="671"/>
      <c r="AL8" s="671"/>
      <c r="AM8" s="656" t="s">
        <v>622</v>
      </c>
      <c r="AN8" s="656"/>
      <c r="AO8" s="1314">
        <f t="shared" si="10"/>
        <v>1</v>
      </c>
      <c r="AP8" s="676">
        <f t="shared" si="11"/>
        <v>9.2814488041983362E-2</v>
      </c>
      <c r="AQ8" s="652">
        <v>1</v>
      </c>
      <c r="AR8" s="676">
        <f>$C$13</f>
        <v>1</v>
      </c>
      <c r="AS8" s="676">
        <f>$C$17</f>
        <v>0</v>
      </c>
      <c r="AT8" s="676">
        <f>AG97</f>
        <v>2.1234401736454762</v>
      </c>
      <c r="AU8" s="676">
        <f>AG100</f>
        <v>0</v>
      </c>
      <c r="AV8" s="669" t="s">
        <v>1306</v>
      </c>
      <c r="AW8" s="659">
        <f>(AT8+AT9)/2</f>
        <v>0.58202149123442537</v>
      </c>
      <c r="AX8" s="652" t="s">
        <v>981</v>
      </c>
      <c r="AY8" s="676">
        <f>(AR14+AR17*AR5)/1000</f>
        <v>3.8567954600668154E-4</v>
      </c>
      <c r="AZ8" s="676">
        <f>(AS14+AS17*$AS$5)/1000</f>
        <v>1.7782790544532739E-3</v>
      </c>
      <c r="BA8" s="676">
        <f>(AT14+AT17*$AT$5)/1000</f>
        <v>2.0766089160380175E-4</v>
      </c>
      <c r="BB8" s="676">
        <f>(AU14+AU17*$AU$5)/1000</f>
        <v>2.6800207111641873E-4</v>
      </c>
      <c r="BC8" s="676">
        <f>($AG$105-$AG$106)/2</f>
        <v>-1.4755515067562183E-5</v>
      </c>
      <c r="BD8" s="669" t="s">
        <v>982</v>
      </c>
      <c r="BF8" s="664">
        <v>30</v>
      </c>
      <c r="BG8" s="1244">
        <v>7</v>
      </c>
      <c r="BH8" s="1183">
        <v>4</v>
      </c>
      <c r="BI8" s="1183">
        <v>5</v>
      </c>
      <c r="BJ8" s="1183">
        <v>5</v>
      </c>
      <c r="BK8" s="1183">
        <v>5</v>
      </c>
      <c r="BL8" s="1166"/>
      <c r="BM8" s="1166"/>
      <c r="BN8" s="1166"/>
      <c r="BO8" s="1166"/>
      <c r="BP8" s="1166"/>
      <c r="BQ8" s="1166"/>
      <c r="BR8" s="1166"/>
      <c r="BS8" s="1181"/>
      <c r="BT8" s="1166"/>
      <c r="BU8" s="659">
        <v>30</v>
      </c>
      <c r="BV8" s="1265">
        <v>3</v>
      </c>
      <c r="BW8" s="1266">
        <v>3</v>
      </c>
      <c r="BX8" s="1266">
        <v>3</v>
      </c>
      <c r="BY8" s="1266">
        <v>3</v>
      </c>
      <c r="BZ8" s="1266">
        <v>3</v>
      </c>
      <c r="CA8" s="1166"/>
      <c r="CB8" s="1166"/>
      <c r="CC8" s="1166"/>
      <c r="CD8" s="1166"/>
      <c r="CE8" s="1166"/>
      <c r="CF8" s="1166"/>
      <c r="CG8" s="1166"/>
      <c r="CH8" s="1181"/>
      <c r="CJ8" s="652"/>
      <c r="DA8" s="650"/>
      <c r="DF8" s="659">
        <v>5</v>
      </c>
      <c r="DG8" s="659">
        <v>90</v>
      </c>
      <c r="DH8" s="668">
        <v>32</v>
      </c>
      <c r="DI8" s="668">
        <f t="shared" si="6"/>
        <v>90</v>
      </c>
      <c r="DJ8" s="652">
        <v>32</v>
      </c>
      <c r="DK8" s="659">
        <v>90</v>
      </c>
      <c r="DM8" s="50">
        <v>30</v>
      </c>
      <c r="DN8" s="1284">
        <v>4</v>
      </c>
      <c r="DO8" s="53">
        <v>3</v>
      </c>
      <c r="DP8" s="1294">
        <v>3</v>
      </c>
      <c r="DQ8" s="1294">
        <v>4</v>
      </c>
      <c r="DR8" s="52"/>
      <c r="DS8" s="53"/>
      <c r="DT8" s="52"/>
      <c r="DU8" s="52"/>
      <c r="DV8" s="52"/>
      <c r="DW8" s="1285"/>
      <c r="DY8" s="50">
        <v>30</v>
      </c>
      <c r="DZ8" s="1284">
        <v>4</v>
      </c>
      <c r="EA8" s="53">
        <v>5</v>
      </c>
      <c r="EB8" s="53">
        <v>5</v>
      </c>
      <c r="EC8" s="53">
        <v>7</v>
      </c>
      <c r="ED8" s="52"/>
      <c r="EE8" s="53"/>
      <c r="EF8" s="52"/>
      <c r="EG8" s="52"/>
      <c r="EH8" s="52"/>
      <c r="EI8" s="1285"/>
    </row>
    <row r="9" spans="1:151" outlineLevel="1">
      <c r="A9" s="653" t="s">
        <v>1952</v>
      </c>
      <c r="B9" s="1312">
        <v>1</v>
      </c>
      <c r="C9" s="1312">
        <v>1</v>
      </c>
      <c r="D9" s="1312">
        <v>1</v>
      </c>
      <c r="E9" s="1312">
        <v>1</v>
      </c>
      <c r="F9" s="1312">
        <v>1</v>
      </c>
      <c r="G9" s="1312">
        <v>1</v>
      </c>
      <c r="H9" s="1312">
        <v>1</v>
      </c>
      <c r="I9" s="1312">
        <v>1</v>
      </c>
      <c r="J9" s="1312">
        <v>1</v>
      </c>
      <c r="K9" s="1312">
        <v>1</v>
      </c>
      <c r="L9" s="1312">
        <v>1</v>
      </c>
      <c r="M9" s="1312">
        <v>1</v>
      </c>
      <c r="N9" s="865">
        <v>2</v>
      </c>
      <c r="O9" s="1066">
        <f>SUM(B9:M9)*N9</f>
        <v>24</v>
      </c>
      <c r="P9" s="865">
        <f>O9*T50/1000</f>
        <v>3</v>
      </c>
      <c r="R9" s="652" t="s">
        <v>262</v>
      </c>
      <c r="S9" s="659">
        <f>$C$46/1</f>
        <v>125</v>
      </c>
      <c r="T9" s="659">
        <f>S9/U11</f>
        <v>125</v>
      </c>
      <c r="U9" s="660">
        <f>T9/S9</f>
        <v>1</v>
      </c>
      <c r="V9" s="652" t="s">
        <v>260</v>
      </c>
      <c r="W9" s="659">
        <f>W4-W6</f>
        <v>-100</v>
      </c>
      <c r="X9" s="659">
        <f>X4-X6</f>
        <v>-100</v>
      </c>
      <c r="Y9" s="660">
        <f t="shared" si="2"/>
        <v>1</v>
      </c>
      <c r="Z9" s="652" t="s">
        <v>1308</v>
      </c>
      <c r="AA9" s="671">
        <v>1</v>
      </c>
      <c r="AB9" s="671">
        <f>AA10</f>
        <v>0.95833333333333337</v>
      </c>
      <c r="AC9" s="671">
        <f>AB10</f>
        <v>0.91666666666666674</v>
      </c>
      <c r="AD9" s="671">
        <f>AC10</f>
        <v>0.87500000000000011</v>
      </c>
      <c r="AE9" s="671">
        <f t="shared" ref="AE9:AJ9" si="12">AD10</f>
        <v>0.83333333333333348</v>
      </c>
      <c r="AF9" s="671">
        <f t="shared" si="12"/>
        <v>0.79166666666666685</v>
      </c>
      <c r="AG9" s="671">
        <f t="shared" si="12"/>
        <v>0.75000000000000022</v>
      </c>
      <c r="AH9" s="671">
        <f t="shared" si="12"/>
        <v>0.70833333333333359</v>
      </c>
      <c r="AI9" s="671">
        <f t="shared" si="12"/>
        <v>0.66666666666666696</v>
      </c>
      <c r="AJ9" s="671">
        <f t="shared" si="12"/>
        <v>0.62500000000000033</v>
      </c>
      <c r="AK9" s="671">
        <f>AJ10</f>
        <v>0.5833333333333337</v>
      </c>
      <c r="AL9" s="671">
        <f>AK10</f>
        <v>0.54166666666666707</v>
      </c>
      <c r="AM9" s="673">
        <f>AM7*$T9/1000000</f>
        <v>1.5E-3</v>
      </c>
      <c r="AN9" s="656" t="s">
        <v>623</v>
      </c>
      <c r="AO9" s="1314">
        <f t="shared" si="10"/>
        <v>1</v>
      </c>
      <c r="AP9" s="676">
        <f t="shared" si="11"/>
        <v>4.1536361866054999E-2</v>
      </c>
      <c r="AQ9" s="652">
        <v>2</v>
      </c>
      <c r="AR9" s="676">
        <f>$C$14</f>
        <v>0</v>
      </c>
      <c r="AS9" s="676">
        <f>$C$18</f>
        <v>0</v>
      </c>
      <c r="AT9" s="676">
        <f>AG98</f>
        <v>-0.95939719117662547</v>
      </c>
      <c r="AU9" s="676">
        <f>AG101</f>
        <v>0</v>
      </c>
      <c r="AV9" s="669" t="s">
        <v>1309</v>
      </c>
      <c r="AW9" s="659">
        <f>(AT8-AT9)/2</f>
        <v>1.541418682411051</v>
      </c>
      <c r="AX9" s="652" t="s">
        <v>983</v>
      </c>
      <c r="AY9" s="676">
        <f>(AR15+AR18*AR5)/1000</f>
        <v>-3.0828373648221019E-3</v>
      </c>
      <c r="AZ9" s="676">
        <f>(AS15+AS18*$AS$5)/1000</f>
        <v>-1.9834208392404649E-3</v>
      </c>
      <c r="BA9" s="676">
        <f>(AT15+AT18*$AT$5)/1000</f>
        <v>3.0162067935642837E-3</v>
      </c>
      <c r="BB9" s="676">
        <f>(AU15+AU18*$AU$5)/1000</f>
        <v>-3.0436251528270599E-3</v>
      </c>
      <c r="BC9" s="676">
        <f>$AG$107/2</f>
        <v>2.1547284048517696E-6</v>
      </c>
      <c r="BD9" s="652" t="s">
        <v>984</v>
      </c>
      <c r="BF9" s="664">
        <v>37.5</v>
      </c>
      <c r="BG9" s="1244">
        <v>7</v>
      </c>
      <c r="BH9" s="1252">
        <v>6</v>
      </c>
      <c r="BI9" s="1183">
        <v>5</v>
      </c>
      <c r="BJ9" s="1183">
        <v>5</v>
      </c>
      <c r="BK9" s="1183">
        <v>5</v>
      </c>
      <c r="BL9" s="1183">
        <v>4</v>
      </c>
      <c r="BM9" s="1166"/>
      <c r="BN9" s="1166"/>
      <c r="BO9" s="1166"/>
      <c r="BP9" s="1166"/>
      <c r="BQ9" s="1166"/>
      <c r="BR9" s="1166"/>
      <c r="BS9" s="1181"/>
      <c r="BT9" s="1166"/>
      <c r="BU9" s="659">
        <v>37.5</v>
      </c>
      <c r="BV9" s="1265">
        <v>3</v>
      </c>
      <c r="BW9" s="1266">
        <v>3</v>
      </c>
      <c r="BX9" s="1266">
        <v>3</v>
      </c>
      <c r="BY9" s="1266">
        <v>3</v>
      </c>
      <c r="BZ9" s="1266">
        <v>3</v>
      </c>
      <c r="CA9" s="1266">
        <v>3</v>
      </c>
      <c r="CB9" s="1166"/>
      <c r="CC9" s="1166"/>
      <c r="CD9" s="1166"/>
      <c r="CE9" s="1166"/>
      <c r="CF9" s="1166"/>
      <c r="CG9" s="1166"/>
      <c r="CH9" s="1181"/>
      <c r="CJ9" s="652"/>
      <c r="DA9" s="650"/>
      <c r="DF9" s="659">
        <v>6</v>
      </c>
      <c r="DG9" s="659">
        <v>38</v>
      </c>
      <c r="DH9" s="668">
        <v>0</v>
      </c>
      <c r="DI9" s="668">
        <f t="shared" si="6"/>
        <v>38</v>
      </c>
      <c r="DJ9" s="652">
        <v>0</v>
      </c>
      <c r="DK9" s="659">
        <v>38</v>
      </c>
      <c r="DM9" s="50">
        <v>40</v>
      </c>
      <c r="DN9" s="1284">
        <v>4</v>
      </c>
      <c r="DO9" s="53">
        <v>4</v>
      </c>
      <c r="DP9" s="1294">
        <v>3</v>
      </c>
      <c r="DQ9" s="1294">
        <v>4</v>
      </c>
      <c r="DR9" s="1295">
        <v>3</v>
      </c>
      <c r="DS9" s="53"/>
      <c r="DT9" s="52"/>
      <c r="DU9" s="52"/>
      <c r="DV9" s="52"/>
      <c r="DW9" s="1285"/>
      <c r="DY9" s="50">
        <v>40</v>
      </c>
      <c r="DZ9" s="1284">
        <v>4</v>
      </c>
      <c r="EA9" s="53">
        <v>5</v>
      </c>
      <c r="EB9" s="53">
        <v>5</v>
      </c>
      <c r="EC9" s="53">
        <v>7</v>
      </c>
      <c r="ED9" s="1126">
        <v>6</v>
      </c>
      <c r="EE9" s="53"/>
      <c r="EF9" s="52"/>
      <c r="EG9" s="52"/>
      <c r="EH9" s="52"/>
      <c r="EI9" s="1285"/>
    </row>
    <row r="10" spans="1:151" ht="15.9" customHeight="1" outlineLevel="1">
      <c r="C10" s="652"/>
      <c r="D10" s="652"/>
      <c r="F10" s="711"/>
      <c r="G10" s="711"/>
      <c r="K10" s="652"/>
      <c r="M10" s="650" t="s">
        <v>2141</v>
      </c>
      <c r="N10" s="1067" t="s">
        <v>985</v>
      </c>
      <c r="O10" s="653" t="s">
        <v>1975</v>
      </c>
      <c r="P10" s="1009" t="s">
        <v>986</v>
      </c>
      <c r="R10" s="653" t="s">
        <v>264</v>
      </c>
      <c r="S10" s="654"/>
      <c r="T10" s="654"/>
      <c r="V10" s="652"/>
      <c r="W10" s="654"/>
      <c r="X10" s="654"/>
      <c r="Y10" s="654"/>
      <c r="Z10" s="652" t="s">
        <v>1311</v>
      </c>
      <c r="AA10" s="671">
        <f t="shared" ref="AA10:AL10" si="13">AA9-AA5/$AN7</f>
        <v>0.95833333333333337</v>
      </c>
      <c r="AB10" s="671">
        <f t="shared" si="13"/>
        <v>0.91666666666666674</v>
      </c>
      <c r="AC10" s="671">
        <f t="shared" si="13"/>
        <v>0.87500000000000011</v>
      </c>
      <c r="AD10" s="671">
        <f t="shared" si="13"/>
        <v>0.83333333333333348</v>
      </c>
      <c r="AE10" s="671">
        <f t="shared" si="13"/>
        <v>0.79166666666666685</v>
      </c>
      <c r="AF10" s="671">
        <f t="shared" si="13"/>
        <v>0.75000000000000022</v>
      </c>
      <c r="AG10" s="671">
        <f t="shared" si="13"/>
        <v>0.70833333333333359</v>
      </c>
      <c r="AH10" s="671">
        <f t="shared" si="13"/>
        <v>0.66666666666666696</v>
      </c>
      <c r="AI10" s="671">
        <f t="shared" si="13"/>
        <v>0.62500000000000033</v>
      </c>
      <c r="AJ10" s="671">
        <f t="shared" si="13"/>
        <v>0.5833333333333337</v>
      </c>
      <c r="AK10" s="671">
        <f t="shared" si="13"/>
        <v>0.54166666666666707</v>
      </c>
      <c r="AL10" s="671">
        <f t="shared" si="13"/>
        <v>0.50000000000000044</v>
      </c>
      <c r="AM10" s="655"/>
      <c r="AN10" s="676">
        <f>AM12^2/8</f>
        <v>4.5000000000000001E-6</v>
      </c>
      <c r="AO10" s="1314">
        <f t="shared" si="10"/>
        <v>1</v>
      </c>
      <c r="AP10" s="676">
        <f t="shared" si="11"/>
        <v>4.7969379792906455E-2</v>
      </c>
      <c r="AQ10" s="652">
        <v>6</v>
      </c>
      <c r="AR10" s="676">
        <f>$C$15</f>
        <v>0</v>
      </c>
      <c r="AS10" s="676">
        <f>$C$19</f>
        <v>0</v>
      </c>
      <c r="AT10" s="676">
        <f>AG99</f>
        <v>0.39268389045548757</v>
      </c>
      <c r="AU10" s="676">
        <f>AG102</f>
        <v>0</v>
      </c>
      <c r="AV10" s="669" t="s">
        <v>1312</v>
      </c>
      <c r="AW10" s="659">
        <f>AT10/2</f>
        <v>0.19634194522774379</v>
      </c>
      <c r="AX10" s="653"/>
      <c r="AY10" s="669"/>
      <c r="AZ10" s="669"/>
      <c r="BA10" s="669"/>
      <c r="BB10" s="669"/>
      <c r="BC10" s="676">
        <f>($AG$108+$AG$109)/2</f>
        <v>0</v>
      </c>
      <c r="BD10" s="652" t="s">
        <v>988</v>
      </c>
      <c r="BF10" s="664">
        <v>45</v>
      </c>
      <c r="BG10" s="1244">
        <v>8</v>
      </c>
      <c r="BH10" s="1252">
        <v>7</v>
      </c>
      <c r="BI10" s="1252">
        <v>7</v>
      </c>
      <c r="BJ10" s="1183">
        <v>5</v>
      </c>
      <c r="BK10" s="1183">
        <v>5</v>
      </c>
      <c r="BL10" s="1183">
        <v>4</v>
      </c>
      <c r="BM10" s="1183">
        <v>4</v>
      </c>
      <c r="BN10" s="1166"/>
      <c r="BO10" s="1166"/>
      <c r="BP10" s="1166"/>
      <c r="BQ10" s="1166"/>
      <c r="BR10" s="1166"/>
      <c r="BS10" s="1181"/>
      <c r="BT10" s="1166"/>
      <c r="BU10" s="659">
        <v>45</v>
      </c>
      <c r="BV10" s="1265">
        <v>4</v>
      </c>
      <c r="BW10" s="1266">
        <v>4</v>
      </c>
      <c r="BX10" s="1266">
        <v>4</v>
      </c>
      <c r="BY10" s="1266">
        <v>3</v>
      </c>
      <c r="BZ10" s="1266">
        <v>3</v>
      </c>
      <c r="CA10" s="1266">
        <v>3</v>
      </c>
      <c r="CB10" s="1266">
        <v>3</v>
      </c>
      <c r="CC10" s="1166"/>
      <c r="CD10" s="1166"/>
      <c r="CE10" s="1166"/>
      <c r="CF10" s="1166"/>
      <c r="CG10" s="1166"/>
      <c r="CH10" s="1181"/>
      <c r="CJ10" s="652"/>
      <c r="DA10" s="650"/>
      <c r="DF10" s="659">
        <v>7</v>
      </c>
      <c r="DG10" s="659">
        <v>59</v>
      </c>
      <c r="DH10" s="668">
        <v>0</v>
      </c>
      <c r="DI10" s="668">
        <f t="shared" si="6"/>
        <v>59</v>
      </c>
      <c r="DJ10" s="652">
        <v>0</v>
      </c>
      <c r="DK10" s="659">
        <v>59</v>
      </c>
      <c r="DM10" s="50">
        <v>50</v>
      </c>
      <c r="DN10" s="1284">
        <v>5</v>
      </c>
      <c r="DO10" s="53">
        <v>5</v>
      </c>
      <c r="DP10" s="1294">
        <v>3</v>
      </c>
      <c r="DQ10" s="1294">
        <v>3</v>
      </c>
      <c r="DR10" s="1295">
        <v>3</v>
      </c>
      <c r="DS10" s="1294">
        <v>3</v>
      </c>
      <c r="DT10" s="52"/>
      <c r="DU10" s="52"/>
      <c r="DV10" s="52"/>
      <c r="DW10" s="1285"/>
      <c r="DY10" s="50">
        <v>50</v>
      </c>
      <c r="DZ10" s="1284">
        <v>5</v>
      </c>
      <c r="EA10" s="53">
        <v>4</v>
      </c>
      <c r="EB10" s="53">
        <v>6</v>
      </c>
      <c r="EC10" s="53">
        <v>6</v>
      </c>
      <c r="ED10" s="1126">
        <v>6</v>
      </c>
      <c r="EE10" s="53">
        <v>6</v>
      </c>
      <c r="EF10" s="52"/>
      <c r="EG10" s="52"/>
      <c r="EH10" s="52"/>
      <c r="EI10" s="1285"/>
      <c r="EK10" s="1332" t="s">
        <v>2134</v>
      </c>
      <c r="EL10" s="1330"/>
      <c r="EM10" s="1331"/>
      <c r="EN10" s="1333"/>
      <c r="EO10" s="1333"/>
      <c r="EP10" s="1331"/>
      <c r="EQ10" s="1126"/>
      <c r="ER10" s="1126"/>
      <c r="ES10" s="1126"/>
      <c r="ET10" s="1126"/>
      <c r="EU10" s="1126"/>
    </row>
    <row r="11" spans="1:151" ht="15.9" customHeight="1" outlineLevel="1">
      <c r="C11" s="1069"/>
      <c r="D11" s="1069"/>
      <c r="E11" s="650" t="s">
        <v>2158</v>
      </c>
      <c r="G11" s="650" t="s">
        <v>2159</v>
      </c>
      <c r="I11" s="650" t="s">
        <v>2158</v>
      </c>
      <c r="K11" s="650" t="s">
        <v>2159</v>
      </c>
      <c r="M11" s="664">
        <f>D31</f>
        <v>90</v>
      </c>
      <c r="N11" s="1313">
        <v>0</v>
      </c>
      <c r="O11" s="682">
        <f>O6+O9</f>
        <v>48</v>
      </c>
      <c r="P11" s="660">
        <f>P6+P9+N11</f>
        <v>6</v>
      </c>
      <c r="R11" s="652" t="s">
        <v>1532</v>
      </c>
      <c r="S11" s="654">
        <f>$D$46</f>
        <v>0.64</v>
      </c>
      <c r="T11" s="654">
        <f>$E$34</f>
        <v>0.64</v>
      </c>
      <c r="U11" s="660">
        <f t="shared" ref="U11:U19" si="14">T11/S11</f>
        <v>1</v>
      </c>
      <c r="V11" s="653" t="s">
        <v>1531</v>
      </c>
      <c r="W11" s="654"/>
      <c r="X11" s="654"/>
      <c r="Y11" s="654"/>
      <c r="Z11" s="652" t="s">
        <v>1321</v>
      </c>
      <c r="AA11" s="671">
        <f t="shared" ref="AA11:AJ11" si="15">AA9-AA10</f>
        <v>4.166666666666663E-2</v>
      </c>
      <c r="AB11" s="671">
        <f t="shared" si="15"/>
        <v>4.166666666666663E-2</v>
      </c>
      <c r="AC11" s="671">
        <f t="shared" si="15"/>
        <v>4.166666666666663E-2</v>
      </c>
      <c r="AD11" s="671">
        <f t="shared" si="15"/>
        <v>4.166666666666663E-2</v>
      </c>
      <c r="AE11" s="671">
        <f t="shared" si="15"/>
        <v>4.166666666666663E-2</v>
      </c>
      <c r="AF11" s="671">
        <f t="shared" si="15"/>
        <v>4.166666666666663E-2</v>
      </c>
      <c r="AG11" s="671">
        <f t="shared" si="15"/>
        <v>4.166666666666663E-2</v>
      </c>
      <c r="AH11" s="671">
        <f t="shared" si="15"/>
        <v>4.166666666666663E-2</v>
      </c>
      <c r="AI11" s="671">
        <f t="shared" si="15"/>
        <v>4.166666666666663E-2</v>
      </c>
      <c r="AJ11" s="671">
        <f t="shared" si="15"/>
        <v>4.166666666666663E-2</v>
      </c>
      <c r="AK11" s="671">
        <f>AK9-AK10</f>
        <v>4.166666666666663E-2</v>
      </c>
      <c r="AL11" s="671">
        <f>AL9-AL10</f>
        <v>4.166666666666663E-2</v>
      </c>
      <c r="AM11" s="656" t="s">
        <v>603</v>
      </c>
      <c r="AN11" s="656" t="s">
        <v>422</v>
      </c>
      <c r="AO11" s="1314">
        <f t="shared" si="10"/>
        <v>1</v>
      </c>
      <c r="AP11" s="676">
        <f t="shared" si="11"/>
        <v>-7.8975253345250629E-3</v>
      </c>
      <c r="AQ11" s="650"/>
      <c r="AR11" s="676"/>
      <c r="AS11" s="676"/>
      <c r="AT11" s="676"/>
      <c r="AU11" s="676"/>
      <c r="AV11" s="669" t="s">
        <v>423</v>
      </c>
      <c r="AW11" s="659">
        <f>(AU8+AU9)/2</f>
        <v>0</v>
      </c>
      <c r="AX11" s="652" t="s">
        <v>989</v>
      </c>
      <c r="AY11" s="676">
        <f>$X35*AY7^2+2*$X37*AY7*AY8+$X36*AY8^2+$X38*AY9^2</f>
        <v>0.10845557518267133</v>
      </c>
      <c r="AZ11" s="676">
        <f>$X$35*AZ7^2+2*$X$37*AZ7*AZ8+$X$36*AZ8^2+$X$38*AZ9^2</f>
        <v>9.4939218020396121E-2</v>
      </c>
      <c r="BA11" s="676">
        <f>$X$35*BA7^2+2*$X$37*BA7*BA8+$X$36*BA8^2+$X$38*BA9^2</f>
        <v>0.10390890320248966</v>
      </c>
      <c r="BB11" s="676">
        <f>$X$35*BB7^2+2*$X$37*BB7*BB8+$X$36*BB8^2+$X$38*BB9^2</f>
        <v>0.10560939166431467</v>
      </c>
      <c r="BC11" s="676">
        <f>($AG$108-$AG$109)/2</f>
        <v>0</v>
      </c>
      <c r="BD11" s="652" t="s">
        <v>990</v>
      </c>
      <c r="BF11" s="664">
        <v>52.5</v>
      </c>
      <c r="BG11" s="1244">
        <v>9</v>
      </c>
      <c r="BH11" s="1252">
        <v>9</v>
      </c>
      <c r="BI11" s="1252">
        <v>8</v>
      </c>
      <c r="BJ11" s="1252">
        <v>6</v>
      </c>
      <c r="BK11" s="1183">
        <v>5</v>
      </c>
      <c r="BL11" s="1183">
        <v>4</v>
      </c>
      <c r="BM11" s="1183">
        <v>5</v>
      </c>
      <c r="BN11" s="1183">
        <v>5</v>
      </c>
      <c r="BO11" s="1166"/>
      <c r="BP11" s="1166"/>
      <c r="BQ11" s="1166"/>
      <c r="BR11" s="1166"/>
      <c r="BS11" s="1181"/>
      <c r="BT11" s="1166"/>
      <c r="BU11" s="659">
        <v>52.5</v>
      </c>
      <c r="BV11" s="1184">
        <v>5</v>
      </c>
      <c r="BW11" s="1183">
        <v>5</v>
      </c>
      <c r="BX11" s="1266">
        <v>4</v>
      </c>
      <c r="BY11" s="1266">
        <v>3</v>
      </c>
      <c r="BZ11" s="1266">
        <v>3</v>
      </c>
      <c r="CA11" s="1266">
        <v>3</v>
      </c>
      <c r="CB11" s="1266">
        <v>3</v>
      </c>
      <c r="CC11" s="1266">
        <v>4</v>
      </c>
      <c r="CD11" s="1166"/>
      <c r="CE11" s="1166"/>
      <c r="CF11" s="1166"/>
      <c r="CG11" s="1166"/>
      <c r="CH11" s="1181"/>
      <c r="CJ11" s="652"/>
      <c r="DA11" s="650"/>
      <c r="DD11" s="650" t="s">
        <v>2081</v>
      </c>
      <c r="DF11" s="659">
        <v>8</v>
      </c>
      <c r="DG11" s="659">
        <v>75</v>
      </c>
      <c r="DH11" s="668">
        <v>15</v>
      </c>
      <c r="DI11" s="668">
        <f t="shared" si="6"/>
        <v>75</v>
      </c>
      <c r="DJ11" s="652">
        <v>15</v>
      </c>
      <c r="DK11" s="659">
        <v>75</v>
      </c>
      <c r="DM11" s="50">
        <v>60</v>
      </c>
      <c r="DN11" s="1284">
        <v>5</v>
      </c>
      <c r="DO11" s="53">
        <v>5</v>
      </c>
      <c r="DP11" s="1294">
        <v>4</v>
      </c>
      <c r="DQ11" s="1294">
        <v>3</v>
      </c>
      <c r="DR11" s="1295">
        <v>3</v>
      </c>
      <c r="DS11" s="1294">
        <v>3</v>
      </c>
      <c r="DT11" s="1295">
        <v>4</v>
      </c>
      <c r="DU11" s="52"/>
      <c r="DV11" s="52"/>
      <c r="DW11" s="1285"/>
      <c r="DY11" s="50">
        <v>60</v>
      </c>
      <c r="DZ11" s="1284">
        <v>5</v>
      </c>
      <c r="EA11" s="53">
        <v>5</v>
      </c>
      <c r="EB11" s="53">
        <v>4</v>
      </c>
      <c r="EC11" s="53">
        <v>5</v>
      </c>
      <c r="ED11" s="1126">
        <v>6</v>
      </c>
      <c r="EE11" s="53">
        <v>7</v>
      </c>
      <c r="EF11" s="1126">
        <v>7</v>
      </c>
      <c r="EG11" s="52"/>
      <c r="EH11" s="52"/>
      <c r="EI11" s="1285"/>
      <c r="EK11" s="50">
        <v>0</v>
      </c>
      <c r="EL11" s="1279">
        <v>1</v>
      </c>
      <c r="EM11" s="1280"/>
      <c r="EN11" s="1280"/>
      <c r="EO11" s="1280"/>
      <c r="EP11" s="1281"/>
      <c r="EQ11" s="1280"/>
      <c r="ER11" s="1282"/>
      <c r="ES11" s="1282"/>
      <c r="ET11" s="1282"/>
      <c r="EU11" s="1283"/>
    </row>
    <row r="12" spans="1:151" outlineLevel="1">
      <c r="B12" s="653" t="s">
        <v>607</v>
      </c>
      <c r="D12" s="653" t="s">
        <v>569</v>
      </c>
      <c r="E12" s="653" t="s">
        <v>2091</v>
      </c>
      <c r="F12" s="653" t="s">
        <v>2154</v>
      </c>
      <c r="G12" s="653" t="s">
        <v>2091</v>
      </c>
      <c r="H12" s="653" t="s">
        <v>905</v>
      </c>
      <c r="I12" s="653" t="s">
        <v>906</v>
      </c>
      <c r="J12" s="653" t="s">
        <v>2153</v>
      </c>
      <c r="K12" s="653" t="s">
        <v>906</v>
      </c>
      <c r="L12" s="653"/>
      <c r="M12" s="652"/>
      <c r="N12" s="715"/>
      <c r="O12" s="659" t="s">
        <v>987</v>
      </c>
      <c r="P12" s="1068">
        <v>0</v>
      </c>
      <c r="R12" s="652" t="s">
        <v>1534</v>
      </c>
      <c r="S12" s="659">
        <f>S5/S11</f>
        <v>298.4375</v>
      </c>
      <c r="T12" s="659">
        <f>$G$34*X8^$G$47</f>
        <v>298.4375</v>
      </c>
      <c r="U12" s="660">
        <f t="shared" si="14"/>
        <v>1</v>
      </c>
      <c r="V12" s="652" t="s">
        <v>265</v>
      </c>
      <c r="W12" s="654">
        <f>$B$47</f>
        <v>0.02</v>
      </c>
      <c r="X12" s="654">
        <f>W12</f>
        <v>0.02</v>
      </c>
      <c r="Y12" s="654">
        <f>X12/W12</f>
        <v>1</v>
      </c>
      <c r="Z12" s="652" t="s">
        <v>425</v>
      </c>
      <c r="AA12" s="671">
        <f t="shared" ref="AA12:AJ12" si="16">AA9^2-AA10^2</f>
        <v>8.1597222222222099E-2</v>
      </c>
      <c r="AB12" s="671">
        <f t="shared" si="16"/>
        <v>7.8125E-2</v>
      </c>
      <c r="AC12" s="671">
        <f t="shared" si="16"/>
        <v>7.4652777777777679E-2</v>
      </c>
      <c r="AD12" s="671">
        <f t="shared" si="16"/>
        <v>7.118055555555558E-2</v>
      </c>
      <c r="AE12" s="671">
        <f t="shared" si="16"/>
        <v>6.7708333333333259E-2</v>
      </c>
      <c r="AF12" s="671">
        <f t="shared" si="16"/>
        <v>6.4236111111111049E-2</v>
      </c>
      <c r="AG12" s="671">
        <f t="shared" si="16"/>
        <v>6.076388888888884E-2</v>
      </c>
      <c r="AH12" s="671">
        <f t="shared" si="16"/>
        <v>5.729166666666663E-2</v>
      </c>
      <c r="AI12" s="671">
        <f t="shared" si="16"/>
        <v>5.381944444444442E-2</v>
      </c>
      <c r="AJ12" s="671">
        <f t="shared" si="16"/>
        <v>5.034722222222221E-2</v>
      </c>
      <c r="AK12" s="671">
        <f>AK9^2-AK10^2</f>
        <v>4.6875E-2</v>
      </c>
      <c r="AL12" s="671">
        <f>AL9^2-AL10^2</f>
        <v>4.340277777777779E-2</v>
      </c>
      <c r="AM12" s="676">
        <f>T9*AN7*2/1000000</f>
        <v>6.0000000000000001E-3</v>
      </c>
      <c r="AN12" s="676">
        <f>AM12^3/12</f>
        <v>1.7999999999999999E-8</v>
      </c>
      <c r="AO12" s="1314">
        <f t="shared" si="10"/>
        <v>1</v>
      </c>
      <c r="AP12" s="676">
        <f t="shared" si="11"/>
        <v>2.1543528906594429E-3</v>
      </c>
      <c r="AQ12" s="653" t="s">
        <v>1323</v>
      </c>
      <c r="AR12" s="676"/>
      <c r="AS12" s="676"/>
      <c r="AT12" s="676"/>
      <c r="AU12" s="676"/>
      <c r="AV12" s="669" t="s">
        <v>426</v>
      </c>
      <c r="AW12" s="659">
        <f>(AU8-AU9)/2</f>
        <v>0</v>
      </c>
      <c r="AX12" s="652" t="s">
        <v>907</v>
      </c>
      <c r="AY12" s="676">
        <f>$X39*AY7+$X40*AY8</f>
        <v>-8.897247842661226E-3</v>
      </c>
      <c r="AZ12" s="676">
        <f>$X$39*AZ7+$X$40*AZ8</f>
        <v>0.12814894405008595</v>
      </c>
      <c r="BA12" s="676">
        <f>$X$39*BA7+$X$40*BA8</f>
        <v>-2.6416124248843254E-2</v>
      </c>
      <c r="BB12" s="676">
        <f>$X$39*BB7+$X$40*BB8</f>
        <v>-2.0477928223091926E-2</v>
      </c>
      <c r="BC12" s="676">
        <f>$AG$110/2</f>
        <v>0</v>
      </c>
      <c r="BD12" s="665" t="s">
        <v>984</v>
      </c>
      <c r="BF12" s="664">
        <v>60</v>
      </c>
      <c r="BG12" s="1244">
        <v>10</v>
      </c>
      <c r="BH12" s="1252">
        <v>9</v>
      </c>
      <c r="BI12" s="1252">
        <v>8</v>
      </c>
      <c r="BJ12" s="1252">
        <v>7</v>
      </c>
      <c r="BK12" s="1252">
        <v>5</v>
      </c>
      <c r="BL12" s="1183">
        <v>5</v>
      </c>
      <c r="BM12" s="1183">
        <v>5</v>
      </c>
      <c r="BN12" s="1183">
        <v>5</v>
      </c>
      <c r="BO12" s="1183">
        <v>5</v>
      </c>
      <c r="BP12" s="1166"/>
      <c r="BQ12" s="1166"/>
      <c r="BR12" s="1166"/>
      <c r="BS12" s="1181"/>
      <c r="BT12" s="1166"/>
      <c r="BU12" s="659">
        <v>60</v>
      </c>
      <c r="BV12" s="1184">
        <v>5</v>
      </c>
      <c r="BW12" s="1183">
        <v>5</v>
      </c>
      <c r="BX12" s="1266">
        <v>4</v>
      </c>
      <c r="BY12" s="1266">
        <v>4</v>
      </c>
      <c r="BZ12" s="1266">
        <v>3</v>
      </c>
      <c r="CA12" s="1266">
        <v>3</v>
      </c>
      <c r="CB12" s="1266">
        <v>3</v>
      </c>
      <c r="CC12" s="1266">
        <v>4</v>
      </c>
      <c r="CD12" s="1266">
        <v>4</v>
      </c>
      <c r="CE12" s="1183"/>
      <c r="CF12" s="1166"/>
      <c r="CG12" s="1166"/>
      <c r="CH12" s="1181"/>
      <c r="CJ12" s="652"/>
      <c r="DA12" s="650"/>
      <c r="DF12" s="659">
        <v>9</v>
      </c>
      <c r="DG12" s="659">
        <v>90</v>
      </c>
      <c r="DH12" s="668">
        <v>27</v>
      </c>
      <c r="DI12" s="668">
        <f t="shared" si="6"/>
        <v>90</v>
      </c>
      <c r="DJ12" s="652">
        <v>27</v>
      </c>
      <c r="DK12" s="659">
        <v>90</v>
      </c>
      <c r="DM12" s="50">
        <v>70</v>
      </c>
      <c r="DN12" s="1284">
        <v>5</v>
      </c>
      <c r="DO12" s="53">
        <v>5</v>
      </c>
      <c r="DP12" s="1294">
        <v>4</v>
      </c>
      <c r="DQ12" s="1294">
        <v>3</v>
      </c>
      <c r="DR12" s="1295">
        <v>4</v>
      </c>
      <c r="DS12" s="1294">
        <v>3</v>
      </c>
      <c r="DT12" s="1295">
        <v>4</v>
      </c>
      <c r="DU12" s="1295">
        <v>3</v>
      </c>
      <c r="DV12" s="1126"/>
      <c r="DW12" s="1286"/>
      <c r="DY12" s="50">
        <v>70</v>
      </c>
      <c r="DZ12" s="1284">
        <v>5</v>
      </c>
      <c r="EA12" s="53">
        <v>5</v>
      </c>
      <c r="EB12" s="53">
        <v>4</v>
      </c>
      <c r="EC12" s="53">
        <v>4</v>
      </c>
      <c r="ED12" s="1126">
        <v>5</v>
      </c>
      <c r="EE12" s="53">
        <v>6</v>
      </c>
      <c r="EF12" s="1126">
        <v>7</v>
      </c>
      <c r="EG12" s="1126">
        <v>6</v>
      </c>
      <c r="EH12" s="1126"/>
      <c r="EI12" s="1286"/>
      <c r="EK12" s="50">
        <v>10</v>
      </c>
      <c r="EL12" s="1284">
        <v>1</v>
      </c>
      <c r="EM12" s="53">
        <v>2</v>
      </c>
      <c r="EN12" s="53"/>
      <c r="EO12" s="53"/>
      <c r="EP12" s="52"/>
      <c r="EQ12" s="53"/>
      <c r="ER12" s="52"/>
      <c r="ES12" s="52"/>
      <c r="ET12" s="52"/>
      <c r="EU12" s="1285"/>
    </row>
    <row r="13" spans="1:151">
      <c r="B13" s="652">
        <v>1</v>
      </c>
      <c r="C13" s="1070">
        <v>1</v>
      </c>
      <c r="D13" s="659">
        <f>C13/(P$6+P$9+N$11)*1000</f>
        <v>166.66666666666666</v>
      </c>
      <c r="E13" s="659">
        <f>D13*$H$29</f>
        <v>460.97678832610177</v>
      </c>
      <c r="F13" s="659">
        <f>D13*$J$29</f>
        <v>975.07698791290454</v>
      </c>
      <c r="G13" s="659">
        <f>D13*$H$28</f>
        <v>439.99957998697647</v>
      </c>
      <c r="H13" s="659">
        <f>AT8</f>
        <v>2.1234401736454762</v>
      </c>
      <c r="I13" s="1071">
        <f>H13*$H$29</f>
        <v>5.8731397886982686</v>
      </c>
      <c r="J13" s="666">
        <f>H13*$J$29</f>
        <v>12.423105891188916</v>
      </c>
      <c r="K13" s="666">
        <f>H13*$H$28</f>
        <v>5.6058767071888917</v>
      </c>
      <c r="L13" s="652"/>
      <c r="M13" s="652"/>
      <c r="O13" s="653" t="s">
        <v>1575</v>
      </c>
      <c r="P13" s="853">
        <v>1</v>
      </c>
      <c r="R13" s="652" t="s">
        <v>1536</v>
      </c>
      <c r="S13" s="654">
        <f>$G$44</f>
        <v>3.4</v>
      </c>
      <c r="T13" s="654">
        <f>$F$34*X8^$G$46</f>
        <v>3.4</v>
      </c>
      <c r="U13" s="660">
        <f t="shared" si="14"/>
        <v>1</v>
      </c>
      <c r="V13" s="652" t="s">
        <v>1533</v>
      </c>
      <c r="W13" s="654">
        <f>$C$47</f>
        <v>22.5</v>
      </c>
      <c r="X13" s="654">
        <f>W13*(1-T11)/(1-S11)</f>
        <v>22.5</v>
      </c>
      <c r="Y13" s="654">
        <f>X13/W13</f>
        <v>1</v>
      </c>
      <c r="Z13" s="652" t="s">
        <v>428</v>
      </c>
      <c r="AA13" s="671">
        <f t="shared" ref="AA13:AJ13" si="17">AA9^3-AA10^3</f>
        <v>0.11986400462962943</v>
      </c>
      <c r="AB13" s="671">
        <f t="shared" si="17"/>
        <v>0.10988136574074081</v>
      </c>
      <c r="AC13" s="671">
        <f t="shared" si="17"/>
        <v>0.10033275462962943</v>
      </c>
      <c r="AD13" s="671">
        <f t="shared" si="17"/>
        <v>9.1218171296296391E-2</v>
      </c>
      <c r="AE13" s="671">
        <f t="shared" si="17"/>
        <v>8.2537615740740644E-2</v>
      </c>
      <c r="AF13" s="671">
        <f t="shared" si="17"/>
        <v>7.429108796296291E-2</v>
      </c>
      <c r="AG13" s="671">
        <f t="shared" si="17"/>
        <v>6.6478587962962965E-2</v>
      </c>
      <c r="AH13" s="671">
        <f t="shared" si="17"/>
        <v>5.91001157407407E-2</v>
      </c>
      <c r="AI13" s="671">
        <f t="shared" si="17"/>
        <v>5.2155671296296308E-2</v>
      </c>
      <c r="AJ13" s="671">
        <f t="shared" si="17"/>
        <v>4.564525462962965E-2</v>
      </c>
      <c r="AK13" s="671">
        <f>AK9^3-AK10^3</f>
        <v>3.9568865740740783E-2</v>
      </c>
      <c r="AL13" s="671">
        <f>AL9^3-AL10^3</f>
        <v>3.392650462962965E-2</v>
      </c>
      <c r="AQ13" s="652" t="s">
        <v>1324</v>
      </c>
      <c r="AR13" s="676">
        <f>$AW8+$AW9*COS(AR4)+$AW10*SIN(AR4)</f>
        <v>0.77836343646216921</v>
      </c>
      <c r="AS13" s="676">
        <f>$AW$8+$AW$9*COS(AS4)+$AW$10*SIN(AS4)</f>
        <v>-0.61423607198442309</v>
      </c>
      <c r="AT13" s="676">
        <f>$AW$8+$AW$9*COS(AT4)+$AW$10*SIN(AT4)</f>
        <v>0.95638209086504899</v>
      </c>
      <c r="AU13" s="676">
        <f>$AW$8+$AW$9*COS(AU4)+$AW$10*SIN(AU4)</f>
        <v>0.89604091135243202</v>
      </c>
      <c r="AV13" s="669" t="s">
        <v>429</v>
      </c>
      <c r="AW13" s="659">
        <f>AU10/2</f>
        <v>0</v>
      </c>
      <c r="AX13" s="652" t="s">
        <v>908</v>
      </c>
      <c r="AY13" s="676">
        <f>AY12/2/AY11</f>
        <v>-4.1017936734352396E-2</v>
      </c>
      <c r="AZ13" s="676">
        <f>AZ12/2/AZ11</f>
        <v>0.67489993451681507</v>
      </c>
      <c r="BA13" s="676">
        <f>BA12/2/BA11</f>
        <v>-0.12711193860532599</v>
      </c>
      <c r="BB13" s="676">
        <f>BB12/2/BB11</f>
        <v>-9.6951264941389684E-2</v>
      </c>
      <c r="BC13" s="677" t="s">
        <v>1156</v>
      </c>
      <c r="BD13" s="654"/>
      <c r="BF13" s="664">
        <v>67.5</v>
      </c>
      <c r="BG13" s="1244">
        <v>10</v>
      </c>
      <c r="BH13" s="1252">
        <v>10</v>
      </c>
      <c r="BI13" s="1252">
        <v>8</v>
      </c>
      <c r="BJ13" s="1252">
        <v>8</v>
      </c>
      <c r="BK13" s="1252">
        <v>6</v>
      </c>
      <c r="BL13" s="1252">
        <v>6</v>
      </c>
      <c r="BM13" s="1183">
        <v>5</v>
      </c>
      <c r="BN13" s="1183">
        <v>5</v>
      </c>
      <c r="BO13" s="1183">
        <v>5</v>
      </c>
      <c r="BP13" s="1183">
        <v>5</v>
      </c>
      <c r="BQ13" s="1166"/>
      <c r="BR13" s="1166"/>
      <c r="BS13" s="1181"/>
      <c r="BT13" s="1166"/>
      <c r="BU13" s="659">
        <v>67.5</v>
      </c>
      <c r="BV13" s="1184">
        <v>6</v>
      </c>
      <c r="BW13" s="1183">
        <v>5</v>
      </c>
      <c r="BX13" s="1266">
        <v>4</v>
      </c>
      <c r="BY13" s="1266">
        <v>4</v>
      </c>
      <c r="BZ13" s="1266">
        <v>4</v>
      </c>
      <c r="CA13" s="1266">
        <v>3</v>
      </c>
      <c r="CB13" s="1266">
        <v>3</v>
      </c>
      <c r="CC13" s="1266">
        <v>4</v>
      </c>
      <c r="CD13" s="1266">
        <v>4</v>
      </c>
      <c r="CE13" s="1266">
        <v>3</v>
      </c>
      <c r="CF13" s="1166"/>
      <c r="CG13" s="1166"/>
      <c r="CH13" s="1181"/>
      <c r="CJ13" s="652"/>
      <c r="DA13" s="650"/>
      <c r="DF13" s="659">
        <v>10</v>
      </c>
      <c r="DG13" s="659">
        <v>43</v>
      </c>
      <c r="DH13" s="668">
        <v>0</v>
      </c>
      <c r="DI13" s="668">
        <f t="shared" si="6"/>
        <v>43</v>
      </c>
      <c r="DJ13" s="652">
        <v>0</v>
      </c>
      <c r="DK13" s="659">
        <v>43</v>
      </c>
      <c r="DM13" s="50">
        <v>80</v>
      </c>
      <c r="DN13" s="1287">
        <v>6</v>
      </c>
      <c r="DO13" s="53">
        <v>5</v>
      </c>
      <c r="DP13" s="1294">
        <v>5</v>
      </c>
      <c r="DQ13" s="1294">
        <v>5</v>
      </c>
      <c r="DR13" s="1294">
        <v>4</v>
      </c>
      <c r="DS13" s="1294">
        <v>4</v>
      </c>
      <c r="DT13" s="1295">
        <v>3</v>
      </c>
      <c r="DU13" s="1295">
        <v>3</v>
      </c>
      <c r="DV13" s="1295">
        <v>3</v>
      </c>
      <c r="DW13" s="1286"/>
      <c r="DY13" s="50">
        <v>80</v>
      </c>
      <c r="DZ13" s="1287">
        <v>6</v>
      </c>
      <c r="EA13" s="53">
        <v>5</v>
      </c>
      <c r="EB13" s="53">
        <v>5</v>
      </c>
      <c r="EC13" s="53">
        <v>5</v>
      </c>
      <c r="ED13" s="53">
        <v>4</v>
      </c>
      <c r="EE13" s="53">
        <v>5</v>
      </c>
      <c r="EF13" s="1126">
        <v>5</v>
      </c>
      <c r="EG13" s="1126">
        <v>5</v>
      </c>
      <c r="EH13" s="1126">
        <v>4</v>
      </c>
      <c r="EI13" s="1286"/>
      <c r="EK13" s="50">
        <v>20</v>
      </c>
      <c r="EL13" s="1284">
        <v>2</v>
      </c>
      <c r="EM13" s="53">
        <v>3</v>
      </c>
      <c r="EN13" s="53">
        <v>3</v>
      </c>
      <c r="EO13" s="53"/>
      <c r="EP13" s="52"/>
      <c r="EQ13" s="53"/>
      <c r="ER13" s="52"/>
      <c r="ES13" s="52"/>
      <c r="ET13" s="52"/>
      <c r="EU13" s="1285"/>
    </row>
    <row r="14" spans="1:151">
      <c r="B14" s="652">
        <v>2</v>
      </c>
      <c r="C14" s="738">
        <v>0</v>
      </c>
      <c r="D14" s="659">
        <f>C14/(P$6+P$9+N$11)*1000</f>
        <v>0</v>
      </c>
      <c r="E14" s="659">
        <f>D14*$H$29</f>
        <v>0</v>
      </c>
      <c r="F14" s="659">
        <f>D14*$J$29</f>
        <v>0</v>
      </c>
      <c r="G14" s="659">
        <f>D14*$H$28</f>
        <v>0</v>
      </c>
      <c r="H14" s="659">
        <f>AT9</f>
        <v>-0.95939719117662547</v>
      </c>
      <c r="I14" s="1071">
        <f>H14*$H$29</f>
        <v>-2.6535590155061035</v>
      </c>
      <c r="J14" s="666">
        <f>H14*$J$29</f>
        <v>-5.6129167403076305</v>
      </c>
      <c r="K14" s="666">
        <f>H14*$H$28</f>
        <v>-2.532806166950401</v>
      </c>
      <c r="R14" s="652" t="s">
        <v>1538</v>
      </c>
      <c r="S14" s="654">
        <f>$F$46</f>
        <v>0.52</v>
      </c>
      <c r="T14" s="654">
        <f>S14*X8^$H$46</f>
        <v>0.52</v>
      </c>
      <c r="U14" s="660">
        <f t="shared" si="14"/>
        <v>1</v>
      </c>
      <c r="V14" s="650" t="s">
        <v>1535</v>
      </c>
      <c r="W14" s="654"/>
      <c r="X14" s="654"/>
      <c r="Y14" s="654"/>
      <c r="Z14" s="652" t="s">
        <v>1325</v>
      </c>
      <c r="AA14" s="656" t="s">
        <v>2115</v>
      </c>
      <c r="AB14" s="656" t="s">
        <v>2116</v>
      </c>
      <c r="AC14" s="656" t="s">
        <v>2117</v>
      </c>
      <c r="AD14" s="656" t="s">
        <v>2118</v>
      </c>
      <c r="AE14" s="656" t="s">
        <v>2119</v>
      </c>
      <c r="AF14" s="656" t="s">
        <v>2120</v>
      </c>
      <c r="AG14" s="656" t="s">
        <v>2121</v>
      </c>
      <c r="AH14" s="656" t="s">
        <v>2122</v>
      </c>
      <c r="AI14" s="656" t="s">
        <v>2123</v>
      </c>
      <c r="AJ14" s="656" t="s">
        <v>2124</v>
      </c>
      <c r="AK14" s="656" t="s">
        <v>2126</v>
      </c>
      <c r="AL14" s="656" t="s">
        <v>2125</v>
      </c>
      <c r="AM14" s="656" t="s">
        <v>1330</v>
      </c>
      <c r="AN14" s="656" t="s">
        <v>430</v>
      </c>
      <c r="AO14" s="656" t="s">
        <v>909</v>
      </c>
      <c r="AP14" s="652" t="s">
        <v>431</v>
      </c>
      <c r="AQ14" s="652" t="s">
        <v>1332</v>
      </c>
      <c r="AR14" s="676">
        <f>2*$AW8-AR13</f>
        <v>0.38567954600668153</v>
      </c>
      <c r="AS14" s="676">
        <f>2*$AW$8-AS13</f>
        <v>1.7782790544532738</v>
      </c>
      <c r="AT14" s="676">
        <f>2*$AW$8-AT13</f>
        <v>0.20766089160380174</v>
      </c>
      <c r="AU14" s="676">
        <f>2*$AW$8-AU13</f>
        <v>0.26800207111641872</v>
      </c>
      <c r="AV14" s="669" t="s">
        <v>711</v>
      </c>
      <c r="AW14" s="659">
        <f>AW8+AR5*AW11</f>
        <v>0.58202149123442537</v>
      </c>
      <c r="AX14" s="652" t="s">
        <v>760</v>
      </c>
      <c r="AY14" s="654">
        <f>IF(AY3=0,1000000,(AY13^2+1/AY11)^0.5-AY13)</f>
        <v>3.0778003734973201</v>
      </c>
      <c r="AZ14" s="654">
        <f>IF(AZ3=0,1000000,(AZ13^2+1/AZ11)^0.5-AZ13)</f>
        <v>2.6399974799218588</v>
      </c>
      <c r="BA14" s="654">
        <f>IF(BA3=0,1000000,(BA13^2+1/BA11)^0.5-BA13)</f>
        <v>3.2319423454471545</v>
      </c>
      <c r="BB14" s="654">
        <f>IF(BB3=0,1000000,(BB13^2+1/BB11)^0.5-BB13)</f>
        <v>3.1756286422187485</v>
      </c>
      <c r="BC14" s="654">
        <f>MIN(AY14:BB14)</f>
        <v>2.6399974799218588</v>
      </c>
      <c r="BD14" s="654"/>
      <c r="BF14" s="664">
        <v>75</v>
      </c>
      <c r="BG14" s="1244">
        <v>10</v>
      </c>
      <c r="BH14" s="1252">
        <v>10</v>
      </c>
      <c r="BI14" s="1252">
        <v>9</v>
      </c>
      <c r="BJ14" s="1252">
        <v>9</v>
      </c>
      <c r="BK14" s="1252">
        <v>8</v>
      </c>
      <c r="BL14" s="1252">
        <v>6</v>
      </c>
      <c r="BM14" s="1252">
        <v>7</v>
      </c>
      <c r="BN14" s="1183">
        <v>6</v>
      </c>
      <c r="BO14" s="1183">
        <v>5</v>
      </c>
      <c r="BP14" s="1183">
        <v>4</v>
      </c>
      <c r="BQ14" s="1183">
        <v>4</v>
      </c>
      <c r="BR14" s="1183"/>
      <c r="BS14" s="1255"/>
      <c r="BT14" s="1166"/>
      <c r="BU14" s="659">
        <v>75</v>
      </c>
      <c r="BV14" s="1184">
        <v>6</v>
      </c>
      <c r="BW14" s="1183">
        <v>5</v>
      </c>
      <c r="BX14" s="1183">
        <v>5</v>
      </c>
      <c r="BY14" s="1183">
        <v>5</v>
      </c>
      <c r="BZ14" s="1183">
        <v>5</v>
      </c>
      <c r="CA14" s="1266">
        <v>4</v>
      </c>
      <c r="CB14" s="1266">
        <v>4</v>
      </c>
      <c r="CC14" s="1266">
        <v>4</v>
      </c>
      <c r="CD14" s="1266">
        <v>3</v>
      </c>
      <c r="CE14" s="1266">
        <v>3</v>
      </c>
      <c r="CF14" s="1266">
        <v>3</v>
      </c>
      <c r="CG14" s="1183"/>
      <c r="CH14" s="1255"/>
      <c r="CJ14" s="652"/>
      <c r="DA14" s="650"/>
      <c r="DF14" s="659">
        <v>11</v>
      </c>
      <c r="DG14" s="659">
        <v>67</v>
      </c>
      <c r="DH14" s="668">
        <v>6</v>
      </c>
      <c r="DI14" s="668">
        <f t="shared" si="6"/>
        <v>67</v>
      </c>
      <c r="DJ14" s="652">
        <v>6</v>
      </c>
      <c r="DK14" s="659">
        <v>67</v>
      </c>
      <c r="DM14" s="50">
        <v>90</v>
      </c>
      <c r="DN14" s="1288">
        <v>6</v>
      </c>
      <c r="DO14" s="1289">
        <v>6</v>
      </c>
      <c r="DP14" s="1298">
        <v>5</v>
      </c>
      <c r="DQ14" s="1298">
        <v>5</v>
      </c>
      <c r="DR14" s="1298">
        <v>5</v>
      </c>
      <c r="DS14" s="1298">
        <v>5</v>
      </c>
      <c r="DT14" s="1297">
        <v>4</v>
      </c>
      <c r="DU14" s="1297">
        <v>3</v>
      </c>
      <c r="DV14" s="1297">
        <v>2</v>
      </c>
      <c r="DW14" s="1299">
        <v>1</v>
      </c>
      <c r="DY14" s="50">
        <v>90</v>
      </c>
      <c r="DZ14" s="1288">
        <v>6</v>
      </c>
      <c r="EA14" s="1289">
        <v>6</v>
      </c>
      <c r="EB14" s="1290">
        <v>5</v>
      </c>
      <c r="EC14" s="1290">
        <v>5</v>
      </c>
      <c r="ED14" s="1290">
        <v>5</v>
      </c>
      <c r="EE14" s="1290">
        <v>4</v>
      </c>
      <c r="EF14" s="1289">
        <v>4</v>
      </c>
      <c r="EG14" s="1289">
        <v>3</v>
      </c>
      <c r="EH14" s="1289">
        <v>2</v>
      </c>
      <c r="EI14" s="1291">
        <v>1</v>
      </c>
      <c r="EK14" s="50">
        <v>30</v>
      </c>
      <c r="EL14" s="1284">
        <v>2</v>
      </c>
      <c r="EM14" s="53">
        <v>2</v>
      </c>
      <c r="EN14" s="53">
        <v>3</v>
      </c>
      <c r="EO14" s="53">
        <v>3</v>
      </c>
      <c r="EP14" s="52"/>
      <c r="EQ14" s="53"/>
      <c r="ER14" s="52"/>
      <c r="ES14" s="52"/>
      <c r="ET14" s="52"/>
      <c r="EU14" s="1285"/>
    </row>
    <row r="15" spans="1:151">
      <c r="B15" s="652">
        <v>6</v>
      </c>
      <c r="C15" s="853">
        <v>0</v>
      </c>
      <c r="D15" s="659">
        <f>C15/(P$6+P$9+N$11)*1000</f>
        <v>0</v>
      </c>
      <c r="E15" s="659">
        <f>D15*$H$29</f>
        <v>0</v>
      </c>
      <c r="F15" s="659">
        <f>D15*$J$29</f>
        <v>0</v>
      </c>
      <c r="G15" s="659">
        <f>D15*$H$28</f>
        <v>0</v>
      </c>
      <c r="H15" s="659">
        <f>AT10</f>
        <v>0.39268389045548757</v>
      </c>
      <c r="I15" s="1071">
        <f>H15*$H$29</f>
        <v>1.0861089518974165</v>
      </c>
      <c r="J15" s="666">
        <f>H15*$J$29</f>
        <v>2.2973821506435468</v>
      </c>
      <c r="K15" s="666">
        <f>H15*$H$28</f>
        <v>1.0366844812083984</v>
      </c>
      <c r="R15" s="652" t="s">
        <v>1547</v>
      </c>
      <c r="S15" s="654">
        <f>S14*(1-S11)/S11</f>
        <v>0.29249999999999998</v>
      </c>
      <c r="T15" s="654">
        <f>T14*(1-T11)/T11</f>
        <v>0.29249999999999998</v>
      </c>
      <c r="U15" s="660">
        <f t="shared" si="14"/>
        <v>1</v>
      </c>
      <c r="V15" s="652" t="s">
        <v>1537</v>
      </c>
      <c r="W15" s="654">
        <f>$D$47</f>
        <v>0</v>
      </c>
      <c r="X15" s="654">
        <f>W15</f>
        <v>0</v>
      </c>
      <c r="Y15" s="654">
        <v>1</v>
      </c>
      <c r="Z15" s="652">
        <v>11</v>
      </c>
      <c r="AA15" s="655">
        <f t="shared" ref="AA15:AL15" si="18">$T27+$T28*COS(AA6)+$T29*COS(AA7)</f>
        <v>60.097970156339628</v>
      </c>
      <c r="AB15" s="655">
        <f t="shared" si="18"/>
        <v>12.410884844221163</v>
      </c>
      <c r="AC15" s="655">
        <f t="shared" si="18"/>
        <v>98.409732502229147</v>
      </c>
      <c r="AD15" s="655">
        <f t="shared" si="18"/>
        <v>67.329321697407806</v>
      </c>
      <c r="AE15" s="655">
        <f t="shared" si="18"/>
        <v>35.210148871294727</v>
      </c>
      <c r="AF15" s="655">
        <f t="shared" si="18"/>
        <v>64.315434359119422</v>
      </c>
      <c r="AG15" s="655">
        <f t="shared" si="18"/>
        <v>96.840287653248183</v>
      </c>
      <c r="AH15" s="655">
        <f t="shared" si="18"/>
        <v>105.92890406014965</v>
      </c>
      <c r="AI15" s="655">
        <f t="shared" si="18"/>
        <v>10.309608077611124</v>
      </c>
      <c r="AJ15" s="655">
        <f t="shared" si="18"/>
        <v>183.10484019605468</v>
      </c>
      <c r="AK15" s="655">
        <f t="shared" si="18"/>
        <v>183.66607260314788</v>
      </c>
      <c r="AL15" s="655">
        <f t="shared" si="18"/>
        <v>186.06166829073061</v>
      </c>
      <c r="AM15" s="676">
        <f>$AM5*AP7</f>
        <v>0.27592121832788824</v>
      </c>
      <c r="AN15" s="676">
        <f>$AM5*(AP23-$AM9*($AM5-1)*AP15+$AM9^2/6*($AM5-1)*(2*$AM5-1)*AP7)</f>
        <v>6.7465483955459551E-7</v>
      </c>
      <c r="AO15" s="676">
        <f>AM5*AP15-AM5*(AM5-1)*AM9*AP7/2</f>
        <v>3.5951705133672134E-4</v>
      </c>
      <c r="AP15" s="1308">
        <f t="shared" ref="AP15:AP20" si="19">(AA15*AA$12+AB15*AB$12+AC15*AC$12+AD15*AD$12+AE15*AE$12+AF15*AF$12+AG15*AG$12+AH15*AH$12+AI15*AI$12+AJ15*AJ$12+AK15*AK$12+AL15*AL$12)*$AN$10</f>
        <v>2.8322898254131877E-4</v>
      </c>
      <c r="AQ15" s="652" t="s">
        <v>1334</v>
      </c>
      <c r="AR15" s="676">
        <f>2*($AW10*COS(AR4)-$AW9*SIN(AR4))</f>
        <v>-3.0828373648221019</v>
      </c>
      <c r="AS15" s="676">
        <f>2*($AW$10*COS(AS4)-$AW$9*SIN(AS4))</f>
        <v>-1.9834208392404651</v>
      </c>
      <c r="AT15" s="676">
        <f>2*($AW$10*COS(AT4)-$AW$9*SIN(AT4))</f>
        <v>3.0162067935642836</v>
      </c>
      <c r="AU15" s="676">
        <f>2*($AW$10*COS(AU4)-$AW$9*SIN(AU4))</f>
        <v>-3.0436251528270599</v>
      </c>
      <c r="AV15" s="669" t="s">
        <v>712</v>
      </c>
      <c r="AW15" s="659">
        <f>AW9+AR5*AW12</f>
        <v>1.541418682411051</v>
      </c>
      <c r="AX15" s="685" t="s">
        <v>1360</v>
      </c>
      <c r="AY15" s="856"/>
      <c r="AZ15" s="856"/>
      <c r="BA15" s="856"/>
      <c r="BB15" s="856"/>
      <c r="BD15" s="654"/>
      <c r="BF15" s="664">
        <v>82.5</v>
      </c>
      <c r="BG15" s="1244">
        <v>10</v>
      </c>
      <c r="BH15" s="1252">
        <v>10</v>
      </c>
      <c r="BI15" s="1252">
        <v>10</v>
      </c>
      <c r="BJ15" s="1252">
        <v>10</v>
      </c>
      <c r="BK15" s="1252">
        <v>9</v>
      </c>
      <c r="BL15" s="1252">
        <v>9</v>
      </c>
      <c r="BM15" s="1252">
        <v>7</v>
      </c>
      <c r="BN15" s="1252">
        <v>6</v>
      </c>
      <c r="BO15" s="1183">
        <v>7</v>
      </c>
      <c r="BP15" s="1183">
        <v>6</v>
      </c>
      <c r="BQ15" s="1183">
        <v>4</v>
      </c>
      <c r="BR15" s="1183">
        <v>3</v>
      </c>
      <c r="BS15" s="1255"/>
      <c r="BT15" s="1166"/>
      <c r="BU15" s="659">
        <v>82.5</v>
      </c>
      <c r="BV15" s="1184">
        <v>6</v>
      </c>
      <c r="BW15" s="1183">
        <v>6</v>
      </c>
      <c r="BX15" s="1183">
        <v>5</v>
      </c>
      <c r="BY15" s="1183">
        <v>5</v>
      </c>
      <c r="BZ15" s="1183">
        <v>5</v>
      </c>
      <c r="CA15" s="1183">
        <v>5</v>
      </c>
      <c r="CB15" s="1266">
        <v>4</v>
      </c>
      <c r="CC15" s="1266">
        <v>3</v>
      </c>
      <c r="CD15" s="1266">
        <v>3</v>
      </c>
      <c r="CE15" s="1266">
        <v>3</v>
      </c>
      <c r="CF15" s="1266">
        <v>3</v>
      </c>
      <c r="CG15" s="1266">
        <v>2</v>
      </c>
      <c r="CH15" s="1255"/>
      <c r="CJ15" s="652"/>
      <c r="DA15" s="650"/>
      <c r="DF15" s="659">
        <v>12</v>
      </c>
      <c r="DG15" s="659">
        <v>83</v>
      </c>
      <c r="DH15" s="668">
        <v>23</v>
      </c>
      <c r="DI15" s="668">
        <f t="shared" si="6"/>
        <v>83</v>
      </c>
      <c r="DJ15" s="652">
        <v>23</v>
      </c>
      <c r="DK15" s="659">
        <v>83</v>
      </c>
      <c r="DN15" s="1126">
        <v>0</v>
      </c>
      <c r="DO15" s="1126">
        <v>10</v>
      </c>
      <c r="DP15" s="1126">
        <v>20</v>
      </c>
      <c r="DQ15" s="1126">
        <v>30</v>
      </c>
      <c r="DR15" s="1126">
        <v>40</v>
      </c>
      <c r="DS15" s="1126">
        <v>50</v>
      </c>
      <c r="DT15" s="1126">
        <v>60</v>
      </c>
      <c r="DU15" s="1126">
        <v>70</v>
      </c>
      <c r="DV15" s="1126">
        <v>80</v>
      </c>
      <c r="DW15" s="1126">
        <v>90</v>
      </c>
      <c r="DZ15" s="1126">
        <v>0</v>
      </c>
      <c r="EA15" s="1126">
        <v>10</v>
      </c>
      <c r="EB15" s="1126">
        <v>20</v>
      </c>
      <c r="EC15" s="1126">
        <v>30</v>
      </c>
      <c r="ED15" s="1126">
        <v>40</v>
      </c>
      <c r="EE15" s="1126">
        <v>50</v>
      </c>
      <c r="EF15" s="1126">
        <v>60</v>
      </c>
      <c r="EG15" s="1126">
        <v>70</v>
      </c>
      <c r="EH15" s="1126">
        <v>80</v>
      </c>
      <c r="EI15" s="1126">
        <v>90</v>
      </c>
      <c r="EK15" s="50">
        <v>40</v>
      </c>
      <c r="EL15" s="1284">
        <v>2</v>
      </c>
      <c r="EM15" s="53">
        <v>1</v>
      </c>
      <c r="EN15" s="53">
        <v>3</v>
      </c>
      <c r="EO15" s="53">
        <v>4</v>
      </c>
      <c r="EP15" s="1126">
        <v>3</v>
      </c>
      <c r="EQ15" s="53"/>
      <c r="ER15" s="52"/>
      <c r="ES15" s="52"/>
      <c r="ET15" s="52"/>
      <c r="EU15" s="1285"/>
    </row>
    <row r="16" spans="1:151">
      <c r="B16" s="653" t="s">
        <v>2092</v>
      </c>
      <c r="C16" s="665"/>
      <c r="D16" s="663" t="s">
        <v>910</v>
      </c>
      <c r="E16" s="663" t="s">
        <v>911</v>
      </c>
      <c r="F16" s="663" t="s">
        <v>2155</v>
      </c>
      <c r="H16" s="659" t="s">
        <v>912</v>
      </c>
      <c r="I16" s="1072" t="s">
        <v>913</v>
      </c>
      <c r="J16" s="1072" t="s">
        <v>914</v>
      </c>
      <c r="K16" s="1072" t="s">
        <v>913</v>
      </c>
      <c r="L16" s="650" t="s">
        <v>403</v>
      </c>
      <c r="R16" s="652" t="s">
        <v>1548</v>
      </c>
      <c r="S16" s="654">
        <f>1/((1+S15)/S6-S15/S13)</f>
        <v>22.726875357250929</v>
      </c>
      <c r="T16" s="654">
        <f>S16*X8^$G$47</f>
        <v>22.726875357250929</v>
      </c>
      <c r="U16" s="660">
        <f t="shared" si="14"/>
        <v>1</v>
      </c>
      <c r="V16" s="652" t="s">
        <v>1539</v>
      </c>
      <c r="W16" s="654">
        <f>$E$47</f>
        <v>0.6</v>
      </c>
      <c r="X16" s="654">
        <f>W16*(1-T11)/(1-S11)</f>
        <v>0.6</v>
      </c>
      <c r="Y16" s="654">
        <f>X16/W16</f>
        <v>1</v>
      </c>
      <c r="Z16" s="652">
        <v>22</v>
      </c>
      <c r="AA16" s="655">
        <f t="shared" ref="AA16:AL16" si="20">AA15-2*$T28*COS(AA6)</f>
        <v>60.097970156339613</v>
      </c>
      <c r="AB16" s="655">
        <f t="shared" si="20"/>
        <v>166.26574390016825</v>
      </c>
      <c r="AC16" s="655">
        <f t="shared" si="20"/>
        <v>32.513893242776632</v>
      </c>
      <c r="AD16" s="655">
        <f t="shared" si="20"/>
        <v>53.349450958982516</v>
      </c>
      <c r="AE16" s="655">
        <f t="shared" si="20"/>
        <v>93.331452329851999</v>
      </c>
      <c r="AF16" s="655">
        <f t="shared" si="20"/>
        <v>56.049314130023355</v>
      </c>
      <c r="AG16" s="655">
        <f t="shared" si="20"/>
        <v>33.322901112166853</v>
      </c>
      <c r="AH16" s="655">
        <f t="shared" si="20"/>
        <v>28.918691403823757</v>
      </c>
      <c r="AI16" s="655">
        <f t="shared" si="20"/>
        <v>187.11853231166452</v>
      </c>
      <c r="AJ16" s="655">
        <f t="shared" si="20"/>
        <v>10.604814919833416</v>
      </c>
      <c r="AK16" s="655">
        <f t="shared" si="20"/>
        <v>10.560562670484302</v>
      </c>
      <c r="AL16" s="655">
        <f t="shared" si="20"/>
        <v>10.382577199752205</v>
      </c>
      <c r="AM16" s="676">
        <f>$AM5*AP8</f>
        <v>0.18562897608396672</v>
      </c>
      <c r="AN16" s="676">
        <f>$AM5*(AP24-$AM9*($AM5-1)*AP16+$AM9^2/6*($AM5-1)*(2*$AM5-1)*AP8)</f>
        <v>6.3101730003762779E-7</v>
      </c>
      <c r="AO16" s="676">
        <f>AM5*AP16-AM5*(AM5-1)*AM9*AP8/2</f>
        <v>3.0420438273349309E-4</v>
      </c>
      <c r="AP16" s="1308">
        <f t="shared" si="19"/>
        <v>2.2171305739823407E-4</v>
      </c>
      <c r="AQ16" s="652" t="s">
        <v>1149</v>
      </c>
      <c r="AR16" s="676">
        <f>($AW11+$AW12*COS(AR4)+$AW13*SIN(AR4))</f>
        <v>0</v>
      </c>
      <c r="AS16" s="676">
        <f>($AW$11+$AW$12*COS(AS4)+$AW$13*SIN(AS4))</f>
        <v>0</v>
      </c>
      <c r="AT16" s="676">
        <f>($AW$11+$AW$12*COS(AT4)+$AW$13*SIN(AT4))</f>
        <v>0</v>
      </c>
      <c r="AU16" s="676">
        <f>($AW$11+$AW$12*COS(AU4)+$AW$13*SIN(AU4))</f>
        <v>0</v>
      </c>
      <c r="AV16" s="669" t="s">
        <v>714</v>
      </c>
      <c r="AW16" s="659">
        <f>AW10+AR5*AW13</f>
        <v>0.19634194522774379</v>
      </c>
      <c r="AX16" s="652" t="s">
        <v>1364</v>
      </c>
      <c r="AY16" s="676">
        <f>$BC7+$BC8*COS(AY4)+$BC9*SIN(AY4)+($BC10+$BC11*COS(AY4)+$BC12*SIN(AY4))*AR5-$AD39</f>
        <v>5.289477598970517E-5</v>
      </c>
      <c r="AZ16" s="676">
        <f>$BC7+$BC8*COS(AZ4)+$BC9*SIN(AZ4)+($BC10+$BC11*COS(AZ4)+$BC12*SIN(AZ4))*AS5-$AD39</f>
        <v>6.4353102226783826E-5</v>
      </c>
      <c r="BA16" s="676">
        <f>$BC7+$BC8*COS(BA4)+$BC9*SIN(BA4)+($BC10+$BC11*COS(BA4)+$BC12*SIN(BA4))*AT5-$AD39</f>
        <v>4.3395186215207947E-5</v>
      </c>
      <c r="BB16" s="676">
        <f>$BC7+$BC8*COS(BB4)+$BC9*SIN(BB4)+($BC10+$BC11*COS(BB4)+$BC12*SIN(BB4))*AU5-$AD39</f>
        <v>5.1756396695718379E-5</v>
      </c>
      <c r="BC16" s="676"/>
      <c r="BF16" s="664">
        <v>90</v>
      </c>
      <c r="BG16" s="1251">
        <v>10</v>
      </c>
      <c r="BH16" s="1253">
        <v>10</v>
      </c>
      <c r="BI16" s="1253">
        <v>10</v>
      </c>
      <c r="BJ16" s="1253">
        <v>10</v>
      </c>
      <c r="BK16" s="1253">
        <v>10</v>
      </c>
      <c r="BL16" s="1253">
        <v>10</v>
      </c>
      <c r="BM16" s="1253">
        <v>8</v>
      </c>
      <c r="BN16" s="1253">
        <v>7</v>
      </c>
      <c r="BO16" s="1253">
        <v>7</v>
      </c>
      <c r="BP16" s="1254">
        <v>5</v>
      </c>
      <c r="BQ16" s="1254">
        <v>3</v>
      </c>
      <c r="BR16" s="1254">
        <v>3</v>
      </c>
      <c r="BS16" s="1256">
        <v>1</v>
      </c>
      <c r="BT16" s="1168"/>
      <c r="BU16" s="659">
        <v>90</v>
      </c>
      <c r="BV16" s="1263">
        <v>6</v>
      </c>
      <c r="BW16" s="1254">
        <v>6</v>
      </c>
      <c r="BX16" s="1254">
        <v>5</v>
      </c>
      <c r="BY16" s="1254">
        <v>5</v>
      </c>
      <c r="BZ16" s="1254">
        <v>5</v>
      </c>
      <c r="CA16" s="1254">
        <v>5</v>
      </c>
      <c r="CB16" s="1267">
        <v>4</v>
      </c>
      <c r="CC16" s="1267">
        <v>4</v>
      </c>
      <c r="CD16" s="1267">
        <v>4</v>
      </c>
      <c r="CE16" s="1267">
        <v>3</v>
      </c>
      <c r="CF16" s="1267">
        <v>2</v>
      </c>
      <c r="CG16" s="1267">
        <v>2</v>
      </c>
      <c r="CH16" s="1268">
        <v>1</v>
      </c>
      <c r="CJ16" s="652"/>
      <c r="DA16" s="650"/>
      <c r="DF16" s="659">
        <v>13</v>
      </c>
      <c r="DG16" s="659">
        <v>52</v>
      </c>
      <c r="DH16" s="668">
        <v>0</v>
      </c>
      <c r="DI16" s="668">
        <f t="shared" si="6"/>
        <v>52</v>
      </c>
      <c r="DJ16" s="652">
        <v>0</v>
      </c>
      <c r="DK16" s="659">
        <v>52</v>
      </c>
      <c r="DP16" s="655"/>
      <c r="DQ16" s="655"/>
      <c r="DT16" s="655"/>
      <c r="DU16" s="655"/>
      <c r="DV16" s="655"/>
      <c r="EK16" s="50">
        <v>50</v>
      </c>
      <c r="EL16" s="1284">
        <v>2</v>
      </c>
      <c r="EM16" s="53">
        <v>2</v>
      </c>
      <c r="EN16" s="53">
        <v>3</v>
      </c>
      <c r="EO16" s="53">
        <v>3</v>
      </c>
      <c r="EP16" s="1126">
        <v>3</v>
      </c>
      <c r="EQ16" s="53">
        <v>3</v>
      </c>
      <c r="ER16" s="52"/>
      <c r="ES16" s="52"/>
      <c r="ET16" s="52"/>
      <c r="EU16" s="1285"/>
    </row>
    <row r="17" spans="1:151">
      <c r="B17" s="652">
        <v>1</v>
      </c>
      <c r="C17" s="1073">
        <v>0</v>
      </c>
      <c r="D17" s="682">
        <f>C17*6/(P$6+P$9+N$11)^2*1000000</f>
        <v>0</v>
      </c>
      <c r="E17" s="1074">
        <f>D17*$H$29</f>
        <v>0</v>
      </c>
      <c r="F17" s="659">
        <f>D17*$J$29</f>
        <v>0</v>
      </c>
      <c r="H17" s="682">
        <f>P11/2*AU8/1000</f>
        <v>0</v>
      </c>
      <c r="I17" s="1075">
        <f>H17*$H$29</f>
        <v>0</v>
      </c>
      <c r="J17" s="666">
        <f>H17*$J$29</f>
        <v>0</v>
      </c>
      <c r="R17" s="652" t="s">
        <v>295</v>
      </c>
      <c r="S17" s="654">
        <f>$F$47</f>
        <v>0.32</v>
      </c>
      <c r="T17" s="654">
        <f>S17*X8^$H$46</f>
        <v>0.32</v>
      </c>
      <c r="U17" s="660">
        <f t="shared" si="14"/>
        <v>1</v>
      </c>
      <c r="W17" s="654"/>
      <c r="X17" s="654"/>
      <c r="Y17" s="654"/>
      <c r="Z17" s="652" t="s">
        <v>1345</v>
      </c>
      <c r="AA17" s="655">
        <f t="shared" ref="AA17:AL17" si="21">$T30-$T29*COS(AA7)</f>
        <v>44.517970156339622</v>
      </c>
      <c r="AB17" s="655">
        <f t="shared" si="21"/>
        <v>15.277625940484539</v>
      </c>
      <c r="AC17" s="655">
        <f t="shared" si="21"/>
        <v>39.15412744017636</v>
      </c>
      <c r="AD17" s="655">
        <f t="shared" si="21"/>
        <v>44.276553984484082</v>
      </c>
      <c r="AE17" s="655">
        <f t="shared" si="21"/>
        <v>40.34513971210589</v>
      </c>
      <c r="AF17" s="655">
        <f t="shared" si="21"/>
        <v>44.433566068107865</v>
      </c>
      <c r="AG17" s="655">
        <f t="shared" si="21"/>
        <v>39.534345929971721</v>
      </c>
      <c r="AH17" s="655">
        <f t="shared" si="21"/>
        <v>37.19214258069254</v>
      </c>
      <c r="AI17" s="655">
        <f t="shared" si="21"/>
        <v>5.9018701180414261</v>
      </c>
      <c r="AJ17" s="655">
        <f t="shared" si="21"/>
        <v>7.761112754735219</v>
      </c>
      <c r="AK17" s="655">
        <f t="shared" si="21"/>
        <v>7.5026226758631616</v>
      </c>
      <c r="AL17" s="655">
        <f t="shared" si="21"/>
        <v>6.3938175674378392</v>
      </c>
      <c r="AM17" s="676">
        <f>$AM5*AP9</f>
        <v>8.3072723732109999E-2</v>
      </c>
      <c r="AN17" s="676">
        <f>$AM5*(AP25-$AM9*($AM5-1)*AP17+$AM9^2/6*($AM5-1)*(2*$AM5-1)*AP9)</f>
        <v>2.8870739301800089E-7</v>
      </c>
      <c r="AO17" s="676">
        <f>AM5*AP17-AM5*(AM5-1)*AM9*AP9/2</f>
        <v>1.3891101437194919E-4</v>
      </c>
      <c r="AP17" s="1308">
        <f t="shared" si="19"/>
        <v>1.0060777858551585E-4</v>
      </c>
      <c r="AQ17" s="652" t="s">
        <v>1151</v>
      </c>
      <c r="AR17" s="676">
        <f>2*$AW11-AR16</f>
        <v>0</v>
      </c>
      <c r="AS17" s="676">
        <f>2*$AW$11-AS16</f>
        <v>0</v>
      </c>
      <c r="AT17" s="676">
        <f>2*$AW$11-AT16</f>
        <v>0</v>
      </c>
      <c r="AU17" s="676">
        <f>2*$AW$11-AU16</f>
        <v>0</v>
      </c>
      <c r="AV17" s="678" t="s">
        <v>1917</v>
      </c>
      <c r="AW17" s="679">
        <f>(AW15^2+AW16^2)^0.5</f>
        <v>1.5538731331552247</v>
      </c>
      <c r="AX17" s="652" t="s">
        <v>1367</v>
      </c>
      <c r="AY17" s="676">
        <f>$BC7-$BC8*COS(AY4)-$BC9*SIN(AY4)+($BC10-$BC11*COS(AY4)-$BC12*SIN(AY4))*AR5-$AD40</f>
        <v>-7.0341468081999855E-4</v>
      </c>
      <c r="AZ17" s="676">
        <f>$BC7-$BC8*COS(AZ4)-$BC9*SIN(AZ4)+($BC10-$BC11*COS(AZ4)-$BC12*SIN(AZ4))*AS5-$AD40</f>
        <v>-7.1487300705707724E-4</v>
      </c>
      <c r="BA17" s="676">
        <f>$BC7-$BC8*COS(BA4)-$BC9*SIN(BA4)+($BC10-$BC11*COS(BA4)-$BC12*SIN(BA4))*AT5-$AD40</f>
        <v>-6.9391509104550135E-4</v>
      </c>
      <c r="BB17" s="676">
        <f>$BC7-$BC8*COS(BB4)-$BC9*SIN(BB4)+($BC10-$BC11*COS(BB4)-$BC12*SIN(BB4))*AU5-$AD40</f>
        <v>-7.0227630152601178E-4</v>
      </c>
      <c r="BC17" s="676"/>
      <c r="BO17" s="650"/>
      <c r="BU17" s="674"/>
      <c r="CD17" s="650"/>
      <c r="CJ17" s="652"/>
      <c r="DA17" s="650"/>
      <c r="DF17" s="659">
        <v>14</v>
      </c>
      <c r="DG17" s="659">
        <v>73</v>
      </c>
      <c r="DH17" s="668">
        <v>18</v>
      </c>
      <c r="DI17" s="668">
        <f t="shared" si="6"/>
        <v>73</v>
      </c>
      <c r="DJ17" s="652">
        <v>18</v>
      </c>
      <c r="DK17" s="659">
        <v>73</v>
      </c>
      <c r="DM17" s="1332" t="s">
        <v>2137</v>
      </c>
      <c r="DN17" s="1330"/>
      <c r="DO17" s="1331" t="s">
        <v>2089</v>
      </c>
      <c r="DP17" s="1333"/>
      <c r="DQ17" s="1333"/>
      <c r="DR17" s="1331"/>
      <c r="DS17" s="1126"/>
      <c r="DT17" s="1126"/>
      <c r="DU17" s="1126"/>
      <c r="DV17" s="1126"/>
      <c r="DW17" s="1126"/>
      <c r="DY17" s="1332" t="s">
        <v>2084</v>
      </c>
      <c r="DZ17" s="1330"/>
      <c r="EA17" s="1331" t="s">
        <v>2090</v>
      </c>
      <c r="EB17" s="1333"/>
      <c r="EC17" s="1333"/>
      <c r="ED17" s="1331"/>
      <c r="EE17" s="1126"/>
      <c r="EF17" s="1126"/>
      <c r="EG17" s="1126"/>
      <c r="EH17" s="1126"/>
      <c r="EI17" s="1126"/>
      <c r="EK17" s="50">
        <v>60</v>
      </c>
      <c r="EL17" s="1284">
        <v>2</v>
      </c>
      <c r="EM17" s="53">
        <v>2</v>
      </c>
      <c r="EN17" s="53">
        <v>4</v>
      </c>
      <c r="EO17" s="53">
        <v>3</v>
      </c>
      <c r="EP17" s="1126">
        <v>3</v>
      </c>
      <c r="EQ17" s="53">
        <v>3</v>
      </c>
      <c r="ER17" s="1126">
        <v>4</v>
      </c>
      <c r="ES17" s="52"/>
      <c r="ET17" s="52"/>
      <c r="EU17" s="1285"/>
    </row>
    <row r="18" spans="1:151" ht="18">
      <c r="B18" s="652">
        <v>2</v>
      </c>
      <c r="C18" s="853">
        <v>0</v>
      </c>
      <c r="D18" s="682">
        <f>C18*6/(P$6+P$9+N$11)^2*1000000</f>
        <v>0</v>
      </c>
      <c r="E18" s="1074">
        <f>D18*$H$29</f>
        <v>0</v>
      </c>
      <c r="F18" s="659">
        <f>D18*$J$29</f>
        <v>0</v>
      </c>
      <c r="H18" s="682">
        <f>P11/2*AU9/1000</f>
        <v>0</v>
      </c>
      <c r="I18" s="1075">
        <f>H18*$H$29</f>
        <v>0</v>
      </c>
      <c r="J18" s="666">
        <f>H18*$J$29</f>
        <v>0</v>
      </c>
      <c r="R18" s="652" t="s">
        <v>301</v>
      </c>
      <c r="S18" s="654">
        <f>S17*(1-S11)/S11</f>
        <v>0.18</v>
      </c>
      <c r="T18" s="654">
        <f>T17*(1-T11)/T11</f>
        <v>0.18</v>
      </c>
      <c r="U18" s="660">
        <f t="shared" si="14"/>
        <v>1</v>
      </c>
      <c r="V18" s="650" t="s">
        <v>1148</v>
      </c>
      <c r="W18" s="654"/>
      <c r="X18" s="654"/>
      <c r="Y18" s="654"/>
      <c r="Z18" s="652">
        <v>66</v>
      </c>
      <c r="AA18" s="655">
        <f t="shared" ref="AA18:AL18" si="22">AA17-$T30+$T31</f>
        <v>48.8066487742406</v>
      </c>
      <c r="AB18" s="655">
        <f t="shared" si="22"/>
        <v>19.566304558385518</v>
      </c>
      <c r="AC18" s="655">
        <f t="shared" si="22"/>
        <v>43.442806058077338</v>
      </c>
      <c r="AD18" s="655">
        <f t="shared" si="22"/>
        <v>48.565232602385066</v>
      </c>
      <c r="AE18" s="655">
        <f t="shared" si="22"/>
        <v>44.633818330006875</v>
      </c>
      <c r="AF18" s="655">
        <f t="shared" si="22"/>
        <v>48.72224468600885</v>
      </c>
      <c r="AG18" s="655">
        <f t="shared" si="22"/>
        <v>43.823024547872706</v>
      </c>
      <c r="AH18" s="655">
        <f t="shared" si="22"/>
        <v>41.480821198593517</v>
      </c>
      <c r="AI18" s="655">
        <f t="shared" si="22"/>
        <v>10.190548735942407</v>
      </c>
      <c r="AJ18" s="655">
        <f t="shared" si="22"/>
        <v>12.0497913726362</v>
      </c>
      <c r="AK18" s="655">
        <f t="shared" si="22"/>
        <v>11.791301293764143</v>
      </c>
      <c r="AL18" s="655">
        <f t="shared" si="22"/>
        <v>10.68249618533882</v>
      </c>
      <c r="AM18" s="676">
        <f>$AM5*AP10</f>
        <v>9.5938759585812911E-2</v>
      </c>
      <c r="AN18" s="676">
        <f>$AM5*(AP26-$AM9*($AM5-1)*AP18+$AM9^2/6*($AM5-1)*(2*$AM5-1)*AP10)</f>
        <v>3.2730550057910988E-7</v>
      </c>
      <c r="AO18" s="676">
        <f>AM5*AP18-AM5*(AM5-1)*AM9*AP10/2</f>
        <v>1.582100681525036E-4</v>
      </c>
      <c r="AP18" s="1308">
        <f t="shared" si="19"/>
        <v>1.1508206892093163E-4</v>
      </c>
      <c r="AQ18" s="652" t="s">
        <v>1153</v>
      </c>
      <c r="AR18" s="676">
        <f>2*($AW13*COS(AR4)-$AW12*SIN(AR4))</f>
        <v>0</v>
      </c>
      <c r="AS18" s="676">
        <f>2*($AW$13*COS(AS4)-$AW$12*SIN(AS4))</f>
        <v>0</v>
      </c>
      <c r="AT18" s="676">
        <f>2*($AW$13*COS(AT4)-$AW$12*SIN(AT4))</f>
        <v>0</v>
      </c>
      <c r="AU18" s="676">
        <f>2*($AW$13*COS(AU4)-$AW$12*SIN(AU4))</f>
        <v>0</v>
      </c>
      <c r="AV18" s="678" t="s">
        <v>1918</v>
      </c>
      <c r="AW18" s="679">
        <f>AW14+AW17</f>
        <v>2.1358946243896502</v>
      </c>
      <c r="AX18" s="652" t="s">
        <v>1372</v>
      </c>
      <c r="AY18" s="676">
        <f>2*($BC9*COS(AY4)-$BC8*SIN(AY4))+2*($BC12*COS(AY4)-$BC11*SIN(AY4))*AR5</f>
        <v>2.9511030135124365E-5</v>
      </c>
      <c r="AZ18" s="676">
        <f>2*($BC9*COS(AZ4)-$BC8*SIN(AZ4))+2*($BC12*COS(AZ4)-$BC11*SIN(AZ4))*AS5</f>
        <v>1.2174205965654755E-5</v>
      </c>
      <c r="BA18" s="676">
        <f>2*($BC9*COS(BA4)-$BC8*SIN(BA4))+2*($BC12*COS(BA4)-$BC11*SIN(BA4))*AT5</f>
        <v>-2.595543032726829E-5</v>
      </c>
      <c r="BB18" s="676">
        <f>2*($BC9*COS(BB4)-$BC8*SIN(BB4))+2*($BC12*COS(BB4)-$BC11*SIN(BB4))*AU5</f>
        <v>2.9754671155472286E-5</v>
      </c>
      <c r="BC18" s="676"/>
      <c r="BF18" s="650" t="s">
        <v>2084</v>
      </c>
      <c r="BO18" s="650"/>
      <c r="BU18" s="1231" t="s">
        <v>2076</v>
      </c>
      <c r="BV18" s="1232"/>
      <c r="BW18" s="1232"/>
      <c r="BX18" s="1232"/>
      <c r="BY18" s="1232"/>
      <c r="BZ18" s="1232"/>
      <c r="CA18" s="1232"/>
      <c r="CB18" s="1232"/>
      <c r="CC18" s="1232"/>
      <c r="CD18" s="594"/>
      <c r="CE18" s="594"/>
      <c r="CF18" s="594"/>
      <c r="CG18" s="594"/>
      <c r="CH18" s="594"/>
      <c r="CI18" s="594"/>
      <c r="CJ18" s="1231" t="s">
        <v>2077</v>
      </c>
      <c r="CK18" s="1232"/>
      <c r="CL18" s="1232"/>
      <c r="CM18" s="1232"/>
      <c r="CN18" s="1232"/>
      <c r="CO18" s="1232"/>
      <c r="CP18" s="1232"/>
      <c r="CQ18" s="1189"/>
      <c r="CR18" s="1189"/>
      <c r="DA18" s="650"/>
      <c r="DF18" s="659">
        <v>15</v>
      </c>
      <c r="DG18" s="659">
        <v>90</v>
      </c>
      <c r="DH18" s="668">
        <v>32</v>
      </c>
      <c r="DI18" s="668">
        <f t="shared" si="6"/>
        <v>90</v>
      </c>
      <c r="DJ18" s="652">
        <v>32</v>
      </c>
      <c r="DK18" s="659">
        <v>90</v>
      </c>
      <c r="DM18" s="50">
        <v>0</v>
      </c>
      <c r="DN18" s="1292">
        <v>1</v>
      </c>
      <c r="DO18" s="1280"/>
      <c r="DP18" s="1280"/>
      <c r="DQ18" s="1280"/>
      <c r="DR18" s="1281"/>
      <c r="DS18" s="1280"/>
      <c r="DT18" s="1282"/>
      <c r="DU18" s="1282"/>
      <c r="DV18" s="1282"/>
      <c r="DW18" s="1283"/>
      <c r="DY18" s="50">
        <v>0</v>
      </c>
      <c r="DZ18" s="1292">
        <v>1</v>
      </c>
      <c r="EA18" s="1280"/>
      <c r="EB18" s="1280"/>
      <c r="EC18" s="1280"/>
      <c r="ED18" s="1281"/>
      <c r="EE18" s="1280"/>
      <c r="EF18" s="1282"/>
      <c r="EG18" s="1282"/>
      <c r="EH18" s="1282"/>
      <c r="EI18" s="1283"/>
      <c r="EK18" s="50">
        <v>70</v>
      </c>
      <c r="EL18" s="1284">
        <v>2</v>
      </c>
      <c r="EM18" s="53">
        <v>3</v>
      </c>
      <c r="EN18" s="53">
        <v>4</v>
      </c>
      <c r="EO18" s="53">
        <v>3</v>
      </c>
      <c r="EP18" s="1126">
        <v>4</v>
      </c>
      <c r="EQ18" s="53">
        <v>3</v>
      </c>
      <c r="ER18" s="1126">
        <v>4</v>
      </c>
      <c r="ES18" s="1126">
        <v>3</v>
      </c>
      <c r="ET18" s="1126"/>
      <c r="EU18" s="1286"/>
    </row>
    <row r="19" spans="1:151">
      <c r="B19" s="652">
        <v>6</v>
      </c>
      <c r="C19" s="853">
        <v>0</v>
      </c>
      <c r="D19" s="682">
        <f>C19*6/(P$6+P$9+N$11)^2*1000000</f>
        <v>0</v>
      </c>
      <c r="E19" s="1074">
        <f>D19*$H$29</f>
        <v>0</v>
      </c>
      <c r="F19" s="659">
        <f>D19*$J$29</f>
        <v>0</v>
      </c>
      <c r="H19" s="682">
        <f>P11/2*AU10/1000</f>
        <v>0</v>
      </c>
      <c r="I19" s="1075">
        <f>H19*$H$29</f>
        <v>0</v>
      </c>
      <c r="J19" s="666">
        <f>H19*$J$29</f>
        <v>0</v>
      </c>
      <c r="L19" s="650">
        <v>28</v>
      </c>
      <c r="M19" s="650">
        <v>-24</v>
      </c>
      <c r="N19" s="650">
        <v>0</v>
      </c>
      <c r="O19" s="650">
        <v>-49</v>
      </c>
      <c r="R19" s="652" t="s">
        <v>304</v>
      </c>
      <c r="S19" s="654">
        <f>1/((1+S18)/S8-S18*2.7/S13)</f>
        <v>117.16358488896765</v>
      </c>
      <c r="T19" s="654">
        <f>S19*X8^$H$47</f>
        <v>117.16358488896765</v>
      </c>
      <c r="U19" s="660">
        <f t="shared" si="14"/>
        <v>1</v>
      </c>
      <c r="V19" s="652" t="s">
        <v>296</v>
      </c>
      <c r="W19" s="659">
        <f>$B$45</f>
        <v>3250</v>
      </c>
      <c r="X19" s="659">
        <f>X25*T11</f>
        <v>3250</v>
      </c>
      <c r="Y19" s="654">
        <f t="shared" ref="Y19:Y26" si="23">X19/W19</f>
        <v>1</v>
      </c>
      <c r="Z19" s="652" t="s">
        <v>1347</v>
      </c>
      <c r="AA19" s="655">
        <f t="shared" ref="AA19:AL19" si="24">$T28*SIN(AA6)/2+$T29*SIN(AA7)</f>
        <v>45.555421776577226</v>
      </c>
      <c r="AB19" s="655">
        <f t="shared" si="24"/>
        <v>5.8533289382447151</v>
      </c>
      <c r="AC19" s="655">
        <f t="shared" si="24"/>
        <v>-56.301216096291121</v>
      </c>
      <c r="AD19" s="655">
        <f t="shared" si="24"/>
        <v>48.558641818342444</v>
      </c>
      <c r="AE19" s="655">
        <f t="shared" si="24"/>
        <v>-30.77667489273928</v>
      </c>
      <c r="AF19" s="655">
        <f t="shared" si="24"/>
        <v>-47.367248003941448</v>
      </c>
      <c r="AG19" s="655">
        <f t="shared" si="24"/>
        <v>-56.098838062749699</v>
      </c>
      <c r="AH19" s="655">
        <f t="shared" si="24"/>
        <v>56.997521432285851</v>
      </c>
      <c r="AI19" s="655">
        <f t="shared" si="24"/>
        <v>1.3927788908905807</v>
      </c>
      <c r="AJ19" s="655">
        <f t="shared" si="24"/>
        <v>-27.194004614867701</v>
      </c>
      <c r="AK19" s="655">
        <f t="shared" si="24"/>
        <v>-26.398575972290097</v>
      </c>
      <c r="AL19" s="655">
        <f t="shared" si="24"/>
        <v>22.598662110337962</v>
      </c>
      <c r="AM19" s="676">
        <f>$AM5*AP11</f>
        <v>-1.5795050669050126E-2</v>
      </c>
      <c r="AN19" s="676">
        <f>$AM5*(AP27-$AM9*($AM5-1)*AP19+$AM9^2/6*($AM5-1)*(2*$AM5-1)*AP11)</f>
        <v>-2.5649294429898425E-8</v>
      </c>
      <c r="AO19" s="676">
        <f>AM5*AP19-AM5*(AM5-1)*AM9*AP11/2</f>
        <v>-1.8688211380536509E-5</v>
      </c>
      <c r="AP19" s="1308">
        <f t="shared" si="19"/>
        <v>-1.5267249691162052E-5</v>
      </c>
      <c r="AQ19" s="650"/>
      <c r="AR19" s="676"/>
      <c r="AS19" s="676"/>
      <c r="AT19" s="676"/>
      <c r="AU19" s="676"/>
      <c r="AV19" s="678" t="s">
        <v>1919</v>
      </c>
      <c r="AW19" s="679">
        <f>AW14-AW17</f>
        <v>-0.97185164192079931</v>
      </c>
      <c r="AX19" s="676"/>
      <c r="AY19" s="676"/>
      <c r="AZ19" s="676"/>
      <c r="BA19" s="676"/>
      <c r="BB19" s="676"/>
      <c r="BC19" s="676"/>
      <c r="BG19" s="659">
        <v>0</v>
      </c>
      <c r="BH19" s="659">
        <v>7.5</v>
      </c>
      <c r="BI19" s="659">
        <v>15</v>
      </c>
      <c r="BJ19" s="659">
        <v>22.5</v>
      </c>
      <c r="BK19" s="659">
        <v>30</v>
      </c>
      <c r="BL19" s="659">
        <v>37.5</v>
      </c>
      <c r="BM19" s="659">
        <v>45</v>
      </c>
      <c r="BN19" s="659">
        <v>52.5</v>
      </c>
      <c r="BO19" s="659">
        <v>60</v>
      </c>
      <c r="BP19" s="659">
        <v>67.5</v>
      </c>
      <c r="BQ19" s="659">
        <v>75</v>
      </c>
      <c r="BR19" s="659">
        <v>82.5</v>
      </c>
      <c r="BS19" s="659">
        <v>90</v>
      </c>
      <c r="BT19" s="659"/>
      <c r="BU19" s="674"/>
      <c r="BV19" s="659">
        <v>0</v>
      </c>
      <c r="BW19" s="659">
        <v>7.5</v>
      </c>
      <c r="BX19" s="659">
        <v>15</v>
      </c>
      <c r="BY19" s="659">
        <v>22.5</v>
      </c>
      <c r="BZ19" s="659">
        <v>30</v>
      </c>
      <c r="CA19" s="659">
        <v>37.5</v>
      </c>
      <c r="CB19" s="659">
        <v>45</v>
      </c>
      <c r="CC19" s="659">
        <v>52.5</v>
      </c>
      <c r="CD19" s="659">
        <v>60</v>
      </c>
      <c r="CE19" s="659">
        <v>67.5</v>
      </c>
      <c r="CF19" s="659">
        <v>75</v>
      </c>
      <c r="CG19" s="659">
        <v>82.5</v>
      </c>
      <c r="CH19" s="659">
        <v>90</v>
      </c>
      <c r="CJ19" s="652"/>
      <c r="CK19" s="659">
        <v>0</v>
      </c>
      <c r="CL19" s="659">
        <v>7.5</v>
      </c>
      <c r="CM19" s="659">
        <v>15</v>
      </c>
      <c r="CN19" s="659">
        <v>22.5</v>
      </c>
      <c r="CO19" s="659">
        <v>30</v>
      </c>
      <c r="CP19" s="659">
        <v>37.5</v>
      </c>
      <c r="CQ19" s="659">
        <v>45</v>
      </c>
      <c r="CR19" s="659">
        <v>52.5</v>
      </c>
      <c r="CS19" s="659">
        <v>60</v>
      </c>
      <c r="CT19" s="659">
        <v>67.5</v>
      </c>
      <c r="CU19" s="659">
        <v>75</v>
      </c>
      <c r="CV19" s="659">
        <v>82.5</v>
      </c>
      <c r="CW19" s="659">
        <v>90</v>
      </c>
      <c r="DA19" s="650"/>
      <c r="DF19" s="659">
        <v>16</v>
      </c>
      <c r="DG19" s="659">
        <v>49</v>
      </c>
      <c r="DH19" s="668">
        <v>1</v>
      </c>
      <c r="DI19" s="668">
        <f t="shared" si="6"/>
        <v>49</v>
      </c>
      <c r="DJ19" s="652">
        <v>1</v>
      </c>
      <c r="DK19" s="659">
        <v>49</v>
      </c>
      <c r="DM19" s="50">
        <v>10</v>
      </c>
      <c r="DN19" s="1293">
        <v>1</v>
      </c>
      <c r="DO19" s="1294">
        <v>2</v>
      </c>
      <c r="DP19" s="53"/>
      <c r="DQ19" s="53"/>
      <c r="DR19" s="52"/>
      <c r="DS19" s="53"/>
      <c r="DT19" s="52"/>
      <c r="DU19" s="52"/>
      <c r="DV19" s="52"/>
      <c r="DW19" s="1285"/>
      <c r="DY19" s="50">
        <v>10</v>
      </c>
      <c r="DZ19" s="1293">
        <v>2</v>
      </c>
      <c r="EA19" s="1294">
        <v>2</v>
      </c>
      <c r="EB19" s="53"/>
      <c r="EC19" s="53"/>
      <c r="ED19" s="52"/>
      <c r="EE19" s="53"/>
      <c r="EF19" s="52"/>
      <c r="EG19" s="52"/>
      <c r="EH19" s="52"/>
      <c r="EI19" s="1285"/>
      <c r="EK19" s="50">
        <v>80</v>
      </c>
      <c r="EL19" s="1284">
        <v>1</v>
      </c>
      <c r="EM19" s="53">
        <v>3</v>
      </c>
      <c r="EN19" s="53">
        <v>5</v>
      </c>
      <c r="EO19" s="53">
        <v>5</v>
      </c>
      <c r="EP19" s="53">
        <v>4</v>
      </c>
      <c r="EQ19" s="53">
        <v>4</v>
      </c>
      <c r="ER19" s="1126">
        <v>3</v>
      </c>
      <c r="ES19" s="1126">
        <v>3</v>
      </c>
      <c r="ET19" s="1126">
        <v>2</v>
      </c>
      <c r="EU19" s="1286"/>
    </row>
    <row r="20" spans="1:151">
      <c r="A20" s="1278" t="s">
        <v>2065</v>
      </c>
      <c r="B20" s="1392" t="s">
        <v>1889</v>
      </c>
      <c r="C20" s="1076" t="s">
        <v>1331</v>
      </c>
      <c r="D20" s="1077" t="s">
        <v>1186</v>
      </c>
      <c r="E20" s="1077" t="s">
        <v>915</v>
      </c>
      <c r="F20" s="669" t="s">
        <v>916</v>
      </c>
      <c r="G20" s="669" t="s">
        <v>917</v>
      </c>
      <c r="H20" s="677" t="s">
        <v>918</v>
      </c>
      <c r="I20" s="676"/>
      <c r="J20" s="1277" t="s">
        <v>2066</v>
      </c>
      <c r="L20" s="650">
        <v>3</v>
      </c>
      <c r="M20" s="650">
        <v>1</v>
      </c>
      <c r="N20" s="650">
        <v>3</v>
      </c>
      <c r="O20" s="650">
        <v>1</v>
      </c>
      <c r="T20" s="654"/>
      <c r="V20" s="652" t="s">
        <v>302</v>
      </c>
      <c r="W20" s="659">
        <f>$C$45</f>
        <v>1600</v>
      </c>
      <c r="X20" s="659">
        <f>W20*Y19*U8^F48</f>
        <v>1600</v>
      </c>
      <c r="Y20" s="654">
        <f t="shared" si="23"/>
        <v>1</v>
      </c>
      <c r="Z20" s="652" t="s">
        <v>1349</v>
      </c>
      <c r="AA20" s="655">
        <f t="shared" ref="AA20:AL20" si="25">$T28*SIN(AA6)-AA19</f>
        <v>45.555421776577226</v>
      </c>
      <c r="AB20" s="655">
        <f t="shared" si="25"/>
        <v>42.966302350674816</v>
      </c>
      <c r="AC20" s="655">
        <f t="shared" si="25"/>
        <v>-28.643591897137675</v>
      </c>
      <c r="AD20" s="655">
        <f t="shared" si="25"/>
        <v>42.283675504046563</v>
      </c>
      <c r="AE20" s="655">
        <f t="shared" si="25"/>
        <v>-55.575304436266038</v>
      </c>
      <c r="AF20" s="655">
        <f t="shared" si="25"/>
        <v>-43.649803294465919</v>
      </c>
      <c r="AG20" s="655">
        <f t="shared" si="25"/>
        <v>-29.297714647035384</v>
      </c>
      <c r="AH20" s="655">
        <f t="shared" si="25"/>
        <v>25.57694556341599</v>
      </c>
      <c r="AI20" s="655">
        <f t="shared" si="25"/>
        <v>20.648929091173308</v>
      </c>
      <c r="AJ20" s="655">
        <f t="shared" si="25"/>
        <v>-2.1678947258279457</v>
      </c>
      <c r="AK20" s="655">
        <f t="shared" si="25"/>
        <v>-2.0585219244651682</v>
      </c>
      <c r="AL20" s="655">
        <f t="shared" si="25"/>
        <v>1.5963797645857838</v>
      </c>
      <c r="AM20" s="676">
        <f>$AM5*AP12</f>
        <v>4.3087057813188858E-3</v>
      </c>
      <c r="AN20" s="676">
        <f>$AM5*(AP28-$AM9*($AM5-1)*AP20+$AM9^2/6*($AM5-1)*(2*$AM5-1)*AP12)</f>
        <v>4.6618275603996668E-8</v>
      </c>
      <c r="AO20" s="676">
        <f>AM5*AP20-AM5*(AM5-1)*AM9*AP12/2</f>
        <v>1.5116307013023496E-5</v>
      </c>
      <c r="AP20" s="1308">
        <f t="shared" si="19"/>
        <v>9.1739181745063305E-6</v>
      </c>
      <c r="AQ20" s="650" t="s">
        <v>1158</v>
      </c>
      <c r="AR20" s="676" t="s">
        <v>1159</v>
      </c>
      <c r="AS20" s="676" t="s">
        <v>1160</v>
      </c>
      <c r="AT20" s="676" t="s">
        <v>1161</v>
      </c>
      <c r="AU20" s="676" t="s">
        <v>1162</v>
      </c>
      <c r="AV20" s="678" t="s">
        <v>94</v>
      </c>
      <c r="AW20" s="679">
        <f>(ATAN(AT16/(AT14-AT15)))/2*180/3.1415</f>
        <v>0</v>
      </c>
      <c r="AX20" s="669" t="s">
        <v>1383</v>
      </c>
      <c r="AY20" s="676">
        <f>$X35*AY16^2+2*$X37*AY16*AY17+$X36*AY17^2+$X38*AY18^2</f>
        <v>8.044011210432073E-3</v>
      </c>
      <c r="AZ20" s="676">
        <f>$X$35*AZ16^2+2*$X$37*AZ16*AZ17+$X$36*AZ17^2+$X$38*AZ18^2</f>
        <v>8.2999627285891987E-3</v>
      </c>
      <c r="BA20" s="676">
        <f>$X$35*BA16^2+2*$X$37*BA16*BA17+$X$36*BA17^2+$X$38*BA18^2</f>
        <v>7.8273453472472079E-3</v>
      </c>
      <c r="BB20" s="676">
        <f>$X$35*BB16^2+2*$X$37*BB16*BB17+$X$36*BB17^2+$X$38*BB18^2</f>
        <v>8.0182607477613747E-3</v>
      </c>
      <c r="BC20" s="676"/>
      <c r="BF20" s="664">
        <v>0</v>
      </c>
      <c r="BG20" s="1148">
        <v>1</v>
      </c>
      <c r="BH20" s="1149"/>
      <c r="BI20" s="1149"/>
      <c r="BJ20" s="1149"/>
      <c r="BK20" s="1149"/>
      <c r="BL20" s="1149"/>
      <c r="BM20" s="1149"/>
      <c r="BN20" s="1149"/>
      <c r="BO20" s="1149"/>
      <c r="BP20" s="1149"/>
      <c r="BQ20" s="1149"/>
      <c r="BR20" s="1149"/>
      <c r="BS20" s="1150"/>
      <c r="BU20" s="682">
        <v>0</v>
      </c>
      <c r="BV20" s="1212">
        <v>1</v>
      </c>
      <c r="BW20" s="1200"/>
      <c r="BX20" s="1200"/>
      <c r="BY20" s="1200"/>
      <c r="BZ20" s="1200"/>
      <c r="CA20" s="1200"/>
      <c r="CB20" s="1200"/>
      <c r="CC20" s="1200"/>
      <c r="CD20" s="1200"/>
      <c r="CE20" s="1200"/>
      <c r="CF20" s="1200"/>
      <c r="CG20" s="1200"/>
      <c r="CH20" s="1201"/>
      <c r="CJ20" s="682">
        <v>0</v>
      </c>
      <c r="CK20" s="1175" t="s">
        <v>2085</v>
      </c>
      <c r="CL20" s="1171"/>
      <c r="CM20" s="1171"/>
      <c r="CN20" s="1171"/>
      <c r="CO20" s="1171"/>
      <c r="CP20" s="1171"/>
      <c r="CQ20" s="1171"/>
      <c r="CR20" s="1171"/>
      <c r="CS20" s="1171"/>
      <c r="CT20" s="1171"/>
      <c r="CU20" s="1171"/>
      <c r="CV20" s="1171"/>
      <c r="CW20" s="1172"/>
      <c r="DA20" s="650"/>
      <c r="DF20" s="659">
        <v>17</v>
      </c>
      <c r="DG20" s="659">
        <v>62</v>
      </c>
      <c r="DH20" s="668">
        <v>9</v>
      </c>
      <c r="DI20" s="668">
        <f t="shared" si="6"/>
        <v>62</v>
      </c>
      <c r="DJ20" s="652">
        <v>9</v>
      </c>
      <c r="DK20" s="659">
        <v>62</v>
      </c>
      <c r="DM20" s="50">
        <v>20</v>
      </c>
      <c r="DN20" s="1293">
        <v>2</v>
      </c>
      <c r="DO20" s="1294">
        <v>3</v>
      </c>
      <c r="DP20" s="1294">
        <v>3</v>
      </c>
      <c r="DQ20" s="53"/>
      <c r="DR20" s="52"/>
      <c r="DS20" s="53"/>
      <c r="DT20" s="52"/>
      <c r="DU20" s="52"/>
      <c r="DV20" s="52"/>
      <c r="DW20" s="1285"/>
      <c r="DY20" s="50">
        <v>20</v>
      </c>
      <c r="DZ20" s="1284">
        <v>3</v>
      </c>
      <c r="EA20" s="1294">
        <v>3</v>
      </c>
      <c r="EB20" s="1294">
        <v>3</v>
      </c>
      <c r="EC20" s="53"/>
      <c r="ED20" s="52"/>
      <c r="EE20" s="53"/>
      <c r="EF20" s="52"/>
      <c r="EG20" s="52"/>
      <c r="EH20" s="52"/>
      <c r="EI20" s="1285"/>
      <c r="EK20" s="50">
        <v>90</v>
      </c>
      <c r="EL20" s="1288">
        <v>1</v>
      </c>
      <c r="EM20" s="1289">
        <v>3</v>
      </c>
      <c r="EN20" s="1290">
        <v>5</v>
      </c>
      <c r="EO20" s="1290">
        <v>5</v>
      </c>
      <c r="EP20" s="1290">
        <v>5</v>
      </c>
      <c r="EQ20" s="1290">
        <v>5</v>
      </c>
      <c r="ER20" s="1289">
        <v>4</v>
      </c>
      <c r="ES20" s="1289">
        <v>3</v>
      </c>
      <c r="ET20" s="1289">
        <v>2</v>
      </c>
      <c r="EU20" s="1291">
        <v>1</v>
      </c>
    </row>
    <row r="21" spans="1:151">
      <c r="A21" s="651">
        <f t="shared" ref="A21:A26" si="26">ABS(E21)</f>
        <v>0</v>
      </c>
      <c r="B21" s="874">
        <v>11</v>
      </c>
      <c r="C21" s="1337">
        <f t="shared" ref="C21:E26" si="27">AM88</f>
        <v>91.973739442629409</v>
      </c>
      <c r="D21" s="1338">
        <f t="shared" si="27"/>
        <v>74.961648839399501</v>
      </c>
      <c r="E21" s="1339">
        <f>AO88</f>
        <v>0</v>
      </c>
      <c r="F21" s="682">
        <f>Z106*P11</f>
        <v>12.740641041872857</v>
      </c>
      <c r="G21" s="682">
        <f>AC109*AB114*1000</f>
        <v>16.798915003607696</v>
      </c>
      <c r="H21" s="682">
        <f>AC106*AA114*1000</f>
        <v>0</v>
      </c>
      <c r="I21" s="676"/>
      <c r="J21" s="660">
        <f t="shared" ref="J21:J26" si="28">ABS(D21)</f>
        <v>74.961648839399501</v>
      </c>
      <c r="R21" s="650" t="s">
        <v>1163</v>
      </c>
      <c r="V21" s="652" t="s">
        <v>305</v>
      </c>
      <c r="W21" s="659">
        <f>$D$45</f>
        <v>62</v>
      </c>
      <c r="X21" s="659">
        <f>W21*Y26</f>
        <v>62</v>
      </c>
      <c r="Y21" s="654">
        <f t="shared" si="23"/>
        <v>1</v>
      </c>
      <c r="Z21" s="653"/>
      <c r="AD21" s="656"/>
      <c r="AH21" s="656"/>
      <c r="AI21" s="656"/>
      <c r="AJ21" s="656" t="s">
        <v>1164</v>
      </c>
      <c r="AK21" s="656"/>
      <c r="AL21" s="656"/>
      <c r="AM21" s="655">
        <f>AM15*AM16*AM18+2*AM17*AM19*AM20-AM16*AM19^2-AM18*AM17^2-AM15*AM20^2</f>
        <v>4.1890628669391874E-3</v>
      </c>
      <c r="AN21" s="655">
        <f>AN15*AN16*AN18+2*AN17*AN19*AN20-AN16*AN19^2-AN18*AN17^2-AN15*AN20^2</f>
        <v>1.0948680473640353E-19</v>
      </c>
      <c r="AO21" s="655"/>
      <c r="AQ21" s="652">
        <v>1</v>
      </c>
      <c r="AR21" s="676">
        <f>AR8/$AW$4+AS8/$AW$5</f>
        <v>166.66666666666666</v>
      </c>
      <c r="AS21" s="676">
        <f>AR8/$AW$4-AS8/$AW$5</f>
        <v>166.66666666666666</v>
      </c>
      <c r="AT21" s="676">
        <f>AT8+AU8*$AW$4/2</f>
        <v>2.1234401736454762</v>
      </c>
      <c r="AU21" s="676">
        <f>AT8-AU8*$AW$4/2</f>
        <v>2.1234401736454762</v>
      </c>
      <c r="AV21" s="689" t="s">
        <v>2142</v>
      </c>
      <c r="AW21" s="679">
        <f>IF(AW18&gt;0,AW18/AW29,-AW18/AW30)</f>
        <v>0.34243213816827617</v>
      </c>
      <c r="AX21" s="669" t="s">
        <v>1387</v>
      </c>
      <c r="AY21" s="676">
        <f>$X39*AY16+$X40*AY17</f>
        <v>-4.3040202372273018E-2</v>
      </c>
      <c r="AZ21" s="676">
        <f>$X$39*AZ16+$X$40*AZ17</f>
        <v>-4.4167820159534792E-2</v>
      </c>
      <c r="BA21" s="676">
        <f>$X$39*BA16+$X$40*BA17</f>
        <v>-4.2105344507365146E-2</v>
      </c>
      <c r="BB21" s="676">
        <f>$X$39*BB16+$X$40*BB17</f>
        <v>-4.2928174078263014E-2</v>
      </c>
      <c r="BC21" s="676"/>
      <c r="BF21" s="664">
        <v>7.5</v>
      </c>
      <c r="BG21" s="1151">
        <v>2</v>
      </c>
      <c r="BH21" s="711">
        <v>5</v>
      </c>
      <c r="BO21" s="650"/>
      <c r="BS21" s="1152"/>
      <c r="BU21" s="682">
        <v>7.5</v>
      </c>
      <c r="BV21" s="1213">
        <v>2</v>
      </c>
      <c r="BW21" s="1204">
        <v>4</v>
      </c>
      <c r="BX21" s="1204"/>
      <c r="BY21" s="1204"/>
      <c r="BZ21" s="1204"/>
      <c r="CA21" s="1204"/>
      <c r="CB21" s="1204"/>
      <c r="CC21" s="1204"/>
      <c r="CD21" s="1204"/>
      <c r="CE21" s="1204"/>
      <c r="CF21" s="1204"/>
      <c r="CG21" s="1204"/>
      <c r="CH21" s="1205"/>
      <c r="CJ21" s="682">
        <v>7.5</v>
      </c>
      <c r="CK21" s="1176">
        <v>2</v>
      </c>
      <c r="CL21" s="1177">
        <v>3</v>
      </c>
      <c r="CM21" s="652"/>
      <c r="CN21" s="652"/>
      <c r="CO21" s="652"/>
      <c r="CP21" s="652"/>
      <c r="CQ21" s="652"/>
      <c r="CR21" s="652"/>
      <c r="CS21" s="652"/>
      <c r="CT21" s="652"/>
      <c r="CU21" s="652"/>
      <c r="CV21" s="652"/>
      <c r="CW21" s="1173"/>
      <c r="DA21" s="650"/>
      <c r="DF21" s="659">
        <v>18</v>
      </c>
      <c r="DG21" s="659">
        <v>70</v>
      </c>
      <c r="DH21" s="668">
        <v>20</v>
      </c>
      <c r="DI21" s="668">
        <f t="shared" si="6"/>
        <v>70</v>
      </c>
      <c r="DJ21" s="652">
        <v>20</v>
      </c>
      <c r="DK21" s="659">
        <v>70</v>
      </c>
      <c r="DM21" s="50">
        <v>30</v>
      </c>
      <c r="DN21" s="1293">
        <v>2</v>
      </c>
      <c r="DO21" s="1294">
        <v>2</v>
      </c>
      <c r="DP21" s="1294">
        <v>3</v>
      </c>
      <c r="DQ21" s="1294">
        <v>3</v>
      </c>
      <c r="DR21" s="52"/>
      <c r="DS21" s="53"/>
      <c r="DT21" s="52"/>
      <c r="DU21" s="52"/>
      <c r="DV21" s="52"/>
      <c r="DW21" s="1285"/>
      <c r="DY21" s="50">
        <v>30</v>
      </c>
      <c r="DZ21" s="1284">
        <v>5</v>
      </c>
      <c r="EA21" s="53">
        <v>4</v>
      </c>
      <c r="EB21" s="1294">
        <v>4</v>
      </c>
      <c r="EC21" s="1294">
        <v>4</v>
      </c>
      <c r="ED21" s="52"/>
      <c r="EE21" s="53"/>
      <c r="EF21" s="52"/>
      <c r="EG21" s="52"/>
      <c r="EH21" s="52"/>
      <c r="EI21" s="1285"/>
      <c r="EL21" s="1126">
        <v>0</v>
      </c>
      <c r="EM21" s="1126">
        <v>10</v>
      </c>
      <c r="EN21" s="1126">
        <v>20</v>
      </c>
      <c r="EO21" s="1126">
        <v>30</v>
      </c>
      <c r="EP21" s="1126">
        <v>40</v>
      </c>
      <c r="EQ21" s="1126">
        <v>50</v>
      </c>
      <c r="ER21" s="1126">
        <v>60</v>
      </c>
      <c r="ES21" s="1126">
        <v>70</v>
      </c>
      <c r="ET21" s="1126">
        <v>80</v>
      </c>
      <c r="EU21" s="1126">
        <v>90</v>
      </c>
    </row>
    <row r="22" spans="1:151">
      <c r="A22" s="651">
        <f t="shared" si="26"/>
        <v>0</v>
      </c>
      <c r="B22" s="874">
        <v>22</v>
      </c>
      <c r="C22" s="1337">
        <f t="shared" si="27"/>
        <v>61.876325361322237</v>
      </c>
      <c r="D22" s="1338">
        <f t="shared" si="27"/>
        <v>70.113033337514196</v>
      </c>
      <c r="E22" s="1339">
        <f t="shared" si="27"/>
        <v>0</v>
      </c>
      <c r="F22" s="682">
        <f>AA107*P11</f>
        <v>18.778941713499954</v>
      </c>
      <c r="G22" s="682">
        <f>AD110*AB114*1000</f>
        <v>18.097552374777127</v>
      </c>
      <c r="H22" s="682">
        <f>AD107*AA114*1000</f>
        <v>0</v>
      </c>
      <c r="I22" s="676"/>
      <c r="J22" s="660">
        <f t="shared" si="28"/>
        <v>70.113033337514196</v>
      </c>
      <c r="R22" s="652" t="s">
        <v>1354</v>
      </c>
      <c r="S22" s="654">
        <f>S5/(1-S7^2*S6/S5)</f>
        <v>192.22546248373467</v>
      </c>
      <c r="T22" s="654">
        <f>T5/(1-T7^2*T6/T5)</f>
        <v>192.22546248373467</v>
      </c>
      <c r="U22" s="660">
        <f>T22/S22</f>
        <v>1</v>
      </c>
      <c r="V22" s="652" t="s">
        <v>1542</v>
      </c>
      <c r="W22" s="659">
        <f>$E$45</f>
        <v>98</v>
      </c>
      <c r="X22" s="659">
        <f>W22*Y26</f>
        <v>98</v>
      </c>
      <c r="Y22" s="654">
        <f t="shared" si="23"/>
        <v>1</v>
      </c>
      <c r="Z22" s="652" t="s">
        <v>1355</v>
      </c>
      <c r="AA22" s="656" t="s">
        <v>1169</v>
      </c>
      <c r="AB22" s="656" t="s">
        <v>1170</v>
      </c>
      <c r="AC22" s="656" t="s">
        <v>1357</v>
      </c>
      <c r="AD22" s="656" t="s">
        <v>1171</v>
      </c>
      <c r="AE22" s="656" t="s">
        <v>1358</v>
      </c>
      <c r="AF22" s="656" t="s">
        <v>1172</v>
      </c>
      <c r="AG22" s="656"/>
      <c r="AN22" s="652" t="s">
        <v>1988</v>
      </c>
      <c r="AO22" s="676">
        <f>AO15+AO16+2*AO18</f>
        <v>9.8014157037522157E-4</v>
      </c>
      <c r="AP22" s="652" t="s">
        <v>1173</v>
      </c>
      <c r="AQ22" s="652">
        <v>2</v>
      </c>
      <c r="AR22" s="676">
        <f>AR9/$AW$4+AS9/$AW$5</f>
        <v>0</v>
      </c>
      <c r="AS22" s="676">
        <f>AR9/$AW$4-AS9/$AW$5</f>
        <v>0</v>
      </c>
      <c r="AT22" s="676">
        <f>AT9+AU9*$AW$4/2</f>
        <v>-0.95939719117662547</v>
      </c>
      <c r="AU22" s="676">
        <f>AT9-AU9*$AW$4/2</f>
        <v>-0.95939719117662547</v>
      </c>
      <c r="AV22" s="689" t="s">
        <v>2143</v>
      </c>
      <c r="AW22" s="679">
        <f>IF(AW19&gt;0,AW19/AW29,-AW19/AW30)</f>
        <v>0.11601478975429542</v>
      </c>
      <c r="AX22" s="669" t="s">
        <v>1390</v>
      </c>
      <c r="AY22" s="676">
        <f>AY20+AY21</f>
        <v>-3.4996191161840946E-2</v>
      </c>
      <c r="AZ22" s="676">
        <f>AZ20+AZ21</f>
        <v>-3.5867857430945595E-2</v>
      </c>
      <c r="BA22" s="676">
        <f>BA20+BA21</f>
        <v>-3.4277999160117936E-2</v>
      </c>
      <c r="BB22" s="676">
        <f>BB20+BB21</f>
        <v>-3.4909913330501641E-2</v>
      </c>
      <c r="BC22" s="676"/>
      <c r="BF22" s="664">
        <v>15</v>
      </c>
      <c r="BG22" s="1151">
        <v>6</v>
      </c>
      <c r="BH22" s="650">
        <v>4</v>
      </c>
      <c r="BI22" s="711">
        <v>5</v>
      </c>
      <c r="BO22" s="650"/>
      <c r="BS22" s="1152"/>
      <c r="BU22" s="682">
        <v>15</v>
      </c>
      <c r="BV22" s="1213">
        <v>2</v>
      </c>
      <c r="BW22" s="1204">
        <v>6</v>
      </c>
      <c r="BX22" s="1204">
        <v>7</v>
      </c>
      <c r="BY22" s="1204"/>
      <c r="BZ22" s="1204"/>
      <c r="CA22" s="1204"/>
      <c r="CB22" s="1204"/>
      <c r="CC22" s="1204"/>
      <c r="CD22" s="1204"/>
      <c r="CE22" s="1204"/>
      <c r="CF22" s="1204"/>
      <c r="CG22" s="1204"/>
      <c r="CH22" s="1205"/>
      <c r="CJ22" s="682">
        <v>15</v>
      </c>
      <c r="CK22" s="1176">
        <v>6</v>
      </c>
      <c r="CL22" s="1177">
        <v>4</v>
      </c>
      <c r="CM22" s="1177">
        <v>5</v>
      </c>
      <c r="CN22" s="652"/>
      <c r="CO22" s="652"/>
      <c r="CP22" s="652"/>
      <c r="CQ22" s="652"/>
      <c r="CR22" s="652"/>
      <c r="CS22" s="652"/>
      <c r="CT22" s="652"/>
      <c r="CU22" s="652"/>
      <c r="CV22" s="652"/>
      <c r="CW22" s="1173"/>
      <c r="DA22" s="650"/>
      <c r="DF22" s="659">
        <v>19</v>
      </c>
      <c r="DG22" s="659">
        <v>80</v>
      </c>
      <c r="DH22" s="668">
        <v>28</v>
      </c>
      <c r="DI22" s="668">
        <f t="shared" si="6"/>
        <v>80</v>
      </c>
      <c r="DJ22" s="652">
        <v>28</v>
      </c>
      <c r="DK22" s="659">
        <v>80</v>
      </c>
      <c r="DM22" s="50">
        <v>40</v>
      </c>
      <c r="DN22" s="1293">
        <v>2</v>
      </c>
      <c r="DO22" s="1294">
        <v>1</v>
      </c>
      <c r="DP22" s="1294">
        <v>3</v>
      </c>
      <c r="DQ22" s="1294">
        <v>4</v>
      </c>
      <c r="DR22" s="1126">
        <v>3</v>
      </c>
      <c r="DS22" s="53"/>
      <c r="DT22" s="52"/>
      <c r="DU22" s="52"/>
      <c r="DV22" s="52"/>
      <c r="DW22" s="1285"/>
      <c r="DY22" s="50">
        <v>40</v>
      </c>
      <c r="DZ22" s="1284">
        <v>7</v>
      </c>
      <c r="EA22" s="53">
        <v>6</v>
      </c>
      <c r="EB22" s="53">
        <v>5</v>
      </c>
      <c r="EC22" s="1294">
        <v>4</v>
      </c>
      <c r="ED22" s="1295">
        <v>3</v>
      </c>
      <c r="EE22" s="53"/>
      <c r="EF22" s="52"/>
      <c r="EG22" s="52"/>
      <c r="EH22" s="52"/>
      <c r="EI22" s="1285"/>
    </row>
    <row r="23" spans="1:151">
      <c r="A23" s="651">
        <f t="shared" si="26"/>
        <v>0</v>
      </c>
      <c r="B23" s="874">
        <v>21</v>
      </c>
      <c r="C23" s="1337">
        <f t="shared" si="27"/>
        <v>27.690907910703331</v>
      </c>
      <c r="D23" s="1338">
        <f t="shared" si="27"/>
        <v>32.078599224222323</v>
      </c>
      <c r="E23" s="1339">
        <f t="shared" si="27"/>
        <v>0</v>
      </c>
      <c r="F23" s="682">
        <f>AA106*P11</f>
        <v>-5.7563831470597542</v>
      </c>
      <c r="G23" s="682">
        <f>AD109*AB114*1000</f>
        <v>-7.8659816139332408</v>
      </c>
      <c r="H23" s="682">
        <f>AD106*AA114*1000</f>
        <v>0</v>
      </c>
      <c r="I23" s="659">
        <f>AA109*AA114*1000</f>
        <v>0</v>
      </c>
      <c r="J23" s="660">
        <f t="shared" si="28"/>
        <v>32.078599224222323</v>
      </c>
      <c r="R23" s="652" t="s">
        <v>1361</v>
      </c>
      <c r="S23" s="654">
        <f>S22*S6/S5</f>
        <v>10.003775377425772</v>
      </c>
      <c r="T23" s="654">
        <f>T22*T6/T5</f>
        <v>10.003775377425772</v>
      </c>
      <c r="U23" s="660">
        <f>T23/S23</f>
        <v>1</v>
      </c>
      <c r="V23" s="652" t="s">
        <v>1543</v>
      </c>
      <c r="W23" s="682">
        <f>$F$45</f>
        <v>75</v>
      </c>
      <c r="X23" s="682">
        <f>W23*Y26</f>
        <v>75</v>
      </c>
      <c r="Y23" s="654">
        <f t="shared" si="23"/>
        <v>1</v>
      </c>
      <c r="Z23" s="652">
        <v>11</v>
      </c>
      <c r="AA23" s="655">
        <f>(AM16*AM18-AM20^2)/AM21</f>
        <v>4.2468803472909515</v>
      </c>
      <c r="AB23" s="655">
        <f>(AN16*AN18-AN20^2)/AN21</f>
        <v>1866546.1115119664</v>
      </c>
      <c r="AC23" s="655">
        <f>AA23*$AM12</f>
        <v>2.5481282083745709E-2</v>
      </c>
      <c r="AD23" s="655">
        <f>AB23*$AN12</f>
        <v>3.3597830007215397E-2</v>
      </c>
      <c r="AE23" s="651">
        <f>1/AC23</f>
        <v>39.244493142591573</v>
      </c>
      <c r="AF23" s="651">
        <f>1/AD23</f>
        <v>29.76382700267375</v>
      </c>
      <c r="AG23" s="654"/>
      <c r="AO23" s="698">
        <f t="shared" ref="AO23:AO28" si="29">AP23/AP64</f>
        <v>1</v>
      </c>
      <c r="AP23" s="676">
        <f t="shared" ref="AP23:AP28" si="30">(AA15*AA$13+AB15*AB$13+AC15*AC$13+AD15*AD$13+AE15*AE$13+AF15*AF$13+AG15*AG$13+AH15*AH$13+AI15*AI$13+AJ15*AJ$13+AK15*AK$13+AL15*AL$13)*$AN$12/2</f>
        <v>6.069652082798388E-7</v>
      </c>
      <c r="AQ23" s="652">
        <v>6</v>
      </c>
      <c r="AR23" s="676">
        <f>AR10/$AW$4+AS10/$AW$5</f>
        <v>0</v>
      </c>
      <c r="AS23" s="676">
        <f>AR10/$AW$4-AS10/$AW$5</f>
        <v>0</v>
      </c>
      <c r="AT23" s="676">
        <f>AT10+AU10*$AW$4/2</f>
        <v>0.39268389045548757</v>
      </c>
      <c r="AU23" s="676">
        <f>AT10-AU10*$AW$4/2</f>
        <v>0.39268389045548757</v>
      </c>
      <c r="AV23" s="691" t="s">
        <v>2144</v>
      </c>
      <c r="AW23" s="679">
        <f>1/(AW21^2+AW22^2)^0.5</f>
        <v>2.7658607299566107</v>
      </c>
      <c r="AX23" s="669" t="s">
        <v>1395</v>
      </c>
      <c r="AY23" s="676">
        <f>-1+AY22</f>
        <v>-1.0349961911618411</v>
      </c>
      <c r="AZ23" s="676">
        <f>-1+AZ22</f>
        <v>-1.0358678574309457</v>
      </c>
      <c r="BA23" s="676">
        <f>-1+BA22</f>
        <v>-1.0342779991601179</v>
      </c>
      <c r="BB23" s="676">
        <f>-1+BB22</f>
        <v>-1.0349099133305018</v>
      </c>
      <c r="BC23" s="676"/>
      <c r="BF23" s="664">
        <v>22.5</v>
      </c>
      <c r="BG23" s="1151">
        <v>6</v>
      </c>
      <c r="BH23" s="650">
        <v>5</v>
      </c>
      <c r="BI23" s="650">
        <v>6</v>
      </c>
      <c r="BJ23" s="711">
        <v>7</v>
      </c>
      <c r="BO23" s="650"/>
      <c r="BS23" s="1152"/>
      <c r="BU23" s="682">
        <v>22.5</v>
      </c>
      <c r="BV23" s="1213">
        <v>3</v>
      </c>
      <c r="BW23" s="1204">
        <v>6</v>
      </c>
      <c r="BX23" s="1204">
        <v>8</v>
      </c>
      <c r="BY23" s="1204">
        <v>9</v>
      </c>
      <c r="BZ23" s="1204"/>
      <c r="CA23" s="1204"/>
      <c r="CB23" s="1204"/>
      <c r="CC23" s="1204"/>
      <c r="CD23" s="1204"/>
      <c r="CE23" s="1204"/>
      <c r="CF23" s="1204"/>
      <c r="CG23" s="1204"/>
      <c r="CH23" s="1205"/>
      <c r="CJ23" s="682">
        <v>22.5</v>
      </c>
      <c r="CK23" s="1176">
        <v>6</v>
      </c>
      <c r="CL23" s="1177">
        <v>5</v>
      </c>
      <c r="CM23" s="1177">
        <v>6</v>
      </c>
      <c r="CN23" s="1177">
        <v>6</v>
      </c>
      <c r="CO23" s="652"/>
      <c r="CP23" s="652"/>
      <c r="CQ23" s="652"/>
      <c r="CR23" s="652"/>
      <c r="CS23" s="652"/>
      <c r="CT23" s="652"/>
      <c r="CU23" s="652"/>
      <c r="CV23" s="652"/>
      <c r="CW23" s="1173"/>
      <c r="DA23" s="650"/>
      <c r="DF23" s="659">
        <v>20</v>
      </c>
      <c r="DG23" s="659">
        <v>55</v>
      </c>
      <c r="DH23" s="668">
        <v>10</v>
      </c>
      <c r="DI23" s="668">
        <f t="shared" si="6"/>
        <v>55</v>
      </c>
      <c r="DJ23" s="652">
        <v>10</v>
      </c>
      <c r="DK23" s="659">
        <v>55</v>
      </c>
      <c r="DM23" s="50">
        <v>50</v>
      </c>
      <c r="DN23" s="1293">
        <v>2</v>
      </c>
      <c r="DO23" s="1294">
        <v>2</v>
      </c>
      <c r="DP23" s="1294">
        <v>4</v>
      </c>
      <c r="DQ23" s="1294">
        <v>4</v>
      </c>
      <c r="DR23" s="1126">
        <v>4</v>
      </c>
      <c r="DS23" s="53">
        <v>3</v>
      </c>
      <c r="DT23" s="52"/>
      <c r="DU23" s="52"/>
      <c r="DV23" s="52"/>
      <c r="DW23" s="1285"/>
      <c r="DY23" s="50">
        <v>50</v>
      </c>
      <c r="DZ23" s="1284">
        <v>9</v>
      </c>
      <c r="EA23" s="53">
        <v>8</v>
      </c>
      <c r="EB23" s="53">
        <v>7</v>
      </c>
      <c r="EC23" s="53">
        <v>4</v>
      </c>
      <c r="ED23" s="1295">
        <v>3</v>
      </c>
      <c r="EE23" s="1294">
        <v>3</v>
      </c>
      <c r="EF23" s="52"/>
      <c r="EG23" s="52"/>
      <c r="EH23" s="52"/>
      <c r="EI23" s="1285"/>
    </row>
    <row r="24" spans="1:151">
      <c r="A24" s="651">
        <f t="shared" si="26"/>
        <v>0</v>
      </c>
      <c r="B24" s="874">
        <v>66</v>
      </c>
      <c r="C24" s="1337">
        <f t="shared" si="27"/>
        <v>31.979586528604301</v>
      </c>
      <c r="D24" s="1338">
        <f t="shared" si="27"/>
        <v>36.367277842123322</v>
      </c>
      <c r="E24" s="1339">
        <f t="shared" si="27"/>
        <v>0</v>
      </c>
      <c r="F24" s="682">
        <f>AB108*P11</f>
        <v>31.738288885234638</v>
      </c>
      <c r="G24" s="682">
        <f>AE111*AB114*1000</f>
        <v>28.143137944218171</v>
      </c>
      <c r="H24" s="682">
        <f>AE108*AA114*1000</f>
        <v>0</v>
      </c>
      <c r="I24" s="659"/>
      <c r="J24" s="660">
        <f t="shared" si="28"/>
        <v>36.367277842123322</v>
      </c>
      <c r="R24" s="652" t="s">
        <v>1365</v>
      </c>
      <c r="S24" s="654">
        <f>S23*S7</f>
        <v>3.5013213820990199</v>
      </c>
      <c r="T24" s="654">
        <f>T23*T7</f>
        <v>3.5013213820990199</v>
      </c>
      <c r="U24" s="660">
        <f>T24/S24</f>
        <v>1</v>
      </c>
      <c r="V24" s="652" t="s">
        <v>1168</v>
      </c>
      <c r="W24" s="660">
        <f>$B$46</f>
        <v>-0.5</v>
      </c>
      <c r="X24" s="660">
        <v>-0.5</v>
      </c>
      <c r="Y24" s="654">
        <f t="shared" si="23"/>
        <v>1</v>
      </c>
      <c r="Z24" s="652">
        <v>22</v>
      </c>
      <c r="AA24" s="655">
        <f>(AM15*AM18-AM19^2)/AM21</f>
        <v>6.2596472378333177</v>
      </c>
      <c r="AB24" s="655">
        <f>(AN15*AN18-AN19^2)/AN21</f>
        <v>2010839.1527530137</v>
      </c>
      <c r="AC24" s="655">
        <f>AA24*$AM12</f>
        <v>3.7557883426999908E-2</v>
      </c>
      <c r="AD24" s="655">
        <f>AB24*$AN12</f>
        <v>3.6195104749554244E-2</v>
      </c>
      <c r="AE24" s="651">
        <f>1/AC24</f>
        <v>26.625568555897697</v>
      </c>
      <c r="AF24" s="651">
        <f>1/AD24</f>
        <v>27.628045475191374</v>
      </c>
      <c r="AG24" s="654"/>
      <c r="AO24" s="698">
        <f t="shared" si="29"/>
        <v>1</v>
      </c>
      <c r="AP24" s="676">
        <f t="shared" si="30"/>
        <v>5.4366193706893374E-7</v>
      </c>
      <c r="AQ24" s="652" t="s">
        <v>1177</v>
      </c>
      <c r="AR24" s="676">
        <f>(AR21^2-AR21*AR22+AR22^2+3*AR23^2)^0.5</f>
        <v>166.66666666666666</v>
      </c>
      <c r="AS24" s="676">
        <f>(AS21^2-AS21*AS22+AS22^2+3*AS23^2)^0.5</f>
        <v>166.66666666666666</v>
      </c>
      <c r="AT24" s="676">
        <f>(AT21^2+AT22^2+AT23^2/2)^0.5</f>
        <v>2.3466021095193699</v>
      </c>
      <c r="AU24" s="676">
        <f>(AU21^2+AU22^2+AU23^2/2)^0.5</f>
        <v>2.3466021095193699</v>
      </c>
      <c r="AV24" s="689" t="s">
        <v>2145</v>
      </c>
      <c r="AW24" s="679">
        <f>IF(AW18&gt;0,AW18/AW31,-AW18/AW32)</f>
        <v>0.12552488407951481</v>
      </c>
      <c r="AX24" s="669" t="s">
        <v>919</v>
      </c>
      <c r="AY24" s="676">
        <f>2*($X35*AY7*AY16+$X36*AY8*AY17+$X37*(AY7*AY17+AY16*AY8)+$X38*AY9*AY18)</f>
        <v>-1.0829471594835296E-2</v>
      </c>
      <c r="AZ24" s="676">
        <f>2*($X$35*AZ7*AZ16+$X$36*AZ8*AZ17+$X$37*(AZ7*AZ17+AZ16*AZ8)+$X$38*AZ9*AZ18)</f>
        <v>-4.1825590834124023E-2</v>
      </c>
      <c r="BA24" s="676">
        <f>2*($X$35*BA7*BA16+$X$36*BA8*BA17+$X$37*(BA7*BA17+BA16*BA8)+$X$38*BA9*BA18)</f>
        <v>-6.5266131952248941E-3</v>
      </c>
      <c r="BB24" s="676">
        <f>2*($X$35*BB7*BB16+$X$36*BB8*BB17+$X$37*(BB7*BB17+BB16*BB8)+$X$38*BB9*BB18)</f>
        <v>-8.1400405282595727E-3</v>
      </c>
      <c r="BC24" s="676"/>
      <c r="BF24" s="664">
        <v>30</v>
      </c>
      <c r="BG24" s="1245">
        <v>9</v>
      </c>
      <c r="BH24" s="711">
        <v>9</v>
      </c>
      <c r="BI24" s="711">
        <v>7</v>
      </c>
      <c r="BJ24" s="711">
        <v>5</v>
      </c>
      <c r="BK24" s="711">
        <v>5</v>
      </c>
      <c r="BO24" s="650"/>
      <c r="BS24" s="1152"/>
      <c r="BU24" s="682">
        <v>30</v>
      </c>
      <c r="BV24" s="1214">
        <v>5</v>
      </c>
      <c r="BW24" s="1215">
        <v>7</v>
      </c>
      <c r="BX24" s="1204">
        <v>8</v>
      </c>
      <c r="BY24" s="1204">
        <v>9</v>
      </c>
      <c r="BZ24" s="1204">
        <v>10</v>
      </c>
      <c r="CA24" s="1204"/>
      <c r="CB24" s="1204"/>
      <c r="CC24" s="1204"/>
      <c r="CD24" s="1204"/>
      <c r="CE24" s="1204"/>
      <c r="CF24" s="1204"/>
      <c r="CG24" s="1204"/>
      <c r="CH24" s="1205"/>
      <c r="CJ24" s="682">
        <v>30</v>
      </c>
      <c r="CK24" s="1220">
        <v>5</v>
      </c>
      <c r="CL24" s="1240">
        <v>7</v>
      </c>
      <c r="CM24" s="1177">
        <v>7</v>
      </c>
      <c r="CN24" s="1177">
        <v>7</v>
      </c>
      <c r="CO24" s="1177">
        <v>4</v>
      </c>
      <c r="CP24" s="652"/>
      <c r="CQ24" s="652"/>
      <c r="CR24" s="652"/>
      <c r="CS24" s="652"/>
      <c r="CT24" s="652"/>
      <c r="CU24" s="652"/>
      <c r="CV24" s="652"/>
      <c r="CW24" s="1173"/>
      <c r="DA24" s="650"/>
      <c r="DF24" s="659">
        <v>21</v>
      </c>
      <c r="DG24" s="659">
        <v>64</v>
      </c>
      <c r="DH24" s="668">
        <v>18</v>
      </c>
      <c r="DI24" s="668">
        <f t="shared" si="6"/>
        <v>64</v>
      </c>
      <c r="DJ24" s="652">
        <v>18</v>
      </c>
      <c r="DK24" s="659">
        <v>64</v>
      </c>
      <c r="DM24" s="50">
        <v>60</v>
      </c>
      <c r="DN24" s="1293">
        <v>2</v>
      </c>
      <c r="DO24" s="1294">
        <v>2</v>
      </c>
      <c r="DP24" s="1294">
        <v>4</v>
      </c>
      <c r="DQ24" s="1294">
        <v>5</v>
      </c>
      <c r="DR24" s="1126">
        <v>4</v>
      </c>
      <c r="DS24" s="53">
        <v>3</v>
      </c>
      <c r="DT24" s="1126">
        <v>4</v>
      </c>
      <c r="DU24" s="52"/>
      <c r="DV24" s="52"/>
      <c r="DW24" s="1285"/>
      <c r="DY24" s="50">
        <v>60</v>
      </c>
      <c r="DZ24" s="1284">
        <v>10</v>
      </c>
      <c r="EA24" s="53">
        <v>9</v>
      </c>
      <c r="EB24" s="53">
        <v>8</v>
      </c>
      <c r="EC24" s="53">
        <v>6</v>
      </c>
      <c r="ED24" s="1126">
        <v>4</v>
      </c>
      <c r="EE24" s="1294">
        <v>4</v>
      </c>
      <c r="EF24" s="1295">
        <v>4</v>
      </c>
      <c r="EG24" s="52"/>
      <c r="EH24" s="52"/>
      <c r="EI24" s="1285"/>
    </row>
    <row r="25" spans="1:151">
      <c r="A25" s="651">
        <f t="shared" si="26"/>
        <v>0</v>
      </c>
      <c r="B25" s="874">
        <v>61</v>
      </c>
      <c r="C25" s="1337">
        <f t="shared" si="27"/>
        <v>-5.2650168896833751</v>
      </c>
      <c r="D25" s="1338">
        <f t="shared" si="27"/>
        <v>-2.8499216033220471</v>
      </c>
      <c r="E25" s="1339">
        <f t="shared" si="27"/>
        <v>0</v>
      </c>
      <c r="F25" s="682">
        <f>AB106*P11</f>
        <v>2.3561033427329257</v>
      </c>
      <c r="G25" s="682">
        <f>AE109*AB114*1000</f>
        <v>2.4368023586328542</v>
      </c>
      <c r="H25" s="682">
        <f>AE106*AA114*1000</f>
        <v>0</v>
      </c>
      <c r="I25" s="659">
        <f>AB109*AA114*1000</f>
        <v>0</v>
      </c>
      <c r="J25" s="660">
        <f t="shared" si="28"/>
        <v>2.8499216033220471</v>
      </c>
      <c r="R25" s="652" t="s">
        <v>1370</v>
      </c>
      <c r="S25" s="654">
        <f>S8</f>
        <v>7.79</v>
      </c>
      <c r="T25" s="654">
        <f>T8</f>
        <v>7.79</v>
      </c>
      <c r="U25" s="660">
        <f>T25/S25</f>
        <v>1</v>
      </c>
      <c r="V25" s="652" t="s">
        <v>1175</v>
      </c>
      <c r="W25" s="659">
        <f>W19/S11</f>
        <v>5078.125</v>
      </c>
      <c r="X25" s="659">
        <f>$I$34*X8^$H$47</f>
        <v>5078.125</v>
      </c>
      <c r="Y25" s="654">
        <f t="shared" si="23"/>
        <v>1</v>
      </c>
      <c r="Z25" s="652" t="s">
        <v>1345</v>
      </c>
      <c r="AA25" s="655">
        <f>(AM19*AM20-AM17*AM18)/AM21</f>
        <v>-1.9187943823532509</v>
      </c>
      <c r="AB25" s="655">
        <f>(AN19*AN20-AN17*AN18)/AN21</f>
        <v>-873997.95710369328</v>
      </c>
      <c r="AC25" s="655">
        <f>AA25*$AM12</f>
        <v>-1.1512766294119505E-2</v>
      </c>
      <c r="AD25" s="655">
        <f>AB25*$AN12</f>
        <v>-1.5731963227866477E-2</v>
      </c>
      <c r="AE25" s="651">
        <f>-AC25/AC23</f>
        <v>0.45181267788183233</v>
      </c>
      <c r="AF25" s="651">
        <f>-AD25/AD23</f>
        <v>0.46824343192664275</v>
      </c>
      <c r="AG25" s="654"/>
      <c r="AO25" s="698">
        <f t="shared" si="29"/>
        <v>1</v>
      </c>
      <c r="AP25" s="676">
        <f t="shared" si="30"/>
        <v>2.4853695728796235E-7</v>
      </c>
      <c r="AQ25" s="652"/>
      <c r="AR25" s="652" t="s">
        <v>1178</v>
      </c>
      <c r="AS25" s="669">
        <f>MAX(AR24,AS24)</f>
        <v>166.66666666666666</v>
      </c>
      <c r="AT25" s="669" t="s">
        <v>1179</v>
      </c>
      <c r="AU25" s="676">
        <f>MAX(AU24,AV24)</f>
        <v>2.3466021095193699</v>
      </c>
      <c r="AV25" s="689" t="s">
        <v>2146</v>
      </c>
      <c r="AW25" s="679">
        <f>IF(AW19&gt;0,AW19/AW31,-AW19/AW32)</f>
        <v>0.11601478975429542</v>
      </c>
      <c r="AX25" s="669" t="s">
        <v>1403</v>
      </c>
      <c r="AY25" s="676">
        <f>AY24+AY12</f>
        <v>-1.9726719437496522E-2</v>
      </c>
      <c r="AZ25" s="676">
        <f>AZ24+AZ12</f>
        <v>8.6323353215961934E-2</v>
      </c>
      <c r="BA25" s="676">
        <f>BA24+BA12</f>
        <v>-3.294273744406815E-2</v>
      </c>
      <c r="BB25" s="676">
        <f>BB24+BB12</f>
        <v>-2.8617968751351499E-2</v>
      </c>
      <c r="BC25" s="650" t="s">
        <v>1197</v>
      </c>
      <c r="BF25" s="664">
        <v>37.5</v>
      </c>
      <c r="BG25" s="1151">
        <v>12</v>
      </c>
      <c r="BH25" s="650">
        <v>12</v>
      </c>
      <c r="BI25" s="650">
        <v>10</v>
      </c>
      <c r="BJ25" s="650">
        <v>7</v>
      </c>
      <c r="BK25" s="650">
        <v>7</v>
      </c>
      <c r="BL25" s="711">
        <v>7</v>
      </c>
      <c r="BO25" s="650"/>
      <c r="BS25" s="1152"/>
      <c r="BU25" s="682">
        <v>37.5</v>
      </c>
      <c r="BV25" s="1214">
        <v>5</v>
      </c>
      <c r="BW25" s="1215">
        <v>7</v>
      </c>
      <c r="BX25" s="1204">
        <v>8</v>
      </c>
      <c r="BY25" s="1204">
        <v>9</v>
      </c>
      <c r="BZ25" s="1204">
        <v>9</v>
      </c>
      <c r="CA25" s="1204">
        <v>9</v>
      </c>
      <c r="CB25" s="1204"/>
      <c r="CC25" s="1204"/>
      <c r="CD25" s="1204"/>
      <c r="CE25" s="1204"/>
      <c r="CF25" s="1204"/>
      <c r="CG25" s="1204"/>
      <c r="CH25" s="1205"/>
      <c r="CJ25" s="682">
        <v>37.5</v>
      </c>
      <c r="CK25" s="1220">
        <v>7</v>
      </c>
      <c r="CL25" s="652">
        <v>7</v>
      </c>
      <c r="CM25" s="1240">
        <v>8</v>
      </c>
      <c r="CN25" s="1177">
        <v>7</v>
      </c>
      <c r="CO25" s="1177">
        <v>7</v>
      </c>
      <c r="CP25" s="1177">
        <v>6</v>
      </c>
      <c r="CQ25" s="652"/>
      <c r="CR25" s="652"/>
      <c r="CS25" s="652"/>
      <c r="CT25" s="652"/>
      <c r="CU25" s="652"/>
      <c r="CV25" s="652"/>
      <c r="CW25" s="1173"/>
      <c r="DA25" s="650"/>
      <c r="DF25" s="659">
        <v>22</v>
      </c>
      <c r="DG25" s="659">
        <v>72</v>
      </c>
      <c r="DH25" s="668">
        <v>27</v>
      </c>
      <c r="DI25" s="668">
        <f t="shared" si="6"/>
        <v>72</v>
      </c>
      <c r="DJ25" s="652">
        <v>27</v>
      </c>
      <c r="DK25" s="659">
        <v>72</v>
      </c>
      <c r="DM25" s="50">
        <v>70</v>
      </c>
      <c r="DN25" s="1293">
        <v>2</v>
      </c>
      <c r="DO25" s="1294">
        <v>3</v>
      </c>
      <c r="DP25" s="1294">
        <v>4</v>
      </c>
      <c r="DQ25" s="1294">
        <v>4</v>
      </c>
      <c r="DR25" s="1126">
        <v>5</v>
      </c>
      <c r="DS25" s="53">
        <v>3</v>
      </c>
      <c r="DT25" s="1126">
        <v>4</v>
      </c>
      <c r="DU25" s="1126">
        <v>3</v>
      </c>
      <c r="DV25" s="1126"/>
      <c r="DW25" s="1286"/>
      <c r="DY25" s="50">
        <v>70</v>
      </c>
      <c r="DZ25" s="1284">
        <v>10</v>
      </c>
      <c r="EA25" s="53">
        <v>10</v>
      </c>
      <c r="EB25" s="53">
        <v>8</v>
      </c>
      <c r="EC25" s="53">
        <v>8</v>
      </c>
      <c r="ED25" s="1126">
        <v>7</v>
      </c>
      <c r="EE25" s="53">
        <v>5</v>
      </c>
      <c r="EF25" s="1295">
        <v>4</v>
      </c>
      <c r="EG25" s="1295">
        <v>3</v>
      </c>
      <c r="EH25" s="1126"/>
      <c r="EI25" s="1286"/>
    </row>
    <row r="26" spans="1:151">
      <c r="A26" s="651">
        <f t="shared" si="26"/>
        <v>0</v>
      </c>
      <c r="B26" s="874">
        <v>62</v>
      </c>
      <c r="C26" s="1386">
        <f t="shared" si="27"/>
        <v>1.4362352604396287</v>
      </c>
      <c r="D26" s="1387">
        <f t="shared" si="27"/>
        <v>5.1798084004440748</v>
      </c>
      <c r="E26" s="1388">
        <f t="shared" si="27"/>
        <v>0</v>
      </c>
      <c r="F26" s="682">
        <f>AB107*P11</f>
        <v>-1.791093599168162</v>
      </c>
      <c r="G26" s="682">
        <f>AE110*AB114*1000</f>
        <v>-3.1940604753398687</v>
      </c>
      <c r="H26" s="682">
        <f>AE107*AA114*1000</f>
        <v>0</v>
      </c>
      <c r="I26" s="659">
        <f>AB110*AA114*1000</f>
        <v>0</v>
      </c>
      <c r="J26" s="660">
        <f t="shared" si="28"/>
        <v>5.1798084004440748</v>
      </c>
      <c r="R26" s="650" t="s">
        <v>1180</v>
      </c>
      <c r="S26" s="654"/>
      <c r="T26" s="654"/>
      <c r="V26" s="652" t="s">
        <v>1176</v>
      </c>
      <c r="W26" s="659">
        <f>W21</f>
        <v>62</v>
      </c>
      <c r="X26" s="659">
        <f>$H$34*X8^$I$46</f>
        <v>62</v>
      </c>
      <c r="Y26" s="654">
        <f t="shared" si="23"/>
        <v>1</v>
      </c>
      <c r="Z26" s="652">
        <v>66</v>
      </c>
      <c r="AA26" s="655">
        <f>(AM15*AM16-AM17^2)/AM21</f>
        <v>10.579429628411546</v>
      </c>
      <c r="AB26" s="655">
        <f>(AN15*AN16-AN17^2)/AN21</f>
        <v>3127015.3271353529</v>
      </c>
      <c r="AC26" s="655">
        <f>AA26*$AM12</f>
        <v>6.3476577770469278E-2</v>
      </c>
      <c r="AD26" s="655">
        <f>AB26*$AN12</f>
        <v>5.6286275888436349E-2</v>
      </c>
      <c r="AE26" s="651">
        <f>1/AC26</f>
        <v>15.753842363965978</v>
      </c>
      <c r="AF26" s="651">
        <f>1/AD26</f>
        <v>17.766320194678993</v>
      </c>
      <c r="AG26" s="654"/>
      <c r="AO26" s="698">
        <f t="shared" si="29"/>
        <v>1</v>
      </c>
      <c r="AP26" s="676">
        <f t="shared" si="30"/>
        <v>2.8231030140393262E-7</v>
      </c>
      <c r="AQ26" s="650"/>
      <c r="AV26" s="691" t="s">
        <v>2147</v>
      </c>
      <c r="AW26" s="679">
        <f>1/(AW24^2+AW25^2)^0.5</f>
        <v>5.8504619274774274</v>
      </c>
      <c r="AX26" s="669" t="s">
        <v>1412</v>
      </c>
      <c r="AY26" s="676">
        <f>AY25/2/AY11</f>
        <v>-9.0943777690869643E-2</v>
      </c>
      <c r="AZ26" s="676">
        <f>AZ25/2/AZ11</f>
        <v>0.45462431130103048</v>
      </c>
      <c r="BA26" s="676">
        <f>BA25/2/BA11</f>
        <v>-0.15851739566470008</v>
      </c>
      <c r="BB26" s="676">
        <f>BB25/2/BB11</f>
        <v>-0.13548969604102684</v>
      </c>
      <c r="BC26" s="669" t="s">
        <v>1199</v>
      </c>
      <c r="BF26" s="664">
        <v>45</v>
      </c>
      <c r="BG26" s="1151">
        <v>16</v>
      </c>
      <c r="BH26" s="650">
        <v>15</v>
      </c>
      <c r="BI26" s="650">
        <v>13</v>
      </c>
      <c r="BJ26" s="650">
        <v>10</v>
      </c>
      <c r="BK26" s="650">
        <v>7</v>
      </c>
      <c r="BL26" s="650">
        <v>6</v>
      </c>
      <c r="BM26" s="711">
        <v>6</v>
      </c>
      <c r="BO26" s="650"/>
      <c r="BS26" s="1152"/>
      <c r="BU26" s="682">
        <v>45</v>
      </c>
      <c r="BV26" s="1214">
        <v>6</v>
      </c>
      <c r="BW26" s="1215">
        <v>6</v>
      </c>
      <c r="BX26" s="1215">
        <v>7</v>
      </c>
      <c r="BY26" s="1215">
        <v>8</v>
      </c>
      <c r="BZ26" s="1204">
        <v>9</v>
      </c>
      <c r="CA26" s="1204">
        <v>8</v>
      </c>
      <c r="CB26" s="1204">
        <v>8</v>
      </c>
      <c r="CC26" s="1204"/>
      <c r="CD26" s="1204"/>
      <c r="CE26" s="1204"/>
      <c r="CF26" s="1204"/>
      <c r="CG26" s="1204"/>
      <c r="CH26" s="1205"/>
      <c r="CJ26" s="682">
        <v>45</v>
      </c>
      <c r="CK26" s="1220">
        <v>10</v>
      </c>
      <c r="CL26" s="652">
        <v>9</v>
      </c>
      <c r="CM26" s="652">
        <v>9</v>
      </c>
      <c r="CN26" s="652">
        <v>10</v>
      </c>
      <c r="CO26" s="1177">
        <v>7</v>
      </c>
      <c r="CP26" s="1177">
        <v>6</v>
      </c>
      <c r="CQ26" s="1177">
        <v>7</v>
      </c>
      <c r="CR26" s="652"/>
      <c r="CS26" s="652"/>
      <c r="CT26" s="652"/>
      <c r="CU26" s="652"/>
      <c r="CV26" s="652"/>
      <c r="CW26" s="1173"/>
      <c r="DA26" s="650"/>
      <c r="DF26" s="659">
        <v>23</v>
      </c>
      <c r="DG26" s="659">
        <v>60</v>
      </c>
      <c r="DH26" s="668">
        <v>19</v>
      </c>
      <c r="DI26" s="668">
        <f t="shared" si="6"/>
        <v>60</v>
      </c>
      <c r="DJ26" s="652">
        <v>19</v>
      </c>
      <c r="DK26" s="659">
        <v>60</v>
      </c>
      <c r="DM26" s="50">
        <v>80</v>
      </c>
      <c r="DN26" s="1293">
        <v>1</v>
      </c>
      <c r="DO26" s="1294">
        <v>3</v>
      </c>
      <c r="DP26" s="1294">
        <v>5</v>
      </c>
      <c r="DQ26" s="1294">
        <v>5</v>
      </c>
      <c r="DR26" s="53">
        <v>5</v>
      </c>
      <c r="DS26" s="53">
        <v>5</v>
      </c>
      <c r="DT26" s="1126">
        <v>5</v>
      </c>
      <c r="DU26" s="1126">
        <v>4</v>
      </c>
      <c r="DV26" s="1126">
        <v>2</v>
      </c>
      <c r="DW26" s="1286"/>
      <c r="DY26" s="50">
        <v>80</v>
      </c>
      <c r="DZ26" s="1284">
        <v>11</v>
      </c>
      <c r="EA26" s="53">
        <v>10</v>
      </c>
      <c r="EB26" s="53">
        <v>10</v>
      </c>
      <c r="EC26" s="53">
        <v>9</v>
      </c>
      <c r="ED26" s="53">
        <v>8</v>
      </c>
      <c r="EE26" s="53">
        <v>6</v>
      </c>
      <c r="EF26" s="1126">
        <v>4</v>
      </c>
      <c r="EG26" s="1295">
        <v>3</v>
      </c>
      <c r="EH26" s="1295">
        <v>2</v>
      </c>
      <c r="EI26" s="1286"/>
    </row>
    <row r="27" spans="1:151">
      <c r="A27" s="1276">
        <f>MAX(A21:A26)</f>
        <v>0</v>
      </c>
      <c r="B27" s="1003" t="s">
        <v>2191</v>
      </c>
      <c r="C27" s="1389">
        <f>E13</f>
        <v>460.97678832610177</v>
      </c>
      <c r="D27" s="1391" t="s">
        <v>2192</v>
      </c>
      <c r="E27" s="1390"/>
      <c r="F27" s="671">
        <f>MAX(ABS(D25),ABS(D26))</f>
        <v>5.1798084004440748</v>
      </c>
      <c r="G27" s="651">
        <f>MAX(ABS(E21),ABS(E22),ABS(E23),ABS(E24),ABS(E25),ABS(E26))</f>
        <v>0</v>
      </c>
      <c r="J27" s="1276">
        <f>MAX(J25,J26)</f>
        <v>5.1798084004440748</v>
      </c>
      <c r="R27" s="652" t="s">
        <v>1380</v>
      </c>
      <c r="S27" s="654">
        <f>(3*S22+3*S23+2*S24+4*S25)/8</f>
        <v>80.606294543459924</v>
      </c>
      <c r="T27" s="654">
        <f>(3*T22+3*T23+2*T24+4*T25)/8</f>
        <v>80.606294543459924</v>
      </c>
      <c r="U27" s="660">
        <f>T27/S27</f>
        <v>1</v>
      </c>
      <c r="Z27" s="652" t="s">
        <v>1347</v>
      </c>
      <c r="AA27" s="655">
        <f>(AM17*AM20-AM16*AM19)/AM21</f>
        <v>0.78536778091097514</v>
      </c>
      <c r="AB27" s="655">
        <f>(AN17*AN20-AN16*AN19)/AN21</f>
        <v>270755.81762587279</v>
      </c>
      <c r="AC27" s="655">
        <f>AA27*$AM12</f>
        <v>4.7122066854658508E-3</v>
      </c>
      <c r="AD27" s="655">
        <f>AB27*$AN12</f>
        <v>4.8736047172657096E-3</v>
      </c>
      <c r="AE27" s="651">
        <f>AC27/AC23</f>
        <v>0.18492816295423875</v>
      </c>
      <c r="AF27" s="651">
        <f>AD27/AD23</f>
        <v>0.1450571276841113</v>
      </c>
      <c r="AG27" s="654"/>
      <c r="AO27" s="698">
        <f t="shared" si="29"/>
        <v>1</v>
      </c>
      <c r="AP27" s="676">
        <f t="shared" si="30"/>
        <v>-2.6840805750351594E-8</v>
      </c>
      <c r="AQ27" s="650"/>
      <c r="AR27" s="652" t="s">
        <v>1181</v>
      </c>
      <c r="AS27" s="652" t="s">
        <v>1182</v>
      </c>
      <c r="AT27" s="652" t="s">
        <v>1183</v>
      </c>
      <c r="AW27" s="676"/>
      <c r="AX27" s="652" t="s">
        <v>920</v>
      </c>
      <c r="AY27" s="654">
        <f>(AY26^2-AY23/AY11)^0.5-AY26</f>
        <v>3.18146372218545</v>
      </c>
      <c r="AZ27" s="654">
        <f>(AZ26^2-AZ23/AZ11)^0.5-AZ26</f>
        <v>2.8796726647054243</v>
      </c>
      <c r="BA27" s="654">
        <f>(BA26^2-BA23/BA11)^0.5-BA26</f>
        <v>3.317445580558394</v>
      </c>
      <c r="BB27" s="654">
        <f>(BB26^2-BB23/BB11)^0.5-BB26</f>
        <v>3.2688216614282641</v>
      </c>
      <c r="BC27" s="654">
        <f>MIN(AY27:BB27)</f>
        <v>2.8796726647054243</v>
      </c>
      <c r="BF27" s="664">
        <v>52.5</v>
      </c>
      <c r="BG27" s="1151"/>
      <c r="BJ27" s="650">
        <v>13</v>
      </c>
      <c r="BK27" s="650">
        <v>9</v>
      </c>
      <c r="BL27" s="650">
        <v>6</v>
      </c>
      <c r="BM27" s="650">
        <v>6</v>
      </c>
      <c r="BN27" s="711">
        <v>7</v>
      </c>
      <c r="BO27" s="650"/>
      <c r="BS27" s="1152"/>
      <c r="BU27" s="682">
        <v>52.5</v>
      </c>
      <c r="BV27" s="1214">
        <v>7</v>
      </c>
      <c r="BW27" s="1215">
        <v>6</v>
      </c>
      <c r="BX27" s="1215">
        <v>6</v>
      </c>
      <c r="BY27" s="1215">
        <v>7</v>
      </c>
      <c r="BZ27" s="1215">
        <v>8</v>
      </c>
      <c r="CA27" s="1204">
        <v>7</v>
      </c>
      <c r="CB27" s="1204">
        <v>8</v>
      </c>
      <c r="CC27" s="1204">
        <v>9</v>
      </c>
      <c r="CD27" s="1204"/>
      <c r="CE27" s="1204"/>
      <c r="CF27" s="1204"/>
      <c r="CG27" s="1204"/>
      <c r="CH27" s="1205"/>
      <c r="CJ27" s="682">
        <v>52.5</v>
      </c>
      <c r="CK27" s="1220">
        <v>12</v>
      </c>
      <c r="CL27" s="652">
        <v>12</v>
      </c>
      <c r="CM27" s="652">
        <v>11</v>
      </c>
      <c r="CN27" s="652">
        <v>10</v>
      </c>
      <c r="CO27" s="652">
        <v>9</v>
      </c>
      <c r="CP27" s="1177">
        <v>7</v>
      </c>
      <c r="CQ27" s="1177">
        <v>6</v>
      </c>
      <c r="CR27" s="1177">
        <v>6</v>
      </c>
      <c r="CS27" s="652"/>
      <c r="CT27" s="652"/>
      <c r="CU27" s="652"/>
      <c r="CV27" s="652"/>
      <c r="CW27" s="1173"/>
      <c r="DA27" s="650"/>
      <c r="DF27" s="659">
        <v>24</v>
      </c>
      <c r="DG27" s="659">
        <v>57</v>
      </c>
      <c r="DH27" s="668">
        <v>18</v>
      </c>
      <c r="DI27" s="668">
        <f t="shared" si="6"/>
        <v>57</v>
      </c>
      <c r="DJ27" s="652">
        <v>18</v>
      </c>
      <c r="DK27" s="659">
        <v>57</v>
      </c>
      <c r="DM27" s="50">
        <v>90</v>
      </c>
      <c r="DN27" s="1296">
        <v>1</v>
      </c>
      <c r="DO27" s="1297">
        <v>3</v>
      </c>
      <c r="DP27" s="1298">
        <v>5</v>
      </c>
      <c r="DQ27" s="1298">
        <v>5</v>
      </c>
      <c r="DR27" s="1290">
        <v>5</v>
      </c>
      <c r="DS27" s="1290">
        <v>5</v>
      </c>
      <c r="DT27" s="1289">
        <v>5</v>
      </c>
      <c r="DU27" s="1289">
        <v>5</v>
      </c>
      <c r="DV27" s="1289">
        <v>2</v>
      </c>
      <c r="DW27" s="1291">
        <v>1</v>
      </c>
      <c r="DY27" s="50">
        <v>90</v>
      </c>
      <c r="DZ27" s="1288">
        <v>11</v>
      </c>
      <c r="EA27" s="1289">
        <v>11</v>
      </c>
      <c r="EB27" s="1290">
        <v>10</v>
      </c>
      <c r="EC27" s="1290">
        <v>10</v>
      </c>
      <c r="ED27" s="1290">
        <v>9</v>
      </c>
      <c r="EE27" s="1290">
        <v>7</v>
      </c>
      <c r="EF27" s="1289">
        <v>5</v>
      </c>
      <c r="EG27" s="1289">
        <v>3</v>
      </c>
      <c r="EH27" s="1297">
        <v>2</v>
      </c>
      <c r="EI27" s="1299">
        <v>1</v>
      </c>
    </row>
    <row r="28" spans="1:151">
      <c r="B28" s="652" t="s">
        <v>921</v>
      </c>
      <c r="C28" s="664">
        <f>AY14</f>
        <v>3.0778003734973201</v>
      </c>
      <c r="D28" s="664">
        <f>AZ14</f>
        <v>2.6399974799218588</v>
      </c>
      <c r="E28" s="664">
        <f>BA14</f>
        <v>3.2319423454471545</v>
      </c>
      <c r="F28" s="664">
        <f>BB14</f>
        <v>3.1756286422187485</v>
      </c>
      <c r="G28" s="650" t="s">
        <v>2156</v>
      </c>
      <c r="H28" s="654">
        <f>MIN(C28:F29)</f>
        <v>2.6399974799218588</v>
      </c>
      <c r="I28" s="650" t="s">
        <v>2157</v>
      </c>
      <c r="J28" s="654">
        <f>H28/P13</f>
        <v>2.6399974799218588</v>
      </c>
      <c r="R28" s="652" t="s">
        <v>1384</v>
      </c>
      <c r="S28" s="654">
        <f>(S22-S23)/2</f>
        <v>91.110843553154453</v>
      </c>
      <c r="T28" s="654">
        <f>(T22-T23)/2</f>
        <v>91.110843553154453</v>
      </c>
      <c r="U28" s="660">
        <f>T28/S28</f>
        <v>1</v>
      </c>
      <c r="V28" s="650" t="s">
        <v>1375</v>
      </c>
      <c r="Z28" s="652" t="s">
        <v>1349</v>
      </c>
      <c r="AA28" s="655">
        <f>(AM17*AM19-AM15*AM20)/AM21</f>
        <v>-0.59703119972272067</v>
      </c>
      <c r="AB28" s="655">
        <f>(AN17*AN19-AN15*AN20)/AN21</f>
        <v>-354895.60837109666</v>
      </c>
      <c r="AC28" s="655">
        <f>AA28*$AM12</f>
        <v>-3.5821871983363241E-3</v>
      </c>
      <c r="AD28" s="655">
        <f>AB28*$AN12</f>
        <v>-6.3881209506797395E-3</v>
      </c>
      <c r="AE28" s="651">
        <f>AC28/AC24</f>
        <v>-9.5377770829362898E-2</v>
      </c>
      <c r="AF28" s="651">
        <f>AD28/AD24</f>
        <v>-0.1764912961264026</v>
      </c>
      <c r="AG28" s="654"/>
      <c r="AO28" s="698">
        <f t="shared" si="29"/>
        <v>1</v>
      </c>
      <c r="AP28" s="676">
        <f t="shared" si="30"/>
        <v>3.4646368061765956E-8</v>
      </c>
      <c r="AQ28" s="652" t="s">
        <v>1184</v>
      </c>
      <c r="AR28" s="659">
        <f>$T$33</f>
        <v>73.454705536318755</v>
      </c>
      <c r="AS28" s="659">
        <v>69</v>
      </c>
      <c r="AT28" s="659">
        <v>210</v>
      </c>
      <c r="AW28" s="676"/>
      <c r="AX28" s="652" t="s">
        <v>922</v>
      </c>
      <c r="AY28" s="654">
        <f>IF(AY3=0,1000000000,AY27)</f>
        <v>3.18146372218545</v>
      </c>
      <c r="AZ28" s="654">
        <f>IF(AZ3=0,1000000000,AZ27)</f>
        <v>2.8796726647054243</v>
      </c>
      <c r="BA28" s="654">
        <f>IF(BA3=0,1000000000,BA27)</f>
        <v>3.317445580558394</v>
      </c>
      <c r="BB28" s="654">
        <f>IF(BB3=0,1000000000,BB27)</f>
        <v>3.2688216614282641</v>
      </c>
      <c r="BF28" s="664">
        <v>60</v>
      </c>
      <c r="BG28" s="1151"/>
      <c r="BK28" s="650">
        <v>11</v>
      </c>
      <c r="BL28" s="650">
        <v>9</v>
      </c>
      <c r="BM28" s="650">
        <v>7</v>
      </c>
      <c r="BN28" s="650">
        <v>7</v>
      </c>
      <c r="BO28" s="711">
        <v>7</v>
      </c>
      <c r="BS28" s="1152"/>
      <c r="BU28" s="682">
        <v>60</v>
      </c>
      <c r="BV28" s="1214">
        <v>7</v>
      </c>
      <c r="BW28" s="1215">
        <v>7</v>
      </c>
      <c r="BX28" s="1215">
        <v>6</v>
      </c>
      <c r="BY28" s="1215">
        <v>6</v>
      </c>
      <c r="BZ28" s="1215">
        <v>7</v>
      </c>
      <c r="CA28" s="1215">
        <v>8</v>
      </c>
      <c r="CB28" s="1204">
        <v>9</v>
      </c>
      <c r="CC28" s="1204">
        <v>9</v>
      </c>
      <c r="CD28" s="1204">
        <v>10</v>
      </c>
      <c r="CE28" s="1204"/>
      <c r="CF28" s="1204"/>
      <c r="CG28" s="1204"/>
      <c r="CH28" s="1205"/>
      <c r="CJ28" s="682">
        <v>60</v>
      </c>
      <c r="CK28" s="1220">
        <v>14</v>
      </c>
      <c r="CL28" s="652">
        <v>15</v>
      </c>
      <c r="CM28" s="652">
        <v>13</v>
      </c>
      <c r="CN28" s="652">
        <v>13</v>
      </c>
      <c r="CO28" s="652">
        <v>12</v>
      </c>
      <c r="CP28" s="652">
        <v>9</v>
      </c>
      <c r="CQ28" s="1177">
        <v>6</v>
      </c>
      <c r="CR28" s="1177">
        <v>5</v>
      </c>
      <c r="CS28" s="1177">
        <v>5</v>
      </c>
      <c r="CT28" s="652"/>
      <c r="CU28" s="652"/>
      <c r="CV28" s="652"/>
      <c r="CW28" s="1173"/>
      <c r="DA28" s="650"/>
      <c r="DF28" s="659">
        <v>25</v>
      </c>
      <c r="DG28" s="659">
        <v>65</v>
      </c>
      <c r="DH28" s="668">
        <v>25</v>
      </c>
      <c r="DI28" s="668">
        <f t="shared" si="6"/>
        <v>65</v>
      </c>
      <c r="DJ28" s="652">
        <v>25</v>
      </c>
      <c r="DK28" s="659">
        <v>65</v>
      </c>
      <c r="DN28" s="1126">
        <v>0</v>
      </c>
      <c r="DO28" s="1126">
        <v>10</v>
      </c>
      <c r="DP28" s="1126">
        <v>20</v>
      </c>
      <c r="DQ28" s="1126">
        <v>30</v>
      </c>
      <c r="DR28" s="1126">
        <v>40</v>
      </c>
      <c r="DS28" s="1126">
        <v>50</v>
      </c>
      <c r="DT28" s="1126">
        <v>60</v>
      </c>
      <c r="DU28" s="1126">
        <v>70</v>
      </c>
      <c r="DV28" s="1126">
        <v>80</v>
      </c>
      <c r="DW28" s="1126">
        <v>90</v>
      </c>
      <c r="DZ28" s="1126">
        <v>0</v>
      </c>
      <c r="EA28" s="1126">
        <v>10</v>
      </c>
      <c r="EB28" s="1126">
        <v>20</v>
      </c>
      <c r="EC28" s="1126">
        <v>30</v>
      </c>
      <c r="ED28" s="1126">
        <v>40</v>
      </c>
      <c r="EE28" s="1126">
        <v>50</v>
      </c>
      <c r="EF28" s="1126">
        <v>60</v>
      </c>
      <c r="EG28" s="1126">
        <v>70</v>
      </c>
      <c r="EH28" s="1126">
        <v>80</v>
      </c>
      <c r="EI28" s="1126">
        <v>90</v>
      </c>
    </row>
    <row r="29" spans="1:151">
      <c r="B29" s="652" t="s">
        <v>923</v>
      </c>
      <c r="C29" s="664">
        <f>AY55</f>
        <v>3.0778003734973201</v>
      </c>
      <c r="D29" s="664">
        <f>AZ55</f>
        <v>2.6399974799218588</v>
      </c>
      <c r="E29" s="664">
        <f>BA55</f>
        <v>3.2319423454471545</v>
      </c>
      <c r="F29" s="664">
        <f>BB55</f>
        <v>3.1756286422187485</v>
      </c>
      <c r="G29" s="650" t="s">
        <v>1948</v>
      </c>
      <c r="H29" s="698">
        <f>MIN(AW23,AW64)</f>
        <v>2.7658607299566107</v>
      </c>
      <c r="I29" s="652" t="s">
        <v>2152</v>
      </c>
      <c r="J29" s="698">
        <f>MIN(AW26,AW67)</f>
        <v>5.8504619274774274</v>
      </c>
      <c r="R29" s="652" t="s">
        <v>1388</v>
      </c>
      <c r="S29" s="654">
        <f>(S22+S23-2*S24-4*S25)/8</f>
        <v>20.5083243871203</v>
      </c>
      <c r="T29" s="654">
        <f>(T22+T23-2*T24-4*T25)/8</f>
        <v>20.5083243871203</v>
      </c>
      <c r="U29" s="660">
        <f>T29/S29</f>
        <v>1</v>
      </c>
      <c r="V29" s="652" t="s">
        <v>1381</v>
      </c>
      <c r="W29" s="654">
        <f>1/W19/W20*1000000</f>
        <v>0.19230769230769232</v>
      </c>
      <c r="X29" s="654">
        <f>1/X19/X20*1000000</f>
        <v>0.19230769230769232</v>
      </c>
      <c r="Y29" s="654">
        <f t="shared" ref="Y29:Y40" si="31">X29/W29</f>
        <v>1</v>
      </c>
      <c r="AC29" s="655"/>
      <c r="AD29" s="655"/>
      <c r="AE29" s="656"/>
      <c r="AQ29" s="652" t="s">
        <v>269</v>
      </c>
      <c r="AR29" s="659">
        <v>325</v>
      </c>
      <c r="AS29" s="659">
        <v>200</v>
      </c>
      <c r="AT29" s="659">
        <v>400</v>
      </c>
      <c r="AV29" s="652" t="s">
        <v>2148</v>
      </c>
      <c r="AW29" s="654">
        <f>D45/D44</f>
        <v>6.2374245472837027</v>
      </c>
      <c r="AX29" s="676"/>
      <c r="AY29" s="676"/>
      <c r="AZ29" s="676"/>
      <c r="BA29" s="676"/>
      <c r="BB29" s="676"/>
      <c r="BF29" s="664">
        <v>67.5</v>
      </c>
      <c r="BG29" s="1151"/>
      <c r="BM29" s="650">
        <v>10</v>
      </c>
      <c r="BN29" s="1236">
        <v>7</v>
      </c>
      <c r="BO29" s="1236">
        <v>7</v>
      </c>
      <c r="BP29" s="1249">
        <v>7</v>
      </c>
      <c r="BS29" s="1152"/>
      <c r="BU29" s="682">
        <v>67.5</v>
      </c>
      <c r="BV29" s="1214">
        <v>7</v>
      </c>
      <c r="BW29" s="1215">
        <v>7</v>
      </c>
      <c r="BX29" s="1215">
        <v>8</v>
      </c>
      <c r="BY29" s="1215">
        <v>7</v>
      </c>
      <c r="BZ29" s="1215">
        <v>6</v>
      </c>
      <c r="CA29" s="1215">
        <v>7</v>
      </c>
      <c r="CB29" s="1215">
        <v>8</v>
      </c>
      <c r="CC29" s="1204">
        <v>9</v>
      </c>
      <c r="CD29" s="1204">
        <v>9</v>
      </c>
      <c r="CE29" s="1204">
        <v>9</v>
      </c>
      <c r="CF29" s="1204"/>
      <c r="CG29" s="1204"/>
      <c r="CH29" s="1205"/>
      <c r="CJ29" s="682">
        <v>67.5</v>
      </c>
      <c r="CK29" s="1220">
        <v>14</v>
      </c>
      <c r="CL29" s="652">
        <v>15</v>
      </c>
      <c r="CM29" s="652">
        <v>15</v>
      </c>
      <c r="CN29" s="652">
        <v>14</v>
      </c>
      <c r="CO29" s="652">
        <v>13</v>
      </c>
      <c r="CP29" s="652">
        <v>10</v>
      </c>
      <c r="CQ29" s="1177">
        <v>8</v>
      </c>
      <c r="CR29" s="1177">
        <v>5</v>
      </c>
      <c r="CS29" s="1177">
        <v>4</v>
      </c>
      <c r="CT29" s="1177">
        <v>4</v>
      </c>
      <c r="CU29" s="652"/>
      <c r="CV29" s="652"/>
      <c r="CW29" s="1173"/>
      <c r="DA29" s="650"/>
      <c r="DF29" s="659">
        <v>26</v>
      </c>
      <c r="DG29" s="659">
        <v>63</v>
      </c>
      <c r="DH29" s="668">
        <v>27</v>
      </c>
      <c r="DI29" s="668">
        <f t="shared" si="6"/>
        <v>63</v>
      </c>
      <c r="DJ29" s="652">
        <v>27</v>
      </c>
      <c r="DK29" s="659">
        <v>63</v>
      </c>
      <c r="DT29" s="655"/>
      <c r="DU29" s="655"/>
      <c r="DV29" s="655"/>
    </row>
    <row r="30" spans="1:151">
      <c r="C30" s="654"/>
      <c r="D30" s="654"/>
      <c r="E30" s="654"/>
      <c r="F30" s="652"/>
      <c r="G30" s="652"/>
      <c r="H30" s="665"/>
      <c r="J30" s="654"/>
      <c r="R30" s="652" t="s">
        <v>1391</v>
      </c>
      <c r="S30" s="654">
        <f>(S22+S23+6*S24-4*S25)/8</f>
        <v>24.009645769219322</v>
      </c>
      <c r="T30" s="654">
        <f>(T22+T23+6*T24-4*T25)/8</f>
        <v>24.009645769219322</v>
      </c>
      <c r="U30" s="660">
        <f>T30/S30</f>
        <v>1</v>
      </c>
      <c r="V30" s="652" t="s">
        <v>1385</v>
      </c>
      <c r="W30" s="654">
        <f>1/W21/W22*1000000</f>
        <v>164.58196181698486</v>
      </c>
      <c r="X30" s="654">
        <f>1/X21/X22*1000000</f>
        <v>164.58196181698486</v>
      </c>
      <c r="Y30" s="654">
        <f t="shared" si="31"/>
        <v>1</v>
      </c>
      <c r="Z30" s="653" t="s">
        <v>1185</v>
      </c>
      <c r="AC30" s="655"/>
      <c r="AD30" s="655"/>
      <c r="AM30" s="656" t="s">
        <v>1394</v>
      </c>
      <c r="AO30" s="656" t="s">
        <v>1331</v>
      </c>
      <c r="AP30" s="652" t="s">
        <v>1186</v>
      </c>
      <c r="AQ30" s="652" t="s">
        <v>1187</v>
      </c>
      <c r="AR30" s="664">
        <f>$T$36</f>
        <v>1.5648</v>
      </c>
      <c r="AS30" s="664">
        <v>2.7</v>
      </c>
      <c r="AT30" s="664">
        <v>7.8</v>
      </c>
      <c r="AV30" s="652" t="s">
        <v>2149</v>
      </c>
      <c r="AW30" s="654">
        <f>MIN(C45/C44,E45/D44)</f>
        <v>8.3769633507853403</v>
      </c>
      <c r="AX30" s="659"/>
      <c r="AY30" s="659"/>
      <c r="AZ30" s="659"/>
      <c r="BA30" s="659"/>
      <c r="BB30" s="659"/>
      <c r="BC30" s="659"/>
      <c r="BD30" s="659"/>
      <c r="BE30" s="659"/>
      <c r="BF30" s="664">
        <v>75</v>
      </c>
      <c r="BG30" s="1151"/>
      <c r="BN30" s="1236">
        <v>10</v>
      </c>
      <c r="BO30" s="1236">
        <v>7</v>
      </c>
      <c r="BP30" s="1236">
        <v>6</v>
      </c>
      <c r="BQ30" s="1249">
        <v>5</v>
      </c>
      <c r="BS30" s="1152"/>
      <c r="BU30" s="682">
        <v>75</v>
      </c>
      <c r="BV30" s="1214">
        <v>8</v>
      </c>
      <c r="BW30" s="1215">
        <v>7</v>
      </c>
      <c r="BX30" s="1215">
        <v>7</v>
      </c>
      <c r="BY30" s="1215">
        <v>7</v>
      </c>
      <c r="BZ30" s="1215">
        <v>5</v>
      </c>
      <c r="CA30" s="1215">
        <v>6</v>
      </c>
      <c r="CB30" s="1215">
        <v>7</v>
      </c>
      <c r="CC30" s="1204">
        <v>8</v>
      </c>
      <c r="CD30" s="1204">
        <v>8</v>
      </c>
      <c r="CE30" s="1204">
        <v>8</v>
      </c>
      <c r="CF30" s="1204">
        <v>7</v>
      </c>
      <c r="CG30" s="1204"/>
      <c r="CH30" s="1205"/>
      <c r="CJ30" s="682">
        <v>75</v>
      </c>
      <c r="CK30" s="1220">
        <v>15</v>
      </c>
      <c r="CL30" s="652">
        <v>16</v>
      </c>
      <c r="CM30" s="652">
        <v>15</v>
      </c>
      <c r="CN30" s="652">
        <v>15</v>
      </c>
      <c r="CO30" s="652">
        <v>13</v>
      </c>
      <c r="CP30" s="652">
        <v>11</v>
      </c>
      <c r="CQ30" s="652">
        <v>9</v>
      </c>
      <c r="CR30" s="1177">
        <v>6</v>
      </c>
      <c r="CS30" s="1177">
        <v>4</v>
      </c>
      <c r="CT30" s="1177">
        <v>3</v>
      </c>
      <c r="CU30" s="1177">
        <v>3</v>
      </c>
      <c r="CV30" s="652"/>
      <c r="CW30" s="1173"/>
      <c r="DA30" s="650"/>
      <c r="DG30" s="856"/>
      <c r="DM30" s="1332" t="s">
        <v>2134</v>
      </c>
      <c r="DN30" s="1330"/>
      <c r="DO30" s="1331"/>
      <c r="DP30" s="1333"/>
      <c r="DQ30" s="1333"/>
      <c r="DR30" s="1331"/>
      <c r="DS30" s="1126"/>
      <c r="DT30" s="1126"/>
      <c r="DU30" s="1126"/>
      <c r="DV30" s="1126"/>
      <c r="DW30" s="1126"/>
    </row>
    <row r="31" spans="1:151">
      <c r="B31" s="735" t="s">
        <v>1544</v>
      </c>
      <c r="C31" s="1003" t="s">
        <v>1545</v>
      </c>
      <c r="D31" s="1004">
        <v>90</v>
      </c>
      <c r="E31" s="1005" t="s">
        <v>1546</v>
      </c>
      <c r="F31" s="1006">
        <f>B84</f>
        <v>0.16516922084992119</v>
      </c>
      <c r="G31" s="1006">
        <f>B85</f>
        <v>-0.17950087349876398</v>
      </c>
      <c r="H31" s="1078" t="e">
        <f>A27/D27</f>
        <v>#VALUE!</v>
      </c>
      <c r="I31" s="650">
        <f>C21+C22+2*C24</f>
        <v>217.80923786116026</v>
      </c>
      <c r="J31" s="650">
        <f>D21+D22+2*D24</f>
        <v>217.80923786116034</v>
      </c>
      <c r="R31" s="652" t="s">
        <v>1396</v>
      </c>
      <c r="S31" s="654">
        <f>(S27-S30)/2</f>
        <v>28.298324387120303</v>
      </c>
      <c r="T31" s="654">
        <f>(T27-T30)/2</f>
        <v>28.298324387120303</v>
      </c>
      <c r="U31" s="660">
        <f>T31/S31</f>
        <v>1</v>
      </c>
      <c r="V31" s="652" t="s">
        <v>1389</v>
      </c>
      <c r="W31" s="654">
        <f>W24*(W29*W30)^0.5</f>
        <v>-2.8129334009400706</v>
      </c>
      <c r="X31" s="654">
        <f>X24*(X29*X30)^0.5</f>
        <v>-2.8129334009400706</v>
      </c>
      <c r="Y31" s="654">
        <f t="shared" si="31"/>
        <v>1</v>
      </c>
      <c r="Z31" s="652" t="s">
        <v>1398</v>
      </c>
      <c r="AA31" s="1346">
        <f t="shared" ref="AA31:AJ31" si="32">IF($AM7*$AM5=0,0,AA11*COS(AA6)*$AN7/($AM7*$AM5))</f>
        <v>2.5523926143929562E-18</v>
      </c>
      <c r="AB31" s="1346">
        <f t="shared" si="32"/>
        <v>-3.5180330229250593E-2</v>
      </c>
      <c r="AC31" s="1346">
        <f t="shared" si="32"/>
        <v>1.5067690420087173E-2</v>
      </c>
      <c r="AD31" s="1346">
        <f t="shared" si="32"/>
        <v>3.196626171950781E-3</v>
      </c>
      <c r="AE31" s="1346">
        <f t="shared" si="32"/>
        <v>-1.3289971220752893E-2</v>
      </c>
      <c r="AF31" s="1346">
        <f t="shared" si="32"/>
        <v>1.8901245053855684E-3</v>
      </c>
      <c r="AG31" s="1346">
        <f t="shared" si="32"/>
        <v>1.4523835305075625E-2</v>
      </c>
      <c r="AH31" s="1346">
        <f t="shared" si="32"/>
        <v>1.7609094239195794E-2</v>
      </c>
      <c r="AI31" s="1346">
        <f t="shared" si="32"/>
        <v>-4.0428988594833147E-2</v>
      </c>
      <c r="AJ31" s="1346">
        <f t="shared" si="32"/>
        <v>3.9443719171487313E-2</v>
      </c>
      <c r="AK31" s="676"/>
      <c r="AL31" s="676"/>
      <c r="AM31" s="676">
        <f>SUM(AA31:AJ31)</f>
        <v>2.8317997683456192E-3</v>
      </c>
      <c r="AO31" s="654">
        <f>AM15/$AM12</f>
        <v>45.986869721314704</v>
      </c>
      <c r="AP31" s="655">
        <f>AN15/AN12*1000000000</f>
        <v>37480824419.699753</v>
      </c>
      <c r="AQ31" s="652" t="s">
        <v>1188</v>
      </c>
      <c r="AR31" s="659">
        <f>AR29/$AS$25*1000000</f>
        <v>1950000.0000000002</v>
      </c>
      <c r="AS31" s="659">
        <f>AS29/$AS$25*1000000</f>
        <v>1200000.0000000002</v>
      </c>
      <c r="AT31" s="659">
        <f>AT29/$AS$25*1000000</f>
        <v>2400000.0000000005</v>
      </c>
      <c r="AV31" s="652" t="s">
        <v>2150</v>
      </c>
      <c r="AW31" s="654">
        <f>B45/C44</f>
        <v>17.015706806282722</v>
      </c>
      <c r="AX31" s="659"/>
      <c r="AY31" s="659"/>
      <c r="AZ31" s="659"/>
      <c r="BA31" s="659"/>
      <c r="BB31" s="659"/>
      <c r="BC31" s="659"/>
      <c r="BD31" s="659"/>
      <c r="BE31" s="659"/>
      <c r="BF31" s="664">
        <v>82.5</v>
      </c>
      <c r="BG31" s="1151"/>
      <c r="BO31" s="1236">
        <v>9</v>
      </c>
      <c r="BP31" s="1236">
        <v>5</v>
      </c>
      <c r="BQ31" s="1236">
        <v>4</v>
      </c>
      <c r="BR31" s="1249">
        <v>6</v>
      </c>
      <c r="BS31" s="1152"/>
      <c r="BU31" s="682">
        <v>82.5</v>
      </c>
      <c r="BV31" s="1214">
        <v>8</v>
      </c>
      <c r="BW31" s="1215">
        <v>7</v>
      </c>
      <c r="BX31" s="1215">
        <v>7</v>
      </c>
      <c r="BY31" s="1215">
        <v>7</v>
      </c>
      <c r="BZ31" s="1215">
        <v>7</v>
      </c>
      <c r="CA31" s="1215">
        <v>6</v>
      </c>
      <c r="CB31" s="1215">
        <v>6</v>
      </c>
      <c r="CC31" s="1215">
        <v>7</v>
      </c>
      <c r="CD31" s="1204">
        <v>7</v>
      </c>
      <c r="CE31" s="1204">
        <v>6</v>
      </c>
      <c r="CF31" s="1204">
        <v>6</v>
      </c>
      <c r="CG31" s="1204">
        <v>4</v>
      </c>
      <c r="CH31" s="1205"/>
      <c r="CJ31" s="682">
        <v>82.5</v>
      </c>
      <c r="CK31" s="1220">
        <v>15</v>
      </c>
      <c r="CL31" s="652">
        <v>16</v>
      </c>
      <c r="CM31" s="652">
        <v>15</v>
      </c>
      <c r="CN31" s="652">
        <v>15</v>
      </c>
      <c r="CO31" s="652">
        <v>14</v>
      </c>
      <c r="CP31" s="652">
        <v>12</v>
      </c>
      <c r="CQ31" s="652">
        <v>9</v>
      </c>
      <c r="CR31" s="652">
        <v>7</v>
      </c>
      <c r="CS31" s="1177">
        <v>5</v>
      </c>
      <c r="CT31" s="1177">
        <v>3</v>
      </c>
      <c r="CU31" s="1177">
        <v>2</v>
      </c>
      <c r="CV31" s="1177">
        <v>2</v>
      </c>
      <c r="CW31" s="1173"/>
      <c r="DA31" s="650"/>
      <c r="DG31" s="856"/>
      <c r="DM31" s="50">
        <v>0</v>
      </c>
      <c r="DN31" s="1279">
        <v>1</v>
      </c>
      <c r="DO31" s="1280"/>
      <c r="DP31" s="1280"/>
      <c r="DQ31" s="1280"/>
      <c r="DR31" s="1281"/>
      <c r="DS31" s="1280"/>
      <c r="DT31" s="1282"/>
      <c r="DU31" s="1282"/>
      <c r="DV31" s="1282"/>
      <c r="DW31" s="1283"/>
    </row>
    <row r="32" spans="1:151">
      <c r="B32" s="652" t="s">
        <v>969</v>
      </c>
      <c r="C32" s="653" t="s">
        <v>1336</v>
      </c>
      <c r="D32" s="653">
        <v>1</v>
      </c>
      <c r="E32" s="670" t="s">
        <v>1338</v>
      </c>
      <c r="F32" s="653" t="s">
        <v>1339</v>
      </c>
      <c r="G32" s="653" t="s">
        <v>1340</v>
      </c>
      <c r="H32" s="653" t="s">
        <v>1341</v>
      </c>
      <c r="I32" s="653" t="s">
        <v>1342</v>
      </c>
      <c r="J32" s="653" t="s">
        <v>1147</v>
      </c>
      <c r="K32" s="650" t="s">
        <v>403</v>
      </c>
      <c r="R32" s="650" t="s">
        <v>1400</v>
      </c>
      <c r="V32" s="652" t="s">
        <v>1392</v>
      </c>
      <c r="W32" s="654">
        <f>1/W23^2*1000000</f>
        <v>177.7777777777778</v>
      </c>
      <c r="X32" s="654">
        <f>1/X23^2*1000000</f>
        <v>177.7777777777778</v>
      </c>
      <c r="Y32" s="654">
        <f t="shared" si="31"/>
        <v>1</v>
      </c>
      <c r="Z32" s="652" t="s">
        <v>1402</v>
      </c>
      <c r="AA32" s="1346">
        <f t="shared" ref="AA32:AJ32" si="33">IF($AM7*$AM5=0,0,AA11*SIN(AA6)*$AN7/($AM7*$AM5))</f>
        <v>4.166666666666663E-2</v>
      </c>
      <c r="AB32" s="1346">
        <f t="shared" si="33"/>
        <v>2.2326116457458176E-2</v>
      </c>
      <c r="AC32" s="1346">
        <f t="shared" si="33"/>
        <v>-3.8846825050646308E-2</v>
      </c>
      <c r="AD32" s="1346">
        <f t="shared" si="33"/>
        <v>4.1543864676121638E-2</v>
      </c>
      <c r="AE32" s="1346">
        <f t="shared" si="33"/>
        <v>-3.9490350417066042E-2</v>
      </c>
      <c r="AF32" s="1346">
        <f t="shared" si="33"/>
        <v>-4.1623773741279742E-2</v>
      </c>
      <c r="AG32" s="1346">
        <f t="shared" si="33"/>
        <v>-3.9053416228828776E-2</v>
      </c>
      <c r="AH32" s="1346">
        <f t="shared" si="33"/>
        <v>3.7762824459860379E-2</v>
      </c>
      <c r="AI32" s="1346">
        <f t="shared" si="33"/>
        <v>1.0080078983319481E-2</v>
      </c>
      <c r="AJ32" s="1346">
        <f t="shared" si="33"/>
        <v>-1.3427737301271283E-2</v>
      </c>
      <c r="AK32" s="676"/>
      <c r="AL32" s="676"/>
      <c r="AM32" s="676">
        <f>SUM(AA32:AJ32)</f>
        <v>-1.9062551495665839E-2</v>
      </c>
      <c r="AO32" s="654">
        <f>AM16/$AM12</f>
        <v>30.938162680661119</v>
      </c>
      <c r="AP32" s="655">
        <f>AN16/AN12*1000000000</f>
        <v>35056516668.757095</v>
      </c>
      <c r="AQ32" s="652" t="s">
        <v>1189</v>
      </c>
      <c r="AR32" s="659">
        <f>1</f>
        <v>1</v>
      </c>
      <c r="AS32" s="659">
        <f>AS30/AR30</f>
        <v>1.7254601226993866</v>
      </c>
      <c r="AT32" s="659">
        <f>AT30/AR30</f>
        <v>4.9846625766871169</v>
      </c>
      <c r="AV32" s="652" t="s">
        <v>2151</v>
      </c>
      <c r="AW32" s="654">
        <f>C45/C44</f>
        <v>8.3769633507853403</v>
      </c>
      <c r="AX32" s="676"/>
      <c r="AY32" s="676"/>
      <c r="AZ32" s="676"/>
      <c r="BA32" s="676"/>
      <c r="BB32" s="676"/>
      <c r="BF32" s="664">
        <v>90</v>
      </c>
      <c r="BG32" s="1153"/>
      <c r="BH32" s="1154"/>
      <c r="BI32" s="1154"/>
      <c r="BJ32" s="1154"/>
      <c r="BK32" s="1154"/>
      <c r="BL32" s="1154"/>
      <c r="BM32" s="1154"/>
      <c r="BN32" s="1154"/>
      <c r="BO32" s="1154"/>
      <c r="BP32" s="1237">
        <v>6</v>
      </c>
      <c r="BQ32" s="1237">
        <v>3</v>
      </c>
      <c r="BR32" s="1237">
        <v>1</v>
      </c>
      <c r="BS32" s="1238">
        <v>1</v>
      </c>
      <c r="BT32" s="652"/>
      <c r="BU32" s="682">
        <v>90</v>
      </c>
      <c r="BV32" s="1216">
        <v>8</v>
      </c>
      <c r="BW32" s="1217">
        <v>8</v>
      </c>
      <c r="BX32" s="1217">
        <v>7</v>
      </c>
      <c r="BY32" s="1217">
        <v>7</v>
      </c>
      <c r="BZ32" s="1217">
        <v>7</v>
      </c>
      <c r="CA32" s="1217">
        <v>7</v>
      </c>
      <c r="CB32" s="1217">
        <v>6</v>
      </c>
      <c r="CC32" s="1217">
        <v>5</v>
      </c>
      <c r="CD32" s="1217">
        <v>5</v>
      </c>
      <c r="CE32" s="1218">
        <v>5</v>
      </c>
      <c r="CF32" s="1218">
        <v>4</v>
      </c>
      <c r="CG32" s="1218">
        <v>2</v>
      </c>
      <c r="CH32" s="1219">
        <v>1</v>
      </c>
      <c r="CJ32" s="682">
        <v>90</v>
      </c>
      <c r="CK32" s="1221">
        <v>16</v>
      </c>
      <c r="CL32" s="1222">
        <v>16</v>
      </c>
      <c r="CM32" s="1222">
        <v>15</v>
      </c>
      <c r="CN32" s="1222">
        <v>15</v>
      </c>
      <c r="CO32" s="1222">
        <v>14</v>
      </c>
      <c r="CP32" s="1222">
        <v>12</v>
      </c>
      <c r="CQ32" s="1222">
        <v>10</v>
      </c>
      <c r="CR32" s="1222">
        <v>7</v>
      </c>
      <c r="CS32" s="1222">
        <v>5</v>
      </c>
      <c r="CT32" s="1178">
        <v>3</v>
      </c>
      <c r="CU32" s="1178">
        <v>2</v>
      </c>
      <c r="CV32" s="1178">
        <v>1</v>
      </c>
      <c r="CW32" s="1174">
        <v>1</v>
      </c>
      <c r="DA32" s="650"/>
      <c r="DG32" s="856"/>
      <c r="DH32" s="866"/>
      <c r="DM32" s="50">
        <v>10</v>
      </c>
      <c r="DN32" s="1284">
        <v>1</v>
      </c>
      <c r="DO32" s="53">
        <v>2</v>
      </c>
      <c r="DP32" s="53"/>
      <c r="DQ32" s="53"/>
      <c r="DR32" s="52"/>
      <c r="DS32" s="53"/>
      <c r="DT32" s="52"/>
      <c r="DU32" s="52"/>
      <c r="DV32" s="52"/>
      <c r="DW32" s="1285"/>
    </row>
    <row r="33" spans="2:127">
      <c r="B33" s="652" t="s">
        <v>1150</v>
      </c>
      <c r="C33" s="666">
        <v>22</v>
      </c>
      <c r="D33" s="671">
        <f>I45</f>
        <v>5.0000000000000001E-3</v>
      </c>
      <c r="E33" s="660">
        <f>D46</f>
        <v>0.64</v>
      </c>
      <c r="F33" s="660">
        <f>G44</f>
        <v>3.4</v>
      </c>
      <c r="G33" s="682">
        <f>S12</f>
        <v>298.4375</v>
      </c>
      <c r="H33" s="666">
        <f>W26</f>
        <v>62</v>
      </c>
      <c r="I33" s="682">
        <f>W25</f>
        <v>5078.125</v>
      </c>
      <c r="J33" s="660">
        <f>B48</f>
        <v>0.15</v>
      </c>
      <c r="R33" s="652" t="s">
        <v>1404</v>
      </c>
      <c r="S33" s="654">
        <f>(1-(S30/S27)^2)*S27</f>
        <v>73.454705536318755</v>
      </c>
      <c r="T33" s="654">
        <f>(1-(T30/T27)^2)*T27</f>
        <v>73.454705536318755</v>
      </c>
      <c r="U33" s="654">
        <f>T33/S33</f>
        <v>1</v>
      </c>
      <c r="V33" s="652" t="s">
        <v>1397</v>
      </c>
      <c r="W33" s="654">
        <f>(1/W19-1/W20)*1000</f>
        <v>-0.31730769230769229</v>
      </c>
      <c r="X33" s="654">
        <f>(1/X19-1/X20)*1000</f>
        <v>-0.31730769230769229</v>
      </c>
      <c r="Y33" s="654">
        <f t="shared" si="31"/>
        <v>1</v>
      </c>
      <c r="Z33" s="652" t="s">
        <v>924</v>
      </c>
      <c r="AA33" s="1346">
        <f>COS(AA6)*AA12*$AN10</f>
        <v>2.2492959914337912E-23</v>
      </c>
      <c r="AB33" s="1346">
        <f t="shared" ref="AB33:AJ33" si="34">COS(AB6)*AB12*$AN$10</f>
        <v>-2.968340363093022E-7</v>
      </c>
      <c r="AC33" s="1346">
        <f t="shared" si="34"/>
        <v>1.2148325401195277E-7</v>
      </c>
      <c r="AD33" s="1346">
        <f t="shared" si="34"/>
        <v>2.4574063696871663E-8</v>
      </c>
      <c r="AE33" s="1346">
        <f t="shared" si="34"/>
        <v>-9.7182914551755498E-8</v>
      </c>
      <c r="AF33" s="1346">
        <f t="shared" si="34"/>
        <v>1.3112738756112382E-8</v>
      </c>
      <c r="AG33" s="1346">
        <f t="shared" si="34"/>
        <v>9.5312669189558792E-8</v>
      </c>
      <c r="AH33" s="1346">
        <f t="shared" si="34"/>
        <v>1.0895627060502401E-7</v>
      </c>
      <c r="AI33" s="1346">
        <f t="shared" si="34"/>
        <v>-2.3499349620746779E-7</v>
      </c>
      <c r="AJ33" s="1346">
        <f t="shared" si="34"/>
        <v>2.1447522299496241E-7</v>
      </c>
      <c r="AK33" s="676"/>
      <c r="AL33" s="676"/>
      <c r="AM33" s="676">
        <f>SUM(AA33:AJ33)</f>
        <v>-5.1096227814043448E-8</v>
      </c>
      <c r="AQ33" s="652" t="s">
        <v>1190</v>
      </c>
      <c r="AR33" s="655">
        <f>$AS$25*1.04/AR28/1000000000</f>
        <v>2.3597308309626383E-9</v>
      </c>
      <c r="AS33" s="655">
        <f>$AS$25*1.04/AS28/1000000000</f>
        <v>2.5120772946859906E-9</v>
      </c>
      <c r="AT33" s="655">
        <f>$AS$25*1.04/AT28/1000000000</f>
        <v>8.2539682539682551E-10</v>
      </c>
      <c r="AV33" s="659"/>
      <c r="AW33" s="668"/>
      <c r="AX33" s="714"/>
      <c r="AY33" s="714"/>
      <c r="AZ33" s="714"/>
      <c r="BA33" s="714"/>
      <c r="BB33" s="659"/>
      <c r="BC33" s="659"/>
      <c r="BD33" s="659"/>
      <c r="BE33" s="659"/>
      <c r="BO33" s="650"/>
      <c r="BU33" s="674"/>
      <c r="CD33" s="650"/>
      <c r="CJ33" s="652"/>
      <c r="DA33" s="650"/>
      <c r="DG33" s="856"/>
      <c r="DM33" s="50">
        <v>20</v>
      </c>
      <c r="DN33" s="1284">
        <v>2</v>
      </c>
      <c r="DO33" s="53">
        <v>3</v>
      </c>
      <c r="DP33" s="53">
        <v>3</v>
      </c>
      <c r="DQ33" s="53"/>
      <c r="DR33" s="52"/>
      <c r="DS33" s="53"/>
      <c r="DT33" s="52"/>
      <c r="DU33" s="52"/>
      <c r="DV33" s="52"/>
      <c r="DW33" s="1285"/>
    </row>
    <row r="34" spans="2:127" ht="18">
      <c r="B34" s="652" t="s">
        <v>297</v>
      </c>
      <c r="C34" s="692">
        <v>22</v>
      </c>
      <c r="D34" s="794">
        <f t="shared" ref="D34:I34" si="35">D33</f>
        <v>5.0000000000000001E-3</v>
      </c>
      <c r="E34" s="693">
        <f t="shared" si="35"/>
        <v>0.64</v>
      </c>
      <c r="F34" s="693">
        <f t="shared" si="35"/>
        <v>3.4</v>
      </c>
      <c r="G34" s="694">
        <f t="shared" si="35"/>
        <v>298.4375</v>
      </c>
      <c r="H34" s="692">
        <f t="shared" si="35"/>
        <v>62</v>
      </c>
      <c r="I34" s="694">
        <f t="shared" si="35"/>
        <v>5078.125</v>
      </c>
      <c r="J34" s="693">
        <v>1</v>
      </c>
      <c r="R34" s="652" t="s">
        <v>1414</v>
      </c>
      <c r="S34" s="654">
        <f>S30/S27</f>
        <v>0.29786316199256885</v>
      </c>
      <c r="T34" s="654">
        <f>T30/T27</f>
        <v>0.29786316199256885</v>
      </c>
      <c r="U34" s="654">
        <f>T34/S34</f>
        <v>1</v>
      </c>
      <c r="V34" s="652" t="s">
        <v>1401</v>
      </c>
      <c r="W34" s="654">
        <f>(1/W21-1/W22)*1000</f>
        <v>5.924950625411455</v>
      </c>
      <c r="X34" s="654">
        <f>(1/X21-1/X22)*1000</f>
        <v>5.924950625411455</v>
      </c>
      <c r="Y34" s="654">
        <f t="shared" si="31"/>
        <v>1</v>
      </c>
      <c r="Z34" s="652" t="s">
        <v>925</v>
      </c>
      <c r="AA34" s="1346">
        <f>SIN(AA6)*AA12*$AN10</f>
        <v>3.6718749999999945E-7</v>
      </c>
      <c r="AB34" s="1346">
        <f t="shared" ref="AB34:AJ34" si="36">SIN(AB6)*AB12*$AN$10</f>
        <v>1.883766076098035E-7</v>
      </c>
      <c r="AC34" s="1346">
        <f t="shared" si="36"/>
        <v>-3.1320252697083568E-7</v>
      </c>
      <c r="AD34" s="1346">
        <f t="shared" si="36"/>
        <v>3.1936845969768548E-7</v>
      </c>
      <c r="AE34" s="1346">
        <f t="shared" si="36"/>
        <v>-2.8877318742479537E-7</v>
      </c>
      <c r="AF34" s="1346">
        <f t="shared" si="36"/>
        <v>-2.8876493033012822E-7</v>
      </c>
      <c r="AG34" s="1346">
        <f t="shared" si="36"/>
        <v>-2.562880440016889E-7</v>
      </c>
      <c r="AH34" s="1346">
        <f t="shared" si="36"/>
        <v>2.3365747634538617E-7</v>
      </c>
      <c r="AI34" s="1346">
        <f t="shared" si="36"/>
        <v>5.8590459090544508E-8</v>
      </c>
      <c r="AJ34" s="1346">
        <f t="shared" si="36"/>
        <v>-7.3013321575662642E-8</v>
      </c>
      <c r="AK34" s="676"/>
      <c r="AL34" s="676"/>
      <c r="AM34" s="676">
        <f>SUM(AA34:AJ34)</f>
        <v>-5.2861507559691762E-8</v>
      </c>
      <c r="AQ34" s="652"/>
      <c r="AV34" s="659"/>
      <c r="AW34" s="682"/>
      <c r="AX34" s="659"/>
      <c r="AY34" s="659"/>
      <c r="AZ34" s="659"/>
      <c r="BA34" s="659"/>
      <c r="BB34" s="659"/>
      <c r="BC34" s="659"/>
      <c r="BD34" s="659"/>
      <c r="BE34" s="659"/>
      <c r="BO34" s="650"/>
      <c r="BU34" s="1231" t="s">
        <v>2074</v>
      </c>
      <c r="BV34" s="1232"/>
      <c r="BW34" s="1189"/>
      <c r="BX34" s="1232"/>
      <c r="BY34" s="594"/>
      <c r="BZ34" s="594"/>
      <c r="CA34" s="594"/>
      <c r="CB34" s="594"/>
      <c r="CC34" s="594"/>
      <c r="CD34" s="594"/>
      <c r="CE34" s="594"/>
      <c r="CF34" s="594"/>
      <c r="CG34" s="594"/>
      <c r="CH34" s="594"/>
      <c r="CI34" s="594"/>
      <c r="CJ34" s="1231" t="s">
        <v>2075</v>
      </c>
      <c r="CK34" s="1232"/>
      <c r="CL34" s="1232"/>
      <c r="CM34" s="1232"/>
      <c r="CN34" s="1232"/>
      <c r="DA34" s="650"/>
      <c r="DG34" s="856"/>
      <c r="DM34" s="50">
        <v>30</v>
      </c>
      <c r="DN34" s="1284">
        <v>2</v>
      </c>
      <c r="DO34" s="53">
        <v>2</v>
      </c>
      <c r="DP34" s="53">
        <v>3</v>
      </c>
      <c r="DQ34" s="53">
        <v>3</v>
      </c>
      <c r="DR34" s="52"/>
      <c r="DS34" s="53"/>
      <c r="DT34" s="52"/>
      <c r="DU34" s="52"/>
      <c r="DV34" s="52"/>
      <c r="DW34" s="1285"/>
    </row>
    <row r="35" spans="2:127">
      <c r="B35" s="665" t="s">
        <v>224</v>
      </c>
      <c r="C35" s="671">
        <f t="shared" ref="C35:J35" si="37">C34/C33</f>
        <v>1</v>
      </c>
      <c r="D35" s="671">
        <f t="shared" si="37"/>
        <v>1</v>
      </c>
      <c r="E35" s="671">
        <f t="shared" si="37"/>
        <v>1</v>
      </c>
      <c r="F35" s="671">
        <f t="shared" si="37"/>
        <v>1</v>
      </c>
      <c r="G35" s="671">
        <f t="shared" si="37"/>
        <v>1</v>
      </c>
      <c r="H35" s="671">
        <f t="shared" si="37"/>
        <v>1</v>
      </c>
      <c r="I35" s="671">
        <f t="shared" si="37"/>
        <v>1</v>
      </c>
      <c r="J35" s="671">
        <f t="shared" si="37"/>
        <v>6.666666666666667</v>
      </c>
      <c r="V35" s="652" t="s">
        <v>1405</v>
      </c>
      <c r="W35" s="659">
        <f>(W29*S22^2+2*W31*S22*S24+W30*S24^2)</f>
        <v>5337.0907751947643</v>
      </c>
      <c r="X35" s="659">
        <f>(X29*T22^2+2*X31*T22*T24+X30*T24^2)</f>
        <v>5337.0907751947643</v>
      </c>
      <c r="Y35" s="654">
        <f t="shared" si="31"/>
        <v>1</v>
      </c>
      <c r="Z35" s="652"/>
      <c r="AA35" s="1347" t="s">
        <v>1406</v>
      </c>
      <c r="AB35" s="1347" t="s">
        <v>1407</v>
      </c>
      <c r="AC35" s="1347" t="s">
        <v>1408</v>
      </c>
      <c r="AD35" s="1347" t="s">
        <v>1409</v>
      </c>
      <c r="AE35" s="1347" t="s">
        <v>926</v>
      </c>
      <c r="AF35" s="1347" t="s">
        <v>927</v>
      </c>
      <c r="AG35" s="1347"/>
      <c r="AH35" s="1348">
        <f>AN17/AN12*1000000000</f>
        <v>16039299612.111162</v>
      </c>
      <c r="AI35" s="1165"/>
      <c r="AJ35" s="1349" t="s">
        <v>2140</v>
      </c>
      <c r="AW35" s="1336" t="s">
        <v>2139</v>
      </c>
      <c r="BO35" s="650"/>
      <c r="BU35" s="674"/>
      <c r="BV35" s="659">
        <v>0</v>
      </c>
      <c r="BW35" s="659">
        <v>7.5</v>
      </c>
      <c r="BX35" s="659">
        <v>15</v>
      </c>
      <c r="BY35" s="659">
        <v>22.5</v>
      </c>
      <c r="BZ35" s="659">
        <v>30</v>
      </c>
      <c r="CA35" s="659">
        <v>37.5</v>
      </c>
      <c r="CB35" s="659">
        <v>45</v>
      </c>
      <c r="CC35" s="659">
        <v>52.5</v>
      </c>
      <c r="CD35" s="659">
        <v>60</v>
      </c>
      <c r="CE35" s="659">
        <v>67.5</v>
      </c>
      <c r="CF35" s="659">
        <v>75</v>
      </c>
      <c r="CG35" s="659">
        <v>82.5</v>
      </c>
      <c r="CH35" s="659">
        <v>90</v>
      </c>
      <c r="CI35" s="659"/>
      <c r="CJ35" s="652"/>
      <c r="CK35" s="659">
        <v>0</v>
      </c>
      <c r="CL35" s="659">
        <v>7.5</v>
      </c>
      <c r="CM35" s="659">
        <v>15</v>
      </c>
      <c r="CN35" s="659">
        <v>22.5</v>
      </c>
      <c r="CO35" s="659">
        <v>30</v>
      </c>
      <c r="CP35" s="659">
        <v>37.5</v>
      </c>
      <c r="CQ35" s="659">
        <v>45</v>
      </c>
      <c r="CR35" s="659">
        <v>52.5</v>
      </c>
      <c r="CS35" s="659">
        <v>60</v>
      </c>
      <c r="CT35" s="659">
        <v>67.5</v>
      </c>
      <c r="CU35" s="659">
        <v>75</v>
      </c>
      <c r="CV35" s="659">
        <v>82.5</v>
      </c>
      <c r="CW35" s="659">
        <v>90</v>
      </c>
      <c r="DA35" s="650"/>
      <c r="DG35" s="856"/>
      <c r="DM35" s="50">
        <v>40</v>
      </c>
      <c r="DN35" s="1284">
        <v>2</v>
      </c>
      <c r="DO35" s="53">
        <v>1</v>
      </c>
      <c r="DP35" s="53">
        <v>3</v>
      </c>
      <c r="DQ35" s="53">
        <v>4</v>
      </c>
      <c r="DR35" s="1126">
        <v>3</v>
      </c>
      <c r="DS35" s="53"/>
      <c r="DT35" s="52"/>
      <c r="DU35" s="52"/>
      <c r="DV35" s="52"/>
      <c r="DW35" s="1285"/>
    </row>
    <row r="36" spans="2:127">
      <c r="B36" s="652" t="s">
        <v>1540</v>
      </c>
      <c r="C36" s="666">
        <f>C34-C33</f>
        <v>0</v>
      </c>
      <c r="D36" s="666">
        <f>D34-D33</f>
        <v>0</v>
      </c>
      <c r="E36" s="665" t="s">
        <v>1157</v>
      </c>
      <c r="F36" s="660">
        <f>T13</f>
        <v>3.4</v>
      </c>
      <c r="G36" s="682">
        <f>T12</f>
        <v>298.4375</v>
      </c>
      <c r="H36" s="666">
        <f>X26</f>
        <v>62</v>
      </c>
      <c r="I36" s="659">
        <f>X25</f>
        <v>5078.125</v>
      </c>
      <c r="R36" s="652" t="s">
        <v>1193</v>
      </c>
      <c r="S36" s="654">
        <f>$E$46</f>
        <v>1.6</v>
      </c>
      <c r="T36" s="654">
        <f>T37*(1-$T$11)+T38*$T$11</f>
        <v>1.5648</v>
      </c>
      <c r="U36" s="654">
        <f>T36/S36</f>
        <v>0.97799999999999998</v>
      </c>
      <c r="V36" s="652" t="s">
        <v>1415</v>
      </c>
      <c r="W36" s="659">
        <f>(W29*S24^2+2*W31*S24*S23+W30*S23^2)</f>
        <v>16275.929211854793</v>
      </c>
      <c r="X36" s="659">
        <f>(X29*T24^2+2*X31*T24*T23+X30*T23^2)</f>
        <v>16275.929211854793</v>
      </c>
      <c r="Y36" s="654">
        <f t="shared" si="31"/>
        <v>1</v>
      </c>
      <c r="Z36" s="652">
        <v>1</v>
      </c>
      <c r="AA36" s="1346">
        <f>(($T22+$T24)/2*$X12+($T24+$T23)/2*$X13)/1000000</f>
        <v>1.5388960638331223E-4</v>
      </c>
      <c r="AB36" s="1346">
        <f>(($T22+$T24)/2*$X15+($T24+$T23)/2*$X16)</f>
        <v>4.0515290278574376</v>
      </c>
      <c r="AC36" s="1348">
        <f>AA36+AA37*AM31</f>
        <v>1.5368779713627927E-4</v>
      </c>
      <c r="AD36" s="1348">
        <f>AB36+AB37*AM31</f>
        <v>4.046004933542144</v>
      </c>
      <c r="AE36" s="1348">
        <f>((AM7*AM5)^2+AM7*AM5*AN5)*(T9/1000000)^2/2*AA36+AA37*AM33</f>
        <v>6.9614462010315267E-10</v>
      </c>
      <c r="AF36" s="1348">
        <f>((AM7*AM5)^2+AM7*AM5*AN5)*(T9/1000000)^2/2*AB36+AB37*AM33</f>
        <v>1.8331555886567139E-5</v>
      </c>
      <c r="AG36" s="1350"/>
      <c r="AH36" s="1348">
        <f>AN18/AN12*1000000000</f>
        <v>18183638921.061661</v>
      </c>
      <c r="AI36" s="1165"/>
      <c r="AJ36" s="1351" t="s">
        <v>2114</v>
      </c>
      <c r="AK36" s="1309" t="s">
        <v>2113</v>
      </c>
      <c r="AL36" s="1310" t="s">
        <v>2112</v>
      </c>
      <c r="AM36" s="1310" t="s">
        <v>2111</v>
      </c>
      <c r="AN36" s="1310" t="s">
        <v>2105</v>
      </c>
      <c r="AO36" s="1310" t="s">
        <v>2106</v>
      </c>
      <c r="AP36" s="1310" t="s">
        <v>2107</v>
      </c>
      <c r="AQ36" s="1161" t="s">
        <v>2108</v>
      </c>
      <c r="AR36" s="1161" t="s">
        <v>2093</v>
      </c>
      <c r="AS36" s="1161" t="s">
        <v>2094</v>
      </c>
      <c r="AT36" s="1161" t="s">
        <v>2095</v>
      </c>
      <c r="AU36" s="1161" t="s">
        <v>2096</v>
      </c>
      <c r="AV36" s="656"/>
      <c r="AW36" s="1303" t="s">
        <v>2114</v>
      </c>
      <c r="AX36" s="1309" t="s">
        <v>2113</v>
      </c>
      <c r="AY36" s="1310" t="s">
        <v>2112</v>
      </c>
      <c r="AZ36" s="1310" t="s">
        <v>2111</v>
      </c>
      <c r="BA36" s="1310" t="s">
        <v>2105</v>
      </c>
      <c r="BB36" s="1310" t="s">
        <v>2106</v>
      </c>
      <c r="BC36" s="1310" t="s">
        <v>2107</v>
      </c>
      <c r="BD36" s="1161" t="s">
        <v>2108</v>
      </c>
      <c r="BE36" s="1161" t="s">
        <v>2093</v>
      </c>
      <c r="BF36" s="1161" t="s">
        <v>2094</v>
      </c>
      <c r="BG36" s="1161" t="s">
        <v>2095</v>
      </c>
      <c r="BH36" s="1161" t="s">
        <v>2096</v>
      </c>
      <c r="BO36" s="650"/>
      <c r="BU36" s="682">
        <v>0</v>
      </c>
      <c r="BV36" s="1190">
        <f>MIN(BV20,CK20)</f>
        <v>1</v>
      </c>
      <c r="BW36" s="1149"/>
      <c r="BX36" s="1149"/>
      <c r="BY36" s="1149"/>
      <c r="BZ36" s="1149"/>
      <c r="CA36" s="1149"/>
      <c r="CB36" s="1149"/>
      <c r="CC36" s="1149"/>
      <c r="CD36" s="1149"/>
      <c r="CE36" s="1149"/>
      <c r="CF36" s="1149"/>
      <c r="CG36" s="1149"/>
      <c r="CH36" s="1150"/>
      <c r="CI36" s="652"/>
      <c r="CJ36" s="682">
        <v>0</v>
      </c>
      <c r="CK36" s="1199">
        <v>1</v>
      </c>
      <c r="CL36" s="1200"/>
      <c r="CM36" s="1200"/>
      <c r="CN36" s="1200"/>
      <c r="CO36" s="1200"/>
      <c r="CP36" s="1200"/>
      <c r="CQ36" s="1200"/>
      <c r="CR36" s="1200"/>
      <c r="CS36" s="1200"/>
      <c r="CT36" s="1200"/>
      <c r="CU36" s="1200"/>
      <c r="CV36" s="1200"/>
      <c r="CW36" s="1201"/>
      <c r="DA36" s="650"/>
      <c r="DG36" s="856"/>
      <c r="DM36" s="50">
        <v>50</v>
      </c>
      <c r="DN36" s="1284">
        <v>2</v>
      </c>
      <c r="DO36" s="53">
        <v>2</v>
      </c>
      <c r="DP36" s="53">
        <v>3</v>
      </c>
      <c r="DQ36" s="53">
        <v>3</v>
      </c>
      <c r="DR36" s="1126">
        <v>3</v>
      </c>
      <c r="DS36" s="53">
        <v>3</v>
      </c>
      <c r="DT36" s="52"/>
      <c r="DU36" s="52"/>
      <c r="DV36" s="52"/>
      <c r="DW36" s="1285"/>
    </row>
    <row r="37" spans="2:127">
      <c r="B37" s="652" t="s">
        <v>976</v>
      </c>
      <c r="C37" s="653" t="s">
        <v>1336</v>
      </c>
      <c r="D37" s="653" t="s">
        <v>1337</v>
      </c>
      <c r="E37" s="670" t="s">
        <v>1338</v>
      </c>
      <c r="F37" s="653" t="s">
        <v>1339</v>
      </c>
      <c r="G37" s="653" t="s">
        <v>1340</v>
      </c>
      <c r="H37" s="653" t="s">
        <v>1341</v>
      </c>
      <c r="I37" s="653" t="s">
        <v>1342</v>
      </c>
      <c r="J37" s="653" t="s">
        <v>1147</v>
      </c>
      <c r="K37" s="650" t="s">
        <v>403</v>
      </c>
      <c r="R37" s="652" t="s">
        <v>274</v>
      </c>
      <c r="S37" s="654">
        <f>$G$45</f>
        <v>1.2</v>
      </c>
      <c r="T37" s="654">
        <v>1.2</v>
      </c>
      <c r="U37" s="654">
        <f>T37/S37</f>
        <v>1</v>
      </c>
      <c r="V37" s="652" t="s">
        <v>1416</v>
      </c>
      <c r="W37" s="659">
        <f>(W29*S22*S24+W31*(S22*S23+S24^2)+W30*S24*S23)</f>
        <v>450.45025795721722</v>
      </c>
      <c r="X37" s="659">
        <f>(X29*T22*T24+X31*(T22*T23+T24^2)+X30*T24*T23)</f>
        <v>450.45025795721722</v>
      </c>
      <c r="Y37" s="654">
        <f t="shared" si="31"/>
        <v>1</v>
      </c>
      <c r="Z37" s="652">
        <v>2</v>
      </c>
      <c r="AA37" s="1346">
        <f>(($T22-$T24)/2*$X12+($T24-$T23)/2*$X13)/1000000</f>
        <v>-7.1265366036409587E-5</v>
      </c>
      <c r="AB37" s="1346">
        <f>(($T22-$T24)/2*$X15+($T24-$T23)/2*$X16)</f>
        <v>-1.9507361985980254</v>
      </c>
      <c r="AC37" s="1348">
        <f>AA36-AA37*AM31</f>
        <v>1.5409141563034519E-4</v>
      </c>
      <c r="AD37" s="1348">
        <f>AB36-AB37*AM31</f>
        <v>4.0570531221727313</v>
      </c>
      <c r="AE37" s="1348">
        <f>((AM7*AM5)^2+AM7*AM5*AN5)*(T9/1000000)^2/2*AA36-AA37*AM33</f>
        <v>6.8886183734665747E-10</v>
      </c>
      <c r="AF37" s="1348">
        <f>((AM7*AM5)^2+AM7*AM5*AN5)*(T9/1000000)^2/2*AB36-AB37*AM33</f>
        <v>1.8132205364149804E-5</v>
      </c>
      <c r="AG37" s="1350"/>
      <c r="AH37" s="1348">
        <f>AN19/AN12*1000000000</f>
        <v>-1424960801.6610236</v>
      </c>
      <c r="AI37" s="1352"/>
      <c r="AJ37" s="1353">
        <f>AJ40</f>
        <v>36</v>
      </c>
      <c r="AK37" s="1311">
        <f t="shared" ref="AK37:AU37" si="38">AK40</f>
        <v>72</v>
      </c>
      <c r="AL37" s="1311">
        <f t="shared" si="38"/>
        <v>22.5</v>
      </c>
      <c r="AM37" s="1311">
        <f t="shared" si="38"/>
        <v>-67.5</v>
      </c>
      <c r="AN37" s="1311">
        <f t="shared" si="38"/>
        <v>7</v>
      </c>
      <c r="AO37" s="1311">
        <f t="shared" si="38"/>
        <v>53</v>
      </c>
      <c r="AP37" s="1311">
        <f t="shared" si="38"/>
        <v>4</v>
      </c>
      <c r="AQ37" s="1311">
        <f t="shared" si="38"/>
        <v>2</v>
      </c>
      <c r="AR37" s="1311">
        <f t="shared" si="38"/>
        <v>7</v>
      </c>
      <c r="AS37" s="1311">
        <f t="shared" si="38"/>
        <v>53</v>
      </c>
      <c r="AT37" s="1311">
        <f t="shared" si="38"/>
        <v>4</v>
      </c>
      <c r="AU37" s="1311">
        <f t="shared" si="38"/>
        <v>2</v>
      </c>
      <c r="AW37" s="1311">
        <f>BH40</f>
        <v>2</v>
      </c>
      <c r="AX37" s="1312">
        <f>BG40</f>
        <v>4</v>
      </c>
      <c r="AY37" s="1316">
        <f>BF40</f>
        <v>53</v>
      </c>
      <c r="AZ37" s="1316">
        <f>BE40</f>
        <v>7</v>
      </c>
      <c r="BA37" s="1316">
        <f>BD40</f>
        <v>2</v>
      </c>
      <c r="BB37" s="1316">
        <f>BC40</f>
        <v>4</v>
      </c>
      <c r="BC37" s="1316">
        <f>BB40</f>
        <v>53</v>
      </c>
      <c r="BD37" s="1316">
        <f>BA40</f>
        <v>7</v>
      </c>
      <c r="BE37" s="1316">
        <f>AZ40</f>
        <v>-67.5</v>
      </c>
      <c r="BF37" s="1316">
        <f>AY40</f>
        <v>22.5</v>
      </c>
      <c r="BG37" s="1316">
        <f>AX40</f>
        <v>72</v>
      </c>
      <c r="BH37" s="1316">
        <f>AW40</f>
        <v>36</v>
      </c>
      <c r="BO37" s="650"/>
      <c r="BU37" s="682">
        <v>7.5</v>
      </c>
      <c r="BV37" s="1191">
        <f t="shared" ref="BV37:CG48" si="39">MIN(BV21,CK21)</f>
        <v>2</v>
      </c>
      <c r="BW37" s="1192">
        <f t="shared" si="39"/>
        <v>3</v>
      </c>
      <c r="CD37" s="650"/>
      <c r="CH37" s="1152"/>
      <c r="CI37" s="652"/>
      <c r="CJ37" s="682">
        <v>7.5</v>
      </c>
      <c r="CK37" s="1202">
        <v>1</v>
      </c>
      <c r="CL37" s="1203">
        <v>2</v>
      </c>
      <c r="CM37" s="1204"/>
      <c r="CN37" s="1204"/>
      <c r="CO37" s="1204"/>
      <c r="CP37" s="1204"/>
      <c r="CQ37" s="1204"/>
      <c r="CR37" s="1204"/>
      <c r="CS37" s="1204"/>
      <c r="CT37" s="1204"/>
      <c r="CU37" s="1204"/>
      <c r="CV37" s="1204"/>
      <c r="CW37" s="1205"/>
      <c r="DA37" s="650"/>
      <c r="DG37" s="856"/>
      <c r="DM37" s="50">
        <v>60</v>
      </c>
      <c r="DN37" s="1284">
        <v>2</v>
      </c>
      <c r="DO37" s="53">
        <v>2</v>
      </c>
      <c r="DP37" s="53">
        <v>4</v>
      </c>
      <c r="DQ37" s="53">
        <v>3</v>
      </c>
      <c r="DR37" s="1126">
        <v>3</v>
      </c>
      <c r="DS37" s="53">
        <v>3</v>
      </c>
      <c r="DT37" s="1126">
        <v>4</v>
      </c>
      <c r="DU37" s="52"/>
      <c r="DV37" s="52"/>
      <c r="DW37" s="1285"/>
    </row>
    <row r="38" spans="2:127">
      <c r="B38" s="652" t="s">
        <v>1150</v>
      </c>
      <c r="C38" s="666">
        <v>22</v>
      </c>
      <c r="D38" s="671">
        <f>I51</f>
        <v>5.0000000000000001E-3</v>
      </c>
      <c r="E38" s="660">
        <f>D52</f>
        <v>0.64</v>
      </c>
      <c r="F38" s="660">
        <f>G50</f>
        <v>3.4</v>
      </c>
      <c r="G38" s="682">
        <f>S53</f>
        <v>298.4375</v>
      </c>
      <c r="H38" s="666">
        <f>W67</f>
        <v>62</v>
      </c>
      <c r="I38" s="682">
        <f>W66</f>
        <v>5078.125</v>
      </c>
      <c r="J38" s="660">
        <f>B54</f>
        <v>0.15</v>
      </c>
      <c r="R38" s="652" t="s">
        <v>1195</v>
      </c>
      <c r="S38" s="654">
        <f>(S36-S37*(1-$S$11))/$S$11</f>
        <v>1.8250000000000002</v>
      </c>
      <c r="T38" s="654">
        <v>1.77</v>
      </c>
      <c r="U38" s="654">
        <f>T38/S38</f>
        <v>0.96986301369863004</v>
      </c>
      <c r="V38" s="652" t="s">
        <v>1418</v>
      </c>
      <c r="W38" s="659">
        <f>W32*S25^2</f>
        <v>10788.284444444445</v>
      </c>
      <c r="X38" s="659">
        <f>X32*T25^2</f>
        <v>10788.284444444445</v>
      </c>
      <c r="Y38" s="654">
        <f t="shared" si="31"/>
        <v>1</v>
      </c>
      <c r="Z38" s="652">
        <v>6</v>
      </c>
      <c r="AA38" s="1354" t="s">
        <v>928</v>
      </c>
      <c r="AB38" s="1354" t="s">
        <v>929</v>
      </c>
      <c r="AC38" s="1348">
        <f>AA37*AM32</f>
        <v>1.358499709926533E-6</v>
      </c>
      <c r="AD38" s="1348">
        <f>AB37*AM32</f>
        <v>3.7186009240234283E-2</v>
      </c>
      <c r="AE38" s="1348">
        <f>AA37*AM34</f>
        <v>3.7671946854778658E-12</v>
      </c>
      <c r="AF38" s="1348">
        <f>AB37*AM34</f>
        <v>1.0311885630915389E-7</v>
      </c>
      <c r="AG38" s="1350"/>
      <c r="AH38" s="1348">
        <f>AN20/AN12*1000000000</f>
        <v>2589904200.2220373</v>
      </c>
      <c r="AI38" s="1165"/>
      <c r="AJ38" s="1353">
        <f>AJ41</f>
        <v>0</v>
      </c>
      <c r="AK38" s="1311">
        <f t="shared" ref="AK38:AU38" si="40">AK41</f>
        <v>0</v>
      </c>
      <c r="AL38" s="1311">
        <f t="shared" si="40"/>
        <v>0</v>
      </c>
      <c r="AM38" s="1311">
        <f t="shared" si="40"/>
        <v>0</v>
      </c>
      <c r="AN38" s="1311">
        <f t="shared" si="40"/>
        <v>1</v>
      </c>
      <c r="AO38" s="1311">
        <f t="shared" si="40"/>
        <v>1</v>
      </c>
      <c r="AP38" s="1311">
        <f t="shared" si="40"/>
        <v>1</v>
      </c>
      <c r="AQ38" s="1311">
        <f t="shared" si="40"/>
        <v>1</v>
      </c>
      <c r="AR38" s="1311">
        <f t="shared" si="40"/>
        <v>1</v>
      </c>
      <c r="AS38" s="1311">
        <f t="shared" si="40"/>
        <v>1</v>
      </c>
      <c r="AT38" s="1311">
        <f t="shared" si="40"/>
        <v>1</v>
      </c>
      <c r="AU38" s="1311">
        <f t="shared" si="40"/>
        <v>1</v>
      </c>
      <c r="AW38" s="1311">
        <f>BH41</f>
        <v>1</v>
      </c>
      <c r="AX38" s="1312">
        <f>BG41</f>
        <v>1</v>
      </c>
      <c r="AY38" s="1311">
        <f>BF41</f>
        <v>1</v>
      </c>
      <c r="AZ38" s="1311">
        <f>BE41</f>
        <v>1</v>
      </c>
      <c r="BA38" s="1311">
        <f>BD41</f>
        <v>1</v>
      </c>
      <c r="BB38" s="1311">
        <f>BC41</f>
        <v>1</v>
      </c>
      <c r="BC38" s="1311">
        <f>BB41</f>
        <v>1</v>
      </c>
      <c r="BD38" s="1311">
        <f>BA41</f>
        <v>1</v>
      </c>
      <c r="BE38" s="1311">
        <f>AZ41</f>
        <v>0</v>
      </c>
      <c r="BF38" s="1311">
        <f>AY41</f>
        <v>0</v>
      </c>
      <c r="BG38" s="1311">
        <f>AX41</f>
        <v>0</v>
      </c>
      <c r="BH38" s="1311">
        <f>AW41</f>
        <v>0</v>
      </c>
      <c r="BO38" s="650"/>
      <c r="BU38" s="682">
        <v>15</v>
      </c>
      <c r="BV38" s="1193">
        <f t="shared" si="39"/>
        <v>2</v>
      </c>
      <c r="BW38" s="1192">
        <f t="shared" si="39"/>
        <v>4</v>
      </c>
      <c r="BX38" s="1192">
        <f t="shared" si="39"/>
        <v>5</v>
      </c>
      <c r="CD38" s="650"/>
      <c r="CH38" s="1152"/>
      <c r="CI38" s="652"/>
      <c r="CJ38" s="682">
        <v>15</v>
      </c>
      <c r="CK38" s="1202">
        <v>2</v>
      </c>
      <c r="CL38" s="1203">
        <v>2</v>
      </c>
      <c r="CM38" s="1203">
        <v>2</v>
      </c>
      <c r="CN38" s="1204"/>
      <c r="CO38" s="1204"/>
      <c r="CP38" s="1204"/>
      <c r="CQ38" s="1204"/>
      <c r="CR38" s="1204"/>
      <c r="CS38" s="1204"/>
      <c r="CT38" s="1204"/>
      <c r="CU38" s="1204"/>
      <c r="CV38" s="1204"/>
      <c r="CW38" s="1205"/>
      <c r="DA38" s="650"/>
      <c r="DG38" s="856"/>
      <c r="DM38" s="50">
        <v>70</v>
      </c>
      <c r="DN38" s="1284">
        <v>2</v>
      </c>
      <c r="DO38" s="53">
        <v>3</v>
      </c>
      <c r="DP38" s="53">
        <v>4</v>
      </c>
      <c r="DQ38" s="53">
        <v>3</v>
      </c>
      <c r="DR38" s="1126">
        <v>4</v>
      </c>
      <c r="DS38" s="53">
        <v>3</v>
      </c>
      <c r="DT38" s="1126">
        <v>4</v>
      </c>
      <c r="DU38" s="1126">
        <v>3</v>
      </c>
      <c r="DV38" s="1126"/>
      <c r="DW38" s="1286"/>
    </row>
    <row r="39" spans="2:127">
      <c r="B39" s="652" t="s">
        <v>297</v>
      </c>
      <c r="C39" s="692">
        <v>22</v>
      </c>
      <c r="D39" s="794">
        <f t="shared" ref="D39:I39" si="41">D38</f>
        <v>5.0000000000000001E-3</v>
      </c>
      <c r="E39" s="693">
        <f t="shared" si="41"/>
        <v>0.64</v>
      </c>
      <c r="F39" s="693">
        <f t="shared" si="41"/>
        <v>3.4</v>
      </c>
      <c r="G39" s="694">
        <f t="shared" si="41"/>
        <v>298.4375</v>
      </c>
      <c r="H39" s="692">
        <f t="shared" si="41"/>
        <v>62</v>
      </c>
      <c r="I39" s="694">
        <f t="shared" si="41"/>
        <v>5078.125</v>
      </c>
      <c r="J39" s="693">
        <f>J34</f>
        <v>1</v>
      </c>
      <c r="R39" s="652"/>
      <c r="S39" s="654"/>
      <c r="T39" s="654"/>
      <c r="U39" s="654"/>
      <c r="V39" s="652" t="s">
        <v>1422</v>
      </c>
      <c r="W39" s="659">
        <f>(W33*S22+W34*S24)</f>
        <v>-40.249461590858644</v>
      </c>
      <c r="X39" s="659">
        <f>(X33*T22+X34*T24)</f>
        <v>-40.249461590858644</v>
      </c>
      <c r="Y39" s="654">
        <f t="shared" si="31"/>
        <v>1</v>
      </c>
      <c r="Z39" s="652">
        <v>1</v>
      </c>
      <c r="AA39" s="1348">
        <f>($X9*AC36+$X5*AD36)*AM9*AM5</f>
        <v>1.4583734862248378E-5</v>
      </c>
      <c r="AB39" s="1348">
        <f>$X9*AE36+$X5*AF36</f>
        <v>2.2043317422520422E-8</v>
      </c>
      <c r="AC39" s="1347" t="s">
        <v>1423</v>
      </c>
      <c r="AD39" s="1348">
        <f>$X9*$X12/1000000+$X5*$X15</f>
        <v>-1.9999999999999999E-6</v>
      </c>
      <c r="AE39" s="1350"/>
      <c r="AF39" s="1350"/>
      <c r="AG39" s="1350"/>
      <c r="AH39" s="1165"/>
      <c r="AI39" s="1165"/>
      <c r="AJ39" s="1351" t="s">
        <v>1562</v>
      </c>
      <c r="AK39" s="1309" t="s">
        <v>1563</v>
      </c>
      <c r="AL39" s="1309" t="s">
        <v>1563</v>
      </c>
      <c r="AM39" s="1309" t="s">
        <v>1563</v>
      </c>
      <c r="AN39" s="1310" t="s">
        <v>973</v>
      </c>
      <c r="AO39" s="1310" t="s">
        <v>972</v>
      </c>
      <c r="AP39" s="1310" t="s">
        <v>971</v>
      </c>
      <c r="AQ39" s="1161" t="s">
        <v>970</v>
      </c>
      <c r="AR39" s="1161" t="s">
        <v>2100</v>
      </c>
      <c r="AS39" s="1161" t="s">
        <v>2099</v>
      </c>
      <c r="AT39" s="1161" t="s">
        <v>2098</v>
      </c>
      <c r="AU39" s="1161" t="s">
        <v>2097</v>
      </c>
      <c r="AW39" s="1303" t="s">
        <v>1562</v>
      </c>
      <c r="AX39" s="1309" t="s">
        <v>1563</v>
      </c>
      <c r="AY39" s="1309" t="s">
        <v>1563</v>
      </c>
      <c r="AZ39" s="1309" t="s">
        <v>1563</v>
      </c>
      <c r="BA39" s="1310" t="s">
        <v>973</v>
      </c>
      <c r="BB39" s="1310" t="s">
        <v>972</v>
      </c>
      <c r="BC39" s="1310" t="s">
        <v>971</v>
      </c>
      <c r="BD39" s="1161" t="s">
        <v>970</v>
      </c>
      <c r="BE39" s="1161" t="s">
        <v>2100</v>
      </c>
      <c r="BF39" s="1161" t="s">
        <v>2099</v>
      </c>
      <c r="BG39" s="1161" t="s">
        <v>2098</v>
      </c>
      <c r="BH39" s="1161" t="s">
        <v>2097</v>
      </c>
      <c r="BO39" s="650"/>
      <c r="BU39" s="682">
        <v>22.5</v>
      </c>
      <c r="BV39" s="1193">
        <f t="shared" si="39"/>
        <v>3</v>
      </c>
      <c r="BW39" s="1192">
        <f t="shared" si="39"/>
        <v>5</v>
      </c>
      <c r="BX39" s="1192">
        <f t="shared" si="39"/>
        <v>6</v>
      </c>
      <c r="BY39" s="1192">
        <f t="shared" si="39"/>
        <v>6</v>
      </c>
      <c r="CD39" s="650"/>
      <c r="CH39" s="1152"/>
      <c r="CI39" s="652"/>
      <c r="CJ39" s="682">
        <v>22.5</v>
      </c>
      <c r="CK39" s="1202">
        <v>3</v>
      </c>
      <c r="CL39" s="1203">
        <v>2</v>
      </c>
      <c r="CM39" s="1203">
        <v>3</v>
      </c>
      <c r="CN39" s="1203">
        <v>3</v>
      </c>
      <c r="CO39" s="1204"/>
      <c r="CP39" s="1204"/>
      <c r="CQ39" s="1204"/>
      <c r="CR39" s="1204"/>
      <c r="CS39" s="1204"/>
      <c r="CT39" s="1204"/>
      <c r="CU39" s="1204"/>
      <c r="CV39" s="1204"/>
      <c r="CW39" s="1205"/>
      <c r="DA39" s="650"/>
      <c r="DG39" s="856"/>
      <c r="DM39" s="50">
        <v>80</v>
      </c>
      <c r="DN39" s="1284">
        <v>1</v>
      </c>
      <c r="DO39" s="53">
        <v>3</v>
      </c>
      <c r="DP39" s="53">
        <v>5</v>
      </c>
      <c r="DQ39" s="53">
        <v>5</v>
      </c>
      <c r="DR39" s="53">
        <v>4</v>
      </c>
      <c r="DS39" s="53">
        <v>4</v>
      </c>
      <c r="DT39" s="1126">
        <v>3</v>
      </c>
      <c r="DU39" s="1126">
        <v>3</v>
      </c>
      <c r="DV39" s="1126">
        <v>2</v>
      </c>
      <c r="DW39" s="1286"/>
    </row>
    <row r="40" spans="2:127">
      <c r="B40" s="665" t="s">
        <v>224</v>
      </c>
      <c r="C40" s="671">
        <f t="shared" ref="C40:J40" si="42">C39/C38</f>
        <v>1</v>
      </c>
      <c r="D40" s="671">
        <f t="shared" si="42"/>
        <v>1</v>
      </c>
      <c r="E40" s="671">
        <f t="shared" si="42"/>
        <v>1</v>
      </c>
      <c r="F40" s="671">
        <f t="shared" si="42"/>
        <v>1</v>
      </c>
      <c r="G40" s="671">
        <f t="shared" si="42"/>
        <v>1</v>
      </c>
      <c r="H40" s="671">
        <f t="shared" si="42"/>
        <v>1</v>
      </c>
      <c r="I40" s="671">
        <f t="shared" si="42"/>
        <v>1</v>
      </c>
      <c r="J40" s="671">
        <f t="shared" si="42"/>
        <v>6.666666666666667</v>
      </c>
      <c r="R40" s="652"/>
      <c r="S40" s="654"/>
      <c r="T40" s="654"/>
      <c r="U40" s="654"/>
      <c r="V40" s="652" t="s">
        <v>1426</v>
      </c>
      <c r="W40" s="659">
        <f>(W33*S24+W34*S23)</f>
        <v>58.160878971173119</v>
      </c>
      <c r="X40" s="659">
        <f>(X33*T24+X34*T23)</f>
        <v>58.160878971173119</v>
      </c>
      <c r="Y40" s="654">
        <f t="shared" si="31"/>
        <v>1</v>
      </c>
      <c r="Z40" s="652">
        <v>2</v>
      </c>
      <c r="AA40" s="1348">
        <f>($X9*AC37+$X5*AD37)*AM9*AM5</f>
        <v>1.4628372143487417E-5</v>
      </c>
      <c r="AB40" s="1348">
        <f>$X9*AE37+$X5*AF37</f>
        <v>2.1774843086083278E-8</v>
      </c>
      <c r="AC40" s="1347" t="s">
        <v>1427</v>
      </c>
      <c r="AD40" s="1348">
        <f>$X9*$X13/1000000+$X5*$X16</f>
        <v>7.5000000000000023E-4</v>
      </c>
      <c r="AE40" s="1350"/>
      <c r="AF40" s="1350"/>
      <c r="AG40" s="1350"/>
      <c r="AH40" s="1165"/>
      <c r="AI40" s="1165"/>
      <c r="AJ40" s="1353">
        <v>36</v>
      </c>
      <c r="AK40" s="1312">
        <v>72</v>
      </c>
      <c r="AL40" s="1316">
        <v>22.5</v>
      </c>
      <c r="AM40" s="1316">
        <v>-67.5</v>
      </c>
      <c r="AN40" s="1316">
        <v>7</v>
      </c>
      <c r="AO40" s="1316">
        <v>53</v>
      </c>
      <c r="AP40" s="1316">
        <v>4</v>
      </c>
      <c r="AQ40" s="1316">
        <v>2</v>
      </c>
      <c r="AR40" s="1316">
        <f>AN40</f>
        <v>7</v>
      </c>
      <c r="AS40" s="1316">
        <f>AO40</f>
        <v>53</v>
      </c>
      <c r="AT40" s="1316">
        <f>AP40</f>
        <v>4</v>
      </c>
      <c r="AU40" s="1316">
        <f>AQ40</f>
        <v>2</v>
      </c>
      <c r="AW40" s="1311">
        <v>36</v>
      </c>
      <c r="AX40" s="1312">
        <v>72</v>
      </c>
      <c r="AY40" s="1316">
        <v>22.5</v>
      </c>
      <c r="AZ40" s="1316">
        <v>-67.5</v>
      </c>
      <c r="BA40" s="1316">
        <v>7</v>
      </c>
      <c r="BB40" s="1316">
        <v>53</v>
      </c>
      <c r="BC40" s="1316">
        <v>4</v>
      </c>
      <c r="BD40" s="1316">
        <v>2</v>
      </c>
      <c r="BE40" s="1316">
        <f>BA40</f>
        <v>7</v>
      </c>
      <c r="BF40" s="1316">
        <f>BB40</f>
        <v>53</v>
      </c>
      <c r="BG40" s="1316">
        <f>BC40</f>
        <v>4</v>
      </c>
      <c r="BH40" s="1316">
        <f>BD40</f>
        <v>2</v>
      </c>
      <c r="BO40" s="650"/>
      <c r="BU40" s="682">
        <v>30</v>
      </c>
      <c r="BV40" s="1193">
        <f t="shared" si="39"/>
        <v>5</v>
      </c>
      <c r="BW40" s="1241">
        <f t="shared" si="39"/>
        <v>7</v>
      </c>
      <c r="BX40" s="1192">
        <f t="shared" si="39"/>
        <v>7</v>
      </c>
      <c r="BY40" s="1192">
        <f t="shared" si="39"/>
        <v>7</v>
      </c>
      <c r="BZ40" s="1192">
        <f t="shared" si="39"/>
        <v>4</v>
      </c>
      <c r="CD40" s="650"/>
      <c r="CH40" s="1152"/>
      <c r="CI40" s="652"/>
      <c r="CJ40" s="682">
        <v>30</v>
      </c>
      <c r="CK40" s="1206">
        <v>4</v>
      </c>
      <c r="CL40" s="1203">
        <v>4</v>
      </c>
      <c r="CM40" s="1203">
        <v>3</v>
      </c>
      <c r="CN40" s="1203">
        <v>3</v>
      </c>
      <c r="CO40" s="1203">
        <v>3</v>
      </c>
      <c r="CP40" s="1204"/>
      <c r="CQ40" s="1204"/>
      <c r="CR40" s="1204"/>
      <c r="CS40" s="1204"/>
      <c r="CT40" s="1204"/>
      <c r="CU40" s="1204"/>
      <c r="CV40" s="1204"/>
      <c r="CW40" s="1205"/>
      <c r="DA40" s="650"/>
      <c r="DG40" s="856"/>
      <c r="DM40" s="50">
        <v>90</v>
      </c>
      <c r="DN40" s="1288">
        <v>1</v>
      </c>
      <c r="DO40" s="1289">
        <v>3</v>
      </c>
      <c r="DP40" s="1290">
        <v>5</v>
      </c>
      <c r="DQ40" s="1290">
        <v>5</v>
      </c>
      <c r="DR40" s="1290">
        <v>5</v>
      </c>
      <c r="DS40" s="1290">
        <v>5</v>
      </c>
      <c r="DT40" s="1289">
        <v>4</v>
      </c>
      <c r="DU40" s="1289">
        <v>3</v>
      </c>
      <c r="DV40" s="1289">
        <v>2</v>
      </c>
      <c r="DW40" s="1291">
        <v>1</v>
      </c>
    </row>
    <row r="41" spans="2:127">
      <c r="B41" s="652" t="s">
        <v>1540</v>
      </c>
      <c r="C41" s="666">
        <f>C39-C38</f>
        <v>0</v>
      </c>
      <c r="D41" s="666">
        <f>D39-D38</f>
        <v>0</v>
      </c>
      <c r="E41" s="665" t="s">
        <v>1157</v>
      </c>
      <c r="F41" s="660">
        <f>T54</f>
        <v>3.4</v>
      </c>
      <c r="G41" s="682">
        <f>T53</f>
        <v>298.4375</v>
      </c>
      <c r="H41" s="666">
        <f>X67</f>
        <v>62</v>
      </c>
      <c r="I41" s="659">
        <f>X66</f>
        <v>5078.125</v>
      </c>
      <c r="R41" s="652"/>
      <c r="S41" s="654"/>
      <c r="T41" s="654"/>
      <c r="U41" s="654"/>
      <c r="V41" s="652"/>
      <c r="W41" s="659"/>
      <c r="X41" s="659"/>
      <c r="Y41" s="654"/>
      <c r="Z41" s="652">
        <v>6</v>
      </c>
      <c r="AA41" s="1348">
        <f>($X9*AC38+$X5*AD38)*AM9*AM5</f>
        <v>1.5024022562555432E-7</v>
      </c>
      <c r="AB41" s="1348">
        <f>$X9*AE38+$X5*AF38</f>
        <v>1.3887481299798288E-10</v>
      </c>
      <c r="AC41" s="1347" t="s">
        <v>1429</v>
      </c>
      <c r="AD41" s="1348">
        <f>0</f>
        <v>0</v>
      </c>
      <c r="AE41" s="1350"/>
      <c r="AF41" s="1350"/>
      <c r="AG41" s="1350"/>
      <c r="AH41" s="1165"/>
      <c r="AI41" s="1165"/>
      <c r="AJ41" s="1355">
        <v>0</v>
      </c>
      <c r="AK41" s="1312">
        <v>0</v>
      </c>
      <c r="AL41" s="1312">
        <v>0</v>
      </c>
      <c r="AM41" s="1312">
        <v>0</v>
      </c>
      <c r="AN41" s="1312">
        <v>1</v>
      </c>
      <c r="AO41" s="1312">
        <v>1</v>
      </c>
      <c r="AP41" s="1312">
        <v>1</v>
      </c>
      <c r="AQ41" s="1312">
        <v>1</v>
      </c>
      <c r="AR41" s="1311">
        <v>1</v>
      </c>
      <c r="AS41" s="1311">
        <v>1</v>
      </c>
      <c r="AT41" s="1311">
        <v>1</v>
      </c>
      <c r="AU41" s="1311">
        <v>1</v>
      </c>
      <c r="AW41" s="1312">
        <v>0</v>
      </c>
      <c r="AX41" s="1312">
        <v>0</v>
      </c>
      <c r="AY41" s="1312">
        <v>0</v>
      </c>
      <c r="AZ41" s="1312">
        <v>0</v>
      </c>
      <c r="BA41" s="1312">
        <v>1</v>
      </c>
      <c r="BB41" s="1312">
        <v>1</v>
      </c>
      <c r="BC41" s="1312">
        <v>1</v>
      </c>
      <c r="BD41" s="1312">
        <v>1</v>
      </c>
      <c r="BE41" s="1311">
        <v>1</v>
      </c>
      <c r="BF41" s="1311">
        <v>1</v>
      </c>
      <c r="BG41" s="1311">
        <v>1</v>
      </c>
      <c r="BH41" s="1311">
        <v>1</v>
      </c>
      <c r="BO41" s="650"/>
      <c r="BU41" s="682">
        <v>37.5</v>
      </c>
      <c r="BV41" s="1193">
        <f t="shared" si="39"/>
        <v>5</v>
      </c>
      <c r="BW41" s="1194">
        <f t="shared" si="39"/>
        <v>7</v>
      </c>
      <c r="BX41" s="1241">
        <f t="shared" si="39"/>
        <v>8</v>
      </c>
      <c r="BY41" s="1192">
        <f t="shared" si="39"/>
        <v>7</v>
      </c>
      <c r="BZ41" s="1192">
        <f t="shared" si="39"/>
        <v>7</v>
      </c>
      <c r="CA41" s="1192">
        <f t="shared" si="39"/>
        <v>6</v>
      </c>
      <c r="CD41" s="650"/>
      <c r="CH41" s="1152"/>
      <c r="CI41" s="652"/>
      <c r="CJ41" s="682">
        <v>37.5</v>
      </c>
      <c r="CK41" s="1206">
        <v>3</v>
      </c>
      <c r="CL41" s="1207">
        <v>4</v>
      </c>
      <c r="CM41" s="1203">
        <v>4</v>
      </c>
      <c r="CN41" s="1203">
        <v>3</v>
      </c>
      <c r="CO41" s="1234">
        <v>4</v>
      </c>
      <c r="CP41" s="1234">
        <v>2</v>
      </c>
      <c r="CQ41" s="1204"/>
      <c r="CR41" s="1204"/>
      <c r="CS41" s="1204"/>
      <c r="CT41" s="1204"/>
      <c r="CU41" s="1204"/>
      <c r="CV41" s="1204"/>
      <c r="CW41" s="1205"/>
      <c r="DA41" s="650"/>
      <c r="DG41" s="856"/>
      <c r="DN41" s="1126">
        <v>0</v>
      </c>
      <c r="DO41" s="1126">
        <v>10</v>
      </c>
      <c r="DP41" s="1126">
        <v>20</v>
      </c>
      <c r="DQ41" s="1126">
        <v>30</v>
      </c>
      <c r="DR41" s="1126">
        <v>40</v>
      </c>
      <c r="DS41" s="1126">
        <v>50</v>
      </c>
      <c r="DT41" s="1126">
        <v>60</v>
      </c>
      <c r="DU41" s="1126">
        <v>70</v>
      </c>
      <c r="DV41" s="1126">
        <v>80</v>
      </c>
      <c r="DW41" s="1126">
        <v>90</v>
      </c>
    </row>
    <row r="42" spans="2:127">
      <c r="R42" s="653" t="s">
        <v>930</v>
      </c>
      <c r="S42" s="652"/>
      <c r="T42" s="652"/>
      <c r="V42" s="652"/>
      <c r="W42" s="659"/>
      <c r="X42" s="659"/>
      <c r="Y42" s="654"/>
      <c r="Z42" s="650" t="s">
        <v>931</v>
      </c>
      <c r="AQ42" s="650" t="s">
        <v>932</v>
      </c>
      <c r="AW42" s="655"/>
      <c r="AX42" s="650" t="s">
        <v>933</v>
      </c>
      <c r="BO42" s="650"/>
      <c r="BU42" s="682">
        <v>45</v>
      </c>
      <c r="BV42" s="1193">
        <f t="shared" si="39"/>
        <v>6</v>
      </c>
      <c r="BW42" s="1194">
        <f t="shared" si="39"/>
        <v>6</v>
      </c>
      <c r="BX42" s="1194">
        <f t="shared" si="39"/>
        <v>7</v>
      </c>
      <c r="BY42" s="1194">
        <f t="shared" si="39"/>
        <v>8</v>
      </c>
      <c r="BZ42" s="1192">
        <f t="shared" si="39"/>
        <v>7</v>
      </c>
      <c r="CA42" s="1192">
        <f t="shared" si="39"/>
        <v>6</v>
      </c>
      <c r="CB42" s="1192">
        <f t="shared" si="39"/>
        <v>7</v>
      </c>
      <c r="CD42" s="650"/>
      <c r="CH42" s="1152"/>
      <c r="CI42" s="652"/>
      <c r="CJ42" s="682">
        <v>45</v>
      </c>
      <c r="CK42" s="1235">
        <v>8</v>
      </c>
      <c r="CL42" s="1234">
        <v>8</v>
      </c>
      <c r="CM42" s="1234">
        <v>7</v>
      </c>
      <c r="CN42" s="1234">
        <v>5</v>
      </c>
      <c r="CO42" s="1234">
        <v>4</v>
      </c>
      <c r="CP42" s="1234">
        <v>3</v>
      </c>
      <c r="CQ42" s="1234">
        <v>2</v>
      </c>
      <c r="CR42" s="1204"/>
      <c r="CS42" s="1204"/>
      <c r="CT42" s="1204"/>
      <c r="CU42" s="1204"/>
      <c r="CV42" s="1204"/>
      <c r="CW42" s="1205"/>
      <c r="DA42" s="650"/>
      <c r="DG42" s="856"/>
      <c r="DT42" s="655"/>
      <c r="DU42" s="655"/>
      <c r="DV42" s="655"/>
    </row>
    <row r="43" spans="2:127">
      <c r="B43" s="652" t="s">
        <v>934</v>
      </c>
      <c r="R43" s="653" t="str">
        <f>B50</f>
        <v>IM7/977[SI]</v>
      </c>
      <c r="S43" s="653"/>
      <c r="T43" s="652"/>
      <c r="V43" s="652"/>
      <c r="W43" s="659"/>
      <c r="X43" s="659"/>
      <c r="Y43" s="654"/>
      <c r="Z43" s="653" t="s">
        <v>967</v>
      </c>
      <c r="AF43" s="656"/>
      <c r="AG43" s="656"/>
      <c r="AQ43" s="652" t="s">
        <v>531</v>
      </c>
      <c r="AR43" s="661">
        <f t="shared" ref="AR43:AU45" si="43">AA45</f>
        <v>45</v>
      </c>
      <c r="AS43" s="661">
        <f t="shared" si="43"/>
        <v>73.8</v>
      </c>
      <c r="AT43" s="661">
        <f t="shared" si="43"/>
        <v>-34.4</v>
      </c>
      <c r="AU43" s="661">
        <f t="shared" si="43"/>
        <v>42.8</v>
      </c>
      <c r="AV43" s="652" t="s">
        <v>532</v>
      </c>
      <c r="AW43" s="656" t="s">
        <v>533</v>
      </c>
      <c r="AX43" s="652" t="s">
        <v>531</v>
      </c>
      <c r="AY43" s="661">
        <f t="shared" ref="AY43:BB45" si="44">AR43</f>
        <v>45</v>
      </c>
      <c r="AZ43" s="661">
        <f t="shared" si="44"/>
        <v>73.8</v>
      </c>
      <c r="BA43" s="661">
        <f t="shared" si="44"/>
        <v>-34.4</v>
      </c>
      <c r="BB43" s="661">
        <f t="shared" si="44"/>
        <v>42.8</v>
      </c>
      <c r="BO43" s="650"/>
      <c r="BU43" s="682">
        <v>52.5</v>
      </c>
      <c r="BV43" s="1193">
        <f t="shared" si="39"/>
        <v>7</v>
      </c>
      <c r="BW43" s="1194">
        <f t="shared" si="39"/>
        <v>6</v>
      </c>
      <c r="BX43" s="1194">
        <f t="shared" si="39"/>
        <v>6</v>
      </c>
      <c r="BY43" s="1194">
        <f t="shared" si="39"/>
        <v>7</v>
      </c>
      <c r="BZ43" s="1194">
        <f t="shared" si="39"/>
        <v>8</v>
      </c>
      <c r="CA43" s="1192">
        <f t="shared" si="39"/>
        <v>7</v>
      </c>
      <c r="CB43" s="1192">
        <f t="shared" si="39"/>
        <v>6</v>
      </c>
      <c r="CC43" s="1192">
        <f t="shared" si="39"/>
        <v>6</v>
      </c>
      <c r="CD43" s="650"/>
      <c r="CH43" s="1152"/>
      <c r="CI43" s="652"/>
      <c r="CJ43" s="682">
        <v>52.5</v>
      </c>
      <c r="CK43" s="1206">
        <v>4</v>
      </c>
      <c r="CL43" s="1207">
        <v>4</v>
      </c>
      <c r="CM43" s="1207">
        <v>4</v>
      </c>
      <c r="CN43" s="1207">
        <v>5</v>
      </c>
      <c r="CO43" s="1203">
        <v>4</v>
      </c>
      <c r="CP43" s="1203">
        <v>3</v>
      </c>
      <c r="CQ43" s="1203">
        <v>3</v>
      </c>
      <c r="CR43" s="1203">
        <v>3</v>
      </c>
      <c r="CS43" s="1204"/>
      <c r="CT43" s="1204"/>
      <c r="CU43" s="1204"/>
      <c r="CV43" s="1204"/>
      <c r="CW43" s="1205"/>
      <c r="DA43" s="650"/>
      <c r="DG43" s="856"/>
      <c r="DM43" s="1335"/>
      <c r="DN43" s="1126"/>
      <c r="DP43" s="655"/>
      <c r="DQ43" s="655"/>
      <c r="DS43" s="1126"/>
      <c r="DT43" s="1126"/>
      <c r="DU43" s="1126"/>
      <c r="DV43" s="1126"/>
      <c r="DW43" s="1126"/>
    </row>
    <row r="44" spans="2:127">
      <c r="B44" s="605" t="s">
        <v>1767</v>
      </c>
      <c r="C44" s="605">
        <v>191</v>
      </c>
      <c r="D44" s="605">
        <v>9.94</v>
      </c>
      <c r="E44" s="606">
        <v>0.35</v>
      </c>
      <c r="F44" s="636">
        <v>7.79</v>
      </c>
      <c r="G44" s="606">
        <v>3.4</v>
      </c>
      <c r="H44" s="606">
        <v>122</v>
      </c>
      <c r="I44" s="606">
        <v>160</v>
      </c>
      <c r="J44" s="609"/>
      <c r="R44" s="652"/>
      <c r="S44" s="652"/>
      <c r="T44" s="652"/>
      <c r="V44" s="650" t="s">
        <v>591</v>
      </c>
      <c r="X44" s="654"/>
      <c r="Z44" s="652" t="s">
        <v>601</v>
      </c>
      <c r="AA44" s="1303" t="s">
        <v>1562</v>
      </c>
      <c r="AB44" s="1309" t="s">
        <v>1563</v>
      </c>
      <c r="AC44" s="1310" t="s">
        <v>1564</v>
      </c>
      <c r="AD44" s="1310" t="s">
        <v>1565</v>
      </c>
      <c r="AE44" s="1310" t="s">
        <v>973</v>
      </c>
      <c r="AF44" s="1310" t="s">
        <v>972</v>
      </c>
      <c r="AG44" s="1310" t="s">
        <v>971</v>
      </c>
      <c r="AH44" s="1161" t="s">
        <v>970</v>
      </c>
      <c r="AI44" s="1161" t="s">
        <v>2100</v>
      </c>
      <c r="AJ44" s="1161" t="s">
        <v>2099</v>
      </c>
      <c r="AK44" s="1161" t="s">
        <v>2098</v>
      </c>
      <c r="AL44" s="1161" t="s">
        <v>2097</v>
      </c>
      <c r="AQ44" s="652" t="s">
        <v>536</v>
      </c>
      <c r="AR44" s="661">
        <f t="shared" si="43"/>
        <v>1</v>
      </c>
      <c r="AS44" s="661">
        <f t="shared" si="43"/>
        <v>1</v>
      </c>
      <c r="AT44" s="661">
        <f t="shared" si="43"/>
        <v>1</v>
      </c>
      <c r="AU44" s="661">
        <f t="shared" si="43"/>
        <v>1</v>
      </c>
      <c r="AV44" s="652">
        <f>AM46</f>
        <v>2</v>
      </c>
      <c r="AW44" s="661">
        <f>AN46</f>
        <v>0</v>
      </c>
      <c r="AX44" s="652" t="s">
        <v>536</v>
      </c>
      <c r="AY44" s="661">
        <f t="shared" si="44"/>
        <v>1</v>
      </c>
      <c r="AZ44" s="661">
        <f t="shared" si="44"/>
        <v>1</v>
      </c>
      <c r="BA44" s="661">
        <f t="shared" si="44"/>
        <v>1</v>
      </c>
      <c r="BB44" s="661">
        <f t="shared" si="44"/>
        <v>1</v>
      </c>
      <c r="BO44" s="650"/>
      <c r="BU44" s="682">
        <v>60</v>
      </c>
      <c r="BV44" s="1193">
        <f t="shared" si="39"/>
        <v>7</v>
      </c>
      <c r="BW44" s="1194">
        <f t="shared" si="39"/>
        <v>7</v>
      </c>
      <c r="BX44" s="1194">
        <f t="shared" si="39"/>
        <v>6</v>
      </c>
      <c r="BY44" s="1194">
        <f t="shared" si="39"/>
        <v>6</v>
      </c>
      <c r="BZ44" s="1194">
        <f t="shared" si="39"/>
        <v>7</v>
      </c>
      <c r="CA44" s="1194">
        <f t="shared" si="39"/>
        <v>8</v>
      </c>
      <c r="CB44" s="1192">
        <f t="shared" si="39"/>
        <v>6</v>
      </c>
      <c r="CC44" s="1192">
        <f t="shared" si="39"/>
        <v>5</v>
      </c>
      <c r="CD44" s="1192">
        <f t="shared" si="39"/>
        <v>5</v>
      </c>
      <c r="CH44" s="1152"/>
      <c r="CI44" s="652"/>
      <c r="CJ44" s="682">
        <v>60</v>
      </c>
      <c r="CK44" s="1206">
        <v>4</v>
      </c>
      <c r="CL44" s="1207">
        <v>4</v>
      </c>
      <c r="CM44" s="1207">
        <v>4</v>
      </c>
      <c r="CN44" s="1207">
        <v>4</v>
      </c>
      <c r="CO44" s="1207">
        <v>4</v>
      </c>
      <c r="CP44" s="1203">
        <v>4</v>
      </c>
      <c r="CQ44" s="1203">
        <v>3</v>
      </c>
      <c r="CR44" s="1203">
        <v>3</v>
      </c>
      <c r="CS44" s="1203">
        <v>3</v>
      </c>
      <c r="CT44" s="1204"/>
      <c r="CU44" s="1204"/>
      <c r="CV44" s="1204"/>
      <c r="CW44" s="1205"/>
      <c r="DA44" s="650"/>
      <c r="DG44" s="856"/>
      <c r="DM44" s="50"/>
      <c r="DN44" s="1279"/>
      <c r="DO44" s="1280"/>
      <c r="DP44" s="1280"/>
      <c r="DQ44" s="1280"/>
      <c r="DR44" s="1281"/>
      <c r="DS44" s="1280"/>
      <c r="DT44" s="1282"/>
      <c r="DU44" s="1282"/>
      <c r="DV44" s="1282"/>
      <c r="DW44" s="1283"/>
    </row>
    <row r="45" spans="2:127">
      <c r="B45" s="605">
        <v>3250</v>
      </c>
      <c r="C45" s="605">
        <v>1600</v>
      </c>
      <c r="D45" s="605">
        <v>62</v>
      </c>
      <c r="E45" s="636">
        <v>98</v>
      </c>
      <c r="F45" s="636">
        <v>75</v>
      </c>
      <c r="G45" s="606">
        <v>1.2</v>
      </c>
      <c r="H45" s="606">
        <v>22</v>
      </c>
      <c r="I45" s="634">
        <v>5.0000000000000001E-3</v>
      </c>
      <c r="J45" s="35">
        <v>17.015706806282701</v>
      </c>
      <c r="R45" s="652" t="s">
        <v>1553</v>
      </c>
      <c r="S45" s="652" t="s">
        <v>1554</v>
      </c>
      <c r="T45" s="652" t="s">
        <v>1555</v>
      </c>
      <c r="U45" s="665" t="s">
        <v>1556</v>
      </c>
      <c r="V45" s="652" t="s">
        <v>596</v>
      </c>
      <c r="W45" s="659">
        <f>$H$51</f>
        <v>22</v>
      </c>
      <c r="X45" s="659">
        <f>C39</f>
        <v>22</v>
      </c>
      <c r="Y45" s="660">
        <f t="shared" ref="Y45:Y50" si="45">X45/W45</f>
        <v>1</v>
      </c>
      <c r="Z45" s="652" t="s">
        <v>537</v>
      </c>
      <c r="AA45" s="1300">
        <f t="shared" ref="AA45:AL45" si="46">B8+$P$12</f>
        <v>45</v>
      </c>
      <c r="AB45" s="1300">
        <f t="shared" si="46"/>
        <v>73.8</v>
      </c>
      <c r="AC45" s="1300">
        <f t="shared" si="46"/>
        <v>-34.4</v>
      </c>
      <c r="AD45" s="1300">
        <f t="shared" si="46"/>
        <v>42.8</v>
      </c>
      <c r="AE45" s="1300">
        <f t="shared" si="46"/>
        <v>-54.3</v>
      </c>
      <c r="AF45" s="1300">
        <f t="shared" si="46"/>
        <v>-43.7</v>
      </c>
      <c r="AG45" s="1300">
        <f t="shared" si="46"/>
        <v>-34.799999999999997</v>
      </c>
      <c r="AH45" s="1300">
        <f t="shared" si="46"/>
        <v>32.5</v>
      </c>
      <c r="AI45" s="1300">
        <f t="shared" si="46"/>
        <v>83</v>
      </c>
      <c r="AJ45" s="1300">
        <f t="shared" si="46"/>
        <v>-9.4</v>
      </c>
      <c r="AK45" s="1300">
        <f t="shared" si="46"/>
        <v>-9.1</v>
      </c>
      <c r="AL45" s="1300">
        <f t="shared" si="46"/>
        <v>7.7</v>
      </c>
      <c r="AM45" s="656" t="s">
        <v>532</v>
      </c>
      <c r="AN45" s="656" t="s">
        <v>533</v>
      </c>
      <c r="AO45" s="656"/>
      <c r="AQ45" s="652" t="s">
        <v>539</v>
      </c>
      <c r="AR45" s="665">
        <f t="shared" si="43"/>
        <v>1.5707963267948966</v>
      </c>
      <c r="AS45" s="665">
        <f t="shared" si="43"/>
        <v>2.5761059759436304</v>
      </c>
      <c r="AT45" s="665">
        <f t="shared" si="43"/>
        <v>-1.2007865253720986</v>
      </c>
      <c r="AU45" s="665">
        <f t="shared" si="43"/>
        <v>1.494001839707146</v>
      </c>
      <c r="AV45" s="652" t="s">
        <v>603</v>
      </c>
      <c r="AW45" s="655">
        <f>$AM53</f>
        <v>6.0000000000000001E-3</v>
      </c>
      <c r="AX45" s="652" t="s">
        <v>539</v>
      </c>
      <c r="AY45" s="665">
        <f t="shared" si="44"/>
        <v>1.5707963267948966</v>
      </c>
      <c r="AZ45" s="665">
        <f t="shared" si="44"/>
        <v>2.5761059759436304</v>
      </c>
      <c r="BA45" s="665">
        <f t="shared" si="44"/>
        <v>-1.2007865253720986</v>
      </c>
      <c r="BB45" s="665">
        <f t="shared" si="44"/>
        <v>1.494001839707146</v>
      </c>
      <c r="BO45" s="650"/>
      <c r="BU45" s="682">
        <v>67.5</v>
      </c>
      <c r="BV45" s="1193">
        <f t="shared" si="39"/>
        <v>7</v>
      </c>
      <c r="BW45" s="1194">
        <f t="shared" si="39"/>
        <v>7</v>
      </c>
      <c r="BX45" s="1194">
        <f t="shared" si="39"/>
        <v>8</v>
      </c>
      <c r="BY45" s="1194">
        <f t="shared" si="39"/>
        <v>7</v>
      </c>
      <c r="BZ45" s="1194">
        <f t="shared" si="39"/>
        <v>6</v>
      </c>
      <c r="CA45" s="1194">
        <f t="shared" si="39"/>
        <v>7</v>
      </c>
      <c r="CB45" s="1241">
        <f t="shared" si="39"/>
        <v>8</v>
      </c>
      <c r="CC45" s="1192">
        <f t="shared" si="39"/>
        <v>5</v>
      </c>
      <c r="CD45" s="1192">
        <f t="shared" si="39"/>
        <v>4</v>
      </c>
      <c r="CE45" s="1192">
        <f t="shared" si="39"/>
        <v>4</v>
      </c>
      <c r="CH45" s="1152"/>
      <c r="CI45" s="652"/>
      <c r="CJ45" s="682">
        <v>67.5</v>
      </c>
      <c r="CK45" s="1206">
        <v>4</v>
      </c>
      <c r="CL45" s="1207">
        <v>4</v>
      </c>
      <c r="CM45" s="1207">
        <v>4</v>
      </c>
      <c r="CN45" s="1207">
        <v>4</v>
      </c>
      <c r="CO45" s="1207">
        <v>4</v>
      </c>
      <c r="CP45" s="1207">
        <v>5</v>
      </c>
      <c r="CQ45" s="1203">
        <v>5</v>
      </c>
      <c r="CR45" s="1203">
        <v>3</v>
      </c>
      <c r="CS45" s="1203">
        <v>3</v>
      </c>
      <c r="CT45" s="1203">
        <v>3</v>
      </c>
      <c r="CU45" s="1204"/>
      <c r="CV45" s="1204"/>
      <c r="CW45" s="1205"/>
      <c r="DA45" s="650"/>
      <c r="DG45" s="856"/>
      <c r="DM45" s="50"/>
      <c r="DN45" s="1284"/>
      <c r="DO45" s="53"/>
      <c r="DP45" s="53"/>
      <c r="DQ45" s="53"/>
      <c r="DR45" s="52"/>
      <c r="DS45" s="53"/>
      <c r="DT45" s="52"/>
      <c r="DU45" s="52"/>
      <c r="DV45" s="52"/>
      <c r="DW45" s="1285"/>
    </row>
    <row r="46" spans="2:127">
      <c r="B46" s="606">
        <v>-0.5</v>
      </c>
      <c r="C46" s="606">
        <v>125</v>
      </c>
      <c r="D46" s="606">
        <v>0.64</v>
      </c>
      <c r="E46" s="636">
        <v>1.6</v>
      </c>
      <c r="F46" s="636">
        <v>0.52</v>
      </c>
      <c r="G46" s="606">
        <v>0.5</v>
      </c>
      <c r="H46" s="606">
        <v>0.2</v>
      </c>
      <c r="I46" s="606">
        <v>0.9</v>
      </c>
      <c r="J46" s="35">
        <v>8.3769633507853403</v>
      </c>
      <c r="R46" s="652" t="s">
        <v>298</v>
      </c>
      <c r="S46" s="654">
        <f>$C$50</f>
        <v>191</v>
      </c>
      <c r="T46" s="654">
        <f>T53*T52</f>
        <v>191</v>
      </c>
      <c r="U46" s="660">
        <f>T46/S46</f>
        <v>1</v>
      </c>
      <c r="V46" s="652" t="s">
        <v>600</v>
      </c>
      <c r="W46" s="651">
        <f>$I$51</f>
        <v>5.0000000000000001E-3</v>
      </c>
      <c r="X46" s="651">
        <f>D39</f>
        <v>5.0000000000000001E-3</v>
      </c>
      <c r="Y46" s="660">
        <f t="shared" si="45"/>
        <v>1</v>
      </c>
      <c r="Z46" s="652" t="s">
        <v>541</v>
      </c>
      <c r="AA46" s="1300">
        <f t="shared" ref="AA46:AM46" si="47">B9</f>
        <v>1</v>
      </c>
      <c r="AB46" s="1300">
        <f t="shared" si="47"/>
        <v>1</v>
      </c>
      <c r="AC46" s="1300">
        <f t="shared" si="47"/>
        <v>1</v>
      </c>
      <c r="AD46" s="1300">
        <f t="shared" si="47"/>
        <v>1</v>
      </c>
      <c r="AE46" s="1300">
        <f t="shared" si="47"/>
        <v>1</v>
      </c>
      <c r="AF46" s="1300">
        <f t="shared" si="47"/>
        <v>1</v>
      </c>
      <c r="AG46" s="1300">
        <f t="shared" si="47"/>
        <v>1</v>
      </c>
      <c r="AH46" s="1300">
        <f t="shared" si="47"/>
        <v>1</v>
      </c>
      <c r="AI46" s="1300">
        <f t="shared" si="47"/>
        <v>1</v>
      </c>
      <c r="AJ46" s="1300">
        <f t="shared" si="47"/>
        <v>1</v>
      </c>
      <c r="AK46" s="1300">
        <f t="shared" si="47"/>
        <v>1</v>
      </c>
      <c r="AL46" s="1300">
        <f t="shared" si="47"/>
        <v>1</v>
      </c>
      <c r="AM46" s="668">
        <f t="shared" si="47"/>
        <v>2</v>
      </c>
      <c r="AN46" s="661">
        <f>N$11/2/T50*1000</f>
        <v>0</v>
      </c>
      <c r="AO46" s="661"/>
      <c r="AQ46" s="652" t="s">
        <v>605</v>
      </c>
      <c r="AR46" s="676">
        <f>-AA50*$AM53/2</f>
        <v>-3.0000000000000001E-3</v>
      </c>
      <c r="AS46" s="676">
        <f>-AB50*$AM53/2</f>
        <v>-2.8750000000000004E-3</v>
      </c>
      <c r="AT46" s="676">
        <f>-AC50*$AM53/2</f>
        <v>-2.7500000000000003E-3</v>
      </c>
      <c r="AU46" s="676">
        <f>-AD50*$AM53/2</f>
        <v>-2.6250000000000006E-3</v>
      </c>
      <c r="AV46" s="656" t="s">
        <v>606</v>
      </c>
      <c r="AW46" s="655">
        <f>AW45^2/6</f>
        <v>6.0000000000000002E-6</v>
      </c>
      <c r="BO46" s="650"/>
      <c r="BU46" s="682">
        <v>75</v>
      </c>
      <c r="BV46" s="1193">
        <f t="shared" si="39"/>
        <v>8</v>
      </c>
      <c r="BW46" s="1194">
        <f t="shared" si="39"/>
        <v>7</v>
      </c>
      <c r="BX46" s="1194">
        <f t="shared" si="39"/>
        <v>7</v>
      </c>
      <c r="BY46" s="1194">
        <f t="shared" si="39"/>
        <v>7</v>
      </c>
      <c r="BZ46" s="1194">
        <f t="shared" si="39"/>
        <v>5</v>
      </c>
      <c r="CA46" s="1194">
        <f t="shared" si="39"/>
        <v>6</v>
      </c>
      <c r="CB46" s="1194">
        <f t="shared" si="39"/>
        <v>7</v>
      </c>
      <c r="CC46" s="1192">
        <f t="shared" si="39"/>
        <v>6</v>
      </c>
      <c r="CD46" s="1192">
        <f t="shared" si="39"/>
        <v>4</v>
      </c>
      <c r="CE46" s="1192">
        <f t="shared" si="39"/>
        <v>3</v>
      </c>
      <c r="CF46" s="1192">
        <f t="shared" si="39"/>
        <v>3</v>
      </c>
      <c r="CH46" s="1152"/>
      <c r="CI46" s="652"/>
      <c r="CJ46" s="682">
        <v>75</v>
      </c>
      <c r="CK46" s="1206">
        <v>5</v>
      </c>
      <c r="CL46" s="1207">
        <v>5</v>
      </c>
      <c r="CM46" s="1207">
        <v>4</v>
      </c>
      <c r="CN46" s="1207">
        <v>4</v>
      </c>
      <c r="CO46" s="1207">
        <v>4</v>
      </c>
      <c r="CP46" s="1207">
        <v>4</v>
      </c>
      <c r="CQ46" s="1207">
        <v>5</v>
      </c>
      <c r="CR46" s="1203">
        <v>4</v>
      </c>
      <c r="CS46" s="1203">
        <v>3</v>
      </c>
      <c r="CT46" s="1203">
        <v>3</v>
      </c>
      <c r="CU46" s="1203">
        <v>2</v>
      </c>
      <c r="CV46" s="1204"/>
      <c r="CW46" s="1205"/>
      <c r="DA46" s="650"/>
      <c r="DG46" s="856"/>
      <c r="DM46" s="50"/>
      <c r="DN46" s="1284"/>
      <c r="DO46" s="53"/>
      <c r="DP46" s="53"/>
      <c r="DQ46" s="53"/>
      <c r="DR46" s="52"/>
      <c r="DS46" s="53"/>
      <c r="DT46" s="52"/>
      <c r="DU46" s="52"/>
      <c r="DV46" s="52"/>
      <c r="DW46" s="1285"/>
    </row>
    <row r="47" spans="2:127" outlineLevel="1">
      <c r="B47" s="606">
        <v>0.02</v>
      </c>
      <c r="C47" s="606">
        <v>22.5</v>
      </c>
      <c r="D47" s="606">
        <v>0</v>
      </c>
      <c r="E47" s="636">
        <v>0.6</v>
      </c>
      <c r="F47" s="636">
        <v>0.32</v>
      </c>
      <c r="G47" s="606">
        <v>0</v>
      </c>
      <c r="H47" s="606">
        <v>0</v>
      </c>
      <c r="I47" s="606">
        <v>2000</v>
      </c>
      <c r="J47" s="35">
        <f>D45/D44</f>
        <v>6.2374245472837027</v>
      </c>
      <c r="R47" s="652" t="s">
        <v>1579</v>
      </c>
      <c r="S47" s="654">
        <f>$D$50</f>
        <v>9.94</v>
      </c>
      <c r="T47" s="654">
        <f>(1+T56)/(1/T57+T56/T54)</f>
        <v>9.94</v>
      </c>
      <c r="U47" s="660">
        <f>T47/S47</f>
        <v>1</v>
      </c>
      <c r="V47" s="652" t="s">
        <v>1557</v>
      </c>
      <c r="W47" s="659">
        <f>$H$50</f>
        <v>122</v>
      </c>
      <c r="X47" s="659">
        <f>W47</f>
        <v>122</v>
      </c>
      <c r="Y47" s="660">
        <f t="shared" si="45"/>
        <v>1</v>
      </c>
      <c r="Z47" s="652" t="s">
        <v>1295</v>
      </c>
      <c r="AA47" s="660">
        <f t="shared" ref="AA47:AJ47" si="48">AA45*PI()/90</f>
        <v>1.5707963267948966</v>
      </c>
      <c r="AB47" s="660">
        <f t="shared" si="48"/>
        <v>2.5761059759436304</v>
      </c>
      <c r="AC47" s="660">
        <f t="shared" si="48"/>
        <v>-1.2007865253720986</v>
      </c>
      <c r="AD47" s="660">
        <f t="shared" si="48"/>
        <v>1.494001839707146</v>
      </c>
      <c r="AE47" s="660">
        <f t="shared" si="48"/>
        <v>-1.8954275676658416</v>
      </c>
      <c r="AF47" s="660">
        <f t="shared" si="48"/>
        <v>-1.5254177662430441</v>
      </c>
      <c r="AG47" s="660">
        <f t="shared" si="48"/>
        <v>-1.2147491593880533</v>
      </c>
      <c r="AH47" s="660">
        <f t="shared" si="48"/>
        <v>1.1344640137963142</v>
      </c>
      <c r="AI47" s="660">
        <f t="shared" si="48"/>
        <v>2.8972465583105871</v>
      </c>
      <c r="AJ47" s="660">
        <f t="shared" si="48"/>
        <v>-0.32812189937493397</v>
      </c>
      <c r="AK47" s="660">
        <f>AK45*PI()/90</f>
        <v>-0.31764992386296798</v>
      </c>
      <c r="AL47" s="660">
        <f>AL45*PI()/90</f>
        <v>0.26878070480712679</v>
      </c>
      <c r="AM47" s="656" t="s">
        <v>614</v>
      </c>
      <c r="AN47" s="669" t="s">
        <v>615</v>
      </c>
      <c r="AO47" s="669" t="s">
        <v>2131</v>
      </c>
      <c r="AP47" s="652" t="s">
        <v>616</v>
      </c>
      <c r="AQ47" s="653" t="s">
        <v>1434</v>
      </c>
      <c r="AR47" s="656"/>
      <c r="AS47" s="656"/>
      <c r="AT47" s="655"/>
      <c r="AU47" s="655"/>
      <c r="AV47" s="655"/>
      <c r="AW47" s="655"/>
      <c r="AX47" s="653" t="s">
        <v>975</v>
      </c>
      <c r="BC47" s="652" t="s">
        <v>1299</v>
      </c>
      <c r="BO47" s="650"/>
      <c r="BU47" s="682">
        <v>82.5</v>
      </c>
      <c r="BV47" s="1193">
        <f t="shared" si="39"/>
        <v>8</v>
      </c>
      <c r="BW47" s="1194">
        <f t="shared" si="39"/>
        <v>7</v>
      </c>
      <c r="BX47" s="1194">
        <f t="shared" si="39"/>
        <v>7</v>
      </c>
      <c r="BY47" s="1194">
        <f t="shared" si="39"/>
        <v>7</v>
      </c>
      <c r="BZ47" s="1194">
        <f t="shared" si="39"/>
        <v>7</v>
      </c>
      <c r="CA47" s="1194">
        <f t="shared" si="39"/>
        <v>6</v>
      </c>
      <c r="CB47" s="1194">
        <f t="shared" si="39"/>
        <v>6</v>
      </c>
      <c r="CC47" s="1241">
        <f t="shared" si="39"/>
        <v>7</v>
      </c>
      <c r="CD47" s="1192">
        <f t="shared" si="39"/>
        <v>5</v>
      </c>
      <c r="CE47" s="1192">
        <f t="shared" si="39"/>
        <v>3</v>
      </c>
      <c r="CF47" s="1192">
        <f t="shared" si="39"/>
        <v>2</v>
      </c>
      <c r="CG47" s="1192">
        <f t="shared" si="39"/>
        <v>2</v>
      </c>
      <c r="CH47" s="1152"/>
      <c r="CI47" s="652"/>
      <c r="CJ47" s="682">
        <v>82.5</v>
      </c>
      <c r="CK47" s="1206">
        <v>5</v>
      </c>
      <c r="CL47" s="1207">
        <v>5</v>
      </c>
      <c r="CM47" s="1207">
        <v>5</v>
      </c>
      <c r="CN47" s="1207">
        <v>4</v>
      </c>
      <c r="CO47" s="1207">
        <v>4</v>
      </c>
      <c r="CP47" s="1207">
        <v>4</v>
      </c>
      <c r="CQ47" s="1207">
        <v>4</v>
      </c>
      <c r="CR47" s="1207">
        <v>4</v>
      </c>
      <c r="CS47" s="1203">
        <v>4</v>
      </c>
      <c r="CT47" s="1203">
        <v>3</v>
      </c>
      <c r="CU47" s="1203">
        <v>2</v>
      </c>
      <c r="CV47" s="1203">
        <v>2</v>
      </c>
      <c r="CW47" s="1205"/>
      <c r="DA47" s="650"/>
      <c r="DG47" s="856"/>
      <c r="DM47" s="50"/>
      <c r="DN47" s="1284"/>
      <c r="DO47" s="53"/>
      <c r="DP47" s="53"/>
      <c r="DQ47" s="53"/>
      <c r="DR47" s="52"/>
      <c r="DS47" s="53"/>
      <c r="DT47" s="52"/>
      <c r="DU47" s="52"/>
      <c r="DV47" s="52"/>
      <c r="DW47" s="1285"/>
    </row>
    <row r="48" spans="2:127" outlineLevel="1">
      <c r="B48" s="606">
        <v>0.15</v>
      </c>
      <c r="C48" s="606">
        <v>0.01</v>
      </c>
      <c r="D48" s="606">
        <v>1</v>
      </c>
      <c r="E48" s="636">
        <v>1</v>
      </c>
      <c r="F48" s="636">
        <v>0</v>
      </c>
      <c r="G48" s="606">
        <v>0.5</v>
      </c>
      <c r="H48" s="606"/>
      <c r="I48" s="606"/>
      <c r="J48" s="35">
        <f>E45/D44</f>
        <v>9.8591549295774659</v>
      </c>
      <c r="R48" s="652" t="s">
        <v>259</v>
      </c>
      <c r="S48" s="654">
        <f>$E$50</f>
        <v>0.35</v>
      </c>
      <c r="T48" s="654">
        <f>S48</f>
        <v>0.35</v>
      </c>
      <c r="U48" s="660">
        <f>T48/S48</f>
        <v>1</v>
      </c>
      <c r="V48" s="652" t="s">
        <v>299</v>
      </c>
      <c r="W48" s="659">
        <f>$I$50</f>
        <v>160</v>
      </c>
      <c r="X48" s="659">
        <f>W48-$I53*(X46-W46)</f>
        <v>160</v>
      </c>
      <c r="Y48" s="660">
        <f t="shared" si="45"/>
        <v>1</v>
      </c>
      <c r="Z48" s="652" t="s">
        <v>1300</v>
      </c>
      <c r="AA48" s="660">
        <f t="shared" ref="AA48:AJ48" si="49">2*AA47</f>
        <v>3.1415926535897931</v>
      </c>
      <c r="AB48" s="660">
        <f t="shared" si="49"/>
        <v>5.1522119518872609</v>
      </c>
      <c r="AC48" s="660">
        <f t="shared" si="49"/>
        <v>-2.4015730507441972</v>
      </c>
      <c r="AD48" s="660">
        <f t="shared" si="49"/>
        <v>2.9880036794142919</v>
      </c>
      <c r="AE48" s="660">
        <f t="shared" si="49"/>
        <v>-3.7908551353316833</v>
      </c>
      <c r="AF48" s="660">
        <f t="shared" si="49"/>
        <v>-3.0508355324860883</v>
      </c>
      <c r="AG48" s="660">
        <f t="shared" si="49"/>
        <v>-2.4294983187761066</v>
      </c>
      <c r="AH48" s="660">
        <f t="shared" si="49"/>
        <v>2.2689280275926285</v>
      </c>
      <c r="AI48" s="660">
        <f t="shared" si="49"/>
        <v>5.7944931166211742</v>
      </c>
      <c r="AJ48" s="660">
        <f t="shared" si="49"/>
        <v>-0.65624379874986793</v>
      </c>
      <c r="AK48" s="660">
        <f>2*AK47</f>
        <v>-0.63529984772593595</v>
      </c>
      <c r="AL48" s="660">
        <f>2*AL47</f>
        <v>0.53756140961425358</v>
      </c>
      <c r="AM48" s="668">
        <f>SUM(B9:M9)</f>
        <v>12</v>
      </c>
      <c r="AN48" s="661">
        <f>AM48*AM46+AN46</f>
        <v>24</v>
      </c>
      <c r="AO48" s="1314">
        <f t="shared" ref="AO48:AO53" si="50">AP15/AP56</f>
        <v>1</v>
      </c>
      <c r="AP48" s="676">
        <f t="shared" ref="AP48:AP53" si="51">(AA56*AA$52+AB56*AB$52+AC56*AC$52+AD56*AD$52+AE56*AE$52+AF56*AF$52+AG56*AG$52+AH56*AH$52+AI56*AI$52+AJ56*AJ$52+AK56*AK$52+AL56*AL$52)*$AM$53/2</f>
        <v>0.13796060916394412</v>
      </c>
      <c r="AQ48" s="652"/>
      <c r="AR48" s="656" t="s">
        <v>1301</v>
      </c>
      <c r="AS48" s="656" t="s">
        <v>618</v>
      </c>
      <c r="AT48" s="672" t="s">
        <v>619</v>
      </c>
      <c r="AU48" s="672" t="s">
        <v>620</v>
      </c>
      <c r="AV48" s="656" t="s">
        <v>1303</v>
      </c>
      <c r="AW48" s="656" t="s">
        <v>621</v>
      </c>
      <c r="AX48" s="652" t="s">
        <v>978</v>
      </c>
      <c r="AY48" s="676">
        <f>(AR54+AR57*AR46)/1000</f>
        <v>7.7836343646216926E-4</v>
      </c>
      <c r="AZ48" s="676">
        <f>(AS54+AS57*AS46)/1000</f>
        <v>-6.1423607198442308E-4</v>
      </c>
      <c r="BA48" s="676">
        <f>(AT54+AT57*AT46)/1000</f>
        <v>9.5638209086504897E-4</v>
      </c>
      <c r="BB48" s="676">
        <f>(AU54+AU57*AU46)/1000</f>
        <v>8.9604091135243207E-4</v>
      </c>
      <c r="BC48" s="676">
        <f>($AG$105+$AG$106)/2</f>
        <v>4.87400475848534E-5</v>
      </c>
      <c r="BD48" s="652" t="s">
        <v>979</v>
      </c>
      <c r="BO48" s="650"/>
      <c r="BU48" s="682">
        <v>90</v>
      </c>
      <c r="BV48" s="1195">
        <f t="shared" si="39"/>
        <v>8</v>
      </c>
      <c r="BW48" s="1196">
        <f t="shared" si="39"/>
        <v>8</v>
      </c>
      <c r="BX48" s="1196">
        <f t="shared" si="39"/>
        <v>7</v>
      </c>
      <c r="BY48" s="1196">
        <f t="shared" si="39"/>
        <v>7</v>
      </c>
      <c r="BZ48" s="1196">
        <f t="shared" si="39"/>
        <v>7</v>
      </c>
      <c r="CA48" s="1196">
        <f t="shared" si="39"/>
        <v>7</v>
      </c>
      <c r="CB48" s="1196">
        <f t="shared" si="39"/>
        <v>6</v>
      </c>
      <c r="CC48" s="1242">
        <f t="shared" si="39"/>
        <v>5</v>
      </c>
      <c r="CD48" s="1242">
        <f t="shared" si="39"/>
        <v>5</v>
      </c>
      <c r="CE48" s="1197">
        <f t="shared" si="39"/>
        <v>3</v>
      </c>
      <c r="CF48" s="1197">
        <f>MIN(CF32,CU32)</f>
        <v>2</v>
      </c>
      <c r="CG48" s="1197">
        <f>MIN(CG32,CV32)</f>
        <v>1</v>
      </c>
      <c r="CH48" s="1198">
        <f>MIN(CH32,CW32)</f>
        <v>1</v>
      </c>
      <c r="CI48" s="652"/>
      <c r="CJ48" s="682">
        <v>90</v>
      </c>
      <c r="CK48" s="1208">
        <v>5</v>
      </c>
      <c r="CL48" s="1209">
        <v>5</v>
      </c>
      <c r="CM48" s="1209">
        <v>5</v>
      </c>
      <c r="CN48" s="1209">
        <v>5</v>
      </c>
      <c r="CO48" s="1209">
        <v>4</v>
      </c>
      <c r="CP48" s="1209">
        <v>4</v>
      </c>
      <c r="CQ48" s="1209">
        <v>4</v>
      </c>
      <c r="CR48" s="1209">
        <v>3</v>
      </c>
      <c r="CS48" s="1209">
        <v>3</v>
      </c>
      <c r="CT48" s="1210">
        <v>3</v>
      </c>
      <c r="CU48" s="1210">
        <v>2</v>
      </c>
      <c r="CV48" s="1210">
        <v>1</v>
      </c>
      <c r="CW48" s="1211">
        <v>1</v>
      </c>
      <c r="DA48" s="650"/>
      <c r="DG48" s="856"/>
      <c r="DM48" s="50"/>
      <c r="DN48" s="1284"/>
      <c r="DO48" s="53"/>
      <c r="DP48" s="53"/>
      <c r="DQ48" s="53"/>
      <c r="DR48" s="1126"/>
      <c r="DS48" s="53"/>
      <c r="DT48" s="52"/>
      <c r="DU48" s="52"/>
      <c r="DV48" s="52"/>
      <c r="DW48" s="1285"/>
    </row>
    <row r="49" spans="1:127" ht="18" outlineLevel="1">
      <c r="B49" s="652" t="s">
        <v>935</v>
      </c>
      <c r="R49" s="652" t="s">
        <v>261</v>
      </c>
      <c r="S49" s="654">
        <f>$F$50</f>
        <v>7.79</v>
      </c>
      <c r="T49" s="654">
        <f>(1+T59)/(1/T60+T59*2.7/T54)</f>
        <v>7.79</v>
      </c>
      <c r="U49" s="660">
        <f>T49/S49</f>
        <v>1</v>
      </c>
      <c r="V49" s="652" t="s">
        <v>1580</v>
      </c>
      <c r="W49" s="654">
        <f>(W48-W45)/(W48-W45)</f>
        <v>1</v>
      </c>
      <c r="X49" s="654">
        <f>(X48-X45)/(X48-W45)</f>
        <v>1</v>
      </c>
      <c r="Y49" s="660">
        <f t="shared" si="45"/>
        <v>1</v>
      </c>
      <c r="AA49" s="671"/>
      <c r="AB49" s="671"/>
      <c r="AC49" s="671"/>
      <c r="AD49" s="671"/>
      <c r="AE49" s="671"/>
      <c r="AF49" s="671"/>
      <c r="AG49" s="671"/>
      <c r="AH49" s="671"/>
      <c r="AI49" s="671"/>
      <c r="AJ49" s="671"/>
      <c r="AK49" s="671"/>
      <c r="AL49" s="671"/>
      <c r="AM49" s="656" t="s">
        <v>622</v>
      </c>
      <c r="AN49" s="656"/>
      <c r="AO49" s="1314">
        <f t="shared" si="50"/>
        <v>1</v>
      </c>
      <c r="AP49" s="676">
        <f t="shared" si="51"/>
        <v>9.2814488041983362E-2</v>
      </c>
      <c r="AQ49" s="652">
        <v>1</v>
      </c>
      <c r="AR49" s="676">
        <f>$C$13</f>
        <v>1</v>
      </c>
      <c r="AS49" s="676">
        <f>$C$17</f>
        <v>0</v>
      </c>
      <c r="AT49" s="676">
        <f t="shared" ref="AT49:AU51" si="52">AT8</f>
        <v>2.1234401736454762</v>
      </c>
      <c r="AU49" s="676">
        <f t="shared" si="52"/>
        <v>0</v>
      </c>
      <c r="AV49" s="669" t="s">
        <v>1306</v>
      </c>
      <c r="AW49" s="676">
        <f>(AT49+AT50)/2</f>
        <v>0.58202149123442537</v>
      </c>
      <c r="AX49" s="652" t="s">
        <v>981</v>
      </c>
      <c r="AY49" s="676">
        <f>(AR55+AR58*AR46)/1000</f>
        <v>3.8567954600668154E-4</v>
      </c>
      <c r="AZ49" s="676">
        <f>(AS55+AS58*AS46)/1000</f>
        <v>1.7782790544532739E-3</v>
      </c>
      <c r="BA49" s="676">
        <f>(AT55+AT58*AT46)/1000</f>
        <v>2.0766089160380175E-4</v>
      </c>
      <c r="BB49" s="676">
        <f>(AU55+AU58*AU46)/1000</f>
        <v>2.6800207111641873E-4</v>
      </c>
      <c r="BC49" s="676">
        <f>($AG$105-$AG$106)/2</f>
        <v>-1.4755515067562183E-5</v>
      </c>
      <c r="BD49" s="669" t="s">
        <v>982</v>
      </c>
      <c r="BF49" s="654"/>
      <c r="BG49" s="654"/>
      <c r="BH49" s="654"/>
      <c r="BI49" s="654"/>
      <c r="BO49" s="650"/>
      <c r="BU49" s="1233" t="s">
        <v>2067</v>
      </c>
      <c r="BV49" s="596"/>
      <c r="BW49" s="596"/>
      <c r="BX49" s="596"/>
      <c r="BY49" s="596"/>
      <c r="BZ49" s="596"/>
      <c r="CA49" s="596"/>
      <c r="CB49" s="596"/>
      <c r="CC49" s="596"/>
      <c r="CD49" s="596"/>
      <c r="CE49" s="596"/>
      <c r="CF49" s="596"/>
      <c r="CG49" s="596"/>
      <c r="CH49" s="596"/>
      <c r="CI49" s="596"/>
      <c r="CJ49" s="1233" t="s">
        <v>2068</v>
      </c>
      <c r="CK49" s="610"/>
      <c r="CL49" s="610"/>
      <c r="CM49" s="610"/>
      <c r="CN49" s="594"/>
      <c r="DA49" s="650"/>
      <c r="DG49" s="856"/>
      <c r="DM49" s="50"/>
      <c r="DN49" s="1284"/>
      <c r="DO49" s="53"/>
      <c r="DP49" s="53"/>
      <c r="DQ49" s="53"/>
      <c r="DR49" s="1126"/>
      <c r="DS49" s="53"/>
      <c r="DT49" s="52"/>
      <c r="DU49" s="52"/>
      <c r="DV49" s="52"/>
      <c r="DW49" s="1285"/>
    </row>
    <row r="50" spans="1:127" outlineLevel="1">
      <c r="B50" s="605" t="s">
        <v>1767</v>
      </c>
      <c r="C50" s="605">
        <v>191</v>
      </c>
      <c r="D50" s="605">
        <v>9.94</v>
      </c>
      <c r="E50" s="636">
        <v>0.35</v>
      </c>
      <c r="F50" s="636">
        <v>7.79</v>
      </c>
      <c r="G50" s="606">
        <v>3.4</v>
      </c>
      <c r="H50" s="606">
        <v>122</v>
      </c>
      <c r="I50" s="606">
        <v>160</v>
      </c>
      <c r="J50" s="609"/>
      <c r="R50" s="652" t="s">
        <v>262</v>
      </c>
      <c r="S50" s="659">
        <f>$C$52/1</f>
        <v>125</v>
      </c>
      <c r="T50" s="659">
        <f>S50/U52</f>
        <v>125</v>
      </c>
      <c r="U50" s="660">
        <f>T50/S50</f>
        <v>1</v>
      </c>
      <c r="V50" s="652" t="s">
        <v>260</v>
      </c>
      <c r="W50" s="659">
        <f>W45-W47</f>
        <v>-100</v>
      </c>
      <c r="X50" s="659">
        <f>X45-X47</f>
        <v>-100</v>
      </c>
      <c r="Y50" s="660">
        <f t="shared" si="45"/>
        <v>1</v>
      </c>
      <c r="Z50" s="652" t="s">
        <v>1308</v>
      </c>
      <c r="AA50" s="671">
        <v>1</v>
      </c>
      <c r="AB50" s="671">
        <f>AA51</f>
        <v>0.95833333333333337</v>
      </c>
      <c r="AC50" s="671">
        <f>AB51</f>
        <v>0.91666666666666674</v>
      </c>
      <c r="AD50" s="671">
        <f>AC51</f>
        <v>0.87500000000000011</v>
      </c>
      <c r="AE50" s="671">
        <f t="shared" ref="AE50:AJ50" si="53">AD51</f>
        <v>0.83333333333333348</v>
      </c>
      <c r="AF50" s="671">
        <f t="shared" si="53"/>
        <v>0.79166666666666685</v>
      </c>
      <c r="AG50" s="671">
        <f t="shared" si="53"/>
        <v>0.75000000000000022</v>
      </c>
      <c r="AH50" s="671">
        <f t="shared" si="53"/>
        <v>0.70833333333333359</v>
      </c>
      <c r="AI50" s="671">
        <f t="shared" si="53"/>
        <v>0.66666666666666696</v>
      </c>
      <c r="AJ50" s="671">
        <f t="shared" si="53"/>
        <v>0.62500000000000033</v>
      </c>
      <c r="AK50" s="671">
        <f>AJ51</f>
        <v>0.5833333333333337</v>
      </c>
      <c r="AL50" s="671">
        <f>AK51</f>
        <v>0.54166666666666707</v>
      </c>
      <c r="AM50" s="673">
        <f>AM48*$T50/1000000</f>
        <v>1.5E-3</v>
      </c>
      <c r="AN50" s="656" t="s">
        <v>623</v>
      </c>
      <c r="AO50" s="1314">
        <f t="shared" si="50"/>
        <v>1</v>
      </c>
      <c r="AP50" s="676">
        <f t="shared" si="51"/>
        <v>4.1536361866054999E-2</v>
      </c>
      <c r="AQ50" s="652">
        <v>2</v>
      </c>
      <c r="AR50" s="676">
        <f>$C$14</f>
        <v>0</v>
      </c>
      <c r="AS50" s="676">
        <f>$C$18</f>
        <v>0</v>
      </c>
      <c r="AT50" s="676">
        <f t="shared" si="52"/>
        <v>-0.95939719117662547</v>
      </c>
      <c r="AU50" s="676">
        <f t="shared" si="52"/>
        <v>0</v>
      </c>
      <c r="AV50" s="669" t="s">
        <v>1309</v>
      </c>
      <c r="AW50" s="676">
        <f>(AT49-AT50)/2</f>
        <v>1.541418682411051</v>
      </c>
      <c r="AX50" s="652" t="s">
        <v>983</v>
      </c>
      <c r="AY50" s="676">
        <f>(AR56+AR59*AR46)/1000</f>
        <v>-3.0828373648221019E-3</v>
      </c>
      <c r="AZ50" s="676">
        <f>(AS56+AS59*AS46)/1000</f>
        <v>-1.9834208392404649E-3</v>
      </c>
      <c r="BA50" s="676">
        <f>(AT56+AT59*AT46)/1000</f>
        <v>3.0162067935642837E-3</v>
      </c>
      <c r="BB50" s="676">
        <f>(AU56+AU59*AU46)/1000</f>
        <v>-3.0436251528270599E-3</v>
      </c>
      <c r="BC50" s="676">
        <f>$AG$107/2</f>
        <v>2.1547284048517696E-6</v>
      </c>
      <c r="BD50" s="652" t="s">
        <v>984</v>
      </c>
      <c r="BF50" s="650" t="s">
        <v>2067</v>
      </c>
      <c r="BG50" s="654"/>
      <c r="BH50" s="654"/>
      <c r="BI50" s="654"/>
      <c r="BL50" s="658"/>
      <c r="BO50" s="650"/>
      <c r="BU50" s="650" t="s">
        <v>2068</v>
      </c>
      <c r="BV50" s="654"/>
      <c r="BW50" s="654"/>
      <c r="BX50" s="654"/>
      <c r="CA50" s="658"/>
      <c r="CD50" s="650"/>
      <c r="CJ50" s="652"/>
      <c r="DA50" s="650"/>
      <c r="DG50" s="856"/>
      <c r="DM50" s="50"/>
      <c r="DN50" s="1284"/>
      <c r="DO50" s="53"/>
      <c r="DP50" s="53"/>
      <c r="DQ50" s="53"/>
      <c r="DR50" s="1126"/>
      <c r="DS50" s="53"/>
      <c r="DT50" s="1126"/>
      <c r="DU50" s="52"/>
      <c r="DV50" s="52"/>
      <c r="DW50" s="1285"/>
    </row>
    <row r="51" spans="1:127" outlineLevel="1">
      <c r="B51" s="605">
        <v>3250</v>
      </c>
      <c r="C51" s="605">
        <v>1600</v>
      </c>
      <c r="D51" s="605">
        <v>62</v>
      </c>
      <c r="E51" s="636">
        <v>98</v>
      </c>
      <c r="F51" s="636">
        <v>75</v>
      </c>
      <c r="G51" s="606">
        <v>1.2</v>
      </c>
      <c r="H51" s="606">
        <v>22</v>
      </c>
      <c r="I51" s="634">
        <v>5.0000000000000001E-3</v>
      </c>
      <c r="J51" s="35">
        <v>17.015706806282701</v>
      </c>
      <c r="R51" s="653" t="s">
        <v>264</v>
      </c>
      <c r="S51" s="654"/>
      <c r="T51" s="654"/>
      <c r="V51" s="652"/>
      <c r="W51" s="654"/>
      <c r="X51" s="654"/>
      <c r="Y51" s="654"/>
      <c r="Z51" s="652" t="s">
        <v>1311</v>
      </c>
      <c r="AA51" s="671">
        <f t="shared" ref="AA51:AL51" si="54">AA50-AA46/$AN48</f>
        <v>0.95833333333333337</v>
      </c>
      <c r="AB51" s="671">
        <f t="shared" si="54"/>
        <v>0.91666666666666674</v>
      </c>
      <c r="AC51" s="671">
        <f t="shared" si="54"/>
        <v>0.87500000000000011</v>
      </c>
      <c r="AD51" s="671">
        <f t="shared" si="54"/>
        <v>0.83333333333333348</v>
      </c>
      <c r="AE51" s="671">
        <f t="shared" si="54"/>
        <v>0.79166666666666685</v>
      </c>
      <c r="AF51" s="671">
        <f t="shared" si="54"/>
        <v>0.75000000000000022</v>
      </c>
      <c r="AG51" s="671">
        <f t="shared" si="54"/>
        <v>0.70833333333333359</v>
      </c>
      <c r="AH51" s="671">
        <f t="shared" si="54"/>
        <v>0.66666666666666696</v>
      </c>
      <c r="AI51" s="671">
        <f t="shared" si="54"/>
        <v>0.62500000000000033</v>
      </c>
      <c r="AJ51" s="671">
        <f t="shared" si="54"/>
        <v>0.5833333333333337</v>
      </c>
      <c r="AK51" s="671">
        <f t="shared" si="54"/>
        <v>0.54166666666666707</v>
      </c>
      <c r="AL51" s="671">
        <f t="shared" si="54"/>
        <v>0.50000000000000044</v>
      </c>
      <c r="AM51" s="655"/>
      <c r="AN51" s="676">
        <f>AM53^2/8</f>
        <v>4.5000000000000001E-6</v>
      </c>
      <c r="AO51" s="1314">
        <f t="shared" si="50"/>
        <v>1</v>
      </c>
      <c r="AP51" s="676">
        <f t="shared" si="51"/>
        <v>4.7969379792906455E-2</v>
      </c>
      <c r="AQ51" s="652">
        <v>6</v>
      </c>
      <c r="AR51" s="676">
        <f>$C$15</f>
        <v>0</v>
      </c>
      <c r="AS51" s="676">
        <f>$C$19</f>
        <v>0</v>
      </c>
      <c r="AT51" s="676">
        <f t="shared" si="52"/>
        <v>0.39268389045548757</v>
      </c>
      <c r="AU51" s="676">
        <f t="shared" si="52"/>
        <v>0</v>
      </c>
      <c r="AV51" s="669" t="s">
        <v>1312</v>
      </c>
      <c r="AW51" s="676">
        <f>AT51/2</f>
        <v>0.19634194522774379</v>
      </c>
      <c r="AX51" s="653"/>
      <c r="AY51" s="669"/>
      <c r="AZ51" s="669"/>
      <c r="BA51" s="669"/>
      <c r="BB51" s="669"/>
      <c r="BC51" s="676">
        <f>($AG$108+$AG$109)/2</f>
        <v>0</v>
      </c>
      <c r="BD51" s="652" t="s">
        <v>988</v>
      </c>
      <c r="BG51" s="659">
        <v>0</v>
      </c>
      <c r="BH51" s="659">
        <v>7.5</v>
      </c>
      <c r="BI51" s="659">
        <v>15</v>
      </c>
      <c r="BJ51" s="659">
        <v>22.5</v>
      </c>
      <c r="BK51" s="659">
        <v>30</v>
      </c>
      <c r="BL51" s="659">
        <v>37.5</v>
      </c>
      <c r="BM51" s="659">
        <v>45</v>
      </c>
      <c r="BN51" s="659">
        <v>52.5</v>
      </c>
      <c r="BO51" s="659">
        <v>60</v>
      </c>
      <c r="BP51" s="659">
        <v>67.5</v>
      </c>
      <c r="BQ51" s="659">
        <v>75</v>
      </c>
      <c r="BR51" s="659">
        <v>82.5</v>
      </c>
      <c r="BS51" s="659">
        <v>90</v>
      </c>
      <c r="BT51" s="659"/>
      <c r="BV51" s="659">
        <v>0</v>
      </c>
      <c r="BW51" s="659">
        <v>7.5</v>
      </c>
      <c r="BX51" s="659">
        <v>15</v>
      </c>
      <c r="BY51" s="659">
        <v>22.5</v>
      </c>
      <c r="BZ51" s="659">
        <v>30</v>
      </c>
      <c r="CA51" s="659">
        <v>37.5</v>
      </c>
      <c r="CB51" s="659">
        <v>45</v>
      </c>
      <c r="CC51" s="659">
        <v>52.5</v>
      </c>
      <c r="CD51" s="659">
        <v>60</v>
      </c>
      <c r="CE51" s="659">
        <v>67.5</v>
      </c>
      <c r="CF51" s="659">
        <v>75</v>
      </c>
      <c r="CG51" s="659">
        <v>82.5</v>
      </c>
      <c r="CH51" s="659">
        <v>90</v>
      </c>
      <c r="CJ51" s="652"/>
      <c r="DA51" s="650"/>
      <c r="DG51" s="856"/>
      <c r="DM51" s="50"/>
      <c r="DN51" s="1284"/>
      <c r="DO51" s="53"/>
      <c r="DP51" s="53"/>
      <c r="DQ51" s="53"/>
      <c r="DR51" s="1126"/>
      <c r="DS51" s="53"/>
      <c r="DT51" s="1126"/>
      <c r="DU51" s="1126"/>
      <c r="DV51" s="1126"/>
      <c r="DW51" s="1286"/>
    </row>
    <row r="52" spans="1:127" outlineLevel="1">
      <c r="B52" s="606">
        <v>-0.5</v>
      </c>
      <c r="C52" s="606">
        <v>125</v>
      </c>
      <c r="D52" s="606">
        <v>0.64</v>
      </c>
      <c r="E52" s="636">
        <v>1.6</v>
      </c>
      <c r="F52" s="636">
        <v>0.52</v>
      </c>
      <c r="G52" s="606">
        <v>0.5</v>
      </c>
      <c r="H52" s="606">
        <v>0.2</v>
      </c>
      <c r="I52" s="606">
        <v>0.9</v>
      </c>
      <c r="J52" s="35">
        <v>8.3769633507853403</v>
      </c>
      <c r="R52" s="652" t="s">
        <v>1532</v>
      </c>
      <c r="S52" s="654">
        <f>$D$52</f>
        <v>0.64</v>
      </c>
      <c r="T52" s="654">
        <f>$E39</f>
        <v>0.64</v>
      </c>
      <c r="U52" s="660">
        <f t="shared" ref="U52:U60" si="55">T52/S52</f>
        <v>1</v>
      </c>
      <c r="V52" s="653" t="s">
        <v>1531</v>
      </c>
      <c r="W52" s="654"/>
      <c r="X52" s="654"/>
      <c r="Y52" s="654"/>
      <c r="Z52" s="652" t="s">
        <v>1321</v>
      </c>
      <c r="AA52" s="671">
        <f t="shared" ref="AA52:AJ52" si="56">AA50-AA51</f>
        <v>4.166666666666663E-2</v>
      </c>
      <c r="AB52" s="671">
        <f t="shared" si="56"/>
        <v>4.166666666666663E-2</v>
      </c>
      <c r="AC52" s="671">
        <f t="shared" si="56"/>
        <v>4.166666666666663E-2</v>
      </c>
      <c r="AD52" s="671">
        <f t="shared" si="56"/>
        <v>4.166666666666663E-2</v>
      </c>
      <c r="AE52" s="671">
        <f t="shared" si="56"/>
        <v>4.166666666666663E-2</v>
      </c>
      <c r="AF52" s="671">
        <f t="shared" si="56"/>
        <v>4.166666666666663E-2</v>
      </c>
      <c r="AG52" s="671">
        <f t="shared" si="56"/>
        <v>4.166666666666663E-2</v>
      </c>
      <c r="AH52" s="671">
        <f t="shared" si="56"/>
        <v>4.166666666666663E-2</v>
      </c>
      <c r="AI52" s="671">
        <f t="shared" si="56"/>
        <v>4.166666666666663E-2</v>
      </c>
      <c r="AJ52" s="671">
        <f t="shared" si="56"/>
        <v>4.166666666666663E-2</v>
      </c>
      <c r="AK52" s="671">
        <f>AK50-AK51</f>
        <v>4.166666666666663E-2</v>
      </c>
      <c r="AL52" s="671">
        <f>AL50-AL51</f>
        <v>4.166666666666663E-2</v>
      </c>
      <c r="AM52" s="656" t="s">
        <v>603</v>
      </c>
      <c r="AN52" s="656" t="s">
        <v>422</v>
      </c>
      <c r="AO52" s="1314">
        <f t="shared" si="50"/>
        <v>1</v>
      </c>
      <c r="AP52" s="676">
        <f t="shared" si="51"/>
        <v>-7.8975253345250629E-3</v>
      </c>
      <c r="AQ52" s="650"/>
      <c r="AR52" s="676"/>
      <c r="AS52" s="676"/>
      <c r="AT52" s="676"/>
      <c r="AU52" s="676"/>
      <c r="AV52" s="669" t="s">
        <v>423</v>
      </c>
      <c r="AW52" s="676">
        <f>(AU49+AU50)/2</f>
        <v>0</v>
      </c>
      <c r="AX52" s="652" t="s">
        <v>989</v>
      </c>
      <c r="AY52" s="676">
        <f>$X76*AY48^2+2*$X78*AY48*AY49+$X77*AY49^2+$X79*AY50^2</f>
        <v>0.10845557518267133</v>
      </c>
      <c r="AZ52" s="676">
        <f>$X76*AZ48^2+2*$X78*AZ48*AZ49+$X77*AZ49^2+$X79*AZ50^2</f>
        <v>9.4939218020396121E-2</v>
      </c>
      <c r="BA52" s="676">
        <f>$X76*BA48^2+2*$X78*BA48*BA49+$X77*BA49^2+$X79*BA50^2</f>
        <v>0.10390890320248966</v>
      </c>
      <c r="BB52" s="676">
        <f>$X76*BB48^2+2*$X78*BB48*BB49+$X77*BB49^2+$X79*BB50^2</f>
        <v>0.10560939166431467</v>
      </c>
      <c r="BC52" s="676">
        <f>($AG$108-$AG$109)/2</f>
        <v>0</v>
      </c>
      <c r="BD52" s="652" t="s">
        <v>990</v>
      </c>
      <c r="BF52" s="664">
        <v>0</v>
      </c>
      <c r="BG52" s="1257">
        <v>1</v>
      </c>
      <c r="BH52" s="1179"/>
      <c r="BI52" s="1179"/>
      <c r="BJ52" s="1179"/>
      <c r="BK52" s="1179"/>
      <c r="BL52" s="1179"/>
      <c r="BM52" s="1179"/>
      <c r="BN52" s="1179"/>
      <c r="BO52" s="1179"/>
      <c r="BP52" s="1179"/>
      <c r="BQ52" s="1179"/>
      <c r="BR52" s="1179"/>
      <c r="BS52" s="1180"/>
      <c r="BT52" s="1166"/>
      <c r="BU52" s="659">
        <v>0</v>
      </c>
      <c r="BV52" s="1264">
        <v>1</v>
      </c>
      <c r="BW52" s="1179"/>
      <c r="BX52" s="1179"/>
      <c r="BY52" s="1179"/>
      <c r="BZ52" s="1179"/>
      <c r="CA52" s="1179"/>
      <c r="CB52" s="1179"/>
      <c r="CC52" s="1179"/>
      <c r="CD52" s="1179"/>
      <c r="CE52" s="1179"/>
      <c r="CF52" s="1179"/>
      <c r="CG52" s="1179"/>
      <c r="CH52" s="1180"/>
      <c r="CJ52" s="652"/>
      <c r="DA52" s="650"/>
      <c r="DG52" s="856"/>
      <c r="DM52" s="50"/>
      <c r="DN52" s="1284"/>
      <c r="DO52" s="53"/>
      <c r="DP52" s="53"/>
      <c r="DQ52" s="53"/>
      <c r="DR52" s="53"/>
      <c r="DS52" s="53"/>
      <c r="DT52" s="1126"/>
      <c r="DU52" s="1126"/>
      <c r="DV52" s="1126"/>
      <c r="DW52" s="1286"/>
    </row>
    <row r="53" spans="1:127" outlineLevel="1">
      <c r="B53" s="606">
        <v>0.02</v>
      </c>
      <c r="C53" s="606">
        <v>22.5</v>
      </c>
      <c r="D53" s="606">
        <v>0</v>
      </c>
      <c r="E53" s="636">
        <v>0.6</v>
      </c>
      <c r="F53" s="636">
        <v>0.32</v>
      </c>
      <c r="G53" s="606">
        <v>0</v>
      </c>
      <c r="H53" s="606">
        <v>0</v>
      </c>
      <c r="I53" s="606">
        <v>2000</v>
      </c>
      <c r="J53" s="35">
        <f>D51/D50</f>
        <v>6.2374245472837027</v>
      </c>
      <c r="R53" s="652" t="s">
        <v>1534</v>
      </c>
      <c r="S53" s="659">
        <f>S46/S52</f>
        <v>298.4375</v>
      </c>
      <c r="T53" s="659">
        <f>$G39*X49^$G$53</f>
        <v>298.4375</v>
      </c>
      <c r="U53" s="660">
        <f t="shared" si="55"/>
        <v>1</v>
      </c>
      <c r="V53" s="652" t="s">
        <v>265</v>
      </c>
      <c r="W53" s="654">
        <f>$B$53</f>
        <v>0.02</v>
      </c>
      <c r="X53" s="654">
        <f>W53</f>
        <v>0.02</v>
      </c>
      <c r="Y53" s="654">
        <f>X53/W53</f>
        <v>1</v>
      </c>
      <c r="Z53" s="652" t="s">
        <v>425</v>
      </c>
      <c r="AA53" s="671">
        <f t="shared" ref="AA53:AJ53" si="57">AA50^2-AA51^2</f>
        <v>8.1597222222222099E-2</v>
      </c>
      <c r="AB53" s="671">
        <f t="shared" si="57"/>
        <v>7.8125E-2</v>
      </c>
      <c r="AC53" s="671">
        <f t="shared" si="57"/>
        <v>7.4652777777777679E-2</v>
      </c>
      <c r="AD53" s="671">
        <f t="shared" si="57"/>
        <v>7.118055555555558E-2</v>
      </c>
      <c r="AE53" s="671">
        <f t="shared" si="57"/>
        <v>6.7708333333333259E-2</v>
      </c>
      <c r="AF53" s="671">
        <f t="shared" si="57"/>
        <v>6.4236111111111049E-2</v>
      </c>
      <c r="AG53" s="671">
        <f t="shared" si="57"/>
        <v>6.076388888888884E-2</v>
      </c>
      <c r="AH53" s="671">
        <f t="shared" si="57"/>
        <v>5.729166666666663E-2</v>
      </c>
      <c r="AI53" s="671">
        <f t="shared" si="57"/>
        <v>5.381944444444442E-2</v>
      </c>
      <c r="AJ53" s="671">
        <f t="shared" si="57"/>
        <v>5.034722222222221E-2</v>
      </c>
      <c r="AK53" s="671">
        <f>AK50^2-AK51^2</f>
        <v>4.6875E-2</v>
      </c>
      <c r="AL53" s="671">
        <f>AL50^2-AL51^2</f>
        <v>4.340277777777779E-2</v>
      </c>
      <c r="AM53" s="655">
        <f>T50*AN48*2/1000000</f>
        <v>6.0000000000000001E-3</v>
      </c>
      <c r="AN53" s="676">
        <f>AM53^3/12</f>
        <v>1.7999999999999999E-8</v>
      </c>
      <c r="AO53" s="1314">
        <f t="shared" si="50"/>
        <v>1</v>
      </c>
      <c r="AP53" s="676">
        <f t="shared" si="51"/>
        <v>2.1543528906594429E-3</v>
      </c>
      <c r="AQ53" s="653" t="s">
        <v>1323</v>
      </c>
      <c r="AR53" s="676"/>
      <c r="AS53" s="676"/>
      <c r="AT53" s="676"/>
      <c r="AU53" s="676"/>
      <c r="AV53" s="669" t="s">
        <v>426</v>
      </c>
      <c r="AW53" s="676">
        <f>(AU49-AU50)/2</f>
        <v>0</v>
      </c>
      <c r="AX53" s="652" t="s">
        <v>907</v>
      </c>
      <c r="AY53" s="676">
        <f>$X80*AY48+$X81*AY49</f>
        <v>-8.897247842661226E-3</v>
      </c>
      <c r="AZ53" s="676">
        <f>$X80*AZ48+$X81*AZ49</f>
        <v>0.12814894405008595</v>
      </c>
      <c r="BA53" s="676">
        <f>$X80*BA48+$X81*BA49</f>
        <v>-2.6416124248843254E-2</v>
      </c>
      <c r="BB53" s="676">
        <f>$X80*BB48+$X81*BB49</f>
        <v>-2.0477928223091926E-2</v>
      </c>
      <c r="BC53" s="676">
        <f>$AG$110/2</f>
        <v>0</v>
      </c>
      <c r="BD53" s="665" t="s">
        <v>984</v>
      </c>
      <c r="BF53" s="664">
        <v>7.5</v>
      </c>
      <c r="BG53" s="1258">
        <v>2</v>
      </c>
      <c r="BH53" s="1247">
        <v>3</v>
      </c>
      <c r="BI53" s="1166"/>
      <c r="BJ53" s="1166"/>
      <c r="BK53" s="1166"/>
      <c r="BL53" s="1166"/>
      <c r="BM53" s="1166"/>
      <c r="BN53" s="1166"/>
      <c r="BO53" s="1166"/>
      <c r="BP53" s="1166"/>
      <c r="BQ53" s="1166"/>
      <c r="BR53" s="1166"/>
      <c r="BS53" s="1181"/>
      <c r="BT53" s="1166"/>
      <c r="BU53" s="659">
        <v>7.5</v>
      </c>
      <c r="BV53" s="1272">
        <v>1</v>
      </c>
      <c r="BW53" s="1273">
        <v>2</v>
      </c>
      <c r="BX53" s="1166"/>
      <c r="BY53" s="1166"/>
      <c r="BZ53" s="1166"/>
      <c r="CA53" s="1166"/>
      <c r="CB53" s="1166"/>
      <c r="CC53" s="1166"/>
      <c r="CD53" s="1166"/>
      <c r="CE53" s="1166"/>
      <c r="CF53" s="1166"/>
      <c r="CG53" s="1166"/>
      <c r="CH53" s="1181"/>
      <c r="CJ53" s="652"/>
      <c r="DA53" s="650"/>
      <c r="DG53" s="856"/>
      <c r="DM53" s="50"/>
      <c r="DN53" s="1288"/>
      <c r="DO53" s="1289"/>
      <c r="DP53" s="1290"/>
      <c r="DQ53" s="1290"/>
      <c r="DR53" s="1290"/>
      <c r="DS53" s="1290"/>
      <c r="DT53" s="1289"/>
      <c r="DU53" s="1289"/>
      <c r="DV53" s="1289"/>
      <c r="DW53" s="1291"/>
    </row>
    <row r="54" spans="1:127">
      <c r="B54" s="606">
        <v>0.15</v>
      </c>
      <c r="C54" s="606">
        <v>0.01</v>
      </c>
      <c r="D54" s="606">
        <v>1</v>
      </c>
      <c r="E54" s="636">
        <v>1</v>
      </c>
      <c r="F54" s="636">
        <v>0</v>
      </c>
      <c r="G54" s="606">
        <v>0.5</v>
      </c>
      <c r="H54" s="606"/>
      <c r="I54" s="606"/>
      <c r="J54" s="35">
        <f>E51/D50</f>
        <v>9.8591549295774659</v>
      </c>
      <c r="R54" s="652" t="s">
        <v>1536</v>
      </c>
      <c r="S54" s="654">
        <f>$G$50</f>
        <v>3.4</v>
      </c>
      <c r="T54" s="654">
        <f>$F$39*X49^$G$46</f>
        <v>3.4</v>
      </c>
      <c r="U54" s="660">
        <f t="shared" si="55"/>
        <v>1</v>
      </c>
      <c r="V54" s="652" t="s">
        <v>1533</v>
      </c>
      <c r="W54" s="654">
        <f>$C$53</f>
        <v>22.5</v>
      </c>
      <c r="X54" s="654">
        <f>W54*(1-T52)/(1-S52)</f>
        <v>22.5</v>
      </c>
      <c r="Y54" s="654">
        <f>X54/W54</f>
        <v>1</v>
      </c>
      <c r="Z54" s="652" t="s">
        <v>428</v>
      </c>
      <c r="AA54" s="671">
        <f t="shared" ref="AA54:AJ54" si="58">AA50^3-AA51^3</f>
        <v>0.11986400462962943</v>
      </c>
      <c r="AB54" s="671">
        <f t="shared" si="58"/>
        <v>0.10988136574074081</v>
      </c>
      <c r="AC54" s="671">
        <f t="shared" si="58"/>
        <v>0.10033275462962943</v>
      </c>
      <c r="AD54" s="671">
        <f t="shared" si="58"/>
        <v>9.1218171296296391E-2</v>
      </c>
      <c r="AE54" s="671">
        <f t="shared" si="58"/>
        <v>8.2537615740740644E-2</v>
      </c>
      <c r="AF54" s="671">
        <f t="shared" si="58"/>
        <v>7.429108796296291E-2</v>
      </c>
      <c r="AG54" s="671">
        <f t="shared" si="58"/>
        <v>6.6478587962962965E-2</v>
      </c>
      <c r="AH54" s="671">
        <f t="shared" si="58"/>
        <v>5.91001157407407E-2</v>
      </c>
      <c r="AI54" s="671">
        <f t="shared" si="58"/>
        <v>5.2155671296296308E-2</v>
      </c>
      <c r="AJ54" s="671">
        <f t="shared" si="58"/>
        <v>4.564525462962965E-2</v>
      </c>
      <c r="AK54" s="671">
        <f>AK50^3-AK51^3</f>
        <v>3.9568865740740783E-2</v>
      </c>
      <c r="AL54" s="671">
        <f>AL50^3-AL51^3</f>
        <v>3.392650462962965E-2</v>
      </c>
      <c r="AM54" s="655"/>
      <c r="AN54" s="655"/>
      <c r="AO54" s="655"/>
      <c r="AQ54" s="652" t="s">
        <v>1324</v>
      </c>
      <c r="AR54" s="676">
        <f>$AW49+$AW50*COS(AR45)+$AW51*SIN(AR45)</f>
        <v>0.77836343646216921</v>
      </c>
      <c r="AS54" s="676">
        <f>$AW49+$AW50*COS(AS45)+$AW51*SIN(AS45)</f>
        <v>-0.61423607198442309</v>
      </c>
      <c r="AT54" s="676">
        <f>$AW49+$AW50*COS(AT45)+$AW51*SIN(AT45)</f>
        <v>0.95638209086504899</v>
      </c>
      <c r="AU54" s="676">
        <f>$AW49+$AW50*COS(AU45)+$AW51*SIN(AU45)</f>
        <v>0.89604091135243202</v>
      </c>
      <c r="AV54" s="669" t="s">
        <v>429</v>
      </c>
      <c r="AW54" s="676">
        <f>AU51/2</f>
        <v>0</v>
      </c>
      <c r="AX54" s="652" t="s">
        <v>908</v>
      </c>
      <c r="AY54" s="676">
        <f>AY53/2/AY52</f>
        <v>-4.1017936734352396E-2</v>
      </c>
      <c r="AZ54" s="676">
        <f>AZ53/2/AZ52</f>
        <v>0.67489993451681507</v>
      </c>
      <c r="BA54" s="676">
        <f>BA53/2/BA52</f>
        <v>-0.12711193860532599</v>
      </c>
      <c r="BB54" s="676">
        <f>BB53/2/BB52</f>
        <v>-9.6951264941389684E-2</v>
      </c>
      <c r="BC54" s="677" t="s">
        <v>1156</v>
      </c>
      <c r="BD54" s="654"/>
      <c r="BF54" s="664">
        <v>15</v>
      </c>
      <c r="BG54" s="1258">
        <v>3</v>
      </c>
      <c r="BH54" s="1246">
        <v>4</v>
      </c>
      <c r="BI54" s="1247">
        <v>5</v>
      </c>
      <c r="BJ54" s="1166"/>
      <c r="BK54" s="1166"/>
      <c r="BL54" s="1239"/>
      <c r="BM54" s="1166"/>
      <c r="BN54" s="1166"/>
      <c r="BO54" s="1166"/>
      <c r="BP54" s="1166"/>
      <c r="BQ54" s="1166"/>
      <c r="BR54" s="1166"/>
      <c r="BS54" s="1181"/>
      <c r="BT54" s="1166"/>
      <c r="BU54" s="659">
        <v>15</v>
      </c>
      <c r="BV54" s="1272">
        <v>2</v>
      </c>
      <c r="BW54" s="1273">
        <v>2</v>
      </c>
      <c r="BX54" s="1273">
        <v>3</v>
      </c>
      <c r="BY54" s="1166"/>
      <c r="BZ54" s="1166"/>
      <c r="CA54" s="1166"/>
      <c r="CB54" s="1166"/>
      <c r="CC54" s="1166"/>
      <c r="CD54" s="1166"/>
      <c r="CE54" s="1166"/>
      <c r="CF54" s="1166"/>
      <c r="CG54" s="1166"/>
      <c r="CH54" s="1181"/>
      <c r="CJ54" s="652"/>
      <c r="DA54" s="650"/>
      <c r="DG54" s="856"/>
      <c r="DN54" s="1126"/>
      <c r="DO54" s="1126"/>
      <c r="DP54" s="1126"/>
      <c r="DQ54" s="1126"/>
      <c r="DR54" s="1126"/>
      <c r="DS54" s="1126"/>
      <c r="DT54" s="1126"/>
      <c r="DU54" s="1126"/>
      <c r="DV54" s="1126"/>
      <c r="DW54" s="1126"/>
    </row>
    <row r="55" spans="1:127">
      <c r="B55" s="652" t="s">
        <v>1583</v>
      </c>
      <c r="C55" s="652" t="s">
        <v>1577</v>
      </c>
      <c r="D55" s="652" t="s">
        <v>1578</v>
      </c>
      <c r="E55" s="652" t="s">
        <v>266</v>
      </c>
      <c r="F55" s="652" t="s">
        <v>267</v>
      </c>
      <c r="G55" s="652" t="s">
        <v>268</v>
      </c>
      <c r="H55" s="652" t="s">
        <v>1584</v>
      </c>
      <c r="I55" s="652" t="s">
        <v>1585</v>
      </c>
      <c r="R55" s="652" t="s">
        <v>1538</v>
      </c>
      <c r="S55" s="654">
        <f>$F$52</f>
        <v>0.52</v>
      </c>
      <c r="T55" s="654">
        <f>S55*X49^$H$52</f>
        <v>0.52</v>
      </c>
      <c r="U55" s="660">
        <f t="shared" si="55"/>
        <v>1</v>
      </c>
      <c r="V55" s="650" t="s">
        <v>1535</v>
      </c>
      <c r="W55" s="654"/>
      <c r="X55" s="654"/>
      <c r="Y55" s="654"/>
      <c r="Z55" s="652" t="s">
        <v>1325</v>
      </c>
      <c r="AA55" s="656" t="s">
        <v>1326</v>
      </c>
      <c r="AB55" s="656" t="s">
        <v>1327</v>
      </c>
      <c r="AC55" s="656" t="s">
        <v>1328</v>
      </c>
      <c r="AD55" s="656" t="s">
        <v>1329</v>
      </c>
      <c r="AE55" s="656" t="s">
        <v>2101</v>
      </c>
      <c r="AF55" s="656" t="s">
        <v>2102</v>
      </c>
      <c r="AG55" s="656" t="s">
        <v>2103</v>
      </c>
      <c r="AH55" s="656" t="s">
        <v>2104</v>
      </c>
      <c r="AI55" s="656" t="s">
        <v>2127</v>
      </c>
      <c r="AJ55" s="656" t="s">
        <v>2128</v>
      </c>
      <c r="AK55" s="656" t="s">
        <v>2129</v>
      </c>
      <c r="AL55" s="656" t="s">
        <v>2130</v>
      </c>
      <c r="AM55" s="656" t="s">
        <v>1330</v>
      </c>
      <c r="AN55" s="656" t="s">
        <v>430</v>
      </c>
      <c r="AO55" s="656" t="s">
        <v>909</v>
      </c>
      <c r="AP55" s="652" t="s">
        <v>431</v>
      </c>
      <c r="AQ55" s="652" t="s">
        <v>1332</v>
      </c>
      <c r="AR55" s="676">
        <f>2*$AW49-AR54</f>
        <v>0.38567954600668153</v>
      </c>
      <c r="AS55" s="676">
        <f>2*$AW49-AS54</f>
        <v>1.7782790544532738</v>
      </c>
      <c r="AT55" s="676">
        <f>2*$AW49-AT54</f>
        <v>0.20766089160380174</v>
      </c>
      <c r="AU55" s="676">
        <f>2*$AW49-AU54</f>
        <v>0.26800207111641872</v>
      </c>
      <c r="AV55" s="669" t="s">
        <v>711</v>
      </c>
      <c r="AW55" s="659">
        <f>AW49+AR46*AW52</f>
        <v>0.58202149123442537</v>
      </c>
      <c r="AX55" s="652" t="s">
        <v>760</v>
      </c>
      <c r="AY55" s="654">
        <f>IF(AY44=0,1000000,(AY54^2+1/AY52)^0.5-AY54)</f>
        <v>3.0778003734973201</v>
      </c>
      <c r="AZ55" s="654">
        <f>IF(AZ44=0,1000000,(AZ54^2+1/AZ52)^0.5-AZ54)</f>
        <v>2.6399974799218588</v>
      </c>
      <c r="BA55" s="654">
        <f>IF(BA44=0,1000000,(BA54^2+1/BA52)^0.5-BA54)</f>
        <v>3.2319423454471545</v>
      </c>
      <c r="BB55" s="654">
        <f>IF(BB44=0,1000000,(BB54^2+1/BB52)^0.5-BB54)</f>
        <v>3.1756286422187485</v>
      </c>
      <c r="BC55" s="654">
        <f>MIN(AY55:BB55)</f>
        <v>2.6399974799218588</v>
      </c>
      <c r="BD55" s="654"/>
      <c r="BF55" s="664">
        <v>22.5</v>
      </c>
      <c r="BG55" s="1244">
        <v>6</v>
      </c>
      <c r="BH55" s="1246">
        <v>5</v>
      </c>
      <c r="BI55" s="1246">
        <v>6</v>
      </c>
      <c r="BJ55" s="1247">
        <v>7</v>
      </c>
      <c r="BK55" s="1166"/>
      <c r="BL55" s="1166"/>
      <c r="BM55" s="1166"/>
      <c r="BN55" s="1166"/>
      <c r="BO55" s="1166"/>
      <c r="BP55" s="1166"/>
      <c r="BQ55" s="1166"/>
      <c r="BR55" s="1166"/>
      <c r="BS55" s="1181"/>
      <c r="BT55" s="1166"/>
      <c r="BU55" s="659">
        <v>22.5</v>
      </c>
      <c r="BV55" s="1272">
        <v>3</v>
      </c>
      <c r="BW55" s="1273">
        <v>3</v>
      </c>
      <c r="BX55" s="1273">
        <v>3</v>
      </c>
      <c r="BY55" s="1273">
        <v>4</v>
      </c>
      <c r="BZ55" s="1166"/>
      <c r="CA55" s="1166"/>
      <c r="CB55" s="1166"/>
      <c r="CC55" s="1166"/>
      <c r="CD55" s="1166"/>
      <c r="CE55" s="1166"/>
      <c r="CF55" s="1166"/>
      <c r="CG55" s="1166"/>
      <c r="CH55" s="1181"/>
      <c r="CJ55" s="652"/>
      <c r="DA55" s="650"/>
      <c r="DG55" s="856"/>
    </row>
    <row r="56" spans="1:127">
      <c r="B56" s="652" t="s">
        <v>269</v>
      </c>
      <c r="C56" s="652" t="s">
        <v>270</v>
      </c>
      <c r="D56" s="652" t="s">
        <v>271</v>
      </c>
      <c r="E56" s="652" t="s">
        <v>272</v>
      </c>
      <c r="F56" s="652" t="s">
        <v>273</v>
      </c>
      <c r="G56" s="652" t="s">
        <v>274</v>
      </c>
      <c r="H56" s="652" t="s">
        <v>1588</v>
      </c>
      <c r="I56" s="652" t="s">
        <v>275</v>
      </c>
      <c r="L56" s="652" t="s">
        <v>1330</v>
      </c>
      <c r="M56" s="1006">
        <f>$C$24</f>
        <v>31.979586528604301</v>
      </c>
      <c r="N56" s="1006">
        <f>M56+$C$21</f>
        <v>123.95332597123371</v>
      </c>
      <c r="O56" s="1078">
        <f>N56+$C$22</f>
        <v>185.82965133255595</v>
      </c>
      <c r="R56" s="652" t="s">
        <v>1547</v>
      </c>
      <c r="S56" s="654">
        <f>S55*(1-S52)/S52</f>
        <v>0.29249999999999998</v>
      </c>
      <c r="T56" s="654">
        <f>T55*(1-T52)/T52</f>
        <v>0.29249999999999998</v>
      </c>
      <c r="U56" s="660">
        <f t="shared" si="55"/>
        <v>1</v>
      </c>
      <c r="V56" s="652" t="s">
        <v>1537</v>
      </c>
      <c r="W56" s="654">
        <f>$D$53</f>
        <v>0</v>
      </c>
      <c r="X56" s="654">
        <f>W56</f>
        <v>0</v>
      </c>
      <c r="Y56" s="654">
        <v>1</v>
      </c>
      <c r="Z56" s="652">
        <v>11</v>
      </c>
      <c r="AA56" s="1048">
        <f t="shared" ref="AA56:AL56" si="59">$T68+$T69*COS(AA47)+$T70*COS(AA48)</f>
        <v>60.097970156339628</v>
      </c>
      <c r="AB56" s="1048">
        <f t="shared" si="59"/>
        <v>12.410884844221163</v>
      </c>
      <c r="AC56" s="1048">
        <f t="shared" si="59"/>
        <v>98.409732502229147</v>
      </c>
      <c r="AD56" s="1048">
        <f t="shared" si="59"/>
        <v>67.329321697407806</v>
      </c>
      <c r="AE56" s="1048">
        <f t="shared" si="59"/>
        <v>35.210148871294727</v>
      </c>
      <c r="AF56" s="1048">
        <f t="shared" si="59"/>
        <v>64.315434359119422</v>
      </c>
      <c r="AG56" s="1048">
        <f t="shared" si="59"/>
        <v>96.840287653248183</v>
      </c>
      <c r="AH56" s="1048">
        <f t="shared" si="59"/>
        <v>105.92890406014965</v>
      </c>
      <c r="AI56" s="1048">
        <f t="shared" si="59"/>
        <v>10.309608077611124</v>
      </c>
      <c r="AJ56" s="1048">
        <f t="shared" si="59"/>
        <v>183.10484019605468</v>
      </c>
      <c r="AK56" s="1048">
        <f t="shared" si="59"/>
        <v>183.66607260314788</v>
      </c>
      <c r="AL56" s="1048">
        <f t="shared" si="59"/>
        <v>186.06166829073061</v>
      </c>
      <c r="AM56" s="676">
        <f>$AM46*AP48</f>
        <v>0.27592121832788824</v>
      </c>
      <c r="AN56" s="676">
        <f>$AM46*(AP64-$AM50*($AM46-1)*AP56+$AM50^2/6*($AM46-1)*(2*$AM46-1)*AP48)</f>
        <v>6.7465483955459551E-7</v>
      </c>
      <c r="AO56" s="676">
        <f>-AM46*AP56+AM46*(AM46-1)*AM50*AP48/2</f>
        <v>-3.5951705133672134E-4</v>
      </c>
      <c r="AP56" s="1308">
        <f t="shared" ref="AP56:AP61" si="60">(AA56*AA$53+AB56*AB$53+AC56*AC$53+AD56*AD$53+AE56*AE$53+AF56*AF$53+AG56*AG$53+AH56*AH$53+AI56*AI$53+AJ56*AJ$53+AK56*AK$53+AL56*AL$53)*$AN$51</f>
        <v>2.8322898254131877E-4</v>
      </c>
      <c r="AQ56" s="652" t="s">
        <v>1334</v>
      </c>
      <c r="AR56" s="676">
        <f>2*($AW51*COS(AR45)-$AW50*SIN(AR45))</f>
        <v>-3.0828373648221019</v>
      </c>
      <c r="AS56" s="676">
        <f>2*($AW51*COS(AS45)-$AW50*SIN(AS45))</f>
        <v>-1.9834208392404651</v>
      </c>
      <c r="AT56" s="676">
        <f>2*($AW51*COS(AT45)-$AW50*SIN(AT45))</f>
        <v>3.0162067935642836</v>
      </c>
      <c r="AU56" s="676">
        <f>2*($AW51*COS(AU45)-$AW50*SIN(AU45))</f>
        <v>-3.0436251528270599</v>
      </c>
      <c r="AV56" s="669" t="s">
        <v>712</v>
      </c>
      <c r="AW56" s="659">
        <f>AW50+AR46*AW53</f>
        <v>1.541418682411051</v>
      </c>
      <c r="AX56" s="685" t="s">
        <v>1360</v>
      </c>
      <c r="AY56" s="856"/>
      <c r="AZ56" s="856"/>
      <c r="BA56" s="856"/>
      <c r="BB56" s="856"/>
      <c r="BD56" s="654"/>
      <c r="BF56" s="664">
        <v>30</v>
      </c>
      <c r="BG56" s="1244">
        <v>9</v>
      </c>
      <c r="BH56" s="1246">
        <v>9</v>
      </c>
      <c r="BI56" s="1246">
        <v>7</v>
      </c>
      <c r="BJ56" s="1246">
        <v>7</v>
      </c>
      <c r="BK56" s="1247">
        <v>7</v>
      </c>
      <c r="BL56" s="1166"/>
      <c r="BM56" s="1166"/>
      <c r="BN56" s="1166"/>
      <c r="BO56" s="1166"/>
      <c r="BP56" s="1166"/>
      <c r="BQ56" s="1166"/>
      <c r="BR56" s="1166"/>
      <c r="BS56" s="1181"/>
      <c r="BT56" s="1166"/>
      <c r="BU56" s="659">
        <v>30</v>
      </c>
      <c r="BV56" s="1269">
        <v>5</v>
      </c>
      <c r="BW56" s="1248">
        <v>5</v>
      </c>
      <c r="BX56" s="1273">
        <v>4</v>
      </c>
      <c r="BY56" s="1273">
        <v>4</v>
      </c>
      <c r="BZ56" s="1273">
        <v>4</v>
      </c>
      <c r="CA56" s="1166"/>
      <c r="CB56" s="1166"/>
      <c r="CC56" s="1166"/>
      <c r="CD56" s="1166"/>
      <c r="CE56" s="1166"/>
      <c r="CF56" s="1166"/>
      <c r="CG56" s="1166"/>
      <c r="CH56" s="1181"/>
      <c r="CJ56" s="652"/>
      <c r="DA56" s="650"/>
      <c r="DG56" s="856"/>
      <c r="DM56" s="1331" t="s">
        <v>2134</v>
      </c>
      <c r="DN56" s="1330"/>
      <c r="DO56" s="1330"/>
      <c r="DQ56" s="1126"/>
      <c r="DR56" s="1126"/>
      <c r="DS56" s="1126"/>
      <c r="DT56" s="1126"/>
      <c r="DU56" s="1126"/>
      <c r="DV56" s="1126"/>
      <c r="DW56" s="1126"/>
    </row>
    <row r="57" spans="1:127">
      <c r="B57" s="652" t="s">
        <v>1568</v>
      </c>
      <c r="C57" s="652" t="s">
        <v>276</v>
      </c>
      <c r="D57" s="652" t="s">
        <v>277</v>
      </c>
      <c r="E57" s="652" t="s">
        <v>278</v>
      </c>
      <c r="F57" s="652" t="s">
        <v>279</v>
      </c>
      <c r="G57" s="652" t="s">
        <v>280</v>
      </c>
      <c r="H57" s="652" t="s">
        <v>281</v>
      </c>
      <c r="I57" s="652" t="s">
        <v>282</v>
      </c>
      <c r="L57" s="652" t="s">
        <v>430</v>
      </c>
      <c r="M57" s="1006">
        <f>$D$24</f>
        <v>36.367277842123322</v>
      </c>
      <c r="N57" s="1006">
        <f>M57+$D$21</f>
        <v>111.32892668152283</v>
      </c>
      <c r="O57" s="1078">
        <f>N57+$D$22</f>
        <v>181.44196001903703</v>
      </c>
      <c r="R57" s="652" t="s">
        <v>1548</v>
      </c>
      <c r="S57" s="654">
        <f>1/((1+S56)/S47-S56/S54)</f>
        <v>22.726875357250929</v>
      </c>
      <c r="T57" s="654">
        <f>S57*X49^$G$53</f>
        <v>22.726875357250929</v>
      </c>
      <c r="U57" s="660">
        <f t="shared" si="55"/>
        <v>1</v>
      </c>
      <c r="V57" s="652" t="s">
        <v>1539</v>
      </c>
      <c r="W57" s="654">
        <f>$E$53</f>
        <v>0.6</v>
      </c>
      <c r="X57" s="654">
        <f>W57*(1-T52)/(1-S52)</f>
        <v>0.6</v>
      </c>
      <c r="Y57" s="654">
        <f>X57/W57</f>
        <v>1</v>
      </c>
      <c r="Z57" s="652">
        <v>22</v>
      </c>
      <c r="AA57" s="1048">
        <f t="shared" ref="AA57:AL57" si="61">AA56-2*$T69*COS(AA47)</f>
        <v>60.097970156339613</v>
      </c>
      <c r="AB57" s="1048">
        <f t="shared" si="61"/>
        <v>166.26574390016825</v>
      </c>
      <c r="AC57" s="1048">
        <f t="shared" si="61"/>
        <v>32.513893242776632</v>
      </c>
      <c r="AD57" s="1048">
        <f t="shared" si="61"/>
        <v>53.349450958982516</v>
      </c>
      <c r="AE57" s="1048">
        <f t="shared" si="61"/>
        <v>93.331452329851999</v>
      </c>
      <c r="AF57" s="1048">
        <f t="shared" si="61"/>
        <v>56.049314130023355</v>
      </c>
      <c r="AG57" s="1048">
        <f t="shared" si="61"/>
        <v>33.322901112166853</v>
      </c>
      <c r="AH57" s="1048">
        <f t="shared" si="61"/>
        <v>28.918691403823757</v>
      </c>
      <c r="AI57" s="1048">
        <f t="shared" si="61"/>
        <v>187.11853231166452</v>
      </c>
      <c r="AJ57" s="1048">
        <f t="shared" si="61"/>
        <v>10.604814919833416</v>
      </c>
      <c r="AK57" s="1048">
        <f t="shared" si="61"/>
        <v>10.560562670484302</v>
      </c>
      <c r="AL57" s="1048">
        <f t="shared" si="61"/>
        <v>10.382577199752205</v>
      </c>
      <c r="AM57" s="676">
        <f>$AM46*AP49</f>
        <v>0.18562897608396672</v>
      </c>
      <c r="AN57" s="676">
        <f>$AM46*(AP65-$AM50*($AM46-1)*AP57+$AM50^2/6*($AM46-1)*(2*$AM46-1)*AP49)</f>
        <v>6.3101730003762779E-7</v>
      </c>
      <c r="AO57" s="676">
        <f>-AM46*AP57+AM46*(AM46-1)*AM50*AP49/2</f>
        <v>-3.0420438273349309E-4</v>
      </c>
      <c r="AP57" s="1308">
        <f t="shared" si="60"/>
        <v>2.2171305739823407E-4</v>
      </c>
      <c r="AQ57" s="652" t="s">
        <v>1149</v>
      </c>
      <c r="AR57" s="676">
        <f>($AW52+$AW53*COS(AR45)+$AW54*SIN(AR45))</f>
        <v>0</v>
      </c>
      <c r="AS57" s="676">
        <f>($AW52+$AW53*COS(AS45)+$AW54*SIN(AS45))</f>
        <v>0</v>
      </c>
      <c r="AT57" s="676">
        <f>($AW52+$AW53*COS(AT45)+$AW54*SIN(AT45))</f>
        <v>0</v>
      </c>
      <c r="AU57" s="676">
        <f>($AW52+$AW53*COS(AU45)+$AW54*SIN(AU45))</f>
        <v>0</v>
      </c>
      <c r="AV57" s="669" t="s">
        <v>714</v>
      </c>
      <c r="AW57" s="659">
        <f>AW51+AR46*AW54</f>
        <v>0.19634194522774379</v>
      </c>
      <c r="AX57" s="652" t="s">
        <v>1364</v>
      </c>
      <c r="AY57" s="676">
        <f>$BC48+$BC49*COS(AY45)+$BC50*SIN(AY45)+($BC51+$BC52*COS(AY45)+$BC53*SIN(AY45))*AR46-$AD80</f>
        <v>5.289477598970517E-5</v>
      </c>
      <c r="AZ57" s="676">
        <f>$BC48+$BC49*COS(AZ45)+$BC50*SIN(AZ45)+($BC51+$BC52*COS(AZ45)+$BC53*SIN(AZ45))*AS46-$AD80</f>
        <v>6.4353102226783826E-5</v>
      </c>
      <c r="BA57" s="676">
        <f>$BC48+$BC49*COS(BA45)+$BC50*SIN(BA45)+($BC51+$BC52*COS(BA45)+$BC53*SIN(BA45))*AT46-$AD80</f>
        <v>4.3395186215207947E-5</v>
      </c>
      <c r="BB57" s="676">
        <f>$BC48+$BC49*COS(BB45)+$BC50*SIN(BB45)+($BC51+$BC52*COS(BB45)+$BC53*SIN(BB45))*AU46-$AD80</f>
        <v>5.1756396695718379E-5</v>
      </c>
      <c r="BC57" s="676"/>
      <c r="BF57" s="664">
        <v>37.5</v>
      </c>
      <c r="BG57" s="1244">
        <v>12</v>
      </c>
      <c r="BH57" s="1259">
        <v>12</v>
      </c>
      <c r="BI57" s="1246">
        <v>10</v>
      </c>
      <c r="BJ57" s="1247">
        <v>7</v>
      </c>
      <c r="BK57" s="1248">
        <v>7</v>
      </c>
      <c r="BL57" s="1248">
        <v>7</v>
      </c>
      <c r="BM57" s="1166"/>
      <c r="BN57" s="1166"/>
      <c r="BO57" s="1166"/>
      <c r="BP57" s="1166"/>
      <c r="BQ57" s="1166"/>
      <c r="BR57" s="1166"/>
      <c r="BS57" s="1181"/>
      <c r="BT57" s="1166"/>
      <c r="BU57" s="659">
        <v>37.5</v>
      </c>
      <c r="BV57" s="1269">
        <v>7</v>
      </c>
      <c r="BW57" s="1248">
        <v>6</v>
      </c>
      <c r="BX57" s="1248">
        <v>5</v>
      </c>
      <c r="BY57" s="1273">
        <v>4</v>
      </c>
      <c r="BZ57" s="1273">
        <v>4</v>
      </c>
      <c r="CA57" s="1273">
        <v>4</v>
      </c>
      <c r="CB57" s="1166"/>
      <c r="CC57" s="1166"/>
      <c r="CD57" s="1166"/>
      <c r="CE57" s="1166"/>
      <c r="CF57" s="1166"/>
      <c r="CG57" s="1166"/>
      <c r="CH57" s="1181"/>
      <c r="CJ57" s="652"/>
      <c r="DA57" s="650"/>
      <c r="DG57" s="856"/>
      <c r="DM57" s="650">
        <v>0</v>
      </c>
      <c r="DN57" s="1317">
        <f>MIN(DN5,DN18,DN31,DN44)</f>
        <v>1</v>
      </c>
      <c r="DO57" s="1318"/>
      <c r="DP57" s="1318"/>
      <c r="DQ57" s="1318"/>
      <c r="DR57" s="1318"/>
      <c r="DS57" s="1318"/>
      <c r="DT57" s="1318"/>
      <c r="DU57" s="1318"/>
      <c r="DV57" s="1318"/>
      <c r="DW57" s="1319"/>
    </row>
    <row r="58" spans="1:127">
      <c r="B58" s="652" t="s">
        <v>1591</v>
      </c>
      <c r="C58" s="653" t="s">
        <v>1592</v>
      </c>
      <c r="D58" s="653" t="s">
        <v>1537</v>
      </c>
      <c r="E58" s="653" t="s">
        <v>1539</v>
      </c>
      <c r="F58" s="652" t="s">
        <v>295</v>
      </c>
      <c r="G58" s="652" t="s">
        <v>283</v>
      </c>
      <c r="H58" s="652" t="s">
        <v>284</v>
      </c>
      <c r="I58" s="652" t="s">
        <v>285</v>
      </c>
      <c r="R58" s="652" t="s">
        <v>295</v>
      </c>
      <c r="S58" s="654">
        <f>$F$53</f>
        <v>0.32</v>
      </c>
      <c r="T58" s="654">
        <f>S58*X49^$H$52</f>
        <v>0.32</v>
      </c>
      <c r="U58" s="660">
        <f t="shared" si="55"/>
        <v>1</v>
      </c>
      <c r="W58" s="654"/>
      <c r="X58" s="654"/>
      <c r="Y58" s="654"/>
      <c r="Z58" s="652" t="s">
        <v>1345</v>
      </c>
      <c r="AA58" s="1048">
        <f t="shared" ref="AA58:AL58" si="62">$T71-$T70*COS(AA48)</f>
        <v>44.517970156339622</v>
      </c>
      <c r="AB58" s="1048">
        <f t="shared" si="62"/>
        <v>15.277625940484539</v>
      </c>
      <c r="AC58" s="1048">
        <f t="shared" si="62"/>
        <v>39.15412744017636</v>
      </c>
      <c r="AD58" s="1048">
        <f t="shared" si="62"/>
        <v>44.276553984484082</v>
      </c>
      <c r="AE58" s="1048">
        <f t="shared" si="62"/>
        <v>40.34513971210589</v>
      </c>
      <c r="AF58" s="1048">
        <f t="shared" si="62"/>
        <v>44.433566068107865</v>
      </c>
      <c r="AG58" s="1048">
        <f t="shared" si="62"/>
        <v>39.534345929971721</v>
      </c>
      <c r="AH58" s="1048">
        <f t="shared" si="62"/>
        <v>37.19214258069254</v>
      </c>
      <c r="AI58" s="1048">
        <f t="shared" si="62"/>
        <v>5.9018701180414261</v>
      </c>
      <c r="AJ58" s="1048">
        <f t="shared" si="62"/>
        <v>7.761112754735219</v>
      </c>
      <c r="AK58" s="1048">
        <f t="shared" si="62"/>
        <v>7.5026226758631616</v>
      </c>
      <c r="AL58" s="1048">
        <f t="shared" si="62"/>
        <v>6.3938175674378392</v>
      </c>
      <c r="AM58" s="676">
        <f>$AM46*AP50</f>
        <v>8.3072723732109999E-2</v>
      </c>
      <c r="AN58" s="676">
        <f>$AM46*(AP66-$AM50*($AM46-1)*AP58+$AM50^2/6*($AM46-1)*(2*$AM46-1)*AP50)</f>
        <v>2.8870739301800089E-7</v>
      </c>
      <c r="AO58" s="676">
        <f>-AM46*AP58+AM46*(AM46-1)*AM50*AP50/2</f>
        <v>-1.3891101437194919E-4</v>
      </c>
      <c r="AP58" s="1308">
        <f t="shared" si="60"/>
        <v>1.0060777858551585E-4</v>
      </c>
      <c r="AQ58" s="652" t="s">
        <v>1151</v>
      </c>
      <c r="AR58" s="676">
        <f>2*$AW52-AR57</f>
        <v>0</v>
      </c>
      <c r="AS58" s="676">
        <f>2*$AW52-AS57</f>
        <v>0</v>
      </c>
      <c r="AT58" s="676">
        <f>2*$AW52-AT57</f>
        <v>0</v>
      </c>
      <c r="AU58" s="676">
        <f>2*$AW52-AU57</f>
        <v>0</v>
      </c>
      <c r="AV58" s="678" t="s">
        <v>1917</v>
      </c>
      <c r="AW58" s="679">
        <f>(AW56^2+AW57^2)^0.5</f>
        <v>1.5538731331552247</v>
      </c>
      <c r="AX58" s="652" t="s">
        <v>1367</v>
      </c>
      <c r="AY58" s="676">
        <f>$BC48-$BC49*COS(AY45)-$BC50*SIN(AY45)+($BC51-$BC52*COS(AY45)-$BC53*SIN(AY45))*AR46-$AD81</f>
        <v>-7.0341468081999855E-4</v>
      </c>
      <c r="AZ58" s="676">
        <f>$BC48-$BC49*COS(AZ45)-$BC50*SIN(AZ45)+($BC51-$BC52*COS(AZ45)-$BC53*SIN(AZ45))*AS46-$AD81</f>
        <v>-7.1487300705707724E-4</v>
      </c>
      <c r="BA58" s="676">
        <f>$BC48-$BC49*COS(BA45)-$BC50*SIN(BA45)+($BC51-$BC52*COS(BA45)-$BC53*SIN(BA45))*AT46-$AD81</f>
        <v>-6.9391509104550135E-4</v>
      </c>
      <c r="BB58" s="676">
        <f>$BC48-$BC49*COS(BB45)-$BC50*SIN(BB45)+($BC51-$BC52*COS(BB45)-$BC53*SIN(BB45))*AU46-$AD81</f>
        <v>-7.0227630152601178E-4</v>
      </c>
      <c r="BC58" s="676"/>
      <c r="BF58" s="664">
        <v>45</v>
      </c>
      <c r="BG58" s="1244">
        <v>16</v>
      </c>
      <c r="BH58" s="1259">
        <v>14</v>
      </c>
      <c r="BI58" s="1259">
        <v>13</v>
      </c>
      <c r="BJ58" s="1248">
        <v>10</v>
      </c>
      <c r="BK58" s="1248">
        <v>7</v>
      </c>
      <c r="BL58" s="1248">
        <v>6</v>
      </c>
      <c r="BM58" s="1248">
        <v>6</v>
      </c>
      <c r="BN58" s="1166"/>
      <c r="BO58" s="1166"/>
      <c r="BP58" s="1166"/>
      <c r="BQ58" s="1166"/>
      <c r="BR58" s="1166"/>
      <c r="BS58" s="1181"/>
      <c r="BT58" s="1166"/>
      <c r="BU58" s="659">
        <v>45</v>
      </c>
      <c r="BV58" s="1269">
        <v>8</v>
      </c>
      <c r="BW58" s="1248">
        <v>8</v>
      </c>
      <c r="BX58" s="1248">
        <v>7</v>
      </c>
      <c r="BY58" s="1248">
        <v>5</v>
      </c>
      <c r="BZ58" s="1273">
        <v>4</v>
      </c>
      <c r="CA58" s="1273">
        <v>3</v>
      </c>
      <c r="CB58" s="1273">
        <v>3</v>
      </c>
      <c r="CC58" s="1166"/>
      <c r="CD58" s="1166"/>
      <c r="CE58" s="1166"/>
      <c r="CF58" s="1166"/>
      <c r="CG58" s="1166"/>
      <c r="CH58" s="1181"/>
      <c r="CJ58" s="652"/>
      <c r="DA58" s="650"/>
      <c r="DG58" s="856"/>
      <c r="DM58" s="650">
        <v>10</v>
      </c>
      <c r="DN58" s="1322">
        <f t="shared" ref="DN58:DO66" si="63">MIN(DN6,DN19,DN32,DN45)</f>
        <v>1</v>
      </c>
      <c r="DO58" s="1321">
        <f t="shared" si="63"/>
        <v>2</v>
      </c>
      <c r="DP58" s="659"/>
      <c r="DQ58" s="659"/>
      <c r="DR58" s="659"/>
      <c r="DS58" s="659"/>
      <c r="DT58" s="659"/>
      <c r="DU58" s="659"/>
      <c r="DV58" s="659"/>
      <c r="DW58" s="1320"/>
    </row>
    <row r="59" spans="1:127">
      <c r="B59" s="652" t="s">
        <v>286</v>
      </c>
      <c r="C59" s="653" t="s">
        <v>287</v>
      </c>
      <c r="D59" s="652" t="s">
        <v>288</v>
      </c>
      <c r="E59" s="652" t="s">
        <v>289</v>
      </c>
      <c r="F59" s="652" t="s">
        <v>290</v>
      </c>
      <c r="R59" s="652" t="s">
        <v>301</v>
      </c>
      <c r="S59" s="654">
        <f>S58*(1-S52)/S52</f>
        <v>0.18</v>
      </c>
      <c r="T59" s="654">
        <f>T58*(1-T52)/T52</f>
        <v>0.18</v>
      </c>
      <c r="U59" s="660">
        <f t="shared" si="55"/>
        <v>1</v>
      </c>
      <c r="V59" s="650" t="s">
        <v>1148</v>
      </c>
      <c r="W59" s="654"/>
      <c r="X59" s="654"/>
      <c r="Y59" s="654"/>
      <c r="Z59" s="652">
        <v>66</v>
      </c>
      <c r="AA59" s="1048">
        <f t="shared" ref="AA59:AL59" si="64">AA58-$T71+$T72</f>
        <v>48.8066487742406</v>
      </c>
      <c r="AB59" s="1048">
        <f t="shared" si="64"/>
        <v>19.566304558385518</v>
      </c>
      <c r="AC59" s="1048">
        <f t="shared" si="64"/>
        <v>43.442806058077338</v>
      </c>
      <c r="AD59" s="1048">
        <f t="shared" si="64"/>
        <v>48.565232602385066</v>
      </c>
      <c r="AE59" s="1048">
        <f t="shared" si="64"/>
        <v>44.633818330006875</v>
      </c>
      <c r="AF59" s="1048">
        <f t="shared" si="64"/>
        <v>48.72224468600885</v>
      </c>
      <c r="AG59" s="1048">
        <f t="shared" si="64"/>
        <v>43.823024547872706</v>
      </c>
      <c r="AH59" s="1048">
        <f t="shared" si="64"/>
        <v>41.480821198593517</v>
      </c>
      <c r="AI59" s="1048">
        <f t="shared" si="64"/>
        <v>10.190548735942407</v>
      </c>
      <c r="AJ59" s="1048">
        <f t="shared" si="64"/>
        <v>12.0497913726362</v>
      </c>
      <c r="AK59" s="1048">
        <f t="shared" si="64"/>
        <v>11.791301293764143</v>
      </c>
      <c r="AL59" s="1048">
        <f t="shared" si="64"/>
        <v>10.68249618533882</v>
      </c>
      <c r="AM59" s="676">
        <f>$AM46*AP51</f>
        <v>9.5938759585812911E-2</v>
      </c>
      <c r="AN59" s="676">
        <f>$AM46*(AP67-$AM50*($AM46-1)*AP59+$AM50^2/6*($AM46-1)*(2*$AM46-1)*AP51)</f>
        <v>3.2730550057910988E-7</v>
      </c>
      <c r="AO59" s="676">
        <f>-AM46*AP59+AM46*(AM46-1)*AM50*AP51/2</f>
        <v>-1.582100681525036E-4</v>
      </c>
      <c r="AP59" s="1308">
        <f t="shared" si="60"/>
        <v>1.1508206892093163E-4</v>
      </c>
      <c r="AQ59" s="652" t="s">
        <v>1153</v>
      </c>
      <c r="AR59" s="676">
        <f>2*($AW54*COS(AR45)-$AW53*SIN(AR45))</f>
        <v>0</v>
      </c>
      <c r="AS59" s="676">
        <f>2*($AW54*COS(AS45)-$AW53*SIN(AS45))</f>
        <v>0</v>
      </c>
      <c r="AT59" s="676">
        <f>2*($AW54*COS(AT45)-$AW53*SIN(AT45))</f>
        <v>0</v>
      </c>
      <c r="AU59" s="676">
        <f>2*($AW54*COS(AU45)-$AW53*SIN(AU45))</f>
        <v>0</v>
      </c>
      <c r="AV59" s="678" t="s">
        <v>1918</v>
      </c>
      <c r="AW59" s="679">
        <f>AW55+AW58</f>
        <v>2.1358946243896502</v>
      </c>
      <c r="AX59" s="652" t="s">
        <v>1372</v>
      </c>
      <c r="AY59" s="676">
        <f>2*($BC50*COS(AY45)-$BC49*SIN(AY45))+2*($BC53*COS(AY45)-$BC52*SIN(AY45))*AR46</f>
        <v>2.9511030135124365E-5</v>
      </c>
      <c r="AZ59" s="676">
        <f>2*($BC50*COS(AZ45)-$BC49*SIN(AZ45))+2*($BC53*COS(AZ45)-$BC52*SIN(AZ45))*AS46</f>
        <v>1.2174205965654755E-5</v>
      </c>
      <c r="BA59" s="676">
        <f>2*($BC50*COS(BA45)-$BC49*SIN(BA45))+2*($BC53*COS(BA45)-$BC52*SIN(BA45))*AT46</f>
        <v>-2.595543032726829E-5</v>
      </c>
      <c r="BB59" s="676">
        <f>2*($BC50*COS(BB45)-$BC49*SIN(BB45))+2*($BC53*COS(BB45)-$BC52*SIN(BB45))*AU46</f>
        <v>2.9754671155472286E-5</v>
      </c>
      <c r="BC59" s="676"/>
      <c r="BF59" s="664">
        <v>52.5</v>
      </c>
      <c r="BG59" s="1244">
        <v>18</v>
      </c>
      <c r="BH59" s="1259">
        <v>17</v>
      </c>
      <c r="BI59" s="1259">
        <v>15</v>
      </c>
      <c r="BJ59" s="1248">
        <v>12</v>
      </c>
      <c r="BK59" s="1248">
        <v>9</v>
      </c>
      <c r="BL59" s="1248">
        <v>6</v>
      </c>
      <c r="BM59" s="1248">
        <v>6</v>
      </c>
      <c r="BN59" s="1248">
        <v>7</v>
      </c>
      <c r="BO59" s="1166"/>
      <c r="BP59" s="1166"/>
      <c r="BQ59" s="1166"/>
      <c r="BR59" s="1166"/>
      <c r="BS59" s="1181"/>
      <c r="BT59" s="1166"/>
      <c r="BU59" s="659">
        <v>52.5</v>
      </c>
      <c r="BV59" s="1269">
        <v>9</v>
      </c>
      <c r="BW59" s="1248">
        <v>9</v>
      </c>
      <c r="BX59" s="1248">
        <v>8</v>
      </c>
      <c r="BY59" s="1248">
        <v>5</v>
      </c>
      <c r="BZ59" s="1248">
        <v>5</v>
      </c>
      <c r="CA59" s="1273">
        <v>3</v>
      </c>
      <c r="CB59" s="1273">
        <v>3</v>
      </c>
      <c r="CC59" s="1273">
        <v>4</v>
      </c>
      <c r="CD59" s="1166"/>
      <c r="CE59" s="1166"/>
      <c r="CF59" s="1166"/>
      <c r="CG59" s="1166"/>
      <c r="CH59" s="1181"/>
      <c r="CJ59" s="652"/>
      <c r="DA59" s="650"/>
      <c r="DG59" s="856"/>
      <c r="DM59" s="650">
        <v>20</v>
      </c>
      <c r="DN59" s="1322">
        <f t="shared" si="63"/>
        <v>2</v>
      </c>
      <c r="DO59" s="1321">
        <f t="shared" si="63"/>
        <v>3</v>
      </c>
      <c r="DP59" s="1321">
        <f t="shared" ref="DP59:DP66" si="65">MIN(DP7,DP20,DP33,DP46)</f>
        <v>3</v>
      </c>
      <c r="DQ59" s="659"/>
      <c r="DR59" s="659"/>
      <c r="DS59" s="659"/>
      <c r="DT59" s="659"/>
      <c r="DU59" s="659"/>
      <c r="DV59" s="659"/>
      <c r="DW59" s="1320"/>
    </row>
    <row r="60" spans="1:127" ht="16.2" thickBot="1">
      <c r="R60" s="652" t="s">
        <v>304</v>
      </c>
      <c r="S60" s="654">
        <f>1/((1+S59)/S49-S59*2.7/S54)</f>
        <v>117.16358488896765</v>
      </c>
      <c r="T60" s="654">
        <f>S60*X49^$H$53</f>
        <v>117.16358488896765</v>
      </c>
      <c r="U60" s="660">
        <f t="shared" si="55"/>
        <v>1</v>
      </c>
      <c r="V60" s="652" t="s">
        <v>296</v>
      </c>
      <c r="W60" s="659">
        <f>$B$51</f>
        <v>3250</v>
      </c>
      <c r="X60" s="659">
        <f>X66*T52</f>
        <v>3250</v>
      </c>
      <c r="Y60" s="654">
        <f t="shared" ref="Y60:Y67" si="66">X60/W60</f>
        <v>1</v>
      </c>
      <c r="Z60" s="652" t="s">
        <v>1347</v>
      </c>
      <c r="AA60" s="1048">
        <f t="shared" ref="AA60:AL60" si="67">$T69*SIN(AA47)/2+$T70*SIN(AA48)</f>
        <v>45.555421776577226</v>
      </c>
      <c r="AB60" s="1048">
        <f t="shared" si="67"/>
        <v>5.8533289382447151</v>
      </c>
      <c r="AC60" s="1048">
        <f t="shared" si="67"/>
        <v>-56.301216096291121</v>
      </c>
      <c r="AD60" s="1048">
        <f t="shared" si="67"/>
        <v>48.558641818342444</v>
      </c>
      <c r="AE60" s="1048">
        <f t="shared" si="67"/>
        <v>-30.77667489273928</v>
      </c>
      <c r="AF60" s="1048">
        <f t="shared" si="67"/>
        <v>-47.367248003941448</v>
      </c>
      <c r="AG60" s="1048">
        <f t="shared" si="67"/>
        <v>-56.098838062749699</v>
      </c>
      <c r="AH60" s="1048">
        <f t="shared" si="67"/>
        <v>56.997521432285851</v>
      </c>
      <c r="AI60" s="1048">
        <f t="shared" si="67"/>
        <v>1.3927788908905807</v>
      </c>
      <c r="AJ60" s="1048">
        <f t="shared" si="67"/>
        <v>-27.194004614867701</v>
      </c>
      <c r="AK60" s="1048">
        <f t="shared" si="67"/>
        <v>-26.398575972290097</v>
      </c>
      <c r="AL60" s="1048">
        <f t="shared" si="67"/>
        <v>22.598662110337962</v>
      </c>
      <c r="AM60" s="676">
        <f>$AM46*AP52</f>
        <v>-1.5795050669050126E-2</v>
      </c>
      <c r="AN60" s="676">
        <f>$AM46*(AP68-$AM50*($AM46-1)*AP60+$AM50^2/6*($AM46-1)*(2*$AM46-1)*AP52)</f>
        <v>-2.5649294429898425E-8</v>
      </c>
      <c r="AO60" s="676">
        <f>-AM46*AP60+AM46*(AM46-1)*AM50*AP52/2</f>
        <v>1.8688211380536509E-5</v>
      </c>
      <c r="AP60" s="1308">
        <f t="shared" si="60"/>
        <v>-1.5267249691162052E-5</v>
      </c>
      <c r="AQ60" s="650"/>
      <c r="AR60" s="676"/>
      <c r="AS60" s="676"/>
      <c r="AT60" s="676"/>
      <c r="AU60" s="676"/>
      <c r="AV60" s="678" t="s">
        <v>1919</v>
      </c>
      <c r="AW60" s="679">
        <f>AW55-AW58</f>
        <v>-0.97185164192079931</v>
      </c>
      <c r="AX60" s="676"/>
      <c r="AY60" s="676"/>
      <c r="AZ60" s="676"/>
      <c r="BA60" s="676"/>
      <c r="BB60" s="676"/>
      <c r="BC60" s="676"/>
      <c r="BF60" s="664">
        <v>60</v>
      </c>
      <c r="BG60" s="1244">
        <v>20</v>
      </c>
      <c r="BH60" s="1259">
        <v>19</v>
      </c>
      <c r="BI60" s="1259">
        <v>16</v>
      </c>
      <c r="BJ60" s="1259">
        <v>14</v>
      </c>
      <c r="BK60" s="1248">
        <v>10</v>
      </c>
      <c r="BL60" s="1248">
        <v>9</v>
      </c>
      <c r="BM60" s="1248">
        <v>7</v>
      </c>
      <c r="BN60" s="1248">
        <v>7</v>
      </c>
      <c r="BO60" s="1248">
        <v>7</v>
      </c>
      <c r="BP60" s="1166"/>
      <c r="BQ60" s="1166"/>
      <c r="BR60" s="1166"/>
      <c r="BS60" s="1181"/>
      <c r="BT60" s="1166"/>
      <c r="BU60" s="659">
        <v>60</v>
      </c>
      <c r="BV60" s="1269">
        <v>10</v>
      </c>
      <c r="BW60" s="1248">
        <v>10</v>
      </c>
      <c r="BX60" s="1248">
        <v>9</v>
      </c>
      <c r="BY60" s="1248">
        <v>7</v>
      </c>
      <c r="BZ60" s="1248">
        <v>5</v>
      </c>
      <c r="CA60" s="1248">
        <v>5</v>
      </c>
      <c r="CB60" s="1273">
        <v>4</v>
      </c>
      <c r="CC60" s="1273">
        <v>4</v>
      </c>
      <c r="CD60" s="1273">
        <v>4</v>
      </c>
      <c r="CE60" s="1166"/>
      <c r="CF60" s="1166"/>
      <c r="CG60" s="1166"/>
      <c r="CH60" s="1181"/>
      <c r="CJ60" s="652"/>
      <c r="DA60" s="650"/>
      <c r="DG60" s="856"/>
      <c r="DM60" s="650">
        <v>30</v>
      </c>
      <c r="DN60" s="1322">
        <f t="shared" si="63"/>
        <v>2</v>
      </c>
      <c r="DO60" s="1321">
        <f t="shared" si="63"/>
        <v>2</v>
      </c>
      <c r="DP60" s="1321">
        <f t="shared" si="65"/>
        <v>3</v>
      </c>
      <c r="DQ60" s="1321">
        <f t="shared" ref="DQ60:DQ66" si="68">MIN(DQ8,DQ21,DQ34,DQ47)</f>
        <v>3</v>
      </c>
      <c r="DR60" s="659"/>
      <c r="DS60" s="659"/>
      <c r="DT60" s="659"/>
      <c r="DU60" s="659"/>
      <c r="DV60" s="659"/>
      <c r="DW60" s="1320"/>
    </row>
    <row r="61" spans="1:127" ht="16.2">
      <c r="A61" s="1440" t="s">
        <v>2194</v>
      </c>
      <c r="B61" s="1441"/>
      <c r="C61" s="1442"/>
      <c r="D61" s="1442"/>
      <c r="E61" s="1442"/>
      <c r="F61" s="1442"/>
      <c r="G61" s="1460" t="s">
        <v>2197</v>
      </c>
      <c r="H61" s="1461">
        <f>O11/4</f>
        <v>12</v>
      </c>
      <c r="T61" s="654"/>
      <c r="V61" s="652" t="s">
        <v>302</v>
      </c>
      <c r="W61" s="659">
        <f>$C$51</f>
        <v>1600</v>
      </c>
      <c r="X61" s="659">
        <f>W61*Y60*U49^F80</f>
        <v>1600</v>
      </c>
      <c r="Y61" s="654">
        <f t="shared" si="66"/>
        <v>1</v>
      </c>
      <c r="Z61" s="652" t="s">
        <v>1349</v>
      </c>
      <c r="AA61" s="1048">
        <f t="shared" ref="AA61:AL61" si="69">$T69*SIN(AA47)-AA60</f>
        <v>45.555421776577226</v>
      </c>
      <c r="AB61" s="1048">
        <f t="shared" si="69"/>
        <v>42.966302350674816</v>
      </c>
      <c r="AC61" s="1048">
        <f t="shared" si="69"/>
        <v>-28.643591897137675</v>
      </c>
      <c r="AD61" s="1048">
        <f t="shared" si="69"/>
        <v>42.283675504046563</v>
      </c>
      <c r="AE61" s="1048">
        <f t="shared" si="69"/>
        <v>-55.575304436266038</v>
      </c>
      <c r="AF61" s="1048">
        <f t="shared" si="69"/>
        <v>-43.649803294465919</v>
      </c>
      <c r="AG61" s="1048">
        <f t="shared" si="69"/>
        <v>-29.297714647035384</v>
      </c>
      <c r="AH61" s="1048">
        <f t="shared" si="69"/>
        <v>25.57694556341599</v>
      </c>
      <c r="AI61" s="1048">
        <f t="shared" si="69"/>
        <v>20.648929091173308</v>
      </c>
      <c r="AJ61" s="1048">
        <f t="shared" si="69"/>
        <v>-2.1678947258279457</v>
      </c>
      <c r="AK61" s="1048">
        <f t="shared" si="69"/>
        <v>-2.0585219244651682</v>
      </c>
      <c r="AL61" s="1048">
        <f t="shared" si="69"/>
        <v>1.5963797645857838</v>
      </c>
      <c r="AM61" s="676">
        <f>$AM46*AP53</f>
        <v>4.3087057813188858E-3</v>
      </c>
      <c r="AN61" s="676">
        <f>$AM46*(AP69-$AM50*($AM46-1)*AP61+$AM50^2/6*($AM46-1)*(2*$AM46-1)*AP53)</f>
        <v>4.6618275603996668E-8</v>
      </c>
      <c r="AO61" s="676">
        <f>-AM46*AP61+AM46*(AM46-1)*AM50*AP53/2</f>
        <v>-1.5116307013023496E-5</v>
      </c>
      <c r="AP61" s="1308">
        <f t="shared" si="60"/>
        <v>9.1739181745063305E-6</v>
      </c>
      <c r="AQ61" s="650" t="s">
        <v>1158</v>
      </c>
      <c r="AR61" s="676" t="s">
        <v>1159</v>
      </c>
      <c r="AS61" s="676" t="s">
        <v>1160</v>
      </c>
      <c r="AT61" s="676" t="s">
        <v>1161</v>
      </c>
      <c r="AU61" s="676" t="s">
        <v>1162</v>
      </c>
      <c r="AV61" s="678" t="s">
        <v>94</v>
      </c>
      <c r="AW61" s="679">
        <f>(ATAN(AT57/(AT55-AT56)))/2*180/3.1415</f>
        <v>0</v>
      </c>
      <c r="AX61" s="669" t="s">
        <v>1383</v>
      </c>
      <c r="AY61" s="676">
        <f>$X76*AY57^2+2*$X78*AY57*AY58+$X77*AY58^2+$X79*AY59^2</f>
        <v>8.044011210432073E-3</v>
      </c>
      <c r="AZ61" s="676">
        <f>$X76*AZ57^2+2*$X78*AZ57*AZ58+$X77*AZ58^2+$X79*AZ59^2</f>
        <v>8.2999627285891987E-3</v>
      </c>
      <c r="BA61" s="676">
        <f>$X76*BA57^2+2*$X78*BA57*BA58+$X77*BA58^2+$X79*BA59^2</f>
        <v>7.8273453472472079E-3</v>
      </c>
      <c r="BB61" s="676">
        <f>$X76*BB57^2+2*$X78*BB57*BB58+$X77*BB58^2+$X79*BB59^2</f>
        <v>8.0182607477613747E-3</v>
      </c>
      <c r="BC61" s="676"/>
      <c r="BF61" s="664">
        <v>67.5</v>
      </c>
      <c r="BG61" s="1244">
        <v>20</v>
      </c>
      <c r="BH61" s="1259">
        <v>20</v>
      </c>
      <c r="BI61" s="1259">
        <v>17</v>
      </c>
      <c r="BJ61" s="1259">
        <v>15</v>
      </c>
      <c r="BK61" s="1259">
        <v>12</v>
      </c>
      <c r="BL61" s="1259">
        <v>12</v>
      </c>
      <c r="BM61" s="1248">
        <v>10</v>
      </c>
      <c r="BN61" s="1247">
        <v>7</v>
      </c>
      <c r="BO61" s="1247">
        <v>7</v>
      </c>
      <c r="BP61" s="1247">
        <v>7</v>
      </c>
      <c r="BQ61" s="1166"/>
      <c r="BR61" s="1166"/>
      <c r="BS61" s="1181"/>
      <c r="BT61" s="1166"/>
      <c r="BU61" s="659">
        <v>67.5</v>
      </c>
      <c r="BV61" s="1269">
        <v>11</v>
      </c>
      <c r="BW61" s="1248">
        <v>10</v>
      </c>
      <c r="BX61" s="1248">
        <v>9</v>
      </c>
      <c r="BY61" s="1248">
        <v>8</v>
      </c>
      <c r="BZ61" s="1248">
        <v>7</v>
      </c>
      <c r="CA61" s="1248">
        <v>7</v>
      </c>
      <c r="CB61" s="1248">
        <v>5</v>
      </c>
      <c r="CC61" s="1273">
        <v>4</v>
      </c>
      <c r="CD61" s="1273">
        <v>4</v>
      </c>
      <c r="CE61" s="1273">
        <v>4</v>
      </c>
      <c r="CF61" s="1166"/>
      <c r="CG61" s="1166"/>
      <c r="CH61" s="1181"/>
      <c r="CJ61" s="652"/>
      <c r="DA61" s="650"/>
      <c r="DG61" s="856"/>
      <c r="DM61" s="650">
        <v>40</v>
      </c>
      <c r="DN61" s="1322">
        <f t="shared" si="63"/>
        <v>2</v>
      </c>
      <c r="DO61" s="1321">
        <f t="shared" si="63"/>
        <v>1</v>
      </c>
      <c r="DP61" s="1321">
        <f t="shared" si="65"/>
        <v>3</v>
      </c>
      <c r="DQ61" s="1321">
        <f t="shared" si="68"/>
        <v>4</v>
      </c>
      <c r="DR61" s="1321">
        <f t="shared" ref="DR61:DR66" si="70">MIN(DR9,DR22,DR35,DR48)</f>
        <v>3</v>
      </c>
      <c r="DS61" s="659"/>
      <c r="DT61" s="659"/>
      <c r="DU61" s="659"/>
      <c r="DV61" s="659"/>
      <c r="DW61" s="1320"/>
    </row>
    <row r="62" spans="1:127">
      <c r="A62" s="1443" t="s">
        <v>2195</v>
      </c>
      <c r="B62" s="1468">
        <f>B97</f>
        <v>19.18521776902778</v>
      </c>
      <c r="C62" s="1462" t="s">
        <v>2199</v>
      </c>
      <c r="F62" s="1463" t="s">
        <v>2195</v>
      </c>
      <c r="G62" s="1468">
        <f>D97</f>
        <v>27.391656723837158</v>
      </c>
      <c r="H62" s="1464" t="s">
        <v>2200</v>
      </c>
      <c r="R62" s="650" t="s">
        <v>1163</v>
      </c>
      <c r="V62" s="652" t="s">
        <v>305</v>
      </c>
      <c r="W62" s="659">
        <f>$D$51</f>
        <v>62</v>
      </c>
      <c r="X62" s="659">
        <f>W62*Y67</f>
        <v>62</v>
      </c>
      <c r="Y62" s="654">
        <f t="shared" si="66"/>
        <v>1</v>
      </c>
      <c r="Z62" s="653"/>
      <c r="AD62" s="656"/>
      <c r="AH62" s="656"/>
      <c r="AI62" s="656"/>
      <c r="AJ62" s="656" t="s">
        <v>1164</v>
      </c>
      <c r="AK62" s="656"/>
      <c r="AL62" s="656"/>
      <c r="AM62" s="655">
        <f>AM56*AM57*AM59+2*AM58*AM60*AM61-AM57*AM60^2-AM59*AM58^2-AM56*AM61^2</f>
        <v>4.1890628669391874E-3</v>
      </c>
      <c r="AN62" s="655">
        <f>AN56*AN57*AN59+2*AN58*AN60*AN61-AN57*AN60^2-AN59*AN58^2-AN56*AN61^2</f>
        <v>1.0948680473640353E-19</v>
      </c>
      <c r="AO62" s="655"/>
      <c r="AQ62" s="652">
        <v>1</v>
      </c>
      <c r="AR62" s="676">
        <f>AR49/$AW$4+AS49/$AW$5</f>
        <v>166.66666666666666</v>
      </c>
      <c r="AS62" s="676">
        <f>AR49/$AW$4-AS49/$AW$5</f>
        <v>166.66666666666666</v>
      </c>
      <c r="AT62" s="676">
        <f>AT49+AU49*$AW$4/2</f>
        <v>2.1234401736454762</v>
      </c>
      <c r="AU62" s="676">
        <f>AT49-AU49*$AW$4/2</f>
        <v>2.1234401736454762</v>
      </c>
      <c r="AV62" s="689" t="s">
        <v>2142</v>
      </c>
      <c r="AW62" s="679">
        <f>IF(AW59&gt;0,AW59/AW70,-AW59/AW71)</f>
        <v>0.34243213816827617</v>
      </c>
      <c r="AX62" s="669" t="s">
        <v>1387</v>
      </c>
      <c r="AY62" s="676">
        <f>$X80*AY57+$X81*AY58</f>
        <v>-4.3040202372273018E-2</v>
      </c>
      <c r="AZ62" s="676">
        <f>$X80*AZ57+$X81*AZ58</f>
        <v>-4.4167820159534792E-2</v>
      </c>
      <c r="BA62" s="676">
        <f>$X80*BA57+$X81*BA58</f>
        <v>-4.2105344507365146E-2</v>
      </c>
      <c r="BB62" s="676">
        <f>$X80*BB57+$X81*BB58</f>
        <v>-4.2928174078263014E-2</v>
      </c>
      <c r="BC62" s="676"/>
      <c r="BF62" s="664">
        <v>75</v>
      </c>
      <c r="BG62" s="1244">
        <v>20</v>
      </c>
      <c r="BH62" s="1259">
        <v>20</v>
      </c>
      <c r="BI62" s="1259">
        <v>18</v>
      </c>
      <c r="BJ62" s="1259">
        <v>17</v>
      </c>
      <c r="BK62" s="1259">
        <v>16</v>
      </c>
      <c r="BL62" s="1259">
        <v>15</v>
      </c>
      <c r="BM62" s="1259">
        <v>13</v>
      </c>
      <c r="BN62" s="1247">
        <v>10</v>
      </c>
      <c r="BO62" s="1247">
        <v>7</v>
      </c>
      <c r="BP62" s="1247">
        <v>4</v>
      </c>
      <c r="BQ62" s="1247">
        <v>5</v>
      </c>
      <c r="BR62" s="1166"/>
      <c r="BS62" s="1181"/>
      <c r="BT62" s="1166"/>
      <c r="BU62" s="659">
        <v>75</v>
      </c>
      <c r="BV62" s="1269">
        <v>11</v>
      </c>
      <c r="BW62" s="1248">
        <v>10</v>
      </c>
      <c r="BX62" s="1248">
        <v>9</v>
      </c>
      <c r="BY62" s="1248">
        <v>9</v>
      </c>
      <c r="BZ62" s="1248">
        <v>9</v>
      </c>
      <c r="CA62" s="1248">
        <v>8</v>
      </c>
      <c r="CB62" s="1248">
        <v>6</v>
      </c>
      <c r="CC62" s="1248">
        <v>5</v>
      </c>
      <c r="CD62" s="1273">
        <v>4</v>
      </c>
      <c r="CE62" s="1273">
        <v>2</v>
      </c>
      <c r="CF62" s="1273">
        <v>3</v>
      </c>
      <c r="CG62" s="1166"/>
      <c r="CH62" s="1181"/>
      <c r="CJ62" s="652"/>
      <c r="DA62" s="650"/>
      <c r="DG62" s="856"/>
      <c r="DM62" s="650">
        <v>50</v>
      </c>
      <c r="DN62" s="1322">
        <f t="shared" si="63"/>
        <v>2</v>
      </c>
      <c r="DO62" s="1321">
        <f t="shared" si="63"/>
        <v>2</v>
      </c>
      <c r="DP62" s="1321">
        <f t="shared" si="65"/>
        <v>3</v>
      </c>
      <c r="DQ62" s="1321">
        <f t="shared" si="68"/>
        <v>3</v>
      </c>
      <c r="DR62" s="1321">
        <f t="shared" si="70"/>
        <v>3</v>
      </c>
      <c r="DS62" s="1321">
        <f>MIN(DS10,DS23,DS36,DS49)</f>
        <v>3</v>
      </c>
      <c r="DT62" s="659"/>
      <c r="DU62" s="659"/>
      <c r="DV62" s="659"/>
      <c r="DW62" s="1320"/>
    </row>
    <row r="63" spans="1:127" ht="16.2" thickBot="1">
      <c r="A63" s="1444" t="s">
        <v>2196</v>
      </c>
      <c r="B63" s="1469">
        <f>B98</f>
        <v>58.489870438610964</v>
      </c>
      <c r="C63" s="1445"/>
      <c r="D63" s="1465"/>
      <c r="E63" s="1465"/>
      <c r="F63" s="1466" t="s">
        <v>2196</v>
      </c>
      <c r="G63" s="1469">
        <f>D98</f>
        <v>60.782099471056988</v>
      </c>
      <c r="H63" s="1467"/>
      <c r="R63" s="652" t="s">
        <v>1354</v>
      </c>
      <c r="S63" s="654">
        <f>S46/(1-S48^2*S47/S46)</f>
        <v>192.22546248373467</v>
      </c>
      <c r="T63" s="654">
        <f>T46/(1-T48^2*T47/T46)</f>
        <v>192.22546248373467</v>
      </c>
      <c r="U63" s="660">
        <f>T63/S63</f>
        <v>1</v>
      </c>
      <c r="V63" s="652" t="s">
        <v>1542</v>
      </c>
      <c r="W63" s="659">
        <f>$E$51</f>
        <v>98</v>
      </c>
      <c r="X63" s="659">
        <f>W63*Y67</f>
        <v>98</v>
      </c>
      <c r="Y63" s="654">
        <f t="shared" si="66"/>
        <v>1</v>
      </c>
      <c r="Z63" s="652" t="s">
        <v>1355</v>
      </c>
      <c r="AA63" s="656" t="s">
        <v>1169</v>
      </c>
      <c r="AB63" s="656" t="s">
        <v>1170</v>
      </c>
      <c r="AC63" s="656" t="s">
        <v>1357</v>
      </c>
      <c r="AD63" s="656" t="s">
        <v>1171</v>
      </c>
      <c r="AE63" s="656" t="s">
        <v>1358</v>
      </c>
      <c r="AF63" s="656" t="s">
        <v>1172</v>
      </c>
      <c r="AG63" s="656"/>
      <c r="AN63" s="652" t="s">
        <v>1988</v>
      </c>
      <c r="AO63" s="676">
        <f>AO56+AO57+2*AO59</f>
        <v>-9.8014157037522157E-4</v>
      </c>
      <c r="AP63" s="652" t="s">
        <v>1173</v>
      </c>
      <c r="AQ63" s="652">
        <v>2</v>
      </c>
      <c r="AR63" s="676">
        <f>AR50/$AW$4+AS50/$AW$5</f>
        <v>0</v>
      </c>
      <c r="AS63" s="676">
        <f>AR50/$AW$4-AS50/$AW$5</f>
        <v>0</v>
      </c>
      <c r="AT63" s="676">
        <f>AT50+AU50*$AW$4/2</f>
        <v>-0.95939719117662547</v>
      </c>
      <c r="AU63" s="676">
        <f>AT50-AU50*$AW$4/2</f>
        <v>-0.95939719117662547</v>
      </c>
      <c r="AV63" s="689" t="s">
        <v>2143</v>
      </c>
      <c r="AW63" s="679">
        <f>IF(AW60&gt;0,AW60/AW70,-AW60/AW71)</f>
        <v>0.11601478975429542</v>
      </c>
      <c r="AX63" s="669" t="s">
        <v>1390</v>
      </c>
      <c r="AY63" s="676">
        <f>AY61+AY62</f>
        <v>-3.4996191161840946E-2</v>
      </c>
      <c r="AZ63" s="676">
        <f>AZ61+AZ62</f>
        <v>-3.5867857430945595E-2</v>
      </c>
      <c r="BA63" s="676">
        <f>BA61+BA62</f>
        <v>-3.4277999160117936E-2</v>
      </c>
      <c r="BB63" s="676">
        <f>BB61+BB62</f>
        <v>-3.4909913330501641E-2</v>
      </c>
      <c r="BC63" s="676"/>
      <c r="BF63" s="664">
        <v>82.5</v>
      </c>
      <c r="BG63" s="1244">
        <v>20</v>
      </c>
      <c r="BH63" s="1259">
        <v>20</v>
      </c>
      <c r="BI63" s="1259">
        <v>19</v>
      </c>
      <c r="BJ63" s="1259">
        <v>19</v>
      </c>
      <c r="BK63" s="1259">
        <v>18</v>
      </c>
      <c r="BL63" s="1259">
        <v>17</v>
      </c>
      <c r="BM63" s="1259">
        <v>15</v>
      </c>
      <c r="BN63" s="1259">
        <v>12</v>
      </c>
      <c r="BO63" s="1247">
        <v>9</v>
      </c>
      <c r="BP63" s="1247">
        <v>5</v>
      </c>
      <c r="BQ63" s="1247">
        <v>2</v>
      </c>
      <c r="BR63" s="1247">
        <v>6</v>
      </c>
      <c r="BS63" s="1181"/>
      <c r="BT63" s="1166"/>
      <c r="BU63" s="659">
        <v>82.5</v>
      </c>
      <c r="BV63" s="1269">
        <v>11</v>
      </c>
      <c r="BW63" s="1248">
        <v>11</v>
      </c>
      <c r="BX63" s="1248">
        <v>10</v>
      </c>
      <c r="BY63" s="1248">
        <v>10</v>
      </c>
      <c r="BZ63" s="1248">
        <v>10</v>
      </c>
      <c r="CA63" s="1248">
        <v>9</v>
      </c>
      <c r="CB63" s="1248">
        <v>8</v>
      </c>
      <c r="CC63" s="1248">
        <v>6</v>
      </c>
      <c r="CD63" s="1248">
        <v>5</v>
      </c>
      <c r="CE63" s="1273">
        <v>3</v>
      </c>
      <c r="CF63" s="1273">
        <v>2</v>
      </c>
      <c r="CG63" s="1273">
        <v>3</v>
      </c>
      <c r="CH63" s="1181"/>
      <c r="CJ63" s="652"/>
      <c r="DA63" s="650"/>
      <c r="DG63" s="856"/>
      <c r="DM63" s="650">
        <v>60</v>
      </c>
      <c r="DN63" s="1322">
        <f t="shared" si="63"/>
        <v>2</v>
      </c>
      <c r="DO63" s="1321">
        <f t="shared" si="63"/>
        <v>2</v>
      </c>
      <c r="DP63" s="1321">
        <f t="shared" si="65"/>
        <v>4</v>
      </c>
      <c r="DQ63" s="1321">
        <f t="shared" si="68"/>
        <v>3</v>
      </c>
      <c r="DR63" s="1321">
        <f t="shared" si="70"/>
        <v>3</v>
      </c>
      <c r="DS63" s="1321">
        <f>MIN(DS11,DS24,DS37,DS50)</f>
        <v>3</v>
      </c>
      <c r="DT63" s="1321">
        <f>MIN(DT11,DT24,DT37,DT50)</f>
        <v>4</v>
      </c>
      <c r="DU63" s="659"/>
      <c r="DV63" s="659"/>
      <c r="DW63" s="1320"/>
    </row>
    <row r="64" spans="1:127">
      <c r="A64" s="1393"/>
      <c r="B64" s="1084"/>
      <c r="C64" s="1083"/>
      <c r="D64" s="1394"/>
      <c r="R64" s="652" t="s">
        <v>1361</v>
      </c>
      <c r="S64" s="654">
        <f>S63*S47/S46</f>
        <v>10.003775377425772</v>
      </c>
      <c r="T64" s="654">
        <f>T63*T47/T46</f>
        <v>10.003775377425772</v>
      </c>
      <c r="U64" s="660">
        <f>T64/S64</f>
        <v>1</v>
      </c>
      <c r="V64" s="652" t="s">
        <v>1543</v>
      </c>
      <c r="W64" s="682">
        <f>$F$51</f>
        <v>75</v>
      </c>
      <c r="X64" s="682">
        <f>W64*Y67</f>
        <v>75</v>
      </c>
      <c r="Y64" s="654">
        <f t="shared" si="66"/>
        <v>1</v>
      </c>
      <c r="Z64" s="652">
        <v>11</v>
      </c>
      <c r="AA64" s="655">
        <f>(AM57*AM59-AM61^2)/AM62</f>
        <v>4.2468803472909515</v>
      </c>
      <c r="AB64" s="655">
        <f>(AN57*AN59-AN61^2)/AN62</f>
        <v>1866546.1115119664</v>
      </c>
      <c r="AC64" s="655">
        <f>AA64*$AM53</f>
        <v>2.5481282083745709E-2</v>
      </c>
      <c r="AD64" s="655">
        <f>AB64*$AN53</f>
        <v>3.3597830007215397E-2</v>
      </c>
      <c r="AE64" s="651">
        <f>1/AC64</f>
        <v>39.244493142591573</v>
      </c>
      <c r="AF64" s="651">
        <f>1/AD64</f>
        <v>29.76382700267375</v>
      </c>
      <c r="AG64" s="654"/>
      <c r="AP64" s="676">
        <f t="shared" ref="AP64:AP69" si="71">(AA56*AA$54+AB56*AB$54+AC56*AC$54+AD56*AD$54+AE56*AE$54+AF56*AF$54+AG56*AG$54+AH56*AH$54+AI56*AI$54+AJ56*AJ$54+AK56*AK$54+AL56*AL$54)*$AN$53/2</f>
        <v>6.069652082798388E-7</v>
      </c>
      <c r="AQ64" s="652">
        <v>6</v>
      </c>
      <c r="AR64" s="676">
        <f>AR51/$AW$4+AS51/$AW$5</f>
        <v>0</v>
      </c>
      <c r="AS64" s="676">
        <f>AR51/$AW$4-AS51/$AW$5</f>
        <v>0</v>
      </c>
      <c r="AT64" s="676">
        <f>AT51+AU51*$AW$4/2</f>
        <v>0.39268389045548757</v>
      </c>
      <c r="AU64" s="676">
        <f>AT51-AU51*$AW$4/2</f>
        <v>0.39268389045548757</v>
      </c>
      <c r="AV64" s="691" t="s">
        <v>2144</v>
      </c>
      <c r="AW64" s="679">
        <f>1/(AW62^2+AW63^2)^0.5</f>
        <v>2.7658607299566107</v>
      </c>
      <c r="AX64" s="669" t="s">
        <v>1395</v>
      </c>
      <c r="AY64" s="676">
        <f>-1+AY63</f>
        <v>-1.0349961911618411</v>
      </c>
      <c r="AZ64" s="676">
        <f>-1+AZ63</f>
        <v>-1.0358678574309457</v>
      </c>
      <c r="BA64" s="676">
        <f>-1+BA63</f>
        <v>-1.0342779991601179</v>
      </c>
      <c r="BB64" s="676">
        <f>-1+BB63</f>
        <v>-1.0349099133305018</v>
      </c>
      <c r="BC64" s="676"/>
      <c r="BF64" s="664">
        <v>90</v>
      </c>
      <c r="BG64" s="1251">
        <v>20</v>
      </c>
      <c r="BH64" s="1260">
        <v>20</v>
      </c>
      <c r="BI64" s="1260">
        <v>20</v>
      </c>
      <c r="BJ64" s="1260">
        <v>20</v>
      </c>
      <c r="BK64" s="1260">
        <v>20</v>
      </c>
      <c r="BL64" s="1260">
        <v>17</v>
      </c>
      <c r="BM64" s="1260">
        <v>16</v>
      </c>
      <c r="BN64" s="1260">
        <v>12</v>
      </c>
      <c r="BO64" s="1260">
        <v>9</v>
      </c>
      <c r="BP64" s="1261">
        <v>6</v>
      </c>
      <c r="BQ64" s="1261">
        <v>3</v>
      </c>
      <c r="BR64" s="1261">
        <v>2</v>
      </c>
      <c r="BS64" s="1262">
        <f>MIN(BS32,CH48)</f>
        <v>1</v>
      </c>
      <c r="BT64" s="1169"/>
      <c r="BU64" s="659">
        <v>90</v>
      </c>
      <c r="BV64" s="1270">
        <v>11</v>
      </c>
      <c r="BW64" s="1271">
        <v>11</v>
      </c>
      <c r="BX64" s="1271">
        <v>11</v>
      </c>
      <c r="BY64" s="1271">
        <v>11</v>
      </c>
      <c r="BZ64" s="1271">
        <v>10</v>
      </c>
      <c r="CA64" s="1271">
        <v>9</v>
      </c>
      <c r="CB64" s="1271">
        <v>8</v>
      </c>
      <c r="CC64" s="1271">
        <v>7</v>
      </c>
      <c r="CD64" s="1271">
        <v>5</v>
      </c>
      <c r="CE64" s="1274">
        <v>3</v>
      </c>
      <c r="CF64" s="1274">
        <v>2</v>
      </c>
      <c r="CG64" s="1274">
        <v>1</v>
      </c>
      <c r="CH64" s="1275">
        <f>MIN(CH32,CW48)</f>
        <v>1</v>
      </c>
      <c r="CJ64" s="652"/>
      <c r="DA64" s="650"/>
      <c r="DG64" s="856"/>
      <c r="DM64" s="650">
        <v>70</v>
      </c>
      <c r="DN64" s="1322">
        <f t="shared" si="63"/>
        <v>2</v>
      </c>
      <c r="DO64" s="1321">
        <f t="shared" si="63"/>
        <v>3</v>
      </c>
      <c r="DP64" s="1321">
        <f t="shared" si="65"/>
        <v>4</v>
      </c>
      <c r="DQ64" s="1321">
        <f t="shared" si="68"/>
        <v>3</v>
      </c>
      <c r="DR64" s="1321">
        <f t="shared" si="70"/>
        <v>4</v>
      </c>
      <c r="DS64" s="1321">
        <f>MIN(DS12,DS25,DS38,DS51)</f>
        <v>3</v>
      </c>
      <c r="DT64" s="1321">
        <f>MIN(DT12,DT25,DT38,DT51)</f>
        <v>4</v>
      </c>
      <c r="DU64" s="1321">
        <f>MIN(DU12,DU25,DU38,DU51)</f>
        <v>3</v>
      </c>
      <c r="DV64" s="659"/>
      <c r="DW64" s="1320"/>
    </row>
    <row r="65" spans="1:127">
      <c r="A65" s="1393"/>
      <c r="B65" s="1084" t="s">
        <v>2132</v>
      </c>
      <c r="C65" s="1084" t="s">
        <v>2131</v>
      </c>
      <c r="D65" s="1395" t="s">
        <v>2180</v>
      </c>
      <c r="F65" s="1342" t="s">
        <v>2190</v>
      </c>
      <c r="R65" s="652" t="s">
        <v>1365</v>
      </c>
      <c r="S65" s="654">
        <f>S64*S48</f>
        <v>3.5013213820990199</v>
      </c>
      <c r="T65" s="654">
        <f>T64*T48</f>
        <v>3.5013213820990199</v>
      </c>
      <c r="U65" s="660">
        <f>T65/S65</f>
        <v>1</v>
      </c>
      <c r="V65" s="652" t="s">
        <v>1168</v>
      </c>
      <c r="W65" s="660">
        <f>$B$52</f>
        <v>-0.5</v>
      </c>
      <c r="X65" s="660">
        <v>-0.5</v>
      </c>
      <c r="Y65" s="654">
        <f t="shared" si="66"/>
        <v>1</v>
      </c>
      <c r="Z65" s="652">
        <v>22</v>
      </c>
      <c r="AA65" s="655">
        <f>(AM56*AM59-AM60^2)/AM62</f>
        <v>6.2596472378333177</v>
      </c>
      <c r="AB65" s="655">
        <f>(AN56*AN59-AN60^2)/AN62</f>
        <v>2010839.1527530137</v>
      </c>
      <c r="AC65" s="655">
        <f>AA65*$AM53</f>
        <v>3.7557883426999908E-2</v>
      </c>
      <c r="AD65" s="655">
        <f>AB65*$AN53</f>
        <v>3.6195104749554244E-2</v>
      </c>
      <c r="AE65" s="651">
        <f>1/AC65</f>
        <v>26.625568555897697</v>
      </c>
      <c r="AF65" s="651">
        <f>1/AD65</f>
        <v>27.628045475191374</v>
      </c>
      <c r="AG65" s="654"/>
      <c r="AP65" s="676">
        <f t="shared" si="71"/>
        <v>5.4366193706893374E-7</v>
      </c>
      <c r="AQ65" s="652" t="s">
        <v>1177</v>
      </c>
      <c r="AR65" s="676">
        <f>(AR62^2-AR62*AR63+AR63^2+3*AR64^2)^0.5</f>
        <v>166.66666666666666</v>
      </c>
      <c r="AS65" s="676">
        <f>(AS62^2-AS62*AS63+AS63^2+3*AS64^2)^0.5</f>
        <v>166.66666666666666</v>
      </c>
      <c r="AT65" s="676">
        <f>(AT62^2+AT63^2+AT64^2/2)^0.5</f>
        <v>2.3466021095193699</v>
      </c>
      <c r="AU65" s="676">
        <f>(AU62^2+AU63^2+AU64^2/2)^0.5</f>
        <v>2.3466021095193699</v>
      </c>
      <c r="AV65" s="689" t="s">
        <v>2145</v>
      </c>
      <c r="AW65" s="679">
        <f>IF(AW59&gt;0,AW59/AW72,-AW59/AW73)</f>
        <v>0.12552488407951481</v>
      </c>
      <c r="AX65" s="669" t="s">
        <v>919</v>
      </c>
      <c r="AY65" s="676">
        <f>2*($X76*AY48*AY57+$X77*AY49*AY58+$X78*(AY48*AY58+AY57*AY49)+$X79*AY50*AY59)</f>
        <v>-1.0829471594835296E-2</v>
      </c>
      <c r="AZ65" s="676">
        <f>2*($X76*AZ48*AZ57+$X77*AZ49*AZ58+$X78*(AZ48*AZ58+AZ57*AZ49)+$X79*AZ50*AZ59)</f>
        <v>-4.1825590834124023E-2</v>
      </c>
      <c r="BA65" s="676">
        <f>2*($X76*BA48*BA57+$X77*BA49*BA58+$X78*(BA48*BA58+BA57*BA49)+$X79*BA50*BA59)</f>
        <v>-6.5266131952248941E-3</v>
      </c>
      <c r="BB65" s="676">
        <f>2*($X76*BB48*BB57+$X77*BB49*BB58+$X78*(BB48*BB58+BB57*BB49)+$X79*BB50*BB59)</f>
        <v>-8.1400405282595727E-3</v>
      </c>
      <c r="BC65" s="676"/>
      <c r="BO65" s="650"/>
      <c r="BU65" s="674"/>
      <c r="CD65" s="650"/>
      <c r="CJ65" s="652"/>
      <c r="DA65" s="650"/>
      <c r="DG65" s="856"/>
      <c r="DM65" s="650">
        <v>80</v>
      </c>
      <c r="DN65" s="1322">
        <f t="shared" si="63"/>
        <v>1</v>
      </c>
      <c r="DO65" s="1321">
        <f t="shared" si="63"/>
        <v>3</v>
      </c>
      <c r="DP65" s="1321">
        <f t="shared" si="65"/>
        <v>5</v>
      </c>
      <c r="DQ65" s="1321">
        <f t="shared" si="68"/>
        <v>5</v>
      </c>
      <c r="DR65" s="1321">
        <f t="shared" si="70"/>
        <v>4</v>
      </c>
      <c r="DS65" s="1321">
        <f>MIN(DS13,DS26,DS39,DS52)</f>
        <v>4</v>
      </c>
      <c r="DT65" s="1321">
        <f>MIN(DT13,DT26,DT39,DT52)</f>
        <v>3</v>
      </c>
      <c r="DU65" s="1321">
        <f>MIN(DU13,DU26,DU39,DU52)</f>
        <v>3</v>
      </c>
      <c r="DV65" s="1321">
        <f>MIN(DV13,DV26,DV39,DV52)</f>
        <v>2</v>
      </c>
      <c r="DW65" s="1320"/>
    </row>
    <row r="66" spans="1:127">
      <c r="A66" s="1393"/>
      <c r="B66" s="1084" t="s">
        <v>1889</v>
      </c>
      <c r="C66" s="1084" t="s">
        <v>1889</v>
      </c>
      <c r="D66" s="1395" t="s">
        <v>1889</v>
      </c>
      <c r="F66" s="1342" t="s">
        <v>1950</v>
      </c>
      <c r="R66" s="652" t="s">
        <v>1370</v>
      </c>
      <c r="S66" s="654">
        <f>S49</f>
        <v>7.79</v>
      </c>
      <c r="T66" s="654">
        <f>T49</f>
        <v>7.79</v>
      </c>
      <c r="U66" s="660">
        <f>T66/S66</f>
        <v>1</v>
      </c>
      <c r="V66" s="652" t="s">
        <v>1175</v>
      </c>
      <c r="W66" s="659">
        <f>W60/S52</f>
        <v>5078.125</v>
      </c>
      <c r="X66" s="659">
        <f>$I$39*X49^$H$53</f>
        <v>5078.125</v>
      </c>
      <c r="Y66" s="654">
        <f t="shared" si="66"/>
        <v>1</v>
      </c>
      <c r="Z66" s="652" t="s">
        <v>1345</v>
      </c>
      <c r="AA66" s="655">
        <f>(AM60*AM61-AM58*AM59)/AM62</f>
        <v>-1.9187943823532509</v>
      </c>
      <c r="AB66" s="655">
        <f>(AN60*AN61-AN58*AN59)/AN62</f>
        <v>-873997.95710369328</v>
      </c>
      <c r="AC66" s="655">
        <f>AA66*$AM53</f>
        <v>-1.1512766294119505E-2</v>
      </c>
      <c r="AD66" s="655">
        <f>AB66*$AN53</f>
        <v>-1.5731963227866477E-2</v>
      </c>
      <c r="AE66" s="651">
        <f>-AC66/AC64</f>
        <v>0.45181267788183233</v>
      </c>
      <c r="AF66" s="651">
        <f>-AD66/AD64</f>
        <v>0.46824343192664275</v>
      </c>
      <c r="AG66" s="654"/>
      <c r="AP66" s="676">
        <f t="shared" si="71"/>
        <v>2.4853695728796235E-7</v>
      </c>
      <c r="AQ66" s="652"/>
      <c r="AR66" s="652" t="s">
        <v>1178</v>
      </c>
      <c r="AS66" s="669">
        <f>MAX(AR65,AS65)</f>
        <v>166.66666666666666</v>
      </c>
      <c r="AT66" s="669" t="s">
        <v>1179</v>
      </c>
      <c r="AU66" s="676">
        <f>MAX(AU65,AV65)</f>
        <v>2.3466021095193699</v>
      </c>
      <c r="AV66" s="689" t="s">
        <v>2146</v>
      </c>
      <c r="AW66" s="679">
        <f>IF(AW60&gt;0,AW60/AW72,-AW60/AW73)</f>
        <v>0.11601478975429542</v>
      </c>
      <c r="AX66" s="669" t="s">
        <v>1403</v>
      </c>
      <c r="AY66" s="676">
        <f>AY65+AY53</f>
        <v>-1.9726719437496522E-2</v>
      </c>
      <c r="AZ66" s="676">
        <f>AZ65+AZ53</f>
        <v>8.6323353215961934E-2</v>
      </c>
      <c r="BA66" s="676">
        <f>BA65+BA53</f>
        <v>-3.294273744406815E-2</v>
      </c>
      <c r="BB66" s="676">
        <f>BB65+BB53</f>
        <v>-2.8617968751351499E-2</v>
      </c>
      <c r="BC66" s="650" t="s">
        <v>1197</v>
      </c>
      <c r="BO66" s="650"/>
      <c r="BU66" s="674"/>
      <c r="CD66" s="650"/>
      <c r="CJ66" s="652"/>
      <c r="DA66" s="650"/>
      <c r="DG66" s="856"/>
      <c r="DM66" s="650">
        <v>90</v>
      </c>
      <c r="DN66" s="1323">
        <f t="shared" si="63"/>
        <v>1</v>
      </c>
      <c r="DO66" s="1324">
        <f t="shared" si="63"/>
        <v>3</v>
      </c>
      <c r="DP66" s="1324">
        <f t="shared" si="65"/>
        <v>5</v>
      </c>
      <c r="DQ66" s="1324">
        <f t="shared" si="68"/>
        <v>5</v>
      </c>
      <c r="DR66" s="1324">
        <f t="shared" si="70"/>
        <v>5</v>
      </c>
      <c r="DS66" s="1324">
        <f>MIN(DS14,DS27,DS40,DS53)</f>
        <v>5</v>
      </c>
      <c r="DT66" s="1324">
        <f>MIN(DT14,DT27,DT40,DT53)</f>
        <v>4</v>
      </c>
      <c r="DU66" s="1324">
        <f>MIN(DU14,DU27,DU40,DU53)</f>
        <v>3</v>
      </c>
      <c r="DV66" s="1324">
        <f>MIN(DV14,DV27,DV40,DV53)</f>
        <v>2</v>
      </c>
      <c r="DW66" s="1325">
        <f>MIN(DW14,DW27,DW40,DW53)</f>
        <v>1</v>
      </c>
    </row>
    <row r="67" spans="1:127">
      <c r="A67" s="1396">
        <v>11</v>
      </c>
      <c r="B67" s="1368">
        <f t="shared" ref="B67:B72" si="72">AM88</f>
        <v>91.973739442629409</v>
      </c>
      <c r="C67" s="1368">
        <f t="shared" ref="C67:C72" si="73">AO88</f>
        <v>0</v>
      </c>
      <c r="D67" s="1397">
        <f t="shared" ref="D67:D72" si="74">AN88</f>
        <v>74.961648839399501</v>
      </c>
      <c r="F67" s="1343">
        <f t="shared" ref="F67:F72" si="75">Y165</f>
        <v>91.973739442629409</v>
      </c>
      <c r="G67" s="791">
        <f>(F67-B67)/B67</f>
        <v>0</v>
      </c>
      <c r="R67" s="650" t="s">
        <v>1180</v>
      </c>
      <c r="S67" s="654"/>
      <c r="T67" s="654"/>
      <c r="V67" s="652" t="s">
        <v>1176</v>
      </c>
      <c r="W67" s="659">
        <f>W62</f>
        <v>62</v>
      </c>
      <c r="X67" s="659">
        <f>$H$39*X49^$I$52</f>
        <v>62</v>
      </c>
      <c r="Y67" s="654">
        <f t="shared" si="66"/>
        <v>1</v>
      </c>
      <c r="Z67" s="652">
        <v>66</v>
      </c>
      <c r="AA67" s="655">
        <f>(AM56*AM57-AM58^2)/AM62</f>
        <v>10.579429628411546</v>
      </c>
      <c r="AB67" s="655">
        <f>(AN56*AN57-AN58^2)/AN62</f>
        <v>3127015.3271353529</v>
      </c>
      <c r="AC67" s="655">
        <f>AA67*$AM53</f>
        <v>6.3476577770469278E-2</v>
      </c>
      <c r="AD67" s="655">
        <f>AB67*$AN53</f>
        <v>5.6286275888436349E-2</v>
      </c>
      <c r="AE67" s="651">
        <f>1/AC67</f>
        <v>15.753842363965978</v>
      </c>
      <c r="AF67" s="651">
        <f>1/AD67</f>
        <v>17.766320194678993</v>
      </c>
      <c r="AG67" s="654"/>
      <c r="AP67" s="676">
        <f t="shared" si="71"/>
        <v>2.8231030140393262E-7</v>
      </c>
      <c r="AQ67" s="650"/>
      <c r="AV67" s="691" t="s">
        <v>2147</v>
      </c>
      <c r="AW67" s="679">
        <f>1/(AW65^2+AW66^2)^0.5</f>
        <v>5.8504619274774274</v>
      </c>
      <c r="AX67" s="669" t="s">
        <v>1412</v>
      </c>
      <c r="AY67" s="676">
        <f>AY66/2/AY52</f>
        <v>-9.0943777690869643E-2</v>
      </c>
      <c r="AZ67" s="676">
        <f>AZ66/2/AZ52</f>
        <v>0.45462431130103048</v>
      </c>
      <c r="BA67" s="676">
        <f>BA66/2/BA52</f>
        <v>-0.15851739566470008</v>
      </c>
      <c r="BB67" s="676">
        <f>BB66/2/BB52</f>
        <v>-0.13548969604102684</v>
      </c>
      <c r="BC67" s="669" t="s">
        <v>1199</v>
      </c>
      <c r="BO67" s="650"/>
      <c r="BU67" s="674"/>
      <c r="CD67" s="650"/>
      <c r="CJ67" s="652"/>
      <c r="DA67" s="650"/>
      <c r="DG67" s="856"/>
      <c r="DN67" s="1126">
        <v>0</v>
      </c>
      <c r="DO67" s="1126">
        <v>10</v>
      </c>
      <c r="DP67" s="1126">
        <v>20</v>
      </c>
      <c r="DQ67" s="1126">
        <v>30</v>
      </c>
      <c r="DR67" s="1126">
        <v>40</v>
      </c>
      <c r="DS67" s="1126">
        <v>50</v>
      </c>
      <c r="DT67" s="1126">
        <v>60</v>
      </c>
      <c r="DU67" s="1126">
        <v>70</v>
      </c>
      <c r="DV67" s="1126">
        <v>80</v>
      </c>
      <c r="DW67" s="1126">
        <v>90</v>
      </c>
    </row>
    <row r="68" spans="1:127">
      <c r="A68" s="1396">
        <v>22</v>
      </c>
      <c r="B68" s="1368">
        <f t="shared" si="72"/>
        <v>61.876325361322237</v>
      </c>
      <c r="C68" s="1368">
        <f t="shared" si="73"/>
        <v>0</v>
      </c>
      <c r="D68" s="1397">
        <f t="shared" si="74"/>
        <v>70.113033337514196</v>
      </c>
      <c r="F68" s="1343">
        <f t="shared" si="75"/>
        <v>61.876325361322245</v>
      </c>
      <c r="G68" s="791">
        <f>(F68-B68)/B68</f>
        <v>1.1483272990290524E-16</v>
      </c>
      <c r="R68" s="652" t="s">
        <v>1380</v>
      </c>
      <c r="S68" s="654">
        <f>(3*S63+3*S64+2*S65+4*S66)/8</f>
        <v>80.606294543459924</v>
      </c>
      <c r="T68" s="654">
        <f>(3*T63+3*T64+2*T65+4*T66)/8</f>
        <v>80.606294543459924</v>
      </c>
      <c r="U68" s="660">
        <f>T68/S68</f>
        <v>1</v>
      </c>
      <c r="Z68" s="652" t="s">
        <v>1347</v>
      </c>
      <c r="AA68" s="655">
        <f>(AM58*AM61-AM57*AM60)/AM62</f>
        <v>0.78536778091097514</v>
      </c>
      <c r="AB68" s="655">
        <f>(AN58*AN61-AN57*AN60)/AN62</f>
        <v>270755.81762587279</v>
      </c>
      <c r="AC68" s="655">
        <f>AA68*$AM53</f>
        <v>4.7122066854658508E-3</v>
      </c>
      <c r="AD68" s="655">
        <f>AB68*$AN53</f>
        <v>4.8736047172657096E-3</v>
      </c>
      <c r="AE68" s="651">
        <f>AC68/AC64</f>
        <v>0.18492816295423875</v>
      </c>
      <c r="AF68" s="651">
        <f>AD68/AD64</f>
        <v>0.1450571276841113</v>
      </c>
      <c r="AG68" s="654"/>
      <c r="AP68" s="676">
        <f t="shared" si="71"/>
        <v>-2.6840805750351594E-8</v>
      </c>
      <c r="AQ68" s="650"/>
      <c r="AR68" s="652" t="s">
        <v>1181</v>
      </c>
      <c r="AS68" s="652" t="s">
        <v>1182</v>
      </c>
      <c r="AT68" s="652" t="s">
        <v>1183</v>
      </c>
      <c r="AW68" s="676"/>
      <c r="AX68" s="652" t="s">
        <v>920</v>
      </c>
      <c r="AY68" s="654">
        <f>(AY67^2-AY64/AY52)^0.5-AY67</f>
        <v>3.18146372218545</v>
      </c>
      <c r="AZ68" s="654">
        <f>(AZ67^2-AZ64/AZ52)^0.5-AZ67</f>
        <v>2.8796726647054243</v>
      </c>
      <c r="BA68" s="654">
        <f>(BA67^2-BA64/BA52)^0.5-BA67</f>
        <v>3.317445580558394</v>
      </c>
      <c r="BB68" s="654">
        <f>(BB67^2-BB64/BB52)^0.5-BB67</f>
        <v>3.2688216614282641</v>
      </c>
      <c r="BC68" s="654">
        <f>MIN(AY68:BB68)</f>
        <v>2.8796726647054243</v>
      </c>
      <c r="BO68" s="650"/>
      <c r="BU68" s="674"/>
      <c r="CD68" s="650"/>
      <c r="CJ68" s="652"/>
      <c r="DA68" s="650"/>
      <c r="DG68" s="856"/>
    </row>
    <row r="69" spans="1:127">
      <c r="A69" s="1396">
        <v>12</v>
      </c>
      <c r="B69" s="1368">
        <f t="shared" si="72"/>
        <v>27.690907910703331</v>
      </c>
      <c r="C69" s="1368">
        <f t="shared" si="73"/>
        <v>0</v>
      </c>
      <c r="D69" s="1397">
        <f t="shared" si="74"/>
        <v>32.078599224222323</v>
      </c>
      <c r="F69" s="1343">
        <f t="shared" si="75"/>
        <v>27.690907910703416</v>
      </c>
      <c r="G69" s="791">
        <f>(F69-B69)/B69</f>
        <v>3.0791741667038156E-15</v>
      </c>
      <c r="R69" s="652" t="s">
        <v>1384</v>
      </c>
      <c r="S69" s="654">
        <f>(S63-S64)/2</f>
        <v>91.110843553154453</v>
      </c>
      <c r="T69" s="654">
        <f>(T63-T64)/2</f>
        <v>91.110843553154453</v>
      </c>
      <c r="U69" s="660">
        <f>T69/S69</f>
        <v>1</v>
      </c>
      <c r="V69" s="650" t="s">
        <v>1375</v>
      </c>
      <c r="Z69" s="652" t="s">
        <v>1349</v>
      </c>
      <c r="AA69" s="655">
        <f>(AM58*AM60-AM56*AM61)/AM62</f>
        <v>-0.59703119972272067</v>
      </c>
      <c r="AB69" s="655">
        <f>(AN58*AN60-AN56*AN61)/AN62</f>
        <v>-354895.60837109666</v>
      </c>
      <c r="AC69" s="655">
        <f>AA69*$AM53</f>
        <v>-3.5821871983363241E-3</v>
      </c>
      <c r="AD69" s="655">
        <f>AB69*$AN53</f>
        <v>-6.3881209506797395E-3</v>
      </c>
      <c r="AE69" s="651">
        <f>AC69/AC65</f>
        <v>-9.5377770829362898E-2</v>
      </c>
      <c r="AF69" s="651">
        <f>AD69/AD65</f>
        <v>-0.1764912961264026</v>
      </c>
      <c r="AG69" s="654"/>
      <c r="AP69" s="676">
        <f t="shared" si="71"/>
        <v>3.4646368061765956E-8</v>
      </c>
      <c r="AQ69" s="652" t="s">
        <v>1184</v>
      </c>
      <c r="AR69" s="659">
        <f>$T$33</f>
        <v>73.454705536318755</v>
      </c>
      <c r="AS69" s="659">
        <v>69</v>
      </c>
      <c r="AT69" s="659">
        <v>210</v>
      </c>
      <c r="AW69" s="676"/>
      <c r="AX69" s="652" t="s">
        <v>922</v>
      </c>
      <c r="AY69" s="654">
        <f>IF(AY44=0,1000000000,AY68)</f>
        <v>3.18146372218545</v>
      </c>
      <c r="AZ69" s="654">
        <f>IF(AZ44=0,1000000000,AZ68)</f>
        <v>2.8796726647054243</v>
      </c>
      <c r="BA69" s="654">
        <f>IF(BA44=0,1000000000,BA68)</f>
        <v>3.317445580558394</v>
      </c>
      <c r="BB69" s="654">
        <f>IF(BB44=0,1000000000,BB68)</f>
        <v>3.2688216614282641</v>
      </c>
      <c r="BO69" s="650"/>
      <c r="BU69" s="674"/>
      <c r="CD69" s="650"/>
      <c r="CJ69" s="652"/>
      <c r="DA69" s="650"/>
      <c r="DG69" s="856"/>
    </row>
    <row r="70" spans="1:127">
      <c r="A70" s="1396">
        <v>66</v>
      </c>
      <c r="B70" s="1368">
        <f t="shared" si="72"/>
        <v>31.979586528604301</v>
      </c>
      <c r="C70" s="1368">
        <f t="shared" si="73"/>
        <v>0</v>
      </c>
      <c r="D70" s="1397">
        <f t="shared" si="74"/>
        <v>36.367277842123322</v>
      </c>
      <c r="F70" s="1343">
        <f t="shared" si="75"/>
        <v>31.979586528604401</v>
      </c>
      <c r="G70" s="791">
        <f>(F70-B70)/B70</f>
        <v>3.1106087915626188E-15</v>
      </c>
      <c r="R70" s="652" t="s">
        <v>1388</v>
      </c>
      <c r="S70" s="654">
        <f>(S63+S64-2*S65-4*S66)/8</f>
        <v>20.5083243871203</v>
      </c>
      <c r="T70" s="654">
        <f>(T63+T64-2*T65-4*T66)/8</f>
        <v>20.5083243871203</v>
      </c>
      <c r="U70" s="660">
        <f>T70/S70</f>
        <v>1</v>
      </c>
      <c r="V70" s="652" t="s">
        <v>1381</v>
      </c>
      <c r="W70" s="654">
        <f>1/W60/W61*1000000</f>
        <v>0.19230769230769232</v>
      </c>
      <c r="X70" s="654">
        <f>1/X60/X61*1000000</f>
        <v>0.19230769230769232</v>
      </c>
      <c r="Y70" s="654">
        <f t="shared" ref="Y70:Y81" si="76">X70/W70</f>
        <v>1</v>
      </c>
      <c r="AC70" s="655"/>
      <c r="AD70" s="655"/>
      <c r="AE70" s="656"/>
      <c r="AQ70" s="652" t="s">
        <v>269</v>
      </c>
      <c r="AR70" s="659">
        <v>325</v>
      </c>
      <c r="AS70" s="659">
        <v>200</v>
      </c>
      <c r="AT70" s="659">
        <v>400</v>
      </c>
      <c r="AV70" s="652" t="s">
        <v>2148</v>
      </c>
      <c r="AW70" s="654">
        <f>D51/D50</f>
        <v>6.2374245472837027</v>
      </c>
      <c r="BO70" s="650"/>
      <c r="BU70" s="674"/>
      <c r="CD70" s="650"/>
      <c r="CJ70" s="652"/>
      <c r="DA70" s="650"/>
      <c r="DG70" s="856"/>
    </row>
    <row r="71" spans="1:127">
      <c r="A71" s="1396" t="s">
        <v>2181</v>
      </c>
      <c r="B71" s="1368">
        <f t="shared" si="72"/>
        <v>-5.2650168896833751</v>
      </c>
      <c r="C71" s="1368">
        <f t="shared" si="73"/>
        <v>0</v>
      </c>
      <c r="D71" s="1397">
        <f t="shared" si="74"/>
        <v>-2.8499216033220471</v>
      </c>
      <c r="F71" s="1343">
        <f t="shared" si="75"/>
        <v>0</v>
      </c>
      <c r="G71" s="791"/>
      <c r="R71" s="652" t="s">
        <v>1391</v>
      </c>
      <c r="S71" s="654">
        <f>(S63+S64+6*S65-4*S66)/8</f>
        <v>24.009645769219322</v>
      </c>
      <c r="T71" s="654">
        <f>(T63+T64+6*T65-4*T66)/8</f>
        <v>24.009645769219322</v>
      </c>
      <c r="U71" s="660">
        <f>T71/S71</f>
        <v>1</v>
      </c>
      <c r="V71" s="652" t="s">
        <v>1385</v>
      </c>
      <c r="W71" s="654">
        <f>1/W62/W63*1000000</f>
        <v>164.58196181698486</v>
      </c>
      <c r="X71" s="654">
        <f>1/X62/X63*1000000</f>
        <v>164.58196181698486</v>
      </c>
      <c r="Y71" s="654">
        <f t="shared" si="76"/>
        <v>1</v>
      </c>
      <c r="Z71" s="653" t="s">
        <v>1185</v>
      </c>
      <c r="AC71" s="655"/>
      <c r="AD71" s="655"/>
      <c r="AM71" s="656" t="s">
        <v>1394</v>
      </c>
      <c r="AO71" s="656" t="s">
        <v>1331</v>
      </c>
      <c r="AP71" s="652" t="s">
        <v>1186</v>
      </c>
      <c r="AQ71" s="652" t="s">
        <v>1187</v>
      </c>
      <c r="AR71" s="664">
        <f>$T$36</f>
        <v>1.5648</v>
      </c>
      <c r="AS71" s="664">
        <v>2.7</v>
      </c>
      <c r="AT71" s="664">
        <v>7.8</v>
      </c>
      <c r="AV71" s="652" t="s">
        <v>2149</v>
      </c>
      <c r="AW71" s="654">
        <f>MIN(E51/D50,C51/C50)</f>
        <v>8.3769633507853403</v>
      </c>
      <c r="BO71" s="650"/>
      <c r="BU71" s="674"/>
      <c r="CD71" s="650"/>
      <c r="CJ71" s="652"/>
      <c r="DA71" s="650"/>
      <c r="DG71" s="856"/>
    </row>
    <row r="72" spans="1:127">
      <c r="A72" s="1396" t="s">
        <v>2182</v>
      </c>
      <c r="B72" s="1368">
        <f t="shared" si="72"/>
        <v>1.4362352604396287</v>
      </c>
      <c r="C72" s="1368">
        <f t="shared" si="73"/>
        <v>0</v>
      </c>
      <c r="D72" s="1397">
        <f t="shared" si="74"/>
        <v>5.1798084004440748</v>
      </c>
      <c r="F72" s="1343">
        <f t="shared" si="75"/>
        <v>0</v>
      </c>
      <c r="G72" s="791"/>
      <c r="R72" s="652" t="s">
        <v>1396</v>
      </c>
      <c r="S72" s="654">
        <f>(S68-S71)/2</f>
        <v>28.298324387120303</v>
      </c>
      <c r="T72" s="654">
        <f>(T68-T71)/2</f>
        <v>28.298324387120303</v>
      </c>
      <c r="U72" s="660">
        <f>T72/S72</f>
        <v>1</v>
      </c>
      <c r="V72" s="652" t="s">
        <v>1389</v>
      </c>
      <c r="W72" s="654">
        <f>W65*(W70*W71)^0.5</f>
        <v>-2.8129334009400706</v>
      </c>
      <c r="X72" s="654">
        <f>X65*(X70*X71)^0.5</f>
        <v>-2.8129334009400706</v>
      </c>
      <c r="Y72" s="654">
        <f t="shared" si="76"/>
        <v>1</v>
      </c>
      <c r="Z72" s="652" t="s">
        <v>1398</v>
      </c>
      <c r="AA72" s="676">
        <f t="shared" ref="AA72:AJ72" si="77">IF($AM48*$AM46=0,0,AA52*COS(AA47)*$AN$48/($AM$48*$AM$46))</f>
        <v>2.5523926143929562E-18</v>
      </c>
      <c r="AB72" s="676">
        <f t="shared" si="77"/>
        <v>-3.5180330229250593E-2</v>
      </c>
      <c r="AC72" s="676">
        <f t="shared" si="77"/>
        <v>1.5067690420087173E-2</v>
      </c>
      <c r="AD72" s="676">
        <f t="shared" si="77"/>
        <v>3.196626171950781E-3</v>
      </c>
      <c r="AE72" s="676">
        <f t="shared" si="77"/>
        <v>-1.3289971220752893E-2</v>
      </c>
      <c r="AF72" s="676">
        <f t="shared" si="77"/>
        <v>1.8901245053855684E-3</v>
      </c>
      <c r="AG72" s="676">
        <f t="shared" si="77"/>
        <v>1.4523835305075625E-2</v>
      </c>
      <c r="AH72" s="676">
        <f t="shared" si="77"/>
        <v>1.7609094239195794E-2</v>
      </c>
      <c r="AI72" s="676">
        <f t="shared" si="77"/>
        <v>-4.0428988594833147E-2</v>
      </c>
      <c r="AJ72" s="676">
        <f t="shared" si="77"/>
        <v>3.9443719171487313E-2</v>
      </c>
      <c r="AK72" s="676"/>
      <c r="AL72" s="676"/>
      <c r="AM72" s="676">
        <f>SUM(AA72:AJ72)</f>
        <v>2.8317997683456192E-3</v>
      </c>
      <c r="AO72" s="654">
        <f>AM56/$AM53</f>
        <v>45.986869721314704</v>
      </c>
      <c r="AP72" s="655">
        <f>AN56/AN53*1000000000</f>
        <v>37480824419.699753</v>
      </c>
      <c r="AQ72" s="652" t="s">
        <v>1188</v>
      </c>
      <c r="AR72" s="659">
        <f>AR70/$AS$25*1000000</f>
        <v>1950000.0000000002</v>
      </c>
      <c r="AS72" s="659">
        <f>AS70/$AS$25*1000000</f>
        <v>1200000.0000000002</v>
      </c>
      <c r="AT72" s="659">
        <f>AT70/$AS$25*1000000</f>
        <v>2400000.0000000005</v>
      </c>
      <c r="AV72" s="652" t="s">
        <v>2150</v>
      </c>
      <c r="AW72" s="654">
        <f>B51/C50</f>
        <v>17.015706806282722</v>
      </c>
      <c r="AX72" s="655"/>
      <c r="BO72" s="650"/>
      <c r="BU72" s="674"/>
      <c r="CD72" s="650"/>
      <c r="CJ72" s="652"/>
      <c r="DA72" s="650"/>
      <c r="DG72" s="856"/>
    </row>
    <row r="73" spans="1:127">
      <c r="A73" s="1396"/>
      <c r="B73" s="1084"/>
      <c r="C73" s="1083"/>
      <c r="D73" s="1394"/>
      <c r="R73" s="650" t="s">
        <v>1400</v>
      </c>
      <c r="V73" s="652" t="s">
        <v>1392</v>
      </c>
      <c r="W73" s="654">
        <f>1/W64^2*1000000</f>
        <v>177.7777777777778</v>
      </c>
      <c r="X73" s="654">
        <f>1/X64^2*1000000</f>
        <v>177.7777777777778</v>
      </c>
      <c r="Y73" s="654">
        <f t="shared" si="76"/>
        <v>1</v>
      </c>
      <c r="Z73" s="652" t="s">
        <v>1402</v>
      </c>
      <c r="AA73" s="676">
        <f t="shared" ref="AA73:AJ73" si="78">IF($AM46*$AM48=0,0,AA52*SIN(AA47)*$AN$48/($AM$48*$AM$46))</f>
        <v>4.166666666666663E-2</v>
      </c>
      <c r="AB73" s="676">
        <f t="shared" si="78"/>
        <v>2.2326116457458176E-2</v>
      </c>
      <c r="AC73" s="676">
        <f t="shared" si="78"/>
        <v>-3.8846825050646308E-2</v>
      </c>
      <c r="AD73" s="676">
        <f t="shared" si="78"/>
        <v>4.1543864676121638E-2</v>
      </c>
      <c r="AE73" s="676">
        <f t="shared" si="78"/>
        <v>-3.9490350417066042E-2</v>
      </c>
      <c r="AF73" s="676">
        <f t="shared" si="78"/>
        <v>-4.1623773741279742E-2</v>
      </c>
      <c r="AG73" s="676">
        <f t="shared" si="78"/>
        <v>-3.9053416228828776E-2</v>
      </c>
      <c r="AH73" s="676">
        <f t="shared" si="78"/>
        <v>3.7762824459860379E-2</v>
      </c>
      <c r="AI73" s="676">
        <f t="shared" si="78"/>
        <v>1.0080078983319481E-2</v>
      </c>
      <c r="AJ73" s="676">
        <f t="shared" si="78"/>
        <v>-1.3427737301271283E-2</v>
      </c>
      <c r="AK73" s="676"/>
      <c r="AL73" s="676"/>
      <c r="AM73" s="676">
        <f>SUM(AA73:AJ73)</f>
        <v>-1.9062551495665839E-2</v>
      </c>
      <c r="AO73" s="654">
        <f>AM57/$AM53</f>
        <v>30.938162680661119</v>
      </c>
      <c r="AP73" s="655">
        <f>AN57/AN53*1000000000</f>
        <v>35056516668.757095</v>
      </c>
      <c r="AQ73" s="652" t="s">
        <v>1189</v>
      </c>
      <c r="AR73" s="659">
        <f>1</f>
        <v>1</v>
      </c>
      <c r="AS73" s="659">
        <f>AS71/AR71</f>
        <v>1.7254601226993866</v>
      </c>
      <c r="AT73" s="659">
        <f>AT71/AR71</f>
        <v>4.9846625766871169</v>
      </c>
      <c r="AV73" s="652" t="s">
        <v>2151</v>
      </c>
      <c r="AW73" s="654">
        <f>C51/C50</f>
        <v>8.3769633507853403</v>
      </c>
      <c r="AX73" s="656"/>
      <c r="BO73" s="650"/>
      <c r="BU73" s="674"/>
      <c r="CD73" s="650"/>
      <c r="CJ73" s="652"/>
      <c r="DA73" s="650"/>
      <c r="DG73" s="856"/>
    </row>
    <row r="74" spans="1:127">
      <c r="A74" s="1393"/>
      <c r="B74" s="1084"/>
      <c r="C74" s="1083"/>
      <c r="D74" s="1394"/>
      <c r="R74" s="652" t="s">
        <v>1404</v>
      </c>
      <c r="S74" s="654">
        <f>(1-(S71/S68)^2)*S68</f>
        <v>73.454705536318755</v>
      </c>
      <c r="T74" s="654">
        <f>(1-(T71/T68)^2)*T68</f>
        <v>73.454705536318755</v>
      </c>
      <c r="U74" s="654">
        <f>T74/S74</f>
        <v>1</v>
      </c>
      <c r="V74" s="652" t="s">
        <v>1397</v>
      </c>
      <c r="W74" s="654">
        <f>(1/W60-1/W61)*1000</f>
        <v>-0.31730769230769229</v>
      </c>
      <c r="X74" s="654">
        <f>(1/X60-1/X61)*1000</f>
        <v>-0.31730769230769229</v>
      </c>
      <c r="Y74" s="654">
        <f t="shared" si="76"/>
        <v>1</v>
      </c>
      <c r="Z74" s="652" t="s">
        <v>924</v>
      </c>
      <c r="AA74" s="676">
        <f t="shared" ref="AA74:AJ74" si="79">COS(AA47)*AA53*$AN$51</f>
        <v>2.2492959914337912E-23</v>
      </c>
      <c r="AB74" s="676">
        <f t="shared" si="79"/>
        <v>-2.968340363093022E-7</v>
      </c>
      <c r="AC74" s="676">
        <f t="shared" si="79"/>
        <v>1.2148325401195277E-7</v>
      </c>
      <c r="AD74" s="676">
        <f t="shared" si="79"/>
        <v>2.4574063696871663E-8</v>
      </c>
      <c r="AE74" s="676">
        <f t="shared" si="79"/>
        <v>-9.7182914551755498E-8</v>
      </c>
      <c r="AF74" s="676">
        <f t="shared" si="79"/>
        <v>1.3112738756112382E-8</v>
      </c>
      <c r="AG74" s="676">
        <f t="shared" si="79"/>
        <v>9.5312669189558792E-8</v>
      </c>
      <c r="AH74" s="676">
        <f t="shared" si="79"/>
        <v>1.0895627060502401E-7</v>
      </c>
      <c r="AI74" s="676">
        <f t="shared" si="79"/>
        <v>-2.3499349620746779E-7</v>
      </c>
      <c r="AJ74" s="676">
        <f t="shared" si="79"/>
        <v>2.1447522299496241E-7</v>
      </c>
      <c r="AK74" s="676"/>
      <c r="AL74" s="676"/>
      <c r="AM74" s="676">
        <f>SUM(AA74:AJ74)</f>
        <v>-5.1096227814043448E-8</v>
      </c>
      <c r="AQ74" s="652" t="s">
        <v>1190</v>
      </c>
      <c r="AR74" s="655">
        <f>$AS$25*1.04/AR69/1000000000</f>
        <v>2.3597308309626383E-9</v>
      </c>
      <c r="AS74" s="655">
        <f>$AS$25*1.04/AS69/1000000000</f>
        <v>2.5120772946859906E-9</v>
      </c>
      <c r="AT74" s="655">
        <f>$AS$25*1.04/AT69/1000000000</f>
        <v>8.2539682539682551E-10</v>
      </c>
      <c r="AW74" s="655"/>
      <c r="AX74" s="656"/>
      <c r="BJ74" s="655"/>
      <c r="BO74" s="650"/>
      <c r="BU74" s="674"/>
      <c r="CD74" s="650"/>
      <c r="CJ74" s="652"/>
      <c r="DA74" s="650"/>
      <c r="DG74" s="856"/>
    </row>
    <row r="75" spans="1:127">
      <c r="A75" s="1393" t="s">
        <v>1380</v>
      </c>
      <c r="B75" s="1368">
        <f>S27</f>
        <v>80.606294543459924</v>
      </c>
      <c r="C75" s="1083"/>
      <c r="D75" s="1394"/>
      <c r="R75" s="652" t="s">
        <v>1414</v>
      </c>
      <c r="S75" s="654">
        <f>S71/S68</f>
        <v>0.29786316199256885</v>
      </c>
      <c r="T75" s="654">
        <f>T71/T68</f>
        <v>0.29786316199256885</v>
      </c>
      <c r="U75" s="654">
        <f>T75/S75</f>
        <v>1</v>
      </c>
      <c r="V75" s="652" t="s">
        <v>1401</v>
      </c>
      <c r="W75" s="654">
        <f>(1/W62-1/W63)*1000</f>
        <v>5.924950625411455</v>
      </c>
      <c r="X75" s="654">
        <f>(1/X62-1/X63)*1000</f>
        <v>5.924950625411455</v>
      </c>
      <c r="Y75" s="654">
        <f t="shared" si="76"/>
        <v>1</v>
      </c>
      <c r="Z75" s="652" t="s">
        <v>925</v>
      </c>
      <c r="AA75" s="676">
        <f t="shared" ref="AA75:AJ75" si="80">SIN(AA47)*AA53*$AN$51</f>
        <v>3.6718749999999945E-7</v>
      </c>
      <c r="AB75" s="676">
        <f t="shared" si="80"/>
        <v>1.883766076098035E-7</v>
      </c>
      <c r="AC75" s="676">
        <f t="shared" si="80"/>
        <v>-3.1320252697083568E-7</v>
      </c>
      <c r="AD75" s="676">
        <f t="shared" si="80"/>
        <v>3.1936845969768548E-7</v>
      </c>
      <c r="AE75" s="676">
        <f t="shared" si="80"/>
        <v>-2.8877318742479537E-7</v>
      </c>
      <c r="AF75" s="676">
        <f t="shared" si="80"/>
        <v>-2.8876493033012822E-7</v>
      </c>
      <c r="AG75" s="676">
        <f t="shared" si="80"/>
        <v>-2.562880440016889E-7</v>
      </c>
      <c r="AH75" s="676">
        <f t="shared" si="80"/>
        <v>2.3365747634538617E-7</v>
      </c>
      <c r="AI75" s="676">
        <f t="shared" si="80"/>
        <v>5.8590459090544508E-8</v>
      </c>
      <c r="AJ75" s="676">
        <f t="shared" si="80"/>
        <v>-7.3013321575662642E-8</v>
      </c>
      <c r="AK75" s="676"/>
      <c r="AL75" s="676"/>
      <c r="AM75" s="676">
        <f>SUM(AA75:AJ75)</f>
        <v>-5.2861507559691762E-8</v>
      </c>
      <c r="AQ75" s="650"/>
      <c r="AU75" s="655"/>
      <c r="AV75" s="656"/>
      <c r="BD75" s="655"/>
    </row>
    <row r="76" spans="1:127">
      <c r="A76" s="1393" t="s">
        <v>1384</v>
      </c>
      <c r="B76" s="1368">
        <f>S28</f>
        <v>91.110843553154453</v>
      </c>
      <c r="C76" s="1083"/>
      <c r="D76" s="1394"/>
      <c r="V76" s="652" t="s">
        <v>1405</v>
      </c>
      <c r="W76" s="659">
        <f>(W70*S63^2+2*W72*S63*S65+W71*S65^2)</f>
        <v>5337.0907751947643</v>
      </c>
      <c r="X76" s="659">
        <f>(X70*T63^2+2*X72*T63*T65+X71*T65^2)</f>
        <v>5337.0907751947643</v>
      </c>
      <c r="Y76" s="654">
        <f t="shared" si="76"/>
        <v>1</v>
      </c>
      <c r="Z76" s="652"/>
      <c r="AA76" s="656" t="s">
        <v>1406</v>
      </c>
      <c r="AB76" s="656" t="s">
        <v>1407</v>
      </c>
      <c r="AC76" s="656" t="s">
        <v>1408</v>
      </c>
      <c r="AD76" s="656" t="s">
        <v>1409</v>
      </c>
      <c r="AE76" s="656" t="s">
        <v>926</v>
      </c>
      <c r="AF76" s="656" t="s">
        <v>927</v>
      </c>
      <c r="AG76" s="656"/>
      <c r="AH76" s="655">
        <f>AN58/AN53*1000000000</f>
        <v>16039299612.111162</v>
      </c>
      <c r="AQ76" s="650"/>
      <c r="AT76" s="656"/>
      <c r="AU76" s="655"/>
      <c r="AV76" s="661"/>
      <c r="BD76" s="655"/>
    </row>
    <row r="77" spans="1:127">
      <c r="A77" s="1393" t="s">
        <v>1388</v>
      </c>
      <c r="B77" s="1368">
        <f>S29</f>
        <v>20.5083243871203</v>
      </c>
      <c r="C77" s="1083"/>
      <c r="D77" s="1394"/>
      <c r="R77" s="652" t="s">
        <v>1193</v>
      </c>
      <c r="S77" s="654">
        <f>$E$52</f>
        <v>1.6</v>
      </c>
      <c r="T77" s="654">
        <f>T78*(1-$T52)+T79*$T52</f>
        <v>1.6</v>
      </c>
      <c r="U77" s="654">
        <f>T77/S77</f>
        <v>1</v>
      </c>
      <c r="V77" s="652" t="s">
        <v>1415</v>
      </c>
      <c r="W77" s="659">
        <f>(W70*S65^2+2*W72*S65*S64+W71*S64^2)</f>
        <v>16275.929211854793</v>
      </c>
      <c r="X77" s="659">
        <f>(X70*T65^2+2*X72*T65*T64+X71*T64^2)</f>
        <v>16275.929211854793</v>
      </c>
      <c r="Y77" s="654">
        <f t="shared" si="76"/>
        <v>1</v>
      </c>
      <c r="Z77" s="652">
        <v>1</v>
      </c>
      <c r="AA77" s="676">
        <f>(($T63+$T65)/2*$X53+($T65+$T64)/2*$X54)/1000000</f>
        <v>1.5388960638331223E-4</v>
      </c>
      <c r="AB77" s="676">
        <f>(($T63+$T65)/2*$X56+($T65+$T64)/2*$X57)</f>
        <v>4.0515290278574376</v>
      </c>
      <c r="AC77" s="676">
        <f>AA77+AA78*AM72</f>
        <v>1.5368779713627927E-4</v>
      </c>
      <c r="AD77" s="676">
        <f>AB77+AB78*AM72</f>
        <v>4.046004933542144</v>
      </c>
      <c r="AE77" s="676">
        <f>((AM48*AM46)^2+AM48*AM46*AN46)*(T50/1000000)^2/2*AA77+AA78*AM74</f>
        <v>6.9614462010315267E-10</v>
      </c>
      <c r="AF77" s="676">
        <f>((AM48*AM46)^2+AM48*AM46*AN46)*(T50/1000000)^2/2*AB77+AB78*AM74</f>
        <v>1.8331555886567139E-5</v>
      </c>
      <c r="AH77" s="655">
        <f>AN59/AN53*1000000000</f>
        <v>18183638921.061661</v>
      </c>
      <c r="AQ77" s="650"/>
      <c r="AT77" s="655"/>
      <c r="AU77" s="655"/>
      <c r="AV77" s="669"/>
      <c r="AW77" s="652"/>
      <c r="BD77" s="655"/>
    </row>
    <row r="78" spans="1:127">
      <c r="A78" s="1393" t="s">
        <v>1391</v>
      </c>
      <c r="B78" s="1368">
        <f>S30</f>
        <v>24.009645769219322</v>
      </c>
      <c r="C78" s="1083"/>
      <c r="D78" s="1394"/>
      <c r="R78" s="652" t="s">
        <v>274</v>
      </c>
      <c r="S78" s="654">
        <f>$G$51</f>
        <v>1.2</v>
      </c>
      <c r="T78" s="654">
        <f>S78</f>
        <v>1.2</v>
      </c>
      <c r="U78" s="654">
        <f>T78/S78</f>
        <v>1</v>
      </c>
      <c r="V78" s="652" t="s">
        <v>1416</v>
      </c>
      <c r="W78" s="659">
        <f>(W70*S63*S65+W72*(S63*S64+S65^2)+W71*S65*S64)</f>
        <v>450.45025795721722</v>
      </c>
      <c r="X78" s="659">
        <f>(X70*T63*T65+X72*(T63*T64+T65^2)+X71*T65*T64)</f>
        <v>450.45025795721722</v>
      </c>
      <c r="Y78" s="654">
        <f t="shared" si="76"/>
        <v>1</v>
      </c>
      <c r="Z78" s="652">
        <v>2</v>
      </c>
      <c r="AA78" s="676">
        <f>(($T63-$T65)/2*$X53+($T65-$T64)/2*$X54)/1000000</f>
        <v>-7.1265366036409587E-5</v>
      </c>
      <c r="AB78" s="676">
        <f>(($T63-$T65)/2*$X56+($T65-$T64)/2*$X57)</f>
        <v>-1.9507361985980254</v>
      </c>
      <c r="AC78" s="676">
        <f>AA77-AA78*AM72</f>
        <v>1.5409141563034519E-4</v>
      </c>
      <c r="AD78" s="676">
        <f>AB77-AB78*AM72</f>
        <v>4.0570531221727313</v>
      </c>
      <c r="AE78" s="676">
        <f>((AM48*AM46)^2+AM48*AM46*AN46)*(T50/1000000)^2/2*AA77-AA78*AM74</f>
        <v>6.8886183734665747E-10</v>
      </c>
      <c r="AF78" s="676">
        <f>((AM48*AM46)^2+AM48*AM46*AN46)*(T50/1000000)^2/2*AB77-AB78*AM74</f>
        <v>1.8132205364149804E-5</v>
      </c>
      <c r="AH78" s="655">
        <f>AN60/AN53*1000000000</f>
        <v>-1424960801.6610236</v>
      </c>
      <c r="AQ78" s="650"/>
      <c r="AU78" s="655"/>
      <c r="AV78" s="661"/>
      <c r="AW78" s="655"/>
      <c r="BD78" s="655"/>
    </row>
    <row r="79" spans="1:127">
      <c r="A79" s="1393" t="s">
        <v>2162</v>
      </c>
      <c r="B79" s="1368">
        <f>S31</f>
        <v>28.298324387120303</v>
      </c>
      <c r="C79" s="1083"/>
      <c r="D79" s="1394"/>
      <c r="R79" s="652" t="s">
        <v>1195</v>
      </c>
      <c r="S79" s="654">
        <f>(S77-S78*(1-$S52))/$S52</f>
        <v>1.8250000000000002</v>
      </c>
      <c r="T79" s="654">
        <f>S79</f>
        <v>1.8250000000000002</v>
      </c>
      <c r="U79" s="654">
        <f>T79/S79</f>
        <v>1</v>
      </c>
      <c r="V79" s="652" t="s">
        <v>1418</v>
      </c>
      <c r="W79" s="659">
        <f>W73*S66^2</f>
        <v>10788.284444444445</v>
      </c>
      <c r="X79" s="659">
        <f>X73*T66^2</f>
        <v>10788.284444444445</v>
      </c>
      <c r="Y79" s="654">
        <f t="shared" si="76"/>
        <v>1</v>
      </c>
      <c r="Z79" s="652">
        <v>6</v>
      </c>
      <c r="AA79" s="656" t="s">
        <v>936</v>
      </c>
      <c r="AB79" s="656" t="s">
        <v>937</v>
      </c>
      <c r="AC79" s="655">
        <f>AA78*AM73</f>
        <v>1.358499709926533E-6</v>
      </c>
      <c r="AD79" s="655">
        <f>AB78*AM73</f>
        <v>3.7186009240234283E-2</v>
      </c>
      <c r="AE79" s="676">
        <f>AA78*AM75</f>
        <v>3.7671946854778658E-12</v>
      </c>
      <c r="AF79" s="676">
        <f>AB78*AM75</f>
        <v>1.0311885630915389E-7</v>
      </c>
      <c r="AH79" s="655">
        <f>AN61/AN53*1000000000</f>
        <v>2589904200.2220373</v>
      </c>
      <c r="AQ79" s="650"/>
      <c r="AU79" s="655"/>
      <c r="AV79" s="656"/>
      <c r="AW79" s="655"/>
      <c r="BD79" s="655"/>
    </row>
    <row r="80" spans="1:127">
      <c r="A80" s="1393"/>
      <c r="B80" s="1084"/>
      <c r="C80" s="1083"/>
      <c r="D80" s="1394"/>
      <c r="S80" s="654"/>
      <c r="T80" s="654"/>
      <c r="U80" s="654"/>
      <c r="V80" s="652" t="s">
        <v>1422</v>
      </c>
      <c r="W80" s="659">
        <f>(W74*S63+W75*S65)</f>
        <v>-40.249461590858644</v>
      </c>
      <c r="X80" s="659">
        <f>(X74*T63+X75*T65)</f>
        <v>-40.249461590858644</v>
      </c>
      <c r="Y80" s="654">
        <f t="shared" si="76"/>
        <v>1</v>
      </c>
      <c r="Z80" s="652">
        <v>1</v>
      </c>
      <c r="AA80" s="676">
        <f>($X50*AC77+$X46*AD77)*AM50*AM46</f>
        <v>1.4583734862248378E-5</v>
      </c>
      <c r="AB80" s="676">
        <f>-($X50*AE77+$X46*AF77)</f>
        <v>-2.2043317422520422E-8</v>
      </c>
      <c r="AC80" s="656" t="s">
        <v>1423</v>
      </c>
      <c r="AD80" s="676">
        <f>$X50*$X53/1000000+$X46*$X56</f>
        <v>-1.9999999999999999E-6</v>
      </c>
      <c r="AQ80" s="650"/>
      <c r="AU80" s="655"/>
      <c r="AV80" s="656"/>
      <c r="AW80" s="655"/>
      <c r="BD80" s="655"/>
    </row>
    <row r="81" spans="1:56">
      <c r="A81" s="1393"/>
      <c r="B81" s="1084"/>
      <c r="C81" s="1083"/>
      <c r="D81" s="1394"/>
      <c r="S81" s="654"/>
      <c r="T81" s="654"/>
      <c r="U81" s="654"/>
      <c r="V81" s="652" t="s">
        <v>1426</v>
      </c>
      <c r="W81" s="659">
        <f>(W74*S65+W75*S64)</f>
        <v>58.160878971173119</v>
      </c>
      <c r="X81" s="659">
        <f>(X74*T65+X75*T64)</f>
        <v>58.160878971173119</v>
      </c>
      <c r="Y81" s="654">
        <f t="shared" si="76"/>
        <v>1</v>
      </c>
      <c r="Z81" s="652">
        <v>2</v>
      </c>
      <c r="AA81" s="676">
        <f>($X50*AC78+$X46*AD78)*AM50*AM46</f>
        <v>1.4628372143487417E-5</v>
      </c>
      <c r="AB81" s="676">
        <f>-($X50*AE78+$X46*AF78)</f>
        <v>-2.1774843086083278E-8</v>
      </c>
      <c r="AC81" s="656" t="s">
        <v>1427</v>
      </c>
      <c r="AD81" s="676">
        <f>$X50*$X54/1000000+$X46*$X57</f>
        <v>7.5000000000000023E-4</v>
      </c>
      <c r="AQ81" s="661"/>
      <c r="AR81" s="661"/>
      <c r="AS81" s="661"/>
      <c r="AT81" s="652"/>
      <c r="AU81" s="656"/>
      <c r="AV81" s="655"/>
      <c r="AW81" s="655"/>
      <c r="BD81" s="655"/>
    </row>
    <row r="82" spans="1:56">
      <c r="A82" s="1393"/>
      <c r="B82" s="1084"/>
      <c r="C82" s="1083"/>
      <c r="D82" s="1394"/>
      <c r="S82" s="654"/>
      <c r="T82" s="654"/>
      <c r="U82" s="654"/>
      <c r="V82" s="654"/>
      <c r="W82" s="654"/>
      <c r="X82" s="654"/>
      <c r="Y82" s="654"/>
      <c r="Z82" s="652">
        <v>6</v>
      </c>
      <c r="AA82" s="676">
        <f>($X50*AC79+$X46*AD79)*AM50*AM46</f>
        <v>1.5024022562555432E-7</v>
      </c>
      <c r="AB82" s="676">
        <f>-($X50*AE79+$X46*AF79)</f>
        <v>-1.3887481299798288E-10</v>
      </c>
      <c r="AC82" s="656" t="s">
        <v>1429</v>
      </c>
      <c r="AD82" s="676">
        <f>0</f>
        <v>0</v>
      </c>
      <c r="AQ82" s="661"/>
      <c r="AR82" s="661"/>
      <c r="AS82" s="661"/>
      <c r="AT82" s="652"/>
      <c r="AU82" s="661"/>
      <c r="AV82" s="656"/>
      <c r="AW82" s="655"/>
      <c r="BD82" s="655"/>
    </row>
    <row r="83" spans="1:56">
      <c r="A83" s="1393"/>
      <c r="B83" s="1084"/>
      <c r="C83" s="1083"/>
      <c r="D83" s="1394"/>
      <c r="S83" s="654"/>
      <c r="T83" s="654"/>
      <c r="U83" s="654"/>
      <c r="V83" s="654"/>
      <c r="W83" s="654"/>
      <c r="X83" s="654"/>
      <c r="Y83" s="654"/>
      <c r="Z83" s="652"/>
      <c r="AC83" s="655"/>
      <c r="AD83" s="676"/>
      <c r="AE83" s="654"/>
      <c r="AF83" s="654"/>
      <c r="AG83" s="654"/>
      <c r="AH83" s="654"/>
      <c r="AN83" s="655"/>
      <c r="AO83" s="655"/>
      <c r="BD83" s="655"/>
    </row>
    <row r="84" spans="1:56">
      <c r="A84" s="1393" t="s">
        <v>2163</v>
      </c>
      <c r="B84" s="1398">
        <f>(B67-B68)/2/$B$76</f>
        <v>0.16516922084992119</v>
      </c>
      <c r="C84" s="1083" t="s">
        <v>2175</v>
      </c>
      <c r="D84" s="1399">
        <f>(D67-D68)/2/$B$76</f>
        <v>2.66083339413744E-2</v>
      </c>
      <c r="S84" s="654"/>
      <c r="T84" s="654"/>
      <c r="U84" s="654"/>
      <c r="V84" s="654"/>
      <c r="W84" s="654"/>
      <c r="X84" s="654"/>
      <c r="Y84" s="654"/>
      <c r="Z84" s="652"/>
      <c r="AC84" s="655"/>
      <c r="AD84" s="676"/>
      <c r="AE84" s="654"/>
      <c r="AF84" s="654"/>
      <c r="AG84" s="654"/>
      <c r="AH84" s="654"/>
      <c r="AN84" s="652"/>
      <c r="AO84" s="652"/>
      <c r="AP84" s="652"/>
      <c r="AR84" s="652"/>
      <c r="AS84" s="661"/>
      <c r="AT84" s="661"/>
      <c r="AU84" s="661"/>
      <c r="AV84" s="661"/>
      <c r="BD84" s="655"/>
    </row>
    <row r="85" spans="1:56">
      <c r="A85" s="1393" t="s">
        <v>2164</v>
      </c>
      <c r="B85" s="1361">
        <f>(B67+B68-2*$B$75)/2/$B$77</f>
        <v>-0.17950087349876398</v>
      </c>
      <c r="C85" s="1083" t="s">
        <v>2176</v>
      </c>
      <c r="D85" s="1399">
        <f>(D67+D68-2*$B$75)/2/$B$77</f>
        <v>-0.3934477192134993</v>
      </c>
      <c r="S85" s="654"/>
      <c r="T85" s="654"/>
      <c r="U85" s="654"/>
      <c r="V85" s="654"/>
      <c r="W85" s="654"/>
      <c r="X85" s="654"/>
      <c r="Y85" s="654"/>
      <c r="Z85" s="652"/>
      <c r="AC85" s="655"/>
      <c r="AD85" s="676"/>
      <c r="AE85" s="654"/>
      <c r="AF85" s="654"/>
      <c r="AG85" s="654"/>
      <c r="AH85" s="654"/>
      <c r="AM85" s="653" t="s">
        <v>2133</v>
      </c>
      <c r="AN85" s="666"/>
      <c r="AO85" s="666"/>
      <c r="AP85" s="666"/>
      <c r="AQ85" s="1306" t="s">
        <v>1756</v>
      </c>
      <c r="AR85" s="1307"/>
      <c r="AS85" s="661"/>
      <c r="AT85" s="661"/>
      <c r="AU85" s="661"/>
      <c r="AV85" s="661"/>
      <c r="BD85" s="655"/>
    </row>
    <row r="86" spans="1:56">
      <c r="A86" s="1393" t="s">
        <v>2165</v>
      </c>
      <c r="B86" s="1361">
        <f>(B71+B72)/$B$76</f>
        <v>-4.202333641011697E-2</v>
      </c>
      <c r="C86" s="1083" t="s">
        <v>2177</v>
      </c>
      <c r="D86" s="1399">
        <f>(D71+D72)/$B$76</f>
        <v>2.5572003356140169E-2</v>
      </c>
      <c r="S86" s="654"/>
      <c r="T86" s="654"/>
      <c r="U86" s="654"/>
      <c r="V86" s="654"/>
      <c r="W86" s="654"/>
      <c r="X86" s="654"/>
      <c r="Y86" s="654"/>
      <c r="Z86" s="652"/>
      <c r="AA86" s="1079"/>
      <c r="AB86" s="1079"/>
      <c r="AC86" s="1079"/>
      <c r="AD86" s="1080"/>
      <c r="AE86" s="1081"/>
      <c r="AF86" s="665" t="s">
        <v>1330</v>
      </c>
      <c r="AG86" s="665" t="s">
        <v>430</v>
      </c>
      <c r="AH86" s="665" t="s">
        <v>909</v>
      </c>
      <c r="AM86" s="652" t="s">
        <v>1331</v>
      </c>
      <c r="AN86" s="652" t="s">
        <v>1888</v>
      </c>
      <c r="AO86" s="652" t="s">
        <v>915</v>
      </c>
      <c r="AQ86" s="652" t="s">
        <v>1331</v>
      </c>
      <c r="AR86" s="652" t="s">
        <v>1888</v>
      </c>
      <c r="AS86" s="652" t="s">
        <v>915</v>
      </c>
      <c r="AT86" s="665"/>
      <c r="AU86" s="665"/>
    </row>
    <row r="87" spans="1:56">
      <c r="A87" s="1393" t="s">
        <v>2166</v>
      </c>
      <c r="B87" s="1361">
        <f>(B71-B72)/2/$B$77</f>
        <v>-0.16337883153271032</v>
      </c>
      <c r="C87" s="1083" t="s">
        <v>2178</v>
      </c>
      <c r="D87" s="1399">
        <f>(D71-D72)/2/$B$77</f>
        <v>-0.19576757837926967</v>
      </c>
      <c r="S87" s="654"/>
      <c r="T87" s="654"/>
      <c r="U87" s="654"/>
      <c r="V87" s="654"/>
      <c r="W87" s="654"/>
      <c r="X87" s="654"/>
      <c r="Y87" s="654"/>
      <c r="Z87" s="663" t="s">
        <v>938</v>
      </c>
      <c r="AA87" s="1080" t="s">
        <v>1885</v>
      </c>
      <c r="AB87" s="1080"/>
      <c r="AC87" s="1080" t="s">
        <v>372</v>
      </c>
      <c r="AD87" s="1080"/>
      <c r="AE87" s="1081" t="s">
        <v>1884</v>
      </c>
      <c r="AF87" s="665" t="s">
        <v>1886</v>
      </c>
      <c r="AG87" s="665" t="s">
        <v>1884</v>
      </c>
      <c r="AH87" s="665" t="s">
        <v>1887</v>
      </c>
      <c r="AM87" s="1082" t="s">
        <v>1889</v>
      </c>
      <c r="AN87" s="1082" t="s">
        <v>1889</v>
      </c>
      <c r="AO87" s="1082" t="s">
        <v>1889</v>
      </c>
      <c r="AR87" s="1082" t="s">
        <v>2109</v>
      </c>
      <c r="AS87" s="1082"/>
    </row>
    <row r="88" spans="1:56">
      <c r="A88" s="1393"/>
      <c r="B88" s="1084"/>
      <c r="C88" s="1083"/>
      <c r="D88" s="1394"/>
      <c r="S88" s="654"/>
      <c r="T88" s="654"/>
      <c r="U88" s="654"/>
      <c r="V88" s="654"/>
      <c r="W88" s="654"/>
      <c r="X88" s="654"/>
      <c r="Y88" s="654"/>
      <c r="Z88" s="665" t="s">
        <v>939</v>
      </c>
      <c r="AA88" s="676">
        <f t="shared" ref="AA88:AA93" si="81">AM15+AM56</f>
        <v>0.55184243665577648</v>
      </c>
      <c r="AB88" s="669" t="s">
        <v>940</v>
      </c>
      <c r="AC88" s="676">
        <f t="shared" ref="AC88:AC93" si="82">AO15+AO56</f>
        <v>0</v>
      </c>
      <c r="AD88" s="665" t="s">
        <v>941</v>
      </c>
      <c r="AE88" s="856">
        <f t="shared" ref="AE88:AE93" si="83">AN15+AN56</f>
        <v>1.349309679109191E-6</v>
      </c>
      <c r="AF88" s="659">
        <f t="shared" ref="AF88:AF93" si="84">AA88*1000</f>
        <v>551.84243665577651</v>
      </c>
      <c r="AG88" s="659">
        <f t="shared" ref="AG88:AG93" si="85">$AE88*10^9</f>
        <v>1349.3096791091909</v>
      </c>
      <c r="AH88" s="659">
        <f t="shared" ref="AH88:AH93" si="86">$AC88*1000000</f>
        <v>0</v>
      </c>
      <c r="AM88" s="660">
        <f t="shared" ref="AM88:AM93" si="87">$AA88/$Z$114</f>
        <v>91.973739442629409</v>
      </c>
      <c r="AN88" s="660">
        <f t="shared" ref="AN88:AN93" si="88">$AE88/$AB$114</f>
        <v>74.961648839399501</v>
      </c>
      <c r="AO88" s="660">
        <f t="shared" ref="AO88:AO93" si="89">$AC88/$AA$114</f>
        <v>0</v>
      </c>
      <c r="AQ88" s="1305">
        <f t="shared" ref="AQ88:AQ93" si="90">AM88/AM$95</f>
        <v>0.42226739483500192</v>
      </c>
      <c r="AR88" s="1305">
        <f t="shared" ref="AR88:AS93" si="91">AN88/AN$95</f>
        <v>0.34416193534997275</v>
      </c>
      <c r="AS88" s="1312" t="e">
        <f t="shared" si="91"/>
        <v>#DIV/0!</v>
      </c>
      <c r="AV88" s="652"/>
    </row>
    <row r="89" spans="1:56">
      <c r="A89" s="1393"/>
      <c r="B89" s="1084"/>
      <c r="C89" s="1083"/>
      <c r="D89" s="1394"/>
      <c r="S89" s="654"/>
      <c r="T89" s="654"/>
      <c r="U89" s="654"/>
      <c r="V89" s="654"/>
      <c r="W89" s="654"/>
      <c r="X89" s="654"/>
      <c r="Y89" s="654"/>
      <c r="Z89" s="665" t="s">
        <v>942</v>
      </c>
      <c r="AA89" s="676">
        <f t="shared" si="81"/>
        <v>0.37125795216793345</v>
      </c>
      <c r="AB89" s="669" t="s">
        <v>943</v>
      </c>
      <c r="AC89" s="676">
        <f t="shared" si="82"/>
        <v>0</v>
      </c>
      <c r="AD89" s="665" t="s">
        <v>944</v>
      </c>
      <c r="AE89" s="856">
        <f t="shared" si="83"/>
        <v>1.2620346000752556E-6</v>
      </c>
      <c r="AF89" s="659">
        <f t="shared" si="84"/>
        <v>371.25795216793347</v>
      </c>
      <c r="AG89" s="659">
        <f t="shared" si="85"/>
        <v>1262.0346000752556</v>
      </c>
      <c r="AH89" s="659">
        <f t="shared" si="86"/>
        <v>0</v>
      </c>
      <c r="AM89" s="660">
        <f t="shared" si="87"/>
        <v>61.876325361322237</v>
      </c>
      <c r="AN89" s="660">
        <f t="shared" si="88"/>
        <v>70.113033337514196</v>
      </c>
      <c r="AO89" s="660">
        <f t="shared" si="89"/>
        <v>0</v>
      </c>
      <c r="AQ89" s="1305">
        <f t="shared" si="90"/>
        <v>0.28408494501396914</v>
      </c>
      <c r="AR89" s="1305">
        <f t="shared" si="91"/>
        <v>0.32190110036658243</v>
      </c>
      <c r="AS89" s="1312" t="e">
        <f t="shared" si="91"/>
        <v>#DIV/0!</v>
      </c>
      <c r="AT89" s="676"/>
      <c r="AU89" s="676"/>
      <c r="AV89" s="676"/>
      <c r="AW89" s="652"/>
    </row>
    <row r="90" spans="1:56">
      <c r="A90" s="1393"/>
      <c r="B90" s="1084"/>
      <c r="C90" s="1083"/>
      <c r="D90" s="1394"/>
      <c r="L90" s="654"/>
      <c r="M90" s="654"/>
      <c r="N90" s="660"/>
      <c r="O90" s="652"/>
      <c r="P90" s="654"/>
      <c r="Q90" s="654"/>
      <c r="R90" s="654"/>
      <c r="S90" s="654"/>
      <c r="T90" s="654"/>
      <c r="U90" s="654"/>
      <c r="V90" s="654"/>
      <c r="W90" s="654"/>
      <c r="X90" s="654"/>
      <c r="Y90" s="654"/>
      <c r="Z90" s="665" t="s">
        <v>945</v>
      </c>
      <c r="AA90" s="676">
        <f t="shared" si="81"/>
        <v>0.16614544746422</v>
      </c>
      <c r="AB90" s="669" t="s">
        <v>946</v>
      </c>
      <c r="AC90" s="676">
        <f t="shared" si="82"/>
        <v>0</v>
      </c>
      <c r="AD90" s="665" t="s">
        <v>947</v>
      </c>
      <c r="AE90" s="856">
        <f t="shared" si="83"/>
        <v>5.7741478603600179E-7</v>
      </c>
      <c r="AF90" s="659">
        <f t="shared" si="84"/>
        <v>166.14544746421998</v>
      </c>
      <c r="AG90" s="659">
        <f t="shared" si="85"/>
        <v>577.41478603600183</v>
      </c>
      <c r="AH90" s="659">
        <f t="shared" si="86"/>
        <v>0</v>
      </c>
      <c r="AM90" s="660">
        <f t="shared" si="87"/>
        <v>27.690907910703331</v>
      </c>
      <c r="AN90" s="660">
        <f t="shared" si="88"/>
        <v>32.078599224222323</v>
      </c>
      <c r="AO90" s="660">
        <f t="shared" si="89"/>
        <v>0</v>
      </c>
      <c r="AQ90" s="1305">
        <f t="shared" si="90"/>
        <v>0.12713376247317182</v>
      </c>
      <c r="AR90" s="1305">
        <f t="shared" si="91"/>
        <v>0.14727841453937968</v>
      </c>
      <c r="AS90" s="1312" t="e">
        <f t="shared" si="91"/>
        <v>#DIV/0!</v>
      </c>
      <c r="AT90" s="676"/>
      <c r="AU90" s="676"/>
      <c r="AV90" s="676"/>
      <c r="AW90" s="669"/>
      <c r="AX90" s="654"/>
      <c r="AY90" s="654"/>
    </row>
    <row r="91" spans="1:56">
      <c r="A91" s="1393"/>
      <c r="B91" s="1084"/>
      <c r="C91" s="1083"/>
      <c r="D91" s="1394"/>
      <c r="L91" s="659"/>
      <c r="M91" s="659"/>
      <c r="N91" s="660"/>
      <c r="O91" s="653"/>
      <c r="P91" s="654"/>
      <c r="Q91" s="654"/>
      <c r="R91" s="654"/>
      <c r="S91" s="654"/>
      <c r="T91" s="654"/>
      <c r="U91" s="654"/>
      <c r="V91" s="654"/>
      <c r="W91" s="654"/>
      <c r="X91" s="654"/>
      <c r="Y91" s="654"/>
      <c r="Z91" s="665" t="s">
        <v>948</v>
      </c>
      <c r="AA91" s="676">
        <f t="shared" si="81"/>
        <v>0.19187751917162582</v>
      </c>
      <c r="AB91" s="669" t="s">
        <v>949</v>
      </c>
      <c r="AC91" s="676">
        <f t="shared" si="82"/>
        <v>0</v>
      </c>
      <c r="AD91" s="665" t="s">
        <v>950</v>
      </c>
      <c r="AE91" s="856">
        <f t="shared" si="83"/>
        <v>6.5461100115821976E-7</v>
      </c>
      <c r="AF91" s="659">
        <f t="shared" si="84"/>
        <v>191.87751917162583</v>
      </c>
      <c r="AG91" s="659">
        <f t="shared" si="85"/>
        <v>654.61100115821978</v>
      </c>
      <c r="AH91" s="659">
        <f t="shared" si="86"/>
        <v>0</v>
      </c>
      <c r="AM91" s="660">
        <f t="shared" si="87"/>
        <v>31.979586528604301</v>
      </c>
      <c r="AN91" s="660">
        <f t="shared" si="88"/>
        <v>36.367277842123322</v>
      </c>
      <c r="AO91" s="660">
        <f t="shared" si="89"/>
        <v>0</v>
      </c>
      <c r="AQ91" s="1305">
        <f t="shared" si="90"/>
        <v>0.14682383007551444</v>
      </c>
      <c r="AR91" s="1305">
        <f t="shared" si="91"/>
        <v>0.16696848214172241</v>
      </c>
      <c r="AS91" s="1312" t="e">
        <f t="shared" si="91"/>
        <v>#DIV/0!</v>
      </c>
      <c r="AT91" s="676"/>
      <c r="AU91" s="676"/>
      <c r="AV91" s="676"/>
      <c r="AW91" s="652"/>
      <c r="AX91" s="654"/>
      <c r="AY91" s="654"/>
    </row>
    <row r="92" spans="1:56">
      <c r="A92" s="1393"/>
      <c r="B92" s="1084"/>
      <c r="C92" s="1083"/>
      <c r="D92" s="1394"/>
      <c r="L92" s="654"/>
      <c r="M92" s="654"/>
      <c r="O92" s="652"/>
      <c r="P92" s="654"/>
      <c r="Q92" s="654"/>
      <c r="R92" s="654"/>
      <c r="S92" s="654"/>
      <c r="T92" s="654"/>
      <c r="U92" s="654"/>
      <c r="V92" s="654"/>
      <c r="W92" s="654"/>
      <c r="X92" s="654"/>
      <c r="Y92" s="654"/>
      <c r="Z92" s="665" t="s">
        <v>951</v>
      </c>
      <c r="AA92" s="676">
        <f t="shared" si="81"/>
        <v>-3.1590101338100252E-2</v>
      </c>
      <c r="AB92" s="669" t="s">
        <v>952</v>
      </c>
      <c r="AC92" s="676">
        <f t="shared" si="82"/>
        <v>0</v>
      </c>
      <c r="AD92" s="665" t="s">
        <v>953</v>
      </c>
      <c r="AE92" s="856">
        <f t="shared" si="83"/>
        <v>-5.129858885979685E-8</v>
      </c>
      <c r="AF92" s="659">
        <f t="shared" si="84"/>
        <v>-31.590101338100251</v>
      </c>
      <c r="AG92" s="659">
        <f t="shared" si="85"/>
        <v>-51.298588859796851</v>
      </c>
      <c r="AH92" s="659">
        <f t="shared" si="86"/>
        <v>0</v>
      </c>
      <c r="AM92" s="660">
        <f t="shared" si="87"/>
        <v>-5.2650168896833751</v>
      </c>
      <c r="AN92" s="660">
        <f t="shared" si="88"/>
        <v>-2.8499216033220471</v>
      </c>
      <c r="AO92" s="660">
        <f t="shared" si="89"/>
        <v>0</v>
      </c>
      <c r="AQ92" s="1305">
        <f t="shared" si="90"/>
        <v>-2.4172605998646825E-2</v>
      </c>
      <c r="AR92" s="1305">
        <f t="shared" si="91"/>
        <v>-1.3084484530168057E-2</v>
      </c>
      <c r="AS92" s="1312" t="e">
        <f t="shared" si="91"/>
        <v>#DIV/0!</v>
      </c>
      <c r="AT92" s="676"/>
      <c r="AU92" s="676"/>
      <c r="AV92" s="676"/>
      <c r="AW92" s="652"/>
      <c r="AX92" s="654"/>
      <c r="AY92" s="654"/>
    </row>
    <row r="93" spans="1:56">
      <c r="A93" s="1393"/>
      <c r="B93" s="1084"/>
      <c r="C93" s="1083"/>
      <c r="D93" s="1394"/>
      <c r="L93" s="654"/>
      <c r="M93" s="654"/>
      <c r="N93" s="660"/>
      <c r="O93" s="652"/>
      <c r="P93" s="654"/>
      <c r="Q93" s="654"/>
      <c r="R93" s="654"/>
      <c r="S93" s="654"/>
      <c r="T93" s="654"/>
      <c r="U93" s="654"/>
      <c r="V93" s="654"/>
      <c r="W93" s="654"/>
      <c r="X93" s="654"/>
      <c r="Y93" s="654"/>
      <c r="Z93" s="665" t="s">
        <v>954</v>
      </c>
      <c r="AA93" s="676">
        <f t="shared" si="81"/>
        <v>8.6174115626377716E-3</v>
      </c>
      <c r="AB93" s="669" t="s">
        <v>955</v>
      </c>
      <c r="AC93" s="676">
        <f t="shared" si="82"/>
        <v>0</v>
      </c>
      <c r="AD93" s="665" t="s">
        <v>956</v>
      </c>
      <c r="AE93" s="856">
        <f t="shared" si="83"/>
        <v>9.3236551207993336E-8</v>
      </c>
      <c r="AF93" s="659">
        <f t="shared" si="84"/>
        <v>8.6174115626377716</v>
      </c>
      <c r="AG93" s="659">
        <f t="shared" si="85"/>
        <v>93.23655120799333</v>
      </c>
      <c r="AH93" s="659">
        <f t="shared" si="86"/>
        <v>0</v>
      </c>
      <c r="AM93" s="660">
        <f t="shared" si="87"/>
        <v>1.4362352604396287</v>
      </c>
      <c r="AN93" s="660">
        <f t="shared" si="88"/>
        <v>5.1798084004440748</v>
      </c>
      <c r="AO93" s="660">
        <f t="shared" si="89"/>
        <v>0</v>
      </c>
      <c r="AQ93" s="1305">
        <f t="shared" si="90"/>
        <v>6.5940052614074096E-3</v>
      </c>
      <c r="AR93" s="1305">
        <f t="shared" si="91"/>
        <v>2.3781399041237525E-2</v>
      </c>
      <c r="AS93" s="1312" t="e">
        <f t="shared" si="91"/>
        <v>#DIV/0!</v>
      </c>
      <c r="AT93" s="676"/>
      <c r="AU93" s="676"/>
      <c r="AV93" s="676"/>
      <c r="AW93" s="652"/>
      <c r="AX93" s="654"/>
      <c r="AY93" s="654"/>
    </row>
    <row r="94" spans="1:56">
      <c r="A94" s="1393" t="s">
        <v>2179</v>
      </c>
      <c r="B94" s="1368">
        <f>B84+SQRT((-B84*B84+B85/2+1/2))</f>
        <v>0.78401386349817748</v>
      </c>
      <c r="C94" s="1359"/>
      <c r="D94" s="1397">
        <f>D84+SQRT(ABS(-D84*D84+D85/2+1/2))</f>
        <v>0.57667027314287445</v>
      </c>
      <c r="L94" s="659"/>
      <c r="M94" s="659"/>
      <c r="N94" s="660"/>
      <c r="P94" s="654"/>
      <c r="Q94" s="654"/>
      <c r="R94" s="654"/>
      <c r="S94" s="654"/>
      <c r="T94" s="654"/>
      <c r="U94" s="654"/>
      <c r="V94" s="654"/>
      <c r="W94" s="654"/>
      <c r="X94" s="654"/>
      <c r="Y94" s="654"/>
      <c r="Z94" s="654"/>
      <c r="AA94" s="654">
        <f>AA88/Z114</f>
        <v>91.973739442629409</v>
      </c>
      <c r="AB94" s="654"/>
      <c r="AC94" s="654">
        <f>AC88/AA114</f>
        <v>0</v>
      </c>
      <c r="AD94" s="654"/>
      <c r="AE94" s="654">
        <f>AE88/AB114</f>
        <v>74.961648839399501</v>
      </c>
      <c r="AF94" s="654"/>
      <c r="AG94" s="654"/>
      <c r="AH94" s="654"/>
      <c r="AM94" s="653"/>
      <c r="AN94" s="676"/>
      <c r="AO94" s="676"/>
      <c r="AP94" s="676"/>
      <c r="AQ94" s="653"/>
      <c r="AR94" s="676"/>
      <c r="AS94" s="676"/>
      <c r="AT94" s="676"/>
      <c r="AU94" s="676"/>
      <c r="AV94" s="676"/>
      <c r="AW94" s="676"/>
      <c r="AX94" s="665"/>
      <c r="AY94" s="665"/>
    </row>
    <row r="95" spans="1:56">
      <c r="A95" s="1393" t="s">
        <v>2172</v>
      </c>
      <c r="B95" s="1084">
        <f>2*$B$84-B94</f>
        <v>-0.45367542179833509</v>
      </c>
      <c r="C95" s="1084"/>
      <c r="D95" s="1395">
        <f>2*$D$84-D94</f>
        <v>-0.52345360526012563</v>
      </c>
      <c r="L95" s="654"/>
      <c r="M95" s="654"/>
      <c r="N95" s="660"/>
      <c r="O95" s="652"/>
      <c r="P95" s="654"/>
      <c r="Q95" s="654"/>
      <c r="R95" s="654"/>
      <c r="S95" s="654"/>
      <c r="T95" s="654"/>
      <c r="U95" s="654"/>
      <c r="V95" s="654"/>
      <c r="W95" s="654"/>
      <c r="X95" s="654"/>
      <c r="Y95" s="654"/>
      <c r="Z95" s="1102" t="s">
        <v>957</v>
      </c>
      <c r="AA95" s="654"/>
      <c r="AB95" s="654"/>
      <c r="AC95" s="654"/>
      <c r="AD95" s="654"/>
      <c r="AE95" s="654" t="s">
        <v>1718</v>
      </c>
      <c r="AF95" s="654">
        <f>AF88+AF89+2*AF91</f>
        <v>1306.8554271669616</v>
      </c>
      <c r="AG95" s="654">
        <f>AG88+AG89+2*AG91</f>
        <v>3920.5662815008859</v>
      </c>
      <c r="AH95" s="654">
        <f>AH88+AH89+2*AH91</f>
        <v>0</v>
      </c>
      <c r="AL95" s="652" t="s">
        <v>1988</v>
      </c>
      <c r="AM95" s="654">
        <f>AM88+AM89+2*AM91</f>
        <v>217.80923786116026</v>
      </c>
      <c r="AN95" s="654">
        <f>AN88+AN89+2*AN91</f>
        <v>217.80923786116034</v>
      </c>
      <c r="AO95" s="654">
        <f>AO88+AO89+2*AO91</f>
        <v>0</v>
      </c>
      <c r="AP95" s="669"/>
      <c r="AQ95" s="654">
        <f>AQ88+AQ89+2*AQ91</f>
        <v>1</v>
      </c>
      <c r="AR95" s="654">
        <f>AR88+AR89+2*AR91</f>
        <v>1</v>
      </c>
      <c r="AS95" s="654" t="e">
        <f>AS88+AS89+2*AS91</f>
        <v>#DIV/0!</v>
      </c>
      <c r="AT95" s="669"/>
      <c r="AU95" s="669"/>
      <c r="AV95" s="669"/>
      <c r="AW95" s="677"/>
      <c r="AX95" s="654"/>
      <c r="AY95" s="654"/>
    </row>
    <row r="96" spans="1:56">
      <c r="A96" s="1393"/>
      <c r="B96" s="1084"/>
      <c r="C96" s="1083"/>
      <c r="D96" s="1394"/>
      <c r="L96" s="654"/>
      <c r="M96" s="654"/>
      <c r="N96" s="660"/>
      <c r="O96" s="652"/>
      <c r="P96" s="654"/>
      <c r="Q96" s="654"/>
      <c r="R96" s="654"/>
      <c r="S96" s="654"/>
      <c r="T96" s="654"/>
      <c r="U96" s="654"/>
      <c r="V96" s="654"/>
      <c r="W96" s="654"/>
      <c r="X96" s="654"/>
      <c r="Y96" s="654"/>
      <c r="Z96" s="1102" t="s">
        <v>958</v>
      </c>
      <c r="AA96" s="654"/>
      <c r="AB96" s="654"/>
      <c r="AC96" s="654"/>
      <c r="AD96" s="654"/>
      <c r="AE96" s="654"/>
      <c r="AF96" s="663" t="s">
        <v>959</v>
      </c>
      <c r="AG96" s="663" t="s">
        <v>960</v>
      </c>
      <c r="AH96" s="654"/>
      <c r="AI96" s="652"/>
      <c r="AJ96" s="676"/>
      <c r="AK96" s="676"/>
      <c r="AL96" s="676"/>
      <c r="AM96" s="676"/>
      <c r="AN96" s="676"/>
      <c r="AO96" s="676"/>
      <c r="AP96" s="676"/>
      <c r="AQ96" s="676"/>
      <c r="AR96" s="652"/>
      <c r="AS96" s="676"/>
      <c r="AT96" s="676"/>
      <c r="AU96" s="676"/>
      <c r="AV96" s="676"/>
      <c r="AW96" s="676"/>
      <c r="AX96" s="654"/>
      <c r="AY96" s="654"/>
    </row>
    <row r="97" spans="1:105" s="652" customFormat="1">
      <c r="A97" s="1393" t="s">
        <v>2185</v>
      </c>
      <c r="B97" s="1371">
        <f>ACOS(B94)*180/PI()/2</f>
        <v>19.18521776902778</v>
      </c>
      <c r="C97" s="1363"/>
      <c r="D97" s="1400">
        <f>ACOS(D94)*180/PI()/2</f>
        <v>27.391656723837158</v>
      </c>
      <c r="L97" s="665"/>
      <c r="M97" s="665"/>
      <c r="N97" s="665"/>
      <c r="P97" s="665"/>
      <c r="Q97" s="665"/>
      <c r="R97" s="665"/>
      <c r="S97" s="665"/>
      <c r="T97" s="665"/>
      <c r="U97" s="665"/>
      <c r="V97" s="665"/>
      <c r="W97" s="665"/>
      <c r="X97" s="665"/>
      <c r="Y97" s="665"/>
      <c r="Z97" s="1302">
        <f>AA88</f>
        <v>0.55184243665577648</v>
      </c>
      <c r="AA97" s="1302">
        <f>Z98</f>
        <v>0.16614544746422</v>
      </c>
      <c r="AB97" s="1302">
        <f>Z99</f>
        <v>-3.1590101338100252E-2</v>
      </c>
      <c r="AC97" s="1302">
        <f t="shared" ref="AC97:AE99" si="92">Z100</f>
        <v>0</v>
      </c>
      <c r="AD97" s="1302">
        <f t="shared" si="92"/>
        <v>0</v>
      </c>
      <c r="AE97" s="1302">
        <f t="shared" si="92"/>
        <v>0</v>
      </c>
      <c r="AF97" s="656">
        <f>C13</f>
        <v>1</v>
      </c>
      <c r="AG97" s="656">
        <f t="array" ref="AG97:AG102">MMULT(Z106:AE111,AF97:AF102)</f>
        <v>2.1234401736454762</v>
      </c>
      <c r="AJ97" s="669"/>
      <c r="AK97" s="669"/>
      <c r="AL97" s="669"/>
      <c r="AM97" s="669"/>
      <c r="AN97" s="676" t="s">
        <v>50</v>
      </c>
      <c r="AO97" s="676" t="s">
        <v>51</v>
      </c>
      <c r="AP97" s="676" t="s">
        <v>2024</v>
      </c>
      <c r="AQ97" s="676" t="s">
        <v>53</v>
      </c>
      <c r="AR97" s="650" t="s">
        <v>941</v>
      </c>
      <c r="AS97" s="676" t="s">
        <v>944</v>
      </c>
      <c r="AT97" s="676" t="s">
        <v>1992</v>
      </c>
      <c r="AU97" s="676" t="s">
        <v>950</v>
      </c>
      <c r="AV97" s="676" t="s">
        <v>1961</v>
      </c>
      <c r="AW97" s="650" t="s">
        <v>1993</v>
      </c>
      <c r="AX97" s="665"/>
      <c r="AY97" s="665"/>
      <c r="BO97" s="674"/>
      <c r="DA97" s="1109"/>
    </row>
    <row r="98" spans="1:105" s="652" customFormat="1">
      <c r="A98" s="1393" t="s">
        <v>2186</v>
      </c>
      <c r="B98" s="1371">
        <f>ACOS(B95)*180/PI()/2</f>
        <v>58.489870438610964</v>
      </c>
      <c r="C98" s="1363"/>
      <c r="D98" s="1400">
        <f>ACOS(D95)*180/PI()/2</f>
        <v>60.782099471056988</v>
      </c>
      <c r="L98" s="665"/>
      <c r="M98" s="665"/>
      <c r="N98" s="665"/>
      <c r="P98" s="656"/>
      <c r="Q98" s="656"/>
      <c r="R98" s="656"/>
      <c r="S98" s="656"/>
      <c r="T98" s="656"/>
      <c r="U98" s="656"/>
      <c r="V98" s="656"/>
      <c r="W98" s="656"/>
      <c r="X98" s="656"/>
      <c r="Y98" s="656"/>
      <c r="Z98" s="1302">
        <f>AA90</f>
        <v>0.16614544746422</v>
      </c>
      <c r="AA98" s="1302">
        <f>AA89</f>
        <v>0.37125795216793345</v>
      </c>
      <c r="AB98" s="1302">
        <f>AA99</f>
        <v>8.6174115626377716E-3</v>
      </c>
      <c r="AC98" s="1302">
        <f t="shared" si="92"/>
        <v>0</v>
      </c>
      <c r="AD98" s="1302">
        <f t="shared" si="92"/>
        <v>0</v>
      </c>
      <c r="AE98" s="1302">
        <f t="shared" si="92"/>
        <v>0</v>
      </c>
      <c r="AF98" s="656">
        <f>C14</f>
        <v>0</v>
      </c>
      <c r="AG98" s="656">
        <v>-0.95939719117662547</v>
      </c>
      <c r="AH98" s="656"/>
      <c r="AJ98" s="669"/>
      <c r="AK98" s="669"/>
      <c r="AL98" s="669"/>
      <c r="AM98" s="669"/>
      <c r="AN98" s="668">
        <f>B8</f>
        <v>45</v>
      </c>
      <c r="AO98" s="668">
        <f>C8</f>
        <v>73.8</v>
      </c>
      <c r="AP98" s="668">
        <f>D8</f>
        <v>-34.4</v>
      </c>
      <c r="AQ98" s="668">
        <f>E8</f>
        <v>42.8</v>
      </c>
      <c r="AR98" s="660">
        <f>D21</f>
        <v>74.961648839399501</v>
      </c>
      <c r="AS98" s="660">
        <f>D22</f>
        <v>70.113033337514196</v>
      </c>
      <c r="AT98" s="660">
        <f>D23</f>
        <v>32.078599224222323</v>
      </c>
      <c r="AU98" s="660">
        <f>D24</f>
        <v>36.367277842123322</v>
      </c>
      <c r="AV98" s="660">
        <f>D25</f>
        <v>-2.8499216033220471</v>
      </c>
      <c r="AW98" s="660">
        <f>D26</f>
        <v>5.1798084004440748</v>
      </c>
      <c r="AX98" s="665"/>
      <c r="AY98" s="665"/>
      <c r="BO98" s="674"/>
      <c r="DA98" s="1109"/>
    </row>
    <row r="99" spans="1:105">
      <c r="A99" s="1393"/>
      <c r="B99" s="1084"/>
      <c r="C99" s="1083"/>
      <c r="D99" s="1394"/>
      <c r="L99" s="659"/>
      <c r="M99" s="654"/>
      <c r="N99" s="660"/>
      <c r="O99" s="652"/>
      <c r="P99" s="655"/>
      <c r="Q99" s="655"/>
      <c r="R99" s="655"/>
      <c r="S99" s="655"/>
      <c r="T99" s="655"/>
      <c r="U99" s="655"/>
      <c r="V99" s="655"/>
      <c r="W99" s="655"/>
      <c r="X99" s="655"/>
      <c r="Y99" s="655"/>
      <c r="Z99" s="1302">
        <f>AA92</f>
        <v>-3.1590101338100252E-2</v>
      </c>
      <c r="AA99" s="1302">
        <f>AA93</f>
        <v>8.6174115626377716E-3</v>
      </c>
      <c r="AB99" s="1302">
        <f>AA91</f>
        <v>0.19187751917162582</v>
      </c>
      <c r="AC99" s="1302">
        <f t="shared" si="92"/>
        <v>0</v>
      </c>
      <c r="AD99" s="1302">
        <f t="shared" si="92"/>
        <v>0</v>
      </c>
      <c r="AE99" s="1302">
        <f t="shared" si="92"/>
        <v>0</v>
      </c>
      <c r="AF99" s="673">
        <f>C15</f>
        <v>0</v>
      </c>
      <c r="AG99" s="655">
        <v>0.39268389045548757</v>
      </c>
      <c r="AH99" s="656"/>
      <c r="AI99" s="652"/>
      <c r="AJ99" s="676"/>
      <c r="AK99" s="676"/>
      <c r="AL99" s="676"/>
      <c r="AM99" s="676"/>
      <c r="AN99" s="676"/>
      <c r="AO99" s="676"/>
      <c r="AP99" s="676"/>
      <c r="AQ99" s="676"/>
      <c r="AR99" s="652"/>
      <c r="AS99" s="676"/>
      <c r="AT99" s="676"/>
      <c r="AU99" s="676"/>
      <c r="AV99" s="676"/>
      <c r="AW99" s="676"/>
      <c r="BD99" s="771" t="s">
        <v>2063</v>
      </c>
    </row>
    <row r="100" spans="1:105" ht="15.9" customHeight="1">
      <c r="A100" s="1393" t="s">
        <v>2183</v>
      </c>
      <c r="B100" s="1084" t="s">
        <v>2132</v>
      </c>
      <c r="C100" s="1083"/>
      <c r="D100" s="1395" t="s">
        <v>2180</v>
      </c>
      <c r="L100" s="659"/>
      <c r="M100" s="654"/>
      <c r="N100" s="660"/>
      <c r="O100" s="652"/>
      <c r="P100" s="655"/>
      <c r="Q100" s="655"/>
      <c r="R100" s="655"/>
      <c r="S100" s="655"/>
      <c r="T100" s="655"/>
      <c r="U100" s="655"/>
      <c r="V100" s="655"/>
      <c r="W100" s="655"/>
      <c r="X100" s="655"/>
      <c r="Y100" s="655"/>
      <c r="Z100" s="1302">
        <f>AC88</f>
        <v>0</v>
      </c>
      <c r="AA100" s="1302">
        <f>Z101</f>
        <v>0</v>
      </c>
      <c r="AB100" s="1302">
        <f>Z102</f>
        <v>0</v>
      </c>
      <c r="AC100" s="1302">
        <f>AE88</f>
        <v>1.349309679109191E-6</v>
      </c>
      <c r="AD100" s="1302">
        <f>AC101</f>
        <v>5.7741478603600179E-7</v>
      </c>
      <c r="AE100" s="1302">
        <f>AC102</f>
        <v>-5.129858885979685E-8</v>
      </c>
      <c r="AF100" s="673">
        <f>C17</f>
        <v>0</v>
      </c>
      <c r="AG100" s="655">
        <v>0</v>
      </c>
      <c r="AH100" s="656"/>
      <c r="AI100" s="652"/>
      <c r="AJ100" s="669" t="s">
        <v>2025</v>
      </c>
      <c r="AK100" s="669"/>
      <c r="AL100" s="669"/>
      <c r="AM100" s="676"/>
      <c r="AN100" s="676" t="s">
        <v>50</v>
      </c>
      <c r="AO100" s="676" t="s">
        <v>51</v>
      </c>
      <c r="AP100" s="676" t="s">
        <v>2024</v>
      </c>
      <c r="AQ100" s="676" t="s">
        <v>53</v>
      </c>
      <c r="AR100" s="650" t="s">
        <v>941</v>
      </c>
      <c r="AS100" s="676" t="s">
        <v>944</v>
      </c>
      <c r="AT100" s="676" t="s">
        <v>1992</v>
      </c>
      <c r="AU100" s="676" t="s">
        <v>950</v>
      </c>
      <c r="AV100" s="676" t="s">
        <v>1961</v>
      </c>
      <c r="AW100" s="650" t="s">
        <v>1993</v>
      </c>
      <c r="AY100" s="674" t="s">
        <v>2061</v>
      </c>
      <c r="AZ100" s="669" t="s">
        <v>2025</v>
      </c>
      <c r="BA100" s="652" t="s">
        <v>1719</v>
      </c>
      <c r="BB100" s="652" t="s">
        <v>1721</v>
      </c>
      <c r="BC100" s="652" t="s">
        <v>2038</v>
      </c>
      <c r="BD100" s="771" t="s">
        <v>1994</v>
      </c>
      <c r="BE100" s="669" t="s">
        <v>1996</v>
      </c>
      <c r="BF100" s="669" t="s">
        <v>2037</v>
      </c>
      <c r="BH100" s="650" t="s">
        <v>2062</v>
      </c>
      <c r="BM100" s="652" t="s">
        <v>2025</v>
      </c>
      <c r="BN100" s="652"/>
      <c r="BO100" s="674" t="s">
        <v>2045</v>
      </c>
    </row>
    <row r="101" spans="1:105" ht="15.9" customHeight="1">
      <c r="A101" s="1393">
        <v>11</v>
      </c>
      <c r="B101" s="1368">
        <f>$B75+$B76*B84+$B77*B85</f>
        <v>91.973739442629409</v>
      </c>
      <c r="C101" s="1083"/>
      <c r="D101" s="1397">
        <f>$B75+$B76*D84+$B77*D85</f>
        <v>74.961648839399501</v>
      </c>
      <c r="L101" s="659"/>
      <c r="M101" s="654"/>
      <c r="N101" s="660"/>
      <c r="O101" s="652"/>
      <c r="P101" s="655"/>
      <c r="Q101" s="655"/>
      <c r="R101" s="655"/>
      <c r="S101" s="655"/>
      <c r="T101" s="655"/>
      <c r="U101" s="655"/>
      <c r="V101" s="655"/>
      <c r="W101" s="655"/>
      <c r="X101" s="655"/>
      <c r="Y101" s="655"/>
      <c r="Z101" s="1302">
        <f>AC90</f>
        <v>0</v>
      </c>
      <c r="AA101" s="1302">
        <f>AC89</f>
        <v>0</v>
      </c>
      <c r="AB101" s="1302">
        <f>AA102</f>
        <v>0</v>
      </c>
      <c r="AC101" s="1302">
        <f>AE90</f>
        <v>5.7741478603600179E-7</v>
      </c>
      <c r="AD101" s="1302">
        <f>AE89</f>
        <v>1.2620346000752556E-6</v>
      </c>
      <c r="AE101" s="1302">
        <f>AD102</f>
        <v>9.3236551207993336E-8</v>
      </c>
      <c r="AF101" s="673">
        <f>C18</f>
        <v>0</v>
      </c>
      <c r="AG101" s="655">
        <v>0</v>
      </c>
      <c r="AH101" s="656"/>
      <c r="AI101" s="652"/>
      <c r="AJ101" s="864" t="s">
        <v>2026</v>
      </c>
      <c r="AK101" s="864"/>
      <c r="AL101" s="864"/>
      <c r="AM101" s="659">
        <v>1</v>
      </c>
      <c r="AN101" s="668">
        <v>45</v>
      </c>
      <c r="AO101" s="668">
        <v>0</v>
      </c>
      <c r="AP101" s="668">
        <v>90</v>
      </c>
      <c r="AQ101" s="668">
        <v>-45</v>
      </c>
      <c r="AR101" s="654">
        <v>0.43112482256270679</v>
      </c>
      <c r="AS101" s="654">
        <v>0.27492970007609685</v>
      </c>
      <c r="AT101" s="654">
        <v>0.13255092816167646</v>
      </c>
      <c r="AU101" s="654">
        <v>0.14680962807679929</v>
      </c>
      <c r="AV101" s="654">
        <v>0.11714634186495741</v>
      </c>
      <c r="AW101" s="654">
        <v>0.11714634186495741</v>
      </c>
      <c r="AY101" s="1042">
        <v>1</v>
      </c>
      <c r="AZ101" s="1162" t="s">
        <v>2033</v>
      </c>
      <c r="BA101" s="1145">
        <v>0.37</v>
      </c>
      <c r="BB101" s="1145">
        <v>0.13</v>
      </c>
      <c r="BC101" s="1146">
        <v>0</v>
      </c>
      <c r="BD101" s="1143">
        <v>0.62389140654725328</v>
      </c>
      <c r="BE101" s="1144">
        <v>0.11023816657886266</v>
      </c>
      <c r="BF101" s="1144">
        <v>3.9048780621652478E-2</v>
      </c>
      <c r="BH101" s="1185">
        <f t="shared" ref="BH101:BH112" si="93">BF101/BD101</f>
        <v>6.2589066321263612E-2</v>
      </c>
      <c r="BM101" s="864" t="s">
        <v>2039</v>
      </c>
      <c r="BN101" s="864"/>
      <c r="BO101" s="674" t="s">
        <v>2043</v>
      </c>
    </row>
    <row r="102" spans="1:105" ht="15.9" customHeight="1">
      <c r="A102" s="1393">
        <v>22</v>
      </c>
      <c r="B102" s="1368">
        <f>$B75-$B76*B84+$B77*B85</f>
        <v>61.876325361322245</v>
      </c>
      <c r="C102" s="1083"/>
      <c r="D102" s="1397">
        <f>$B75-$B76*D84+$B77*D85</f>
        <v>70.11303333751421</v>
      </c>
      <c r="M102" s="654"/>
      <c r="N102" s="674"/>
      <c r="O102" s="652"/>
      <c r="P102" s="659"/>
      <c r="Q102" s="659"/>
      <c r="R102" s="654"/>
      <c r="S102" s="654"/>
      <c r="T102" s="654"/>
      <c r="U102" s="654"/>
      <c r="V102" s="654"/>
      <c r="W102" s="654"/>
      <c r="X102" s="654"/>
      <c r="Y102" s="654"/>
      <c r="Z102" s="1302">
        <f>AC92</f>
        <v>0</v>
      </c>
      <c r="AA102" s="1302">
        <f>AC93</f>
        <v>0</v>
      </c>
      <c r="AB102" s="1302">
        <f>AC91</f>
        <v>0</v>
      </c>
      <c r="AC102" s="1302">
        <f>AE92</f>
        <v>-5.129858885979685E-8</v>
      </c>
      <c r="AD102" s="1302">
        <f>AE93</f>
        <v>9.3236551207993336E-8</v>
      </c>
      <c r="AE102" s="1302">
        <f>AE91</f>
        <v>6.5461100115821976E-7</v>
      </c>
      <c r="AF102" s="673">
        <f>C19</f>
        <v>0</v>
      </c>
      <c r="AG102" s="655">
        <v>0</v>
      </c>
      <c r="AH102" s="656"/>
      <c r="AI102" s="652"/>
      <c r="AJ102" s="864" t="s">
        <v>2027</v>
      </c>
      <c r="AK102" s="864"/>
      <c r="AL102" s="864"/>
      <c r="AM102" s="682">
        <v>2</v>
      </c>
      <c r="AN102" s="668">
        <v>45</v>
      </c>
      <c r="AO102" s="668">
        <v>90</v>
      </c>
      <c r="AP102" s="668">
        <v>0</v>
      </c>
      <c r="AQ102" s="668">
        <v>-45</v>
      </c>
      <c r="AR102" s="654">
        <v>0.27492970007609691</v>
      </c>
      <c r="AS102" s="654">
        <v>0.43112482256270673</v>
      </c>
      <c r="AT102" s="654">
        <v>0.13255092816167646</v>
      </c>
      <c r="AU102" s="654">
        <v>0.14680962807679929</v>
      </c>
      <c r="AV102" s="654">
        <v>0.11714634186495741</v>
      </c>
      <c r="AW102" s="654">
        <v>0.11714634186495744</v>
      </c>
      <c r="AY102" s="1164">
        <v>2</v>
      </c>
      <c r="AZ102" s="1162" t="s">
        <v>2032</v>
      </c>
      <c r="BA102" s="1145">
        <v>0.37</v>
      </c>
      <c r="BB102" s="1145">
        <v>0.13</v>
      </c>
      <c r="BC102" s="1146">
        <v>0</v>
      </c>
      <c r="BD102" s="1144">
        <v>0.6031283566745691</v>
      </c>
      <c r="BE102" s="1144">
        <v>9.1952435829894374E-2</v>
      </c>
      <c r="BF102" s="1144">
        <v>5.8573170932478706E-2</v>
      </c>
      <c r="BH102" s="1185">
        <f t="shared" si="93"/>
        <v>9.7115597839620607E-2</v>
      </c>
      <c r="BM102" s="864" t="s">
        <v>2042</v>
      </c>
      <c r="BN102" s="864"/>
      <c r="BO102" s="674" t="s">
        <v>2046</v>
      </c>
    </row>
    <row r="103" spans="1:105" ht="15.9" customHeight="1">
      <c r="A103" s="1393">
        <v>12</v>
      </c>
      <c r="B103" s="1368">
        <f>$B78-$B77*B85</f>
        <v>27.69090791070342</v>
      </c>
      <c r="C103" s="1083"/>
      <c r="D103" s="1397">
        <f>$B78-$B77*D85</f>
        <v>32.078599224222387</v>
      </c>
      <c r="N103" s="674"/>
      <c r="O103" s="652"/>
      <c r="P103" s="682"/>
      <c r="Q103" s="682"/>
      <c r="R103" s="654"/>
      <c r="S103" s="654"/>
      <c r="T103" s="654"/>
      <c r="U103" s="654"/>
      <c r="V103" s="654"/>
      <c r="W103" s="654"/>
      <c r="X103" s="654"/>
      <c r="Y103" s="654"/>
      <c r="Z103" s="652"/>
      <c r="AA103" s="656"/>
      <c r="AC103" s="655"/>
      <c r="AD103" s="655"/>
      <c r="AH103" s="656"/>
      <c r="AI103" s="652"/>
      <c r="AJ103" s="864" t="s">
        <v>2028</v>
      </c>
      <c r="AK103" s="864"/>
      <c r="AL103" s="864"/>
      <c r="AM103" s="682">
        <v>3</v>
      </c>
      <c r="AN103" s="668">
        <v>45</v>
      </c>
      <c r="AO103" s="668">
        <v>0</v>
      </c>
      <c r="AP103" s="668">
        <v>-45</v>
      </c>
      <c r="AQ103" s="668">
        <v>90</v>
      </c>
      <c r="AR103" s="654">
        <v>0.45188787243539097</v>
      </c>
      <c r="AS103" s="654">
        <v>0.21759518870547606</v>
      </c>
      <c r="AT103" s="654">
        <v>0.15083665891064477</v>
      </c>
      <c r="AU103" s="654">
        <v>0.16509535882576759</v>
      </c>
      <c r="AV103" s="654">
        <v>9.7621951554131184E-2</v>
      </c>
      <c r="AW103" s="654">
        <v>9.7621951554131184E-2</v>
      </c>
      <c r="AY103" s="1164">
        <v>3</v>
      </c>
      <c r="AZ103" s="1162" t="s">
        <v>2035</v>
      </c>
      <c r="BA103" s="1145">
        <v>0.37</v>
      </c>
      <c r="BB103" s="1145">
        <v>0.13</v>
      </c>
      <c r="BC103" s="1146">
        <v>0</v>
      </c>
      <c r="BD103" s="1143">
        <v>0.56160225692920074</v>
      </c>
      <c r="BE103" s="1144">
        <v>5.5380974331957766E-2</v>
      </c>
      <c r="BF103" s="1144">
        <v>1.9524390310826235E-2</v>
      </c>
      <c r="BH103" s="1185">
        <f t="shared" si="93"/>
        <v>3.4765512549013153E-2</v>
      </c>
      <c r="BM103" s="864" t="s">
        <v>2040</v>
      </c>
      <c r="BN103" s="864"/>
      <c r="BO103" s="674" t="s">
        <v>2044</v>
      </c>
    </row>
    <row r="104" spans="1:105" ht="15.9" customHeight="1">
      <c r="A104" s="1393">
        <v>66</v>
      </c>
      <c r="B104" s="1368">
        <f>$B79-$B77*B85</f>
        <v>31.979586528604401</v>
      </c>
      <c r="C104" s="1083"/>
      <c r="D104" s="1397">
        <f>$B79-$B77*D85</f>
        <v>36.367277842123372</v>
      </c>
      <c r="L104" s="659"/>
      <c r="M104" s="654"/>
      <c r="N104" s="660"/>
      <c r="O104" s="652"/>
      <c r="P104" s="660"/>
      <c r="Q104" s="660"/>
      <c r="R104" s="654"/>
      <c r="S104" s="654"/>
      <c r="T104" s="654"/>
      <c r="U104" s="654"/>
      <c r="V104" s="654"/>
      <c r="W104" s="654"/>
      <c r="X104" s="654"/>
      <c r="Y104" s="654"/>
      <c r="Z104" s="735" t="s">
        <v>961</v>
      </c>
      <c r="AC104" s="655"/>
      <c r="AD104" s="655"/>
      <c r="AF104" s="663" t="s">
        <v>252</v>
      </c>
      <c r="AG104" s="663" t="s">
        <v>253</v>
      </c>
      <c r="AI104" s="652"/>
      <c r="AJ104" s="864" t="s">
        <v>2029</v>
      </c>
      <c r="AK104" s="864"/>
      <c r="AL104" s="864"/>
      <c r="AM104" s="682">
        <v>4</v>
      </c>
      <c r="AN104" s="652">
        <v>45</v>
      </c>
      <c r="AO104" s="652">
        <v>90</v>
      </c>
      <c r="AP104" s="652">
        <v>-45</v>
      </c>
      <c r="AQ104" s="668">
        <v>0</v>
      </c>
      <c r="AR104" s="654">
        <v>0.21759518870547614</v>
      </c>
      <c r="AS104" s="654">
        <v>0.45188787243539091</v>
      </c>
      <c r="AT104" s="654">
        <v>0.15083665891064477</v>
      </c>
      <c r="AU104" s="654">
        <v>0.16509535882576759</v>
      </c>
      <c r="AV104" s="654">
        <v>9.7621951554131184E-2</v>
      </c>
      <c r="AW104" s="654">
        <v>9.7621951554131212E-2</v>
      </c>
      <c r="AY104" s="1164">
        <v>4</v>
      </c>
      <c r="AZ104" s="1162" t="s">
        <v>2028</v>
      </c>
      <c r="BA104" s="1145">
        <v>0.37</v>
      </c>
      <c r="BB104" s="1145">
        <v>0.13</v>
      </c>
      <c r="BC104" s="1146">
        <v>0</v>
      </c>
      <c r="BD104" s="1144">
        <v>0.45188787243539097</v>
      </c>
      <c r="BE104" s="1144">
        <v>0.16509535882576759</v>
      </c>
      <c r="BF104" s="1144">
        <v>9.7621951554131184E-2</v>
      </c>
      <c r="BH104" s="1185">
        <f t="shared" si="93"/>
        <v>0.21603135978845894</v>
      </c>
      <c r="BM104" s="864" t="s">
        <v>2041</v>
      </c>
      <c r="BN104" s="864"/>
      <c r="BO104" s="674" t="s">
        <v>2047</v>
      </c>
    </row>
    <row r="105" spans="1:105" ht="15.9" customHeight="1">
      <c r="A105" s="1393">
        <v>16</v>
      </c>
      <c r="B105" s="1368">
        <v>0</v>
      </c>
      <c r="C105" s="1083"/>
      <c r="D105" s="1395">
        <v>0</v>
      </c>
      <c r="L105" s="654"/>
      <c r="M105" s="654"/>
      <c r="N105" s="660"/>
      <c r="O105" s="652"/>
      <c r="P105" s="659"/>
      <c r="Q105" s="659"/>
      <c r="R105" s="654"/>
      <c r="S105" s="654"/>
      <c r="T105" s="654"/>
      <c r="U105" s="654"/>
      <c r="V105" s="654"/>
      <c r="W105" s="654"/>
      <c r="X105" s="654"/>
      <c r="Y105" s="654"/>
      <c r="Z105" s="735" t="s">
        <v>254</v>
      </c>
      <c r="AA105" s="656"/>
      <c r="AB105" s="656"/>
      <c r="AC105" s="655"/>
      <c r="AD105" s="655"/>
      <c r="AF105" s="673">
        <f>AA39+AA80</f>
        <v>2.9167469724496757E-5</v>
      </c>
      <c r="AG105" s="673">
        <f t="array" ref="AG105:AG110">MMULT(Z106:AE111,AF105:AF110)</f>
        <v>3.3984532517291221E-5</v>
      </c>
      <c r="AH105" s="652"/>
      <c r="AJ105" s="864" t="s">
        <v>2030</v>
      </c>
      <c r="AK105" s="864"/>
      <c r="AL105" s="864"/>
      <c r="AM105" s="682">
        <v>5</v>
      </c>
      <c r="AN105" s="652">
        <v>45</v>
      </c>
      <c r="AO105" s="652">
        <v>-45</v>
      </c>
      <c r="AP105" s="652">
        <v>0</v>
      </c>
      <c r="AQ105" s="668">
        <v>90</v>
      </c>
      <c r="AR105" s="654">
        <v>0.33721884969414939</v>
      </c>
      <c r="AS105" s="654">
        <v>0.25912128845084437</v>
      </c>
      <c r="AT105" s="654">
        <v>0.1874081204085814</v>
      </c>
      <c r="AU105" s="654">
        <v>0.20166682032370417</v>
      </c>
      <c r="AV105" s="654">
        <v>5.8573170932478706E-2</v>
      </c>
      <c r="AW105" s="654">
        <v>5.8573170932478706E-2</v>
      </c>
      <c r="AY105" s="1164">
        <v>5</v>
      </c>
      <c r="AZ105" s="1162" t="s">
        <v>2026</v>
      </c>
      <c r="BA105" s="1145">
        <v>0.37</v>
      </c>
      <c r="BB105" s="1145">
        <v>0.13</v>
      </c>
      <c r="BC105" s="1147">
        <v>0</v>
      </c>
      <c r="BD105" s="1144">
        <v>0.43112482256270679</v>
      </c>
      <c r="BE105" s="1144">
        <v>0.14680962807679929</v>
      </c>
      <c r="BF105" s="1144">
        <v>0.11714634186495741</v>
      </c>
      <c r="BH105" s="1185">
        <f t="shared" si="93"/>
        <v>0.27172256324424132</v>
      </c>
      <c r="BJ105" s="740"/>
      <c r="BK105" s="740"/>
      <c r="BL105" s="765"/>
    </row>
    <row r="106" spans="1:105" ht="15.9" customHeight="1">
      <c r="A106" s="1393">
        <v>26</v>
      </c>
      <c r="B106" s="1368">
        <v>0</v>
      </c>
      <c r="C106" s="1083"/>
      <c r="D106" s="1395">
        <v>0</v>
      </c>
      <c r="L106" s="654"/>
      <c r="M106" s="654"/>
      <c r="N106" s="660"/>
      <c r="O106" s="652"/>
      <c r="P106" s="659"/>
      <c r="Q106" s="683"/>
      <c r="R106" s="654"/>
      <c r="S106" s="654"/>
      <c r="T106" s="654"/>
      <c r="U106" s="654"/>
      <c r="V106" s="654"/>
      <c r="W106" s="654"/>
      <c r="X106" s="654"/>
      <c r="Y106" s="654"/>
      <c r="Z106" s="656">
        <f t="array" ref="Z106:AE111">MINVERSE(Z97:AE102)</f>
        <v>2.1234401736454762</v>
      </c>
      <c r="AA106" s="655">
        <v>-0.9593971911766257</v>
      </c>
      <c r="AB106" s="655">
        <v>0.39268389045548763</v>
      </c>
      <c r="AC106" s="656">
        <v>0</v>
      </c>
      <c r="AD106" s="655">
        <v>0</v>
      </c>
      <c r="AE106" s="655">
        <v>0</v>
      </c>
      <c r="AF106" s="673">
        <f>AA40+AA81</f>
        <v>2.9256744286974835E-5</v>
      </c>
      <c r="AG106" s="655">
        <v>6.3495562652415586E-5</v>
      </c>
      <c r="AH106" s="655"/>
      <c r="AJ106" s="864" t="s">
        <v>2029</v>
      </c>
      <c r="AK106" s="864"/>
      <c r="AL106" s="864"/>
      <c r="AM106" s="682">
        <v>6</v>
      </c>
      <c r="AN106" s="668">
        <v>45</v>
      </c>
      <c r="AO106" s="668">
        <v>-45</v>
      </c>
      <c r="AP106" s="668">
        <v>90</v>
      </c>
      <c r="AQ106" s="668">
        <v>0</v>
      </c>
      <c r="AR106" s="660">
        <v>0.25912128845084442</v>
      </c>
      <c r="AS106" s="660">
        <v>0.33721884969414934</v>
      </c>
      <c r="AT106" s="660">
        <v>0.1874081204085814</v>
      </c>
      <c r="AU106" s="660">
        <v>0.20166682032370417</v>
      </c>
      <c r="AV106" s="660">
        <v>5.8573170932478706E-2</v>
      </c>
      <c r="AW106" s="660">
        <v>5.8573170932478706E-2</v>
      </c>
      <c r="AY106" s="1164">
        <v>6</v>
      </c>
      <c r="AZ106" s="1162" t="s">
        <v>2030</v>
      </c>
      <c r="BA106" s="1145">
        <v>0.37</v>
      </c>
      <c r="BB106" s="1145">
        <v>0.13</v>
      </c>
      <c r="BC106" s="1147">
        <v>0</v>
      </c>
      <c r="BD106" s="1144">
        <v>0.33721884969414939</v>
      </c>
      <c r="BE106" s="1144">
        <v>0.20166682032370417</v>
      </c>
      <c r="BF106" s="1144">
        <v>5.8573170932478706E-2</v>
      </c>
      <c r="BH106" s="1185">
        <f t="shared" si="93"/>
        <v>0.17369483048057183</v>
      </c>
      <c r="BJ106" s="740"/>
      <c r="BK106" s="740"/>
      <c r="BL106" s="765"/>
    </row>
    <row r="107" spans="1:105" ht="15.9" customHeight="1">
      <c r="A107" s="1393"/>
      <c r="B107" s="1084"/>
      <c r="C107" s="1083"/>
      <c r="D107" s="1394"/>
      <c r="L107" s="654"/>
      <c r="M107" s="654"/>
      <c r="N107" s="660"/>
      <c r="Q107" s="856"/>
      <c r="Z107" s="656">
        <v>-0.95939719117662547</v>
      </c>
      <c r="AA107" s="655">
        <v>3.1298236189166593</v>
      </c>
      <c r="AB107" s="655">
        <v>-0.29851559986136034</v>
      </c>
      <c r="AC107" s="656">
        <v>0</v>
      </c>
      <c r="AD107" s="655">
        <v>0</v>
      </c>
      <c r="AE107" s="655">
        <v>0</v>
      </c>
      <c r="AF107" s="673">
        <f>AA41+AA82</f>
        <v>3.0048045125110863E-7</v>
      </c>
      <c r="AG107" s="655">
        <v>4.3094568097035391E-6</v>
      </c>
      <c r="AH107" s="655"/>
      <c r="AI107" s="652"/>
      <c r="AJ107" s="864" t="s">
        <v>2031</v>
      </c>
      <c r="AK107" s="864"/>
      <c r="AL107" s="864"/>
      <c r="AM107" s="682">
        <v>7</v>
      </c>
      <c r="AN107" s="668">
        <v>90</v>
      </c>
      <c r="AO107" s="668">
        <v>45</v>
      </c>
      <c r="AP107" s="668">
        <v>0</v>
      </c>
      <c r="AQ107" s="668">
        <v>-45</v>
      </c>
      <c r="AR107" s="654">
        <v>0.21264055045804439</v>
      </c>
      <c r="AS107" s="654">
        <v>0.6031283566745691</v>
      </c>
      <c r="AT107" s="654">
        <v>7.7693735914771578E-2</v>
      </c>
      <c r="AU107" s="654">
        <v>9.1952435829894374E-2</v>
      </c>
      <c r="AV107" s="654">
        <v>5.8573170932478706E-2</v>
      </c>
      <c r="AW107" s="654">
        <v>5.8573170932478741E-2</v>
      </c>
      <c r="AY107" s="1164">
        <v>7</v>
      </c>
      <c r="AZ107" s="1162" t="s">
        <v>2036</v>
      </c>
      <c r="BA107" s="1145">
        <v>0.37</v>
      </c>
      <c r="BB107" s="1145">
        <v>0.13</v>
      </c>
      <c r="BC107" s="1147">
        <v>0</v>
      </c>
      <c r="BD107" s="1143">
        <v>0.32730957319928594</v>
      </c>
      <c r="BE107" s="1144">
        <v>5.5380974331957766E-2</v>
      </c>
      <c r="BF107" s="1144">
        <v>1.9524390310826235E-2</v>
      </c>
      <c r="BH107" s="1185">
        <f t="shared" si="93"/>
        <v>5.9651143472478275E-2</v>
      </c>
      <c r="BJ107" s="740"/>
      <c r="BK107" s="740"/>
      <c r="BL107" s="765"/>
      <c r="BM107" s="1142"/>
      <c r="BN107" s="1142"/>
    </row>
    <row r="108" spans="1:105" s="652" customFormat="1" ht="15.9" customHeight="1" thickBot="1">
      <c r="A108" s="1402"/>
      <c r="B108" s="1401"/>
      <c r="C108" s="1401"/>
      <c r="D108" s="1403"/>
      <c r="L108" s="665"/>
      <c r="M108" s="665"/>
      <c r="Z108" s="656">
        <v>0.39268389045548757</v>
      </c>
      <c r="AA108" s="656">
        <v>-0.29851559986136034</v>
      </c>
      <c r="AB108" s="656">
        <v>5.2897148142057731</v>
      </c>
      <c r="AC108" s="656">
        <v>0</v>
      </c>
      <c r="AD108" s="656">
        <v>0</v>
      </c>
      <c r="AE108" s="656">
        <v>0</v>
      </c>
      <c r="AF108" s="656">
        <f>AB39+AB80</f>
        <v>0</v>
      </c>
      <c r="AG108" s="656">
        <v>0</v>
      </c>
      <c r="AH108" s="656"/>
      <c r="AJ108" s="864" t="s">
        <v>2032</v>
      </c>
      <c r="AK108" s="864"/>
      <c r="AL108" s="864"/>
      <c r="AM108" s="682">
        <v>8</v>
      </c>
      <c r="AN108" s="668">
        <v>0</v>
      </c>
      <c r="AO108" s="668">
        <v>45</v>
      </c>
      <c r="AP108" s="668">
        <v>90</v>
      </c>
      <c r="AQ108" s="668">
        <v>-45</v>
      </c>
      <c r="AR108" s="654">
        <v>0.6031283566745691</v>
      </c>
      <c r="AS108" s="654">
        <v>0.21264055045804434</v>
      </c>
      <c r="AT108" s="654">
        <v>7.7693735914771578E-2</v>
      </c>
      <c r="AU108" s="654">
        <v>9.1952435829894374E-2</v>
      </c>
      <c r="AV108" s="654">
        <v>5.8573170932478706E-2</v>
      </c>
      <c r="AW108" s="654">
        <v>5.857317093247872E-2</v>
      </c>
      <c r="AY108" s="1164">
        <v>8</v>
      </c>
      <c r="AZ108" s="1162" t="s">
        <v>2027</v>
      </c>
      <c r="BA108" s="1145">
        <v>0.37</v>
      </c>
      <c r="BB108" s="1145">
        <v>0.13</v>
      </c>
      <c r="BC108" s="1147">
        <v>0</v>
      </c>
      <c r="BD108" s="1144">
        <v>0.27492970007609691</v>
      </c>
      <c r="BE108" s="1144">
        <v>0.14680962807679929</v>
      </c>
      <c r="BF108" s="1144">
        <v>0.11714634186495741</v>
      </c>
      <c r="BH108" s="1185">
        <f t="shared" si="93"/>
        <v>0.42609562310849958</v>
      </c>
      <c r="BJ108" s="740"/>
      <c r="BK108" s="740"/>
      <c r="BL108" s="765"/>
      <c r="BM108" s="864"/>
      <c r="BN108" s="864"/>
      <c r="BO108" s="674"/>
      <c r="DA108" s="1109"/>
    </row>
    <row r="109" spans="1:105" ht="15.9" customHeight="1">
      <c r="L109" s="654"/>
      <c r="M109" s="654"/>
      <c r="N109" s="660"/>
      <c r="O109" s="652"/>
      <c r="P109" s="654"/>
      <c r="Q109" s="654"/>
      <c r="R109" s="654"/>
      <c r="S109" s="654"/>
      <c r="T109" s="654"/>
      <c r="U109" s="654"/>
      <c r="V109" s="654"/>
      <c r="W109" s="654"/>
      <c r="X109" s="654"/>
      <c r="Y109" s="654"/>
      <c r="Z109" s="656">
        <v>0</v>
      </c>
      <c r="AA109" s="655">
        <v>0</v>
      </c>
      <c r="AB109" s="655">
        <v>0</v>
      </c>
      <c r="AC109" s="650">
        <v>933273.05575598311</v>
      </c>
      <c r="AD109" s="650">
        <v>-436998.97855184675</v>
      </c>
      <c r="AE109" s="655">
        <v>135377.90881293637</v>
      </c>
      <c r="AF109" s="673">
        <f>AB40+AB81</f>
        <v>0</v>
      </c>
      <c r="AG109" s="655">
        <v>0</v>
      </c>
      <c r="AH109" s="655"/>
      <c r="AI109" s="652"/>
      <c r="AJ109" s="864" t="s">
        <v>2033</v>
      </c>
      <c r="AK109" s="864"/>
      <c r="AL109" s="864"/>
      <c r="AM109" s="682">
        <v>9</v>
      </c>
      <c r="AN109" s="668">
        <v>0</v>
      </c>
      <c r="AO109" s="668">
        <v>45</v>
      </c>
      <c r="AP109" s="668">
        <v>-45</v>
      </c>
      <c r="AQ109" s="668">
        <v>90</v>
      </c>
      <c r="AR109" s="660">
        <v>0.62389140654725328</v>
      </c>
      <c r="AS109" s="654">
        <v>0.15530603908742358</v>
      </c>
      <c r="AT109" s="654">
        <v>9.5979466663739868E-2</v>
      </c>
      <c r="AU109" s="654">
        <v>0.11023816657886266</v>
      </c>
      <c r="AV109" s="654">
        <v>3.9048780621652478E-2</v>
      </c>
      <c r="AW109" s="654">
        <v>3.9048780621652478E-2</v>
      </c>
      <c r="AY109" s="1164">
        <v>9</v>
      </c>
      <c r="AZ109" s="1162" t="s">
        <v>2029</v>
      </c>
      <c r="BA109" s="1145">
        <v>0.37</v>
      </c>
      <c r="BB109" s="1145">
        <v>0.13</v>
      </c>
      <c r="BC109" s="1147">
        <v>0</v>
      </c>
      <c r="BD109" s="1143">
        <v>0.25912128845084442</v>
      </c>
      <c r="BE109" s="1143">
        <v>0.20166682032370417</v>
      </c>
      <c r="BF109" s="1143">
        <v>5.8573170932478706E-2</v>
      </c>
      <c r="BH109" s="1185">
        <f t="shared" si="93"/>
        <v>0.22604538315882178</v>
      </c>
      <c r="BJ109" s="740"/>
      <c r="BK109" s="740"/>
      <c r="BL109" s="765"/>
      <c r="BM109" s="1142"/>
      <c r="BN109" s="1142"/>
    </row>
    <row r="110" spans="1:105" ht="15.9" customHeight="1">
      <c r="L110" s="654"/>
      <c r="M110" s="654"/>
      <c r="N110" s="660"/>
      <c r="O110" s="652"/>
      <c r="P110" s="654"/>
      <c r="Q110" s="654"/>
      <c r="R110" s="654"/>
      <c r="S110" s="654"/>
      <c r="T110" s="654"/>
      <c r="U110" s="654"/>
      <c r="V110" s="654"/>
      <c r="W110" s="654"/>
      <c r="X110" s="654"/>
      <c r="Y110" s="654"/>
      <c r="Z110" s="656">
        <v>0</v>
      </c>
      <c r="AA110" s="655">
        <v>0</v>
      </c>
      <c r="AB110" s="655">
        <v>0</v>
      </c>
      <c r="AC110" s="650">
        <v>-436998.9785518467</v>
      </c>
      <c r="AD110" s="650">
        <v>1005419.5763765069</v>
      </c>
      <c r="AE110" s="655">
        <v>-177447.80418554827</v>
      </c>
      <c r="AF110" s="673">
        <f>AB41+AB82</f>
        <v>0</v>
      </c>
      <c r="AG110" s="655">
        <v>0</v>
      </c>
      <c r="AH110" s="655"/>
      <c r="AI110" s="652"/>
      <c r="AJ110" s="864" t="s">
        <v>2034</v>
      </c>
      <c r="AK110" s="864"/>
      <c r="AL110" s="864"/>
      <c r="AM110" s="682">
        <v>10</v>
      </c>
      <c r="AN110" s="668">
        <v>90</v>
      </c>
      <c r="AO110" s="668">
        <v>45</v>
      </c>
      <c r="AP110" s="668">
        <v>-45</v>
      </c>
      <c r="AQ110" s="668">
        <v>0</v>
      </c>
      <c r="AR110" s="660">
        <v>0.1553060390874236</v>
      </c>
      <c r="AS110" s="654">
        <v>0.62389140654725328</v>
      </c>
      <c r="AT110" s="654">
        <v>9.5979466663739868E-2</v>
      </c>
      <c r="AU110" s="654">
        <v>0.11023816657886266</v>
      </c>
      <c r="AV110" s="654">
        <v>3.9048780621652478E-2</v>
      </c>
      <c r="AW110" s="654">
        <v>3.9048780621652505E-2</v>
      </c>
      <c r="AY110" s="1164">
        <v>10</v>
      </c>
      <c r="AZ110" s="1162" t="s">
        <v>2029</v>
      </c>
      <c r="BA110" s="1145">
        <v>0.37</v>
      </c>
      <c r="BB110" s="1145">
        <v>0.13</v>
      </c>
      <c r="BC110" s="1147">
        <v>0</v>
      </c>
      <c r="BD110" s="1144">
        <v>0.21759518870547614</v>
      </c>
      <c r="BE110" s="1144">
        <v>0.16509535882576759</v>
      </c>
      <c r="BF110" s="1144">
        <v>9.7621951554131184E-2</v>
      </c>
      <c r="BH110" s="1185">
        <f t="shared" si="93"/>
        <v>0.4486402118305402</v>
      </c>
      <c r="BJ110" s="740"/>
      <c r="BK110" s="740"/>
      <c r="BL110" s="765"/>
      <c r="BM110" s="1142"/>
      <c r="BN110" s="1142"/>
    </row>
    <row r="111" spans="1:105" ht="15.9" customHeight="1">
      <c r="L111" s="654"/>
      <c r="M111" s="654"/>
      <c r="N111" s="660"/>
      <c r="O111" s="652"/>
      <c r="P111" s="654"/>
      <c r="Q111" s="654"/>
      <c r="R111" s="654"/>
      <c r="S111" s="654"/>
      <c r="T111" s="654"/>
      <c r="U111" s="654"/>
      <c r="V111" s="654"/>
      <c r="W111" s="654"/>
      <c r="X111" s="654"/>
      <c r="Y111" s="654"/>
      <c r="Z111" s="656">
        <v>0</v>
      </c>
      <c r="AA111" s="655">
        <v>0</v>
      </c>
      <c r="AB111" s="655">
        <v>0</v>
      </c>
      <c r="AC111" s="650">
        <v>135377.90881293637</v>
      </c>
      <c r="AD111" s="650">
        <v>-177447.8041855483</v>
      </c>
      <c r="AE111" s="655">
        <v>1563507.6635676762</v>
      </c>
      <c r="AF111" s="654"/>
      <c r="AG111" s="654"/>
      <c r="AH111" s="655"/>
      <c r="AI111" s="652"/>
      <c r="AJ111" s="864" t="s">
        <v>2035</v>
      </c>
      <c r="AK111" s="864"/>
      <c r="AL111" s="864"/>
      <c r="AM111" s="682">
        <v>11</v>
      </c>
      <c r="AN111" s="668">
        <v>0</v>
      </c>
      <c r="AO111" s="668">
        <v>90</v>
      </c>
      <c r="AP111" s="668">
        <v>45</v>
      </c>
      <c r="AQ111" s="668">
        <v>-45</v>
      </c>
      <c r="AR111" s="660">
        <v>0.56160225692920074</v>
      </c>
      <c r="AS111" s="654">
        <v>0.32730957319928589</v>
      </c>
      <c r="AT111" s="654">
        <v>4.1122274416834956E-2</v>
      </c>
      <c r="AU111" s="654">
        <v>5.5380974331957766E-2</v>
      </c>
      <c r="AV111" s="654">
        <v>1.9524390310826235E-2</v>
      </c>
      <c r="AW111" s="654">
        <v>1.9524390310826249E-2</v>
      </c>
      <c r="AY111" s="1164">
        <v>11</v>
      </c>
      <c r="AZ111" s="1162" t="s">
        <v>2031</v>
      </c>
      <c r="BA111" s="1145">
        <v>0.37</v>
      </c>
      <c r="BB111" s="1145">
        <v>0.13</v>
      </c>
      <c r="BC111" s="1147">
        <v>0</v>
      </c>
      <c r="BD111" s="1144">
        <v>0.21264055045804439</v>
      </c>
      <c r="BE111" s="1144">
        <v>9.1952435829894374E-2</v>
      </c>
      <c r="BF111" s="1144">
        <v>5.8573170932478706E-2</v>
      </c>
      <c r="BH111" s="1185">
        <f t="shared" si="93"/>
        <v>0.27545626084162927</v>
      </c>
      <c r="BJ111" s="740"/>
      <c r="BK111" s="740"/>
      <c r="BL111" s="765"/>
      <c r="BM111" s="1142"/>
      <c r="BN111" s="1142"/>
    </row>
    <row r="112" spans="1:105" ht="15.9" customHeight="1">
      <c r="L112" s="654"/>
      <c r="M112" s="654"/>
      <c r="N112" s="660"/>
      <c r="O112" s="652"/>
      <c r="P112" s="654"/>
      <c r="Q112" s="654"/>
      <c r="R112" s="654"/>
      <c r="S112" s="654"/>
      <c r="T112" s="654"/>
      <c r="U112" s="654"/>
      <c r="V112" s="654"/>
      <c r="W112" s="654"/>
      <c r="X112" s="654"/>
      <c r="Y112" s="654"/>
      <c r="AI112" s="652"/>
      <c r="AJ112" s="864" t="s">
        <v>2036</v>
      </c>
      <c r="AK112" s="864"/>
      <c r="AL112" s="864"/>
      <c r="AM112" s="659">
        <v>12</v>
      </c>
      <c r="AN112" s="668">
        <v>90</v>
      </c>
      <c r="AO112" s="668">
        <v>0</v>
      </c>
      <c r="AP112" s="668">
        <v>45</v>
      </c>
      <c r="AQ112" s="668">
        <v>-45</v>
      </c>
      <c r="AR112" s="660">
        <v>0.32730957319928594</v>
      </c>
      <c r="AS112" s="654">
        <v>0.56160225692920074</v>
      </c>
      <c r="AT112" s="654">
        <v>4.1122274416834956E-2</v>
      </c>
      <c r="AU112" s="654">
        <v>5.5380974331957766E-2</v>
      </c>
      <c r="AV112" s="654">
        <v>1.9524390310826235E-2</v>
      </c>
      <c r="AW112" s="654">
        <v>1.9524390310826263E-2</v>
      </c>
      <c r="AY112" s="1042">
        <v>12</v>
      </c>
      <c r="AZ112" s="1162" t="s">
        <v>2034</v>
      </c>
      <c r="BA112" s="1145">
        <v>0.37</v>
      </c>
      <c r="BB112" s="1145">
        <v>0.13</v>
      </c>
      <c r="BC112" s="1147">
        <v>0</v>
      </c>
      <c r="BD112" s="1143">
        <v>0.1553060390874236</v>
      </c>
      <c r="BE112" s="1144">
        <v>0.11023816657886266</v>
      </c>
      <c r="BF112" s="1144">
        <v>3.9048780621652478E-2</v>
      </c>
      <c r="BH112" s="1185">
        <f t="shared" si="93"/>
        <v>0.25143117969592577</v>
      </c>
      <c r="BJ112" s="740"/>
      <c r="BK112" s="740"/>
      <c r="BL112" s="765"/>
      <c r="BM112" s="1142"/>
      <c r="BN112" s="1142"/>
    </row>
    <row r="113" spans="1:61" ht="15.9" customHeight="1">
      <c r="L113" s="654"/>
      <c r="M113" s="654"/>
      <c r="N113" s="660"/>
      <c r="O113" s="652"/>
      <c r="P113" s="654"/>
      <c r="Q113" s="654"/>
      <c r="R113" s="654"/>
      <c r="S113" s="654"/>
      <c r="T113" s="654"/>
      <c r="U113" s="654"/>
      <c r="V113" s="654"/>
      <c r="W113" s="654"/>
      <c r="X113" s="654"/>
      <c r="Y113" s="654"/>
      <c r="Z113" s="1161" t="s">
        <v>255</v>
      </c>
      <c r="AA113" s="1303" t="s">
        <v>256</v>
      </c>
      <c r="AB113" s="1303" t="s">
        <v>257</v>
      </c>
      <c r="AH113" s="652"/>
      <c r="AI113" s="652"/>
      <c r="AM113" s="650">
        <v>13</v>
      </c>
      <c r="AN113" s="659"/>
      <c r="AO113" s="659"/>
      <c r="AP113" s="659"/>
      <c r="AQ113" s="668"/>
      <c r="AR113" s="665"/>
      <c r="AS113" s="654"/>
      <c r="AT113" s="654"/>
      <c r="AU113" s="654"/>
      <c r="AV113" s="654"/>
      <c r="AW113" s="654"/>
    </row>
    <row r="114" spans="1:61" ht="15.9" customHeight="1">
      <c r="O114" s="652"/>
      <c r="P114" s="654"/>
      <c r="Q114" s="654"/>
      <c r="R114" s="654"/>
      <c r="S114" s="654"/>
      <c r="T114" s="654"/>
      <c r="U114" s="654"/>
      <c r="V114" s="654"/>
      <c r="W114" s="654"/>
      <c r="X114" s="654"/>
      <c r="Y114" s="654"/>
      <c r="Z114" s="1304">
        <f>P11/1000</f>
        <v>6.0000000000000001E-3</v>
      </c>
      <c r="AA114" s="1304">
        <f>Z114^2/2</f>
        <v>1.8E-5</v>
      </c>
      <c r="AB114" s="1304">
        <f>Z114^3/12</f>
        <v>1.7999999999999999E-8</v>
      </c>
      <c r="AF114" s="654"/>
      <c r="AG114" s="654"/>
      <c r="AH114" s="655"/>
      <c r="AM114" s="650">
        <v>14</v>
      </c>
      <c r="AN114" s="659"/>
      <c r="AO114" s="659"/>
      <c r="AP114" s="668"/>
      <c r="AQ114" s="668"/>
      <c r="AR114" s="665"/>
      <c r="AS114" s="654"/>
      <c r="AT114" s="654"/>
      <c r="AU114" s="654"/>
      <c r="AV114" s="654"/>
      <c r="AW114" s="654"/>
    </row>
    <row r="115" spans="1:61" ht="15.9" customHeight="1">
      <c r="L115" s="654"/>
      <c r="M115" s="654"/>
      <c r="N115" s="654"/>
      <c r="O115" s="652"/>
      <c r="P115" s="659"/>
      <c r="Q115" s="659"/>
      <c r="R115" s="654"/>
      <c r="S115" s="654"/>
      <c r="T115" s="654"/>
      <c r="U115" s="654"/>
      <c r="V115" s="654"/>
      <c r="W115" s="654"/>
      <c r="X115" s="654"/>
      <c r="Y115" s="654"/>
      <c r="Z115" s="735" t="s">
        <v>258</v>
      </c>
      <c r="AF115" s="654"/>
      <c r="AG115" s="654"/>
      <c r="AH115" s="655"/>
      <c r="AM115" s="650">
        <v>15</v>
      </c>
      <c r="AN115" s="659"/>
      <c r="AO115" s="659"/>
      <c r="AP115" s="659"/>
      <c r="AQ115" s="668"/>
      <c r="AR115" s="665"/>
      <c r="AS115" s="654"/>
      <c r="AT115" s="654"/>
      <c r="AU115" s="654"/>
      <c r="AV115" s="654"/>
      <c r="AW115" s="654"/>
      <c r="AZ115" s="652" t="s">
        <v>2025</v>
      </c>
      <c r="BA115" s="652" t="s">
        <v>1719</v>
      </c>
      <c r="BB115" s="652" t="s">
        <v>1721</v>
      </c>
      <c r="BC115" s="652" t="s">
        <v>2038</v>
      </c>
      <c r="BD115" s="652" t="s">
        <v>1994</v>
      </c>
      <c r="BE115" s="652" t="s">
        <v>1996</v>
      </c>
      <c r="BF115" s="652" t="s">
        <v>2037</v>
      </c>
      <c r="BG115" s="650" t="s">
        <v>2069</v>
      </c>
    </row>
    <row r="116" spans="1:61" ht="15.9" customHeight="1">
      <c r="L116" s="654"/>
      <c r="M116" s="654"/>
      <c r="N116" s="654"/>
      <c r="O116" s="652"/>
      <c r="P116" s="659"/>
      <c r="Q116" s="659"/>
      <c r="R116" s="654"/>
      <c r="S116" s="654"/>
      <c r="T116" s="654"/>
      <c r="U116" s="654"/>
      <c r="V116" s="654"/>
      <c r="W116" s="654"/>
      <c r="X116" s="654"/>
      <c r="Y116" s="654"/>
      <c r="Z116" s="654">
        <f t="array" ref="Z116:AE121">MMULT(Z97:AE102,Z106:AE111)</f>
        <v>1</v>
      </c>
      <c r="AA116" s="654">
        <v>-4.5102810375396984E-17</v>
      </c>
      <c r="AB116" s="654">
        <v>0</v>
      </c>
      <c r="AC116" s="654">
        <v>0</v>
      </c>
      <c r="AD116" s="654">
        <v>0</v>
      </c>
      <c r="AE116" s="654">
        <v>0</v>
      </c>
      <c r="AF116" s="656"/>
      <c r="AG116" s="656"/>
      <c r="AH116" s="655"/>
      <c r="AM116" s="650">
        <v>16</v>
      </c>
      <c r="AN116" s="659"/>
      <c r="AO116" s="659"/>
      <c r="AP116" s="659"/>
      <c r="AQ116" s="668"/>
      <c r="AR116" s="665"/>
      <c r="AS116" s="654"/>
      <c r="AT116" s="654"/>
      <c r="AU116" s="654"/>
      <c r="AV116" s="654"/>
      <c r="AW116" s="654"/>
      <c r="AY116" s="1165">
        <v>1</v>
      </c>
      <c r="AZ116" s="1162" t="s">
        <v>2039</v>
      </c>
      <c r="BA116" s="1145">
        <v>0.37</v>
      </c>
      <c r="BB116" s="1145">
        <v>0.13</v>
      </c>
      <c r="BC116" s="1146">
        <v>0</v>
      </c>
      <c r="BD116" s="1186">
        <v>0.37</v>
      </c>
      <c r="BE116" s="1186">
        <v>0.13</v>
      </c>
      <c r="BF116" s="1185">
        <v>0</v>
      </c>
      <c r="BG116" s="1148" t="s">
        <v>2070</v>
      </c>
      <c r="BH116" s="1149"/>
      <c r="BI116" s="1150"/>
    </row>
    <row r="117" spans="1:61" ht="15.9" customHeight="1">
      <c r="O117" s="652"/>
      <c r="P117" s="659"/>
      <c r="Q117" s="659"/>
      <c r="R117" s="654"/>
      <c r="S117" s="654"/>
      <c r="T117" s="654"/>
      <c r="U117" s="654"/>
      <c r="V117" s="654"/>
      <c r="W117" s="654"/>
      <c r="X117" s="654"/>
      <c r="Y117" s="654"/>
      <c r="Z117" s="654">
        <v>6.0715321659188248E-18</v>
      </c>
      <c r="AA117" s="654">
        <v>1.0000000000000002</v>
      </c>
      <c r="AB117" s="654">
        <v>6.9388939039072284E-18</v>
      </c>
      <c r="AC117" s="654">
        <v>0</v>
      </c>
      <c r="AD117" s="654">
        <v>0</v>
      </c>
      <c r="AE117" s="654">
        <v>0</v>
      </c>
      <c r="AH117" s="655"/>
      <c r="AN117" s="659"/>
      <c r="AO117" s="659"/>
      <c r="AP117" s="659"/>
      <c r="AQ117" s="659"/>
      <c r="AR117" s="665"/>
      <c r="AS117" s="654"/>
      <c r="AT117" s="654"/>
      <c r="AU117" s="654"/>
      <c r="AV117" s="654"/>
      <c r="AW117" s="654"/>
      <c r="AY117" s="1165">
        <v>2</v>
      </c>
      <c r="AZ117" s="1162" t="s">
        <v>2042</v>
      </c>
      <c r="BA117" s="1145">
        <v>0.37</v>
      </c>
      <c r="BB117" s="1145">
        <v>0.13</v>
      </c>
      <c r="BC117" s="1146">
        <v>0</v>
      </c>
      <c r="BD117" s="1186">
        <v>0.37</v>
      </c>
      <c r="BE117" s="1186">
        <v>0.13</v>
      </c>
      <c r="BF117" s="1185">
        <v>0</v>
      </c>
      <c r="BG117" s="1151" t="s">
        <v>2071</v>
      </c>
      <c r="BI117" s="1152"/>
    </row>
    <row r="118" spans="1:61" ht="15.9" customHeight="1">
      <c r="B118" s="1341"/>
      <c r="C118" s="711"/>
      <c r="D118" s="711"/>
      <c r="E118" s="711"/>
      <c r="F118" s="711"/>
      <c r="K118" s="652"/>
      <c r="L118" s="654"/>
      <c r="M118" s="654"/>
      <c r="N118" s="654"/>
      <c r="O118" s="652"/>
      <c r="P118" s="659"/>
      <c r="Q118" s="659"/>
      <c r="R118" s="654"/>
      <c r="S118" s="654"/>
      <c r="T118" s="654"/>
      <c r="U118" s="654"/>
      <c r="V118" s="654"/>
      <c r="W118" s="654"/>
      <c r="X118" s="654"/>
      <c r="Y118" s="654"/>
      <c r="Z118" s="654">
        <v>-2.7755575615628914E-17</v>
      </c>
      <c r="AA118" s="654">
        <v>6.9388939039072284E-18</v>
      </c>
      <c r="AB118" s="654">
        <v>1</v>
      </c>
      <c r="AC118" s="654">
        <v>0</v>
      </c>
      <c r="AD118" s="654">
        <v>0</v>
      </c>
      <c r="AE118" s="654">
        <v>0</v>
      </c>
      <c r="AH118" s="655"/>
      <c r="AN118" s="659"/>
      <c r="AO118" s="659"/>
      <c r="AP118" s="659"/>
      <c r="AQ118" s="659"/>
      <c r="AR118" s="665"/>
      <c r="AS118" s="654"/>
      <c r="AT118" s="654"/>
      <c r="AU118" s="654"/>
      <c r="AV118" s="654"/>
      <c r="AW118" s="654"/>
      <c r="AY118" s="1165">
        <v>3</v>
      </c>
      <c r="AZ118" s="1162" t="s">
        <v>2040</v>
      </c>
      <c r="BA118" s="1145">
        <v>0.37</v>
      </c>
      <c r="BB118" s="1145">
        <v>0.13</v>
      </c>
      <c r="BC118" s="1146">
        <v>0</v>
      </c>
      <c r="BD118" s="1186">
        <v>0.37</v>
      </c>
      <c r="BE118" s="1186">
        <v>0.13</v>
      </c>
      <c r="BF118" s="1185">
        <v>0</v>
      </c>
      <c r="BG118" s="1148" t="s">
        <v>2072</v>
      </c>
      <c r="BH118" s="1149"/>
      <c r="BI118" s="1150"/>
    </row>
    <row r="119" spans="1:61" ht="15.9" customHeight="1">
      <c r="I119" s="711"/>
      <c r="K119" s="652"/>
      <c r="L119" s="654"/>
      <c r="M119" s="654"/>
      <c r="N119" s="654"/>
      <c r="O119" s="652"/>
      <c r="P119" s="659"/>
      <c r="Q119" s="659"/>
      <c r="R119" s="654"/>
      <c r="S119" s="654"/>
      <c r="T119" s="654"/>
      <c r="U119" s="654"/>
      <c r="V119" s="654"/>
      <c r="W119" s="654"/>
      <c r="X119" s="654"/>
      <c r="Y119" s="654"/>
      <c r="Z119" s="654">
        <v>0</v>
      </c>
      <c r="AA119" s="654">
        <v>0</v>
      </c>
      <c r="AB119" s="654">
        <v>0</v>
      </c>
      <c r="AC119" s="654">
        <v>1</v>
      </c>
      <c r="AD119" s="654">
        <v>-3.4694469519536142E-17</v>
      </c>
      <c r="AE119" s="654">
        <v>1.3877787807814457E-17</v>
      </c>
      <c r="AH119" s="655"/>
      <c r="AN119" s="659"/>
      <c r="AO119" s="659"/>
      <c r="AP119" s="659"/>
      <c r="AQ119" s="659"/>
      <c r="AR119" s="665"/>
      <c r="AS119" s="654"/>
      <c r="AT119" s="654"/>
      <c r="AU119" s="654"/>
      <c r="AV119" s="654"/>
      <c r="AW119" s="654"/>
      <c r="AY119" s="1165">
        <v>4</v>
      </c>
      <c r="AZ119" s="1162" t="s">
        <v>2041</v>
      </c>
      <c r="BA119" s="1145">
        <v>0.37</v>
      </c>
      <c r="BB119" s="1145">
        <v>0.13</v>
      </c>
      <c r="BC119" s="1146">
        <v>0</v>
      </c>
      <c r="BD119" s="1186">
        <v>0.37</v>
      </c>
      <c r="BE119" s="1186">
        <v>0.13</v>
      </c>
      <c r="BF119" s="1185">
        <v>0</v>
      </c>
      <c r="BG119" s="1153" t="s">
        <v>2073</v>
      </c>
      <c r="BH119" s="1154"/>
      <c r="BI119" s="1155"/>
    </row>
    <row r="120" spans="1:61" ht="15.9" customHeight="1">
      <c r="K120" s="652"/>
      <c r="L120" s="654"/>
      <c r="M120" s="654"/>
      <c r="N120" s="654"/>
      <c r="O120" s="652"/>
      <c r="P120" s="659"/>
      <c r="Q120" s="659"/>
      <c r="R120" s="654"/>
      <c r="S120" s="654"/>
      <c r="T120" s="654"/>
      <c r="U120" s="654"/>
      <c r="V120" s="654"/>
      <c r="W120" s="654"/>
      <c r="X120" s="654"/>
      <c r="Y120" s="654"/>
      <c r="Z120" s="654">
        <v>0</v>
      </c>
      <c r="AA120" s="654">
        <v>0</v>
      </c>
      <c r="AB120" s="654">
        <v>0</v>
      </c>
      <c r="AC120" s="654">
        <v>-1.1969591984239969E-16</v>
      </c>
      <c r="AD120" s="654">
        <v>0.99999999999999989</v>
      </c>
      <c r="AE120" s="654">
        <v>2.7755575615628914E-17</v>
      </c>
      <c r="AN120" s="659"/>
      <c r="AO120" s="659"/>
      <c r="AP120" s="659"/>
      <c r="AQ120" s="659"/>
      <c r="AR120" s="652"/>
      <c r="AS120" s="654"/>
      <c r="AT120" s="654"/>
      <c r="AU120" s="654"/>
      <c r="AV120" s="654"/>
    </row>
    <row r="121" spans="1:61" ht="15.9" customHeight="1">
      <c r="Z121" s="654">
        <v>0</v>
      </c>
      <c r="AA121" s="654">
        <v>0</v>
      </c>
      <c r="AB121" s="654">
        <v>0</v>
      </c>
      <c r="AC121" s="654">
        <v>-1.3877787807814457E-17</v>
      </c>
      <c r="AD121" s="654">
        <v>1.3877787807814457E-17</v>
      </c>
      <c r="AE121" s="654">
        <v>0.99999999999999978</v>
      </c>
      <c r="AR121" s="669"/>
      <c r="AS121" s="676"/>
      <c r="AT121" s="676"/>
      <c r="AU121" s="676"/>
      <c r="AV121" s="676"/>
      <c r="BC121" s="771" t="s">
        <v>2063</v>
      </c>
    </row>
    <row r="122" spans="1:61" ht="15.9" customHeight="1">
      <c r="K122" s="653"/>
      <c r="L122" s="652"/>
      <c r="M122" s="652"/>
      <c r="Q122" s="654"/>
      <c r="AR122" s="669"/>
      <c r="AS122" s="676"/>
      <c r="AT122" s="676"/>
      <c r="AU122" s="676"/>
      <c r="AV122" s="676"/>
      <c r="AY122" s="674" t="s">
        <v>2061</v>
      </c>
      <c r="AZ122" s="669" t="s">
        <v>2025</v>
      </c>
      <c r="BA122" s="652" t="s">
        <v>1994</v>
      </c>
      <c r="BB122" s="669" t="s">
        <v>1996</v>
      </c>
      <c r="BC122" s="1080" t="s">
        <v>2037</v>
      </c>
      <c r="BE122" s="699" t="s">
        <v>2062</v>
      </c>
    </row>
    <row r="123" spans="1:61" ht="15.9" customHeight="1">
      <c r="C123" s="674"/>
      <c r="D123" s="682"/>
      <c r="E123" s="674"/>
      <c r="F123" s="659"/>
      <c r="K123" s="653"/>
      <c r="L123" s="653"/>
      <c r="M123" s="652"/>
      <c r="O123" s="652"/>
      <c r="P123" s="659"/>
      <c r="Q123" s="659"/>
      <c r="R123" s="660"/>
      <c r="S123" s="660"/>
      <c r="T123" s="660"/>
      <c r="U123" s="660"/>
      <c r="V123" s="660"/>
      <c r="W123" s="660"/>
      <c r="X123" s="660"/>
      <c r="Y123" s="660"/>
      <c r="AJ123" s="655"/>
      <c r="AK123" s="655"/>
      <c r="AL123" s="655"/>
      <c r="AM123" s="655"/>
      <c r="AP123" s="655"/>
      <c r="AR123" s="669"/>
      <c r="AS123" s="676"/>
      <c r="AT123" s="676"/>
      <c r="AU123" s="676"/>
      <c r="AV123" s="676"/>
      <c r="AY123" s="1164">
        <v>8</v>
      </c>
      <c r="AZ123" s="1162" t="s">
        <v>2027</v>
      </c>
      <c r="BA123" s="1144">
        <v>0.27492970007609691</v>
      </c>
      <c r="BB123" s="1144">
        <v>0.14680962807679929</v>
      </c>
      <c r="BC123" s="1144">
        <v>0.11714634186495741</v>
      </c>
      <c r="BE123" s="1185">
        <f t="shared" ref="BE123:BE134" si="94">BC123/BA123</f>
        <v>0.42609562310849958</v>
      </c>
    </row>
    <row r="124" spans="1:61" ht="15.9" customHeight="1" thickBot="1">
      <c r="A124" s="1083"/>
      <c r="B124" s="1084"/>
      <c r="C124" s="1083"/>
      <c r="D124" s="1083"/>
      <c r="E124" s="1083"/>
      <c r="F124" s="1083"/>
      <c r="G124" s="1083"/>
      <c r="H124" s="1083"/>
      <c r="I124" s="1083"/>
      <c r="J124" s="1083"/>
      <c r="L124" s="652"/>
      <c r="M124" s="652"/>
      <c r="N124" s="668"/>
      <c r="O124" s="652"/>
      <c r="P124" s="659"/>
      <c r="Q124" s="668"/>
      <c r="R124" s="665"/>
      <c r="S124" s="665"/>
      <c r="T124" s="665"/>
      <c r="U124" s="665"/>
      <c r="V124" s="665"/>
      <c r="W124" s="665"/>
      <c r="X124" s="665"/>
      <c r="Y124" s="665"/>
      <c r="Z124" s="652"/>
      <c r="AI124" s="712"/>
      <c r="AJ124" s="1382"/>
      <c r="AK124" s="1382"/>
      <c r="AL124" s="1382"/>
      <c r="AM124" s="711"/>
      <c r="AP124" s="655"/>
      <c r="AQ124" s="656"/>
      <c r="AR124" s="669"/>
      <c r="AS124" s="676"/>
      <c r="AT124" s="676"/>
      <c r="AU124" s="676"/>
      <c r="AV124" s="676"/>
      <c r="AY124" s="1164">
        <v>5</v>
      </c>
      <c r="AZ124" s="1162" t="s">
        <v>2026</v>
      </c>
      <c r="BA124" s="1144">
        <v>0.43112482256270679</v>
      </c>
      <c r="BB124" s="1144">
        <v>0.14680962807679929</v>
      </c>
      <c r="BC124" s="1144">
        <v>0.11714634186495741</v>
      </c>
      <c r="BE124" s="1185">
        <f t="shared" si="94"/>
        <v>0.27172256324424132</v>
      </c>
    </row>
    <row r="125" spans="1:61" ht="15.9" customHeight="1">
      <c r="A125" s="1083"/>
      <c r="B125" s="1085"/>
      <c r="C125" s="1086" t="s">
        <v>1969</v>
      </c>
      <c r="D125" s="1086" t="s">
        <v>1968</v>
      </c>
      <c r="E125" s="1086" t="s">
        <v>1967</v>
      </c>
      <c r="F125" s="1086" t="s">
        <v>1966</v>
      </c>
      <c r="G125" s="1086"/>
      <c r="H125" s="1086" t="s">
        <v>1566</v>
      </c>
      <c r="I125" s="1087" t="str">
        <f>P4</f>
        <v>IM7/977[SI]</v>
      </c>
      <c r="J125" s="1086"/>
      <c r="K125" s="652"/>
      <c r="L125" s="665"/>
      <c r="M125" s="652"/>
      <c r="N125" s="668"/>
      <c r="O125" s="652"/>
      <c r="P125" s="659"/>
      <c r="Q125" s="659"/>
      <c r="R125" s="682"/>
      <c r="S125" s="682"/>
      <c r="T125" s="682"/>
      <c r="U125" s="682"/>
      <c r="V125" s="682"/>
      <c r="W125" s="682"/>
      <c r="X125" s="682"/>
      <c r="Y125" s="682"/>
      <c r="AA125" s="659"/>
      <c r="AD125" s="652"/>
      <c r="AE125" s="668"/>
      <c r="AF125" s="668"/>
      <c r="AG125" s="668"/>
      <c r="AH125" s="659"/>
      <c r="AI125" s="668"/>
      <c r="AJ125" s="665"/>
      <c r="AK125" s="665"/>
      <c r="AL125" s="665"/>
      <c r="AM125" s="652"/>
      <c r="AN125" s="673"/>
      <c r="AO125" s="655"/>
      <c r="AP125" s="656"/>
      <c r="AQ125" s="656"/>
      <c r="AR125" s="669"/>
      <c r="AS125" s="676"/>
      <c r="AT125" s="676"/>
      <c r="AU125" s="676"/>
      <c r="AV125" s="676"/>
      <c r="AY125" s="1164">
        <v>10</v>
      </c>
      <c r="AZ125" s="1162" t="s">
        <v>2029</v>
      </c>
      <c r="BA125" s="1144">
        <v>0.21759518870547614</v>
      </c>
      <c r="BB125" s="1144">
        <v>0.16509535882576759</v>
      </c>
      <c r="BC125" s="1144">
        <v>9.7621951554131184E-2</v>
      </c>
      <c r="BE125" s="1185">
        <f t="shared" si="94"/>
        <v>0.4486402118305402</v>
      </c>
    </row>
    <row r="126" spans="1:61" ht="15.9" customHeight="1">
      <c r="A126" s="1083"/>
      <c r="B126" s="1088"/>
      <c r="C126" s="1089">
        <f>F129</f>
        <v>90</v>
      </c>
      <c r="D126" s="1089">
        <f>E129</f>
        <v>-45</v>
      </c>
      <c r="E126" s="1089">
        <f>D129</f>
        <v>45</v>
      </c>
      <c r="F126" s="1089">
        <f>C129</f>
        <v>0</v>
      </c>
      <c r="G126" s="1090" t="s">
        <v>1955</v>
      </c>
      <c r="H126" s="1091" t="s">
        <v>1957</v>
      </c>
      <c r="I126" s="1091" t="s">
        <v>1953</v>
      </c>
      <c r="J126" s="1091"/>
      <c r="K126" s="652"/>
      <c r="L126" s="654"/>
      <c r="M126" s="652"/>
      <c r="N126" s="668"/>
      <c r="O126" s="652"/>
      <c r="P126" s="659"/>
      <c r="Q126" s="654"/>
      <c r="R126" s="660"/>
      <c r="S126" s="660"/>
      <c r="T126" s="660"/>
      <c r="U126" s="660"/>
      <c r="V126" s="660"/>
      <c r="W126" s="660"/>
      <c r="X126" s="660"/>
      <c r="Y126" s="660"/>
      <c r="AD126" s="665"/>
      <c r="AE126" s="652"/>
      <c r="AF126" s="668"/>
      <c r="AG126" s="652"/>
      <c r="AH126" s="659"/>
      <c r="AI126" s="659"/>
      <c r="AJ126" s="682"/>
      <c r="AK126" s="682"/>
      <c r="AL126" s="682"/>
      <c r="AN126" s="659"/>
      <c r="AO126" s="655"/>
      <c r="AP126" s="656"/>
      <c r="AQ126" s="656"/>
      <c r="AR126" s="669"/>
      <c r="AS126" s="676"/>
      <c r="AT126" s="676"/>
      <c r="AU126" s="676"/>
      <c r="AV126" s="676"/>
      <c r="AY126" s="1164">
        <v>4</v>
      </c>
      <c r="AZ126" s="1162" t="s">
        <v>2028</v>
      </c>
      <c r="BA126" s="1144">
        <v>0.45188787243539097</v>
      </c>
      <c r="BB126" s="1144">
        <v>0.16509535882576759</v>
      </c>
      <c r="BC126" s="1144">
        <v>9.7621951554131184E-2</v>
      </c>
      <c r="BE126" s="1185">
        <f t="shared" si="94"/>
        <v>0.21603135978845894</v>
      </c>
    </row>
    <row r="127" spans="1:61" ht="15.9" customHeight="1">
      <c r="A127" s="1083"/>
      <c r="B127" s="1088"/>
      <c r="C127" s="1089">
        <f>F130</f>
        <v>1</v>
      </c>
      <c r="D127" s="1089">
        <f>E130</f>
        <v>1</v>
      </c>
      <c r="E127" s="1089">
        <f>D130</f>
        <v>1</v>
      </c>
      <c r="F127" s="1089">
        <f>C130</f>
        <v>1</v>
      </c>
      <c r="G127" s="1092">
        <f>G130</f>
        <v>1</v>
      </c>
      <c r="H127" s="1093">
        <f>(C127+D127+E127+F127)*G127</f>
        <v>4</v>
      </c>
      <c r="I127" s="1094">
        <f>H127*T9/1000</f>
        <v>0.5</v>
      </c>
      <c r="J127" s="1091"/>
      <c r="K127" s="653"/>
      <c r="L127" s="654"/>
      <c r="M127" s="652"/>
      <c r="N127" s="668"/>
      <c r="O127" s="652"/>
      <c r="P127" s="659"/>
      <c r="Q127" s="659"/>
      <c r="R127" s="660"/>
      <c r="S127" s="660"/>
      <c r="T127" s="660"/>
      <c r="U127" s="660"/>
      <c r="V127" s="660"/>
      <c r="W127" s="660"/>
      <c r="X127" s="660"/>
      <c r="Y127" s="660"/>
      <c r="AA127" s="1383"/>
      <c r="AD127" s="654"/>
      <c r="AE127" s="652"/>
      <c r="AF127" s="668"/>
      <c r="AG127" s="652"/>
      <c r="AH127" s="659"/>
      <c r="AI127" s="654"/>
      <c r="AJ127" s="660"/>
      <c r="AK127" s="660"/>
      <c r="AL127" s="660"/>
      <c r="AN127" s="655"/>
      <c r="AO127" s="655"/>
      <c r="AP127" s="668"/>
      <c r="AQ127" s="661"/>
      <c r="AR127" s="669"/>
      <c r="AS127" s="676"/>
      <c r="AT127" s="676"/>
      <c r="AU127" s="676"/>
      <c r="AV127" s="676"/>
      <c r="AY127" s="1164">
        <v>11</v>
      </c>
      <c r="AZ127" s="1162" t="s">
        <v>2031</v>
      </c>
      <c r="BA127" s="1144">
        <v>0.21264055045804439</v>
      </c>
      <c r="BB127" s="1144">
        <v>9.1952435829894374E-2</v>
      </c>
      <c r="BC127" s="1144">
        <v>5.8573170932478706E-2</v>
      </c>
      <c r="BE127" s="1185">
        <f t="shared" si="94"/>
        <v>0.27545626084162927</v>
      </c>
    </row>
    <row r="128" spans="1:61" ht="15.9" customHeight="1">
      <c r="A128" s="1083"/>
      <c r="B128" s="1088"/>
      <c r="C128" s="1091" t="s">
        <v>1962</v>
      </c>
      <c r="D128" s="1091" t="s">
        <v>1963</v>
      </c>
      <c r="E128" s="1091" t="s">
        <v>1964</v>
      </c>
      <c r="F128" s="1091" t="s">
        <v>1965</v>
      </c>
      <c r="G128" s="1091" t="s">
        <v>234</v>
      </c>
      <c r="H128" s="1096"/>
      <c r="I128" s="1093"/>
      <c r="J128" s="1091"/>
      <c r="K128" s="652"/>
      <c r="L128" s="654"/>
      <c r="M128" s="654"/>
      <c r="N128" s="660"/>
      <c r="O128" s="652"/>
      <c r="P128" s="654"/>
      <c r="Q128" s="654"/>
      <c r="R128" s="654"/>
      <c r="S128" s="654"/>
      <c r="T128" s="654"/>
      <c r="U128" s="654"/>
      <c r="V128" s="654"/>
      <c r="W128" s="654"/>
      <c r="X128" s="654"/>
      <c r="Y128" s="654"/>
      <c r="AD128" s="654"/>
      <c r="AE128" s="652"/>
      <c r="AF128" s="668"/>
      <c r="AG128" s="652"/>
      <c r="AH128" s="659"/>
      <c r="AI128" s="659"/>
      <c r="AJ128" s="660"/>
      <c r="AK128" s="660"/>
      <c r="AL128" s="660"/>
      <c r="AN128" s="1383"/>
      <c r="AO128" s="655"/>
      <c r="AP128" s="656"/>
      <c r="AQ128" s="669"/>
      <c r="AR128" s="652"/>
      <c r="AS128" s="654"/>
      <c r="AT128" s="654"/>
      <c r="AU128" s="654"/>
      <c r="AV128" s="654"/>
      <c r="AY128" s="1164">
        <v>9</v>
      </c>
      <c r="AZ128" s="1162" t="s">
        <v>2029</v>
      </c>
      <c r="BA128" s="1143">
        <v>0.25912128845084442</v>
      </c>
      <c r="BB128" s="1143">
        <v>0.20166682032370417</v>
      </c>
      <c r="BC128" s="1143">
        <v>5.8573170932478706E-2</v>
      </c>
      <c r="BE128" s="1185">
        <f t="shared" si="94"/>
        <v>0.22604538315882178</v>
      </c>
    </row>
    <row r="129" spans="1:59" ht="15.9" customHeight="1">
      <c r="A129" s="1083"/>
      <c r="B129" s="1088"/>
      <c r="C129" s="1097">
        <v>0</v>
      </c>
      <c r="D129" s="1097">
        <v>45</v>
      </c>
      <c r="E129" s="1097">
        <v>-45</v>
      </c>
      <c r="F129" s="1097">
        <v>90</v>
      </c>
      <c r="G129" s="1098" t="s">
        <v>1955</v>
      </c>
      <c r="H129" s="1096" t="s">
        <v>1958</v>
      </c>
      <c r="I129" s="1096" t="s">
        <v>1954</v>
      </c>
      <c r="J129" s="1091"/>
      <c r="K129" s="652"/>
      <c r="L129" s="668"/>
      <c r="M129" s="652"/>
      <c r="N129" s="661"/>
      <c r="O129" s="652"/>
      <c r="P129" s="659"/>
      <c r="Q129" s="668"/>
      <c r="R129" s="665"/>
      <c r="S129" s="665"/>
      <c r="T129" s="665"/>
      <c r="U129" s="665"/>
      <c r="V129" s="665"/>
      <c r="W129" s="665"/>
      <c r="X129" s="665"/>
      <c r="Y129" s="665"/>
      <c r="Z129" s="652"/>
      <c r="AD129" s="654"/>
      <c r="AE129" s="654"/>
      <c r="AF129" s="660"/>
      <c r="AG129" s="652"/>
      <c r="AH129" s="654"/>
      <c r="AI129" s="654"/>
      <c r="AJ129" s="654"/>
      <c r="AK129" s="654"/>
      <c r="AL129" s="654"/>
      <c r="AN129" s="655"/>
      <c r="AO129" s="655"/>
      <c r="AP129" s="668"/>
      <c r="AQ129" s="661"/>
      <c r="AR129" s="652"/>
      <c r="AS129" s="654"/>
      <c r="AT129" s="654"/>
      <c r="AU129" s="654"/>
      <c r="AV129" s="654"/>
      <c r="AY129" s="1164">
        <v>6</v>
      </c>
      <c r="AZ129" s="1162" t="s">
        <v>2030</v>
      </c>
      <c r="BA129" s="1144">
        <v>0.33721884969414939</v>
      </c>
      <c r="BB129" s="1144">
        <v>0.20166682032370417</v>
      </c>
      <c r="BC129" s="1144">
        <v>5.8573170932478706E-2</v>
      </c>
      <c r="BE129" s="1185">
        <f t="shared" si="94"/>
        <v>0.17369483048057183</v>
      </c>
    </row>
    <row r="130" spans="1:59" ht="15.9" customHeight="1">
      <c r="A130" s="1083"/>
      <c r="B130" s="1088"/>
      <c r="C130" s="1099">
        <v>1</v>
      </c>
      <c r="D130" s="1100">
        <v>1</v>
      </c>
      <c r="E130" s="1100">
        <v>1</v>
      </c>
      <c r="F130" s="1100">
        <v>1</v>
      </c>
      <c r="G130" s="1101">
        <v>1</v>
      </c>
      <c r="H130" s="1093">
        <f>(C130+D130+E130+F130)*G130</f>
        <v>4</v>
      </c>
      <c r="I130" s="1094">
        <f>I127</f>
        <v>0.5</v>
      </c>
      <c r="J130" s="1091"/>
      <c r="K130" s="652"/>
      <c r="L130" s="665"/>
      <c r="M130" s="652"/>
      <c r="N130" s="668"/>
      <c r="O130" s="652"/>
      <c r="P130" s="659"/>
      <c r="Q130" s="659"/>
      <c r="R130" s="682"/>
      <c r="S130" s="682"/>
      <c r="T130" s="682"/>
      <c r="U130" s="682"/>
      <c r="V130" s="682"/>
      <c r="W130" s="682"/>
      <c r="X130" s="682"/>
      <c r="Y130" s="682"/>
      <c r="AA130" s="659"/>
      <c r="AD130" s="668"/>
      <c r="AE130" s="661"/>
      <c r="AF130" s="661"/>
      <c r="AG130" s="661"/>
      <c r="AH130" s="664"/>
      <c r="AI130" s="668"/>
      <c r="AJ130" s="665"/>
      <c r="AK130" s="665"/>
      <c r="AL130" s="665"/>
      <c r="AM130" s="652"/>
      <c r="AN130" s="655"/>
      <c r="AO130" s="655"/>
      <c r="AP130" s="656"/>
      <c r="AQ130" s="656"/>
      <c r="AY130" s="1164">
        <v>2</v>
      </c>
      <c r="AZ130" s="1162" t="s">
        <v>2032</v>
      </c>
      <c r="BA130" s="1144">
        <v>0.6031283566745691</v>
      </c>
      <c r="BB130" s="1144">
        <v>9.1952435829894374E-2</v>
      </c>
      <c r="BC130" s="1144">
        <v>5.8573170932478706E-2</v>
      </c>
      <c r="BE130" s="1185">
        <f t="shared" si="94"/>
        <v>9.7115597839620607E-2</v>
      </c>
    </row>
    <row r="131" spans="1:59" ht="15.9" customHeight="1">
      <c r="A131" s="1083"/>
      <c r="B131" s="1088"/>
      <c r="C131" s="1091"/>
      <c r="D131" s="1091"/>
      <c r="E131" s="1091"/>
      <c r="F131" s="1091"/>
      <c r="G131" s="1103" t="s">
        <v>1956</v>
      </c>
      <c r="H131" s="1104">
        <f>H127+H130</f>
        <v>8</v>
      </c>
      <c r="I131" s="1105">
        <f>I127+I130</f>
        <v>1</v>
      </c>
      <c r="J131" s="1091"/>
      <c r="K131" s="652"/>
      <c r="L131" s="654"/>
      <c r="M131" s="652"/>
      <c r="N131" s="661"/>
      <c r="O131" s="652"/>
      <c r="P131" s="659"/>
      <c r="Q131" s="654"/>
      <c r="R131" s="654"/>
      <c r="S131" s="654"/>
      <c r="T131" s="654"/>
      <c r="U131" s="654"/>
      <c r="V131" s="654"/>
      <c r="W131" s="654"/>
      <c r="X131" s="654"/>
      <c r="Y131" s="654"/>
      <c r="AD131" s="665"/>
      <c r="AE131" s="652"/>
      <c r="AF131" s="668"/>
      <c r="AG131" s="652"/>
      <c r="AH131" s="659"/>
      <c r="AI131" s="659"/>
      <c r="AJ131" s="682"/>
      <c r="AK131" s="682"/>
      <c r="AL131" s="682"/>
      <c r="AN131" s="659"/>
      <c r="AO131" s="655"/>
      <c r="AP131" s="673"/>
      <c r="AQ131" s="656"/>
      <c r="AY131" s="1042">
        <v>12</v>
      </c>
      <c r="AZ131" s="1162" t="s">
        <v>2034</v>
      </c>
      <c r="BA131" s="1143">
        <v>0.1553060390874236</v>
      </c>
      <c r="BB131" s="1144">
        <v>0.11023816657886266</v>
      </c>
      <c r="BC131" s="1144">
        <v>3.9048780621652478E-2</v>
      </c>
      <c r="BE131" s="1185">
        <f t="shared" si="94"/>
        <v>0.25143117969592577</v>
      </c>
    </row>
    <row r="132" spans="1:59" ht="15.9" customHeight="1">
      <c r="A132" s="1084"/>
      <c r="B132" s="1088"/>
      <c r="C132" s="1103" t="s">
        <v>1331</v>
      </c>
      <c r="D132" s="1103" t="s">
        <v>1888</v>
      </c>
      <c r="E132" s="1103" t="s">
        <v>915</v>
      </c>
      <c r="F132" s="1103"/>
      <c r="G132" s="1103"/>
      <c r="H132" s="1103" t="s">
        <v>1330</v>
      </c>
      <c r="I132" s="1103" t="s">
        <v>1883</v>
      </c>
      <c r="J132" s="1103" t="s">
        <v>909</v>
      </c>
      <c r="K132" s="652"/>
      <c r="L132" s="659"/>
      <c r="M132" s="652"/>
      <c r="N132" s="668"/>
      <c r="O132" s="652"/>
      <c r="P132" s="659"/>
      <c r="Q132" s="654"/>
      <c r="R132" s="654"/>
      <c r="S132" s="654"/>
      <c r="T132" s="654"/>
      <c r="U132" s="654"/>
      <c r="V132" s="654"/>
      <c r="W132" s="654"/>
      <c r="X132" s="654"/>
      <c r="Y132" s="654"/>
      <c r="AD132" s="654"/>
      <c r="AE132" s="652"/>
      <c r="AF132" s="661"/>
      <c r="AG132" s="652"/>
      <c r="AH132" s="664"/>
      <c r="AI132" s="654"/>
      <c r="AJ132" s="654"/>
      <c r="AK132" s="654"/>
      <c r="AL132" s="654"/>
      <c r="AM132" s="674"/>
      <c r="AN132" s="655"/>
      <c r="AO132" s="655"/>
      <c r="AP132" s="655"/>
      <c r="AY132" s="1042">
        <v>1</v>
      </c>
      <c r="AZ132" s="1162" t="s">
        <v>2033</v>
      </c>
      <c r="BA132" s="1143">
        <v>0.62389140654725328</v>
      </c>
      <c r="BB132" s="1144">
        <v>0.11023816657886266</v>
      </c>
      <c r="BC132" s="1144">
        <v>3.9048780621652478E-2</v>
      </c>
      <c r="BE132" s="1185">
        <f t="shared" si="94"/>
        <v>6.2589066321263612E-2</v>
      </c>
    </row>
    <row r="133" spans="1:59">
      <c r="A133" s="1084"/>
      <c r="B133" s="1088"/>
      <c r="C133" s="1106" t="s">
        <v>1889</v>
      </c>
      <c r="D133" s="1106" t="s">
        <v>1889</v>
      </c>
      <c r="E133" s="1106" t="s">
        <v>1889</v>
      </c>
      <c r="F133" s="1103"/>
      <c r="G133" s="1103"/>
      <c r="H133" s="1107" t="s">
        <v>2004</v>
      </c>
      <c r="I133" s="1108" t="s">
        <v>1884</v>
      </c>
      <c r="J133" s="1108" t="s">
        <v>1887</v>
      </c>
      <c r="K133" s="652"/>
      <c r="L133" s="654"/>
      <c r="M133" s="654"/>
      <c r="N133" s="660"/>
      <c r="O133" s="652"/>
      <c r="P133" s="659"/>
      <c r="Q133" s="659"/>
      <c r="R133" s="654"/>
      <c r="S133" s="654"/>
      <c r="T133" s="654"/>
      <c r="U133" s="654"/>
      <c r="V133" s="654"/>
      <c r="W133" s="654"/>
      <c r="X133" s="654"/>
      <c r="Y133" s="654"/>
      <c r="AD133" s="654"/>
      <c r="AE133" s="652"/>
      <c r="AF133" s="668"/>
      <c r="AG133" s="652"/>
      <c r="AH133" s="659"/>
      <c r="AI133" s="659"/>
      <c r="AJ133" s="659"/>
      <c r="AK133" s="659"/>
      <c r="AL133" s="659"/>
      <c r="AN133" s="1383"/>
      <c r="AO133" s="655"/>
      <c r="AP133" s="656"/>
      <c r="AQ133" s="656"/>
      <c r="AY133" s="1164">
        <v>7</v>
      </c>
      <c r="AZ133" s="1162" t="s">
        <v>2036</v>
      </c>
      <c r="BA133" s="1143">
        <v>0.32730957319928594</v>
      </c>
      <c r="BB133" s="1144">
        <v>5.5380974331957766E-2</v>
      </c>
      <c r="BC133" s="1144">
        <v>1.9524390310826235E-2</v>
      </c>
      <c r="BE133" s="1185">
        <f t="shared" si="94"/>
        <v>5.9651143472478275E-2</v>
      </c>
    </row>
    <row r="134" spans="1:59">
      <c r="A134" s="1083"/>
      <c r="B134" s="1088">
        <v>11</v>
      </c>
      <c r="C134" s="1110">
        <f t="shared" ref="C134:E139" si="95">AM88</f>
        <v>91.973739442629409</v>
      </c>
      <c r="D134" s="1110">
        <f t="shared" si="95"/>
        <v>74.961648839399501</v>
      </c>
      <c r="E134" s="1110">
        <f t="shared" si="95"/>
        <v>0</v>
      </c>
      <c r="F134" s="1091"/>
      <c r="G134" s="1103">
        <v>11</v>
      </c>
      <c r="H134" s="1098">
        <f t="shared" ref="H134:J139" si="96">AF88</f>
        <v>551.84243665577651</v>
      </c>
      <c r="I134" s="1384">
        <f t="shared" si="96"/>
        <v>1349.3096791091909</v>
      </c>
      <c r="J134" s="1385">
        <f t="shared" si="96"/>
        <v>0</v>
      </c>
      <c r="K134" s="674"/>
      <c r="L134" s="652"/>
      <c r="M134" s="652"/>
      <c r="N134" s="668"/>
      <c r="O134" s="652"/>
      <c r="P134" s="659"/>
      <c r="Q134" s="668"/>
      <c r="R134" s="665"/>
      <c r="S134" s="665"/>
      <c r="T134" s="665"/>
      <c r="U134" s="665"/>
      <c r="V134" s="665"/>
      <c r="W134" s="665"/>
      <c r="X134" s="665"/>
      <c r="Y134" s="665"/>
      <c r="Z134" s="652"/>
      <c r="AD134" s="654"/>
      <c r="AE134" s="654"/>
      <c r="AF134" s="660"/>
      <c r="AG134" s="652"/>
      <c r="AH134" s="654"/>
      <c r="AI134" s="654"/>
      <c r="AJ134" s="654"/>
      <c r="AK134" s="654"/>
      <c r="AL134" s="654"/>
      <c r="AM134" s="674"/>
      <c r="AN134" s="655"/>
      <c r="AO134" s="655"/>
      <c r="AP134" s="655"/>
      <c r="AY134" s="1164">
        <v>3</v>
      </c>
      <c r="AZ134" s="1162" t="s">
        <v>2035</v>
      </c>
      <c r="BA134" s="1143">
        <v>0.56160225692920074</v>
      </c>
      <c r="BB134" s="1144">
        <v>5.5380974331957766E-2</v>
      </c>
      <c r="BC134" s="1144">
        <v>1.9524390310826235E-2</v>
      </c>
      <c r="BE134" s="1185">
        <f t="shared" si="94"/>
        <v>3.4765512549013153E-2</v>
      </c>
    </row>
    <row r="135" spans="1:59">
      <c r="A135" s="1083"/>
      <c r="B135" s="1088">
        <v>22</v>
      </c>
      <c r="C135" s="1110">
        <f t="shared" si="95"/>
        <v>61.876325361322237</v>
      </c>
      <c r="D135" s="1110">
        <f t="shared" si="95"/>
        <v>70.113033337514196</v>
      </c>
      <c r="E135" s="1110">
        <f t="shared" si="95"/>
        <v>0</v>
      </c>
      <c r="F135" s="1091"/>
      <c r="G135" s="1103">
        <v>22</v>
      </c>
      <c r="H135" s="1110">
        <f t="shared" si="96"/>
        <v>371.25795216793347</v>
      </c>
      <c r="I135" s="1093">
        <f t="shared" si="96"/>
        <v>1262.0346000752556</v>
      </c>
      <c r="J135" s="1385">
        <f t="shared" si="96"/>
        <v>0</v>
      </c>
      <c r="K135" s="652"/>
      <c r="L135" s="665"/>
      <c r="M135" s="674"/>
      <c r="N135" s="682"/>
      <c r="O135" s="674"/>
      <c r="P135" s="682"/>
      <c r="Q135" s="659"/>
      <c r="R135" s="682"/>
      <c r="S135" s="682"/>
      <c r="T135" s="682"/>
      <c r="U135" s="682"/>
      <c r="V135" s="682"/>
      <c r="W135" s="682"/>
      <c r="X135" s="682"/>
      <c r="Y135" s="682"/>
      <c r="AA135" s="659"/>
      <c r="AD135" s="652"/>
      <c r="AE135" s="668"/>
      <c r="AF135" s="668"/>
      <c r="AG135" s="668"/>
      <c r="AH135" s="659"/>
      <c r="AI135" s="668"/>
      <c r="AJ135" s="665"/>
      <c r="AK135" s="665"/>
      <c r="AL135" s="665"/>
      <c r="AM135" s="652"/>
      <c r="AN135" s="655"/>
      <c r="AO135" s="655"/>
      <c r="AP135" s="655"/>
    </row>
    <row r="136" spans="1:59">
      <c r="A136" s="1083"/>
      <c r="B136" s="1088">
        <v>21</v>
      </c>
      <c r="C136" s="1110">
        <f t="shared" si="95"/>
        <v>27.690907910703331</v>
      </c>
      <c r="D136" s="1110">
        <f t="shared" si="95"/>
        <v>32.078599224222323</v>
      </c>
      <c r="E136" s="1110">
        <f t="shared" si="95"/>
        <v>0</v>
      </c>
      <c r="F136" s="1091"/>
      <c r="G136" s="1103">
        <v>21</v>
      </c>
      <c r="H136" s="1110">
        <f t="shared" si="96"/>
        <v>166.14544746421998</v>
      </c>
      <c r="I136" s="1384">
        <f t="shared" si="96"/>
        <v>577.41478603600183</v>
      </c>
      <c r="J136" s="1385">
        <f t="shared" si="96"/>
        <v>0</v>
      </c>
      <c r="K136" s="652"/>
      <c r="L136" s="654"/>
      <c r="M136" s="652"/>
      <c r="N136" s="668"/>
      <c r="O136" s="652"/>
      <c r="P136" s="659"/>
      <c r="Q136" s="654"/>
      <c r="R136" s="660"/>
      <c r="S136" s="660"/>
      <c r="T136" s="660"/>
      <c r="U136" s="660"/>
      <c r="V136" s="660"/>
      <c r="W136" s="660"/>
      <c r="X136" s="660"/>
      <c r="Y136" s="660"/>
      <c r="AD136" s="665"/>
      <c r="AE136" s="652"/>
      <c r="AF136" s="668"/>
      <c r="AG136" s="652"/>
      <c r="AH136" s="659"/>
      <c r="AI136" s="659"/>
      <c r="AJ136" s="682"/>
      <c r="AK136" s="682"/>
      <c r="AL136" s="682"/>
      <c r="AN136" s="659"/>
      <c r="AO136" s="655"/>
      <c r="AY136" s="674" t="s">
        <v>2061</v>
      </c>
      <c r="AZ136" s="669" t="s">
        <v>2025</v>
      </c>
      <c r="BA136" s="652" t="s">
        <v>1719</v>
      </c>
      <c r="BB136" s="652" t="s">
        <v>1721</v>
      </c>
      <c r="BC136" s="652" t="s">
        <v>2038</v>
      </c>
      <c r="BD136" s="652" t="s">
        <v>1994</v>
      </c>
      <c r="BE136" s="669" t="s">
        <v>1996</v>
      </c>
      <c r="BF136" s="669" t="s">
        <v>2037</v>
      </c>
      <c r="BG136" s="650" t="s">
        <v>2062</v>
      </c>
    </row>
    <row r="137" spans="1:59">
      <c r="A137" s="1083"/>
      <c r="B137" s="1088">
        <v>66</v>
      </c>
      <c r="C137" s="1110">
        <f t="shared" si="95"/>
        <v>31.979586528604301</v>
      </c>
      <c r="D137" s="1110">
        <f t="shared" si="95"/>
        <v>36.367277842123322</v>
      </c>
      <c r="E137" s="1110">
        <f t="shared" si="95"/>
        <v>0</v>
      </c>
      <c r="F137" s="1091"/>
      <c r="G137" s="1103">
        <v>66</v>
      </c>
      <c r="H137" s="1110">
        <f t="shared" si="96"/>
        <v>191.87751917162583</v>
      </c>
      <c r="I137" s="1384">
        <f t="shared" si="96"/>
        <v>654.61100115821978</v>
      </c>
      <c r="J137" s="1385">
        <f t="shared" si="96"/>
        <v>0</v>
      </c>
      <c r="K137" s="674"/>
      <c r="L137" s="654"/>
      <c r="M137" s="674"/>
      <c r="N137" s="682"/>
      <c r="O137" s="674"/>
      <c r="P137" s="682"/>
      <c r="Q137" s="659"/>
      <c r="R137" s="660"/>
      <c r="S137" s="660"/>
      <c r="T137" s="660"/>
      <c r="U137" s="660"/>
      <c r="V137" s="660"/>
      <c r="W137" s="660"/>
      <c r="X137" s="660"/>
      <c r="Y137" s="660"/>
      <c r="AA137" s="1383"/>
      <c r="AD137" s="654"/>
      <c r="AE137" s="652"/>
      <c r="AF137" s="668"/>
      <c r="AG137" s="652"/>
      <c r="AH137" s="659"/>
      <c r="AI137" s="654"/>
      <c r="AJ137" s="660"/>
      <c r="AK137" s="660"/>
      <c r="AL137" s="660"/>
      <c r="AN137" s="655"/>
      <c r="AO137" s="655"/>
      <c r="AY137" s="1164">
        <v>10</v>
      </c>
      <c r="AZ137" s="1162" t="s">
        <v>2029</v>
      </c>
      <c r="BA137" s="1145">
        <v>0.37</v>
      </c>
      <c r="BB137" s="1145">
        <v>0.13</v>
      </c>
      <c r="BC137" s="1146">
        <v>0</v>
      </c>
      <c r="BD137" s="1144">
        <v>0.21759518870547614</v>
      </c>
      <c r="BE137" s="1144">
        <v>0.16509535882576759</v>
      </c>
      <c r="BF137" s="1144">
        <v>9.7621951554131184E-2</v>
      </c>
      <c r="BG137" s="1163">
        <f t="shared" ref="BG137:BG148" si="97">BF137/BD137</f>
        <v>0.4486402118305402</v>
      </c>
    </row>
    <row r="138" spans="1:59">
      <c r="A138" s="1083"/>
      <c r="B138" s="1088">
        <v>61</v>
      </c>
      <c r="C138" s="1110">
        <f t="shared" si="95"/>
        <v>-5.2650168896833751</v>
      </c>
      <c r="D138" s="1110">
        <f t="shared" si="95"/>
        <v>-2.8499216033220471</v>
      </c>
      <c r="E138" s="1110">
        <f t="shared" si="95"/>
        <v>0</v>
      </c>
      <c r="F138" s="1091"/>
      <c r="G138" s="1103">
        <v>61</v>
      </c>
      <c r="H138" s="1110">
        <f t="shared" si="96"/>
        <v>-31.590101338100251</v>
      </c>
      <c r="I138" s="1384">
        <f t="shared" si="96"/>
        <v>-51.298588859796851</v>
      </c>
      <c r="J138" s="1385">
        <f t="shared" si="96"/>
        <v>0</v>
      </c>
      <c r="L138" s="654"/>
      <c r="M138" s="654"/>
      <c r="N138" s="660"/>
      <c r="O138" s="652"/>
      <c r="P138" s="654"/>
      <c r="Q138" s="654"/>
      <c r="R138" s="654"/>
      <c r="S138" s="654"/>
      <c r="T138" s="654"/>
      <c r="U138" s="654"/>
      <c r="V138" s="654"/>
      <c r="W138" s="654"/>
      <c r="X138" s="654"/>
      <c r="Y138" s="654"/>
      <c r="AD138" s="654"/>
      <c r="AE138" s="652"/>
      <c r="AF138" s="668"/>
      <c r="AG138" s="652"/>
      <c r="AH138" s="659"/>
      <c r="AI138" s="659"/>
      <c r="AJ138" s="660"/>
      <c r="AK138" s="660"/>
      <c r="AL138" s="660"/>
      <c r="AN138" s="1383"/>
      <c r="AO138" s="655"/>
      <c r="AY138" s="1164">
        <v>8</v>
      </c>
      <c r="AZ138" s="1162" t="s">
        <v>2027</v>
      </c>
      <c r="BA138" s="1145">
        <v>0.37</v>
      </c>
      <c r="BB138" s="1145">
        <v>0.13</v>
      </c>
      <c r="BC138" s="1146">
        <v>0</v>
      </c>
      <c r="BD138" s="1144">
        <v>0.27492970007609691</v>
      </c>
      <c r="BE138" s="1144">
        <v>0.14680962807679929</v>
      </c>
      <c r="BF138" s="1144">
        <v>0.11714634186495741</v>
      </c>
      <c r="BG138" s="1163">
        <f t="shared" si="97"/>
        <v>0.42609562310849958</v>
      </c>
    </row>
    <row r="139" spans="1:59">
      <c r="A139" s="1083"/>
      <c r="B139" s="1088">
        <v>62</v>
      </c>
      <c r="C139" s="1110">
        <f t="shared" si="95"/>
        <v>1.4362352604396287</v>
      </c>
      <c r="D139" s="1110">
        <f t="shared" si="95"/>
        <v>5.1798084004440748</v>
      </c>
      <c r="E139" s="1110">
        <f t="shared" si="95"/>
        <v>0</v>
      </c>
      <c r="F139" s="1091"/>
      <c r="G139" s="1103">
        <v>62</v>
      </c>
      <c r="H139" s="1110">
        <f t="shared" si="96"/>
        <v>8.6174115626377716</v>
      </c>
      <c r="I139" s="1384">
        <f t="shared" si="96"/>
        <v>93.23655120799333</v>
      </c>
      <c r="J139" s="1385">
        <f t="shared" si="96"/>
        <v>0</v>
      </c>
      <c r="K139" s="652"/>
      <c r="L139" s="668"/>
      <c r="M139" s="652"/>
      <c r="N139" s="661"/>
      <c r="O139" s="652"/>
      <c r="P139" s="664"/>
      <c r="Q139" s="668"/>
      <c r="R139" s="665"/>
      <c r="S139" s="665"/>
      <c r="T139" s="665"/>
      <c r="U139" s="665"/>
      <c r="V139" s="665"/>
      <c r="W139" s="665"/>
      <c r="X139" s="665"/>
      <c r="Y139" s="665"/>
      <c r="Z139" s="652"/>
      <c r="AD139" s="654"/>
      <c r="AE139" s="654"/>
      <c r="AF139" s="660"/>
      <c r="AG139" s="652"/>
      <c r="AH139" s="654"/>
      <c r="AI139" s="654"/>
      <c r="AJ139" s="654"/>
      <c r="AK139" s="654"/>
      <c r="AL139" s="654"/>
      <c r="AN139" s="655"/>
      <c r="AO139" s="655"/>
      <c r="AY139" s="1164">
        <v>11</v>
      </c>
      <c r="AZ139" s="1162" t="s">
        <v>2031</v>
      </c>
      <c r="BA139" s="1145">
        <v>0.37</v>
      </c>
      <c r="BB139" s="1145">
        <v>0.13</v>
      </c>
      <c r="BC139" s="1146">
        <v>0</v>
      </c>
      <c r="BD139" s="1144">
        <v>0.21264055045804439</v>
      </c>
      <c r="BE139" s="1144">
        <v>9.1952435829894374E-2</v>
      </c>
      <c r="BF139" s="1144">
        <v>5.8573170932478706E-2</v>
      </c>
      <c r="BG139" s="1163">
        <f t="shared" si="97"/>
        <v>0.27545626084162927</v>
      </c>
    </row>
    <row r="140" spans="1:59">
      <c r="A140" s="1083"/>
      <c r="B140" s="1088"/>
      <c r="C140" s="1091"/>
      <c r="D140" s="1091"/>
      <c r="E140" s="1112"/>
      <c r="F140" s="1091"/>
      <c r="G140" s="1103"/>
      <c r="H140" s="1113"/>
      <c r="I140" s="1113"/>
      <c r="J140" s="1113"/>
      <c r="K140" s="652"/>
      <c r="L140" s="665"/>
      <c r="M140" s="652"/>
      <c r="N140" s="668"/>
      <c r="O140" s="652"/>
      <c r="P140" s="659"/>
      <c r="Q140" s="659"/>
      <c r="R140" s="682"/>
      <c r="S140" s="682"/>
      <c r="T140" s="682"/>
      <c r="U140" s="682"/>
      <c r="V140" s="682"/>
      <c r="W140" s="682"/>
      <c r="X140" s="682"/>
      <c r="Y140" s="682"/>
      <c r="AA140" s="659"/>
      <c r="AD140" s="668"/>
      <c r="AE140" s="668"/>
      <c r="AF140" s="668"/>
      <c r="AG140" s="661"/>
      <c r="AH140" s="664"/>
      <c r="AI140" s="668"/>
      <c r="AJ140" s="665"/>
      <c r="AK140" s="665"/>
      <c r="AL140" s="665"/>
      <c r="AM140" s="652"/>
      <c r="AN140" s="655"/>
      <c r="AO140" s="655"/>
      <c r="AY140" s="1164">
        <v>5</v>
      </c>
      <c r="AZ140" s="1162" t="s">
        <v>2026</v>
      </c>
      <c r="BA140" s="1145">
        <v>0.37</v>
      </c>
      <c r="BB140" s="1145">
        <v>0.13</v>
      </c>
      <c r="BC140" s="1146">
        <v>0</v>
      </c>
      <c r="BD140" s="1144">
        <v>0.43112482256270679</v>
      </c>
      <c r="BE140" s="1144">
        <v>0.14680962807679929</v>
      </c>
      <c r="BF140" s="1144">
        <v>0.11714634186495741</v>
      </c>
      <c r="BG140" s="1163">
        <f t="shared" si="97"/>
        <v>0.27172256324424132</v>
      </c>
    </row>
    <row r="141" spans="1:59">
      <c r="A141" s="1083"/>
      <c r="B141" s="1088" t="s">
        <v>1718</v>
      </c>
      <c r="C141" s="1114">
        <f>C134+C135+2*C137</f>
        <v>217.80923786116026</v>
      </c>
      <c r="D141" s="1114">
        <f>D134+D135+2*D137</f>
        <v>217.80923786116034</v>
      </c>
      <c r="E141" s="1113">
        <f>E134+E135+2*E137</f>
        <v>0</v>
      </c>
      <c r="F141" s="1112"/>
      <c r="G141" s="1115" t="s">
        <v>1718</v>
      </c>
      <c r="H141" s="1116">
        <f>H134+H135+2*H137</f>
        <v>1306.8554271669616</v>
      </c>
      <c r="I141" s="1117">
        <f>I134+I135+2*I137</f>
        <v>3920.5662815008859</v>
      </c>
      <c r="J141" s="1380">
        <f>J134+J135+2*J137</f>
        <v>0</v>
      </c>
      <c r="K141" s="652"/>
      <c r="L141" s="654"/>
      <c r="M141" s="652"/>
      <c r="N141" s="661"/>
      <c r="O141" s="652"/>
      <c r="P141" s="664"/>
      <c r="Q141" s="654"/>
      <c r="R141" s="654"/>
      <c r="S141" s="654"/>
      <c r="T141" s="654"/>
      <c r="U141" s="654"/>
      <c r="V141" s="654"/>
      <c r="W141" s="654"/>
      <c r="X141" s="654"/>
      <c r="Y141" s="654"/>
      <c r="AD141" s="665"/>
      <c r="AE141" s="652"/>
      <c r="AF141" s="668"/>
      <c r="AG141" s="652"/>
      <c r="AH141" s="659"/>
      <c r="AI141" s="659"/>
      <c r="AJ141" s="682"/>
      <c r="AK141" s="682"/>
      <c r="AL141" s="682"/>
      <c r="AN141" s="659"/>
      <c r="AO141" s="655"/>
      <c r="AY141" s="1042">
        <v>12</v>
      </c>
      <c r="AZ141" s="1162" t="s">
        <v>2034</v>
      </c>
      <c r="BA141" s="1145">
        <v>0.37</v>
      </c>
      <c r="BB141" s="1145">
        <v>0.13</v>
      </c>
      <c r="BC141" s="1147">
        <v>0</v>
      </c>
      <c r="BD141" s="1143">
        <v>0.1553060390874236</v>
      </c>
      <c r="BE141" s="1144">
        <v>0.11023816657886266</v>
      </c>
      <c r="BF141" s="1144">
        <v>3.9048780621652478E-2</v>
      </c>
      <c r="BG141" s="1163">
        <f t="shared" si="97"/>
        <v>0.25143117969592577</v>
      </c>
    </row>
    <row r="142" spans="1:59">
      <c r="A142" s="1083"/>
      <c r="B142" s="1088"/>
      <c r="C142" s="1091"/>
      <c r="D142" s="1091"/>
      <c r="E142" s="1091"/>
      <c r="F142" s="1091"/>
      <c r="G142" s="1103"/>
      <c r="H142" s="1091"/>
      <c r="I142" s="1091"/>
      <c r="J142" s="1113"/>
      <c r="K142" s="652"/>
      <c r="L142" s="659"/>
      <c r="M142" s="652"/>
      <c r="N142" s="668"/>
      <c r="O142" s="652"/>
      <c r="P142" s="659"/>
      <c r="Q142" s="654"/>
      <c r="R142" s="654"/>
      <c r="S142" s="654"/>
      <c r="T142" s="654"/>
      <c r="U142" s="654"/>
      <c r="V142" s="654"/>
      <c r="W142" s="654"/>
      <c r="X142" s="654"/>
      <c r="Y142" s="654"/>
      <c r="AD142" s="654"/>
      <c r="AE142" s="652"/>
      <c r="AF142" s="661"/>
      <c r="AG142" s="652"/>
      <c r="AH142" s="659"/>
      <c r="AI142" s="654"/>
      <c r="AJ142" s="654"/>
      <c r="AK142" s="654"/>
      <c r="AL142" s="654"/>
      <c r="AN142" s="655"/>
      <c r="AO142" s="655"/>
      <c r="AY142" s="1164">
        <v>9</v>
      </c>
      <c r="AZ142" s="1162" t="s">
        <v>2029</v>
      </c>
      <c r="BA142" s="1145">
        <v>0.37</v>
      </c>
      <c r="BB142" s="1145">
        <v>0.13</v>
      </c>
      <c r="BC142" s="1147">
        <v>0</v>
      </c>
      <c r="BD142" s="1143">
        <v>0.25912128845084442</v>
      </c>
      <c r="BE142" s="1143">
        <v>0.20166682032370417</v>
      </c>
      <c r="BF142" s="1143">
        <v>5.8573170932478706E-2</v>
      </c>
      <c r="BG142" s="1163">
        <f t="shared" si="97"/>
        <v>0.22604538315882178</v>
      </c>
    </row>
    <row r="143" spans="1:59">
      <c r="A143" s="1084"/>
      <c r="B143" s="1088"/>
      <c r="C143" s="1103" t="s">
        <v>2005</v>
      </c>
      <c r="D143" s="1103" t="s">
        <v>2006</v>
      </c>
      <c r="E143" s="1103" t="s">
        <v>2007</v>
      </c>
      <c r="F143" s="1103"/>
      <c r="G143" s="1103"/>
      <c r="H143" s="1103" t="s">
        <v>2008</v>
      </c>
      <c r="I143" s="1103" t="s">
        <v>2009</v>
      </c>
      <c r="J143" s="1381" t="s">
        <v>2010</v>
      </c>
      <c r="K143" s="652"/>
      <c r="L143" s="654"/>
      <c r="M143" s="654"/>
      <c r="N143" s="654"/>
      <c r="O143" s="652"/>
      <c r="P143" s="659"/>
      <c r="Q143" s="659"/>
      <c r="R143" s="654"/>
      <c r="S143" s="654"/>
      <c r="T143" s="654"/>
      <c r="U143" s="654"/>
      <c r="V143" s="654"/>
      <c r="W143" s="654"/>
      <c r="X143" s="654"/>
      <c r="Y143" s="654"/>
      <c r="AD143" s="654"/>
      <c r="AE143" s="652"/>
      <c r="AF143" s="668"/>
      <c r="AG143" s="652"/>
      <c r="AH143" s="659"/>
      <c r="AI143" s="654"/>
      <c r="AJ143" s="654"/>
      <c r="AK143" s="654"/>
      <c r="AL143" s="654"/>
      <c r="AN143" s="655"/>
      <c r="AO143" s="655"/>
      <c r="AY143" s="1164">
        <v>4</v>
      </c>
      <c r="AZ143" s="1162" t="s">
        <v>2028</v>
      </c>
      <c r="BA143" s="1145">
        <v>0.37</v>
      </c>
      <c r="BB143" s="1145">
        <v>0.13</v>
      </c>
      <c r="BC143" s="1147">
        <v>0</v>
      </c>
      <c r="BD143" s="1144">
        <v>0.45188787243539097</v>
      </c>
      <c r="BE143" s="1144">
        <v>0.16509535882576759</v>
      </c>
      <c r="BF143" s="1144">
        <v>9.7621951554131184E-2</v>
      </c>
      <c r="BG143" s="1163">
        <f t="shared" si="97"/>
        <v>0.21603135978845894</v>
      </c>
    </row>
    <row r="144" spans="1:59">
      <c r="A144" s="1083"/>
      <c r="B144" s="1088">
        <v>11</v>
      </c>
      <c r="C144" s="1110">
        <f>C134/C141</f>
        <v>0.42226739483500192</v>
      </c>
      <c r="D144" s="1110">
        <f>D134/D141</f>
        <v>0.34416193534997275</v>
      </c>
      <c r="E144" s="1118">
        <f t="shared" ref="E144:E149" si="98">E134/$D$141</f>
        <v>0</v>
      </c>
      <c r="F144" s="1112"/>
      <c r="G144" s="1103">
        <v>11</v>
      </c>
      <c r="H144" s="1110">
        <f t="shared" ref="H144:H149" si="99">H134/$H$141</f>
        <v>0.42226739483500197</v>
      </c>
      <c r="I144" s="1110">
        <f t="shared" ref="I144:J149" si="100">I134/$I$141</f>
        <v>0.34416193534997275</v>
      </c>
      <c r="J144" s="1379">
        <f t="shared" si="100"/>
        <v>0</v>
      </c>
      <c r="K144" s="652"/>
      <c r="L144" s="654"/>
      <c r="M144" s="668"/>
      <c r="N144" s="668"/>
      <c r="O144" s="652"/>
      <c r="P144" s="659"/>
      <c r="Q144" s="659"/>
      <c r="R144" s="654"/>
      <c r="S144" s="654"/>
      <c r="T144" s="654"/>
      <c r="U144" s="654"/>
      <c r="V144" s="654"/>
      <c r="W144" s="654"/>
      <c r="X144" s="654"/>
      <c r="Y144" s="654"/>
      <c r="AD144" s="654"/>
      <c r="AE144" s="654"/>
      <c r="AF144" s="660"/>
      <c r="AG144" s="652"/>
      <c r="AH144" s="659"/>
      <c r="AI144" s="659"/>
      <c r="AJ144" s="654"/>
      <c r="AK144" s="654"/>
      <c r="AL144" s="654"/>
      <c r="AN144" s="655"/>
      <c r="AO144" s="655"/>
      <c r="AY144" s="1164">
        <v>6</v>
      </c>
      <c r="AZ144" s="1162" t="s">
        <v>2030</v>
      </c>
      <c r="BA144" s="1145">
        <v>0.37</v>
      </c>
      <c r="BB144" s="1145">
        <v>0.13</v>
      </c>
      <c r="BC144" s="1147">
        <v>0</v>
      </c>
      <c r="BD144" s="1144">
        <v>0.33721884969414939</v>
      </c>
      <c r="BE144" s="1144">
        <v>0.20166682032370417</v>
      </c>
      <c r="BF144" s="1144">
        <v>5.8573170932478706E-2</v>
      </c>
      <c r="BG144" s="1163">
        <f t="shared" si="97"/>
        <v>0.17369483048057183</v>
      </c>
    </row>
    <row r="145" spans="1:59">
      <c r="A145" s="1083"/>
      <c r="B145" s="1088">
        <v>22</v>
      </c>
      <c r="C145" s="1110">
        <f>C135/C141</f>
        <v>0.28408494501396914</v>
      </c>
      <c r="D145" s="1110">
        <f>D135/D141</f>
        <v>0.32190110036658243</v>
      </c>
      <c r="E145" s="1118">
        <f t="shared" si="98"/>
        <v>0</v>
      </c>
      <c r="F145" s="1112"/>
      <c r="G145" s="1103">
        <v>22</v>
      </c>
      <c r="H145" s="1110">
        <f t="shared" si="99"/>
        <v>0.28408494501396914</v>
      </c>
      <c r="I145" s="1110">
        <f t="shared" si="100"/>
        <v>0.32190110036658248</v>
      </c>
      <c r="J145" s="1379">
        <f t="shared" si="100"/>
        <v>0</v>
      </c>
      <c r="K145" s="652"/>
      <c r="O145" s="674"/>
      <c r="P145" s="659"/>
      <c r="Q145" s="659"/>
      <c r="R145" s="659"/>
      <c r="S145" s="659"/>
      <c r="T145" s="659"/>
      <c r="U145" s="659"/>
      <c r="V145" s="659"/>
      <c r="W145" s="659"/>
      <c r="X145" s="659"/>
      <c r="Y145" s="659"/>
      <c r="AD145" s="652"/>
      <c r="AE145" s="668"/>
      <c r="AF145" s="668"/>
      <c r="AG145" s="668"/>
      <c r="AH145" s="659"/>
      <c r="AI145" s="668"/>
      <c r="AJ145" s="665"/>
      <c r="AK145" s="665"/>
      <c r="AL145" s="665"/>
      <c r="AM145" s="652"/>
      <c r="AN145" s="655"/>
      <c r="AO145" s="655"/>
      <c r="AY145" s="1164">
        <v>2</v>
      </c>
      <c r="AZ145" s="1162" t="s">
        <v>2032</v>
      </c>
      <c r="BA145" s="1145">
        <v>0.37</v>
      </c>
      <c r="BB145" s="1145">
        <v>0.13</v>
      </c>
      <c r="BC145" s="1147">
        <v>0</v>
      </c>
      <c r="BD145" s="1144">
        <v>0.6031283566745691</v>
      </c>
      <c r="BE145" s="1144">
        <v>9.1952435829894374E-2</v>
      </c>
      <c r="BF145" s="1144">
        <v>5.8573170932478706E-2</v>
      </c>
      <c r="BG145" s="1163">
        <f t="shared" si="97"/>
        <v>9.7115597839620607E-2</v>
      </c>
    </row>
    <row r="146" spans="1:59">
      <c r="A146" s="1083"/>
      <c r="B146" s="1088">
        <v>21</v>
      </c>
      <c r="C146" s="1110">
        <f>C136/C141</f>
        <v>0.12713376247317182</v>
      </c>
      <c r="D146" s="1110">
        <f>D136/D141</f>
        <v>0.14727841453937968</v>
      </c>
      <c r="E146" s="1118">
        <f t="shared" si="98"/>
        <v>0</v>
      </c>
      <c r="F146" s="1112"/>
      <c r="G146" s="1103">
        <v>21</v>
      </c>
      <c r="H146" s="1110">
        <f t="shared" si="99"/>
        <v>0.12713376247317182</v>
      </c>
      <c r="I146" s="1110">
        <f t="shared" si="100"/>
        <v>0.14727841453937968</v>
      </c>
      <c r="J146" s="1379">
        <f t="shared" si="100"/>
        <v>0</v>
      </c>
      <c r="K146" s="652"/>
      <c r="L146" s="654"/>
      <c r="M146" s="668"/>
      <c r="N146" s="668"/>
      <c r="O146" s="652"/>
      <c r="P146" s="659"/>
      <c r="Q146" s="659"/>
      <c r="R146" s="660"/>
      <c r="S146" s="660"/>
      <c r="T146" s="660"/>
      <c r="U146" s="660"/>
      <c r="V146" s="660"/>
      <c r="W146" s="660"/>
      <c r="X146" s="660"/>
      <c r="Y146" s="660"/>
      <c r="AD146" s="665"/>
      <c r="AE146" s="652"/>
      <c r="AF146" s="668"/>
      <c r="AG146" s="652"/>
      <c r="AH146" s="659"/>
      <c r="AI146" s="659"/>
      <c r="AJ146" s="682"/>
      <c r="AK146" s="682"/>
      <c r="AL146" s="682"/>
      <c r="AN146" s="659"/>
      <c r="AO146" s="655"/>
      <c r="AY146" s="1042">
        <v>1</v>
      </c>
      <c r="AZ146" s="1162" t="s">
        <v>2033</v>
      </c>
      <c r="BA146" s="1145">
        <v>0.37</v>
      </c>
      <c r="BB146" s="1145">
        <v>0.13</v>
      </c>
      <c r="BC146" s="1147">
        <v>0</v>
      </c>
      <c r="BD146" s="1143">
        <v>0.62389140654725328</v>
      </c>
      <c r="BE146" s="1144">
        <v>0.11023816657886266</v>
      </c>
      <c r="BF146" s="1144">
        <v>3.9048780621652478E-2</v>
      </c>
      <c r="BG146" s="1163">
        <f t="shared" si="97"/>
        <v>6.2589066321263612E-2</v>
      </c>
    </row>
    <row r="147" spans="1:59">
      <c r="A147" s="1083"/>
      <c r="B147" s="1088">
        <v>66</v>
      </c>
      <c r="C147" s="1110">
        <f>C137/C141</f>
        <v>0.14682383007551444</v>
      </c>
      <c r="D147" s="1110">
        <f>D137/D141</f>
        <v>0.16696848214172241</v>
      </c>
      <c r="E147" s="1118">
        <f t="shared" si="98"/>
        <v>0</v>
      </c>
      <c r="F147" s="1112"/>
      <c r="G147" s="1103">
        <v>66</v>
      </c>
      <c r="H147" s="1110">
        <f t="shared" si="99"/>
        <v>0.14682383007551447</v>
      </c>
      <c r="I147" s="1110">
        <f t="shared" si="100"/>
        <v>0.16696848214172244</v>
      </c>
      <c r="J147" s="1379">
        <f t="shared" si="100"/>
        <v>0</v>
      </c>
      <c r="K147" s="652"/>
      <c r="L147" s="654"/>
      <c r="M147" s="659"/>
      <c r="N147" s="659"/>
      <c r="O147" s="674"/>
      <c r="P147" s="659"/>
      <c r="Q147" s="659"/>
      <c r="R147" s="654"/>
      <c r="S147" s="654"/>
      <c r="T147" s="654"/>
      <c r="U147" s="654"/>
      <c r="V147" s="654"/>
      <c r="W147" s="654"/>
      <c r="X147" s="654"/>
      <c r="Y147" s="654"/>
      <c r="AD147" s="654"/>
      <c r="AE147" s="652"/>
      <c r="AF147" s="668"/>
      <c r="AG147" s="652"/>
      <c r="AH147" s="659"/>
      <c r="AI147" s="654"/>
      <c r="AJ147" s="660"/>
      <c r="AK147" s="660"/>
      <c r="AL147" s="660"/>
      <c r="AN147" s="655"/>
      <c r="AO147" s="655"/>
      <c r="AY147" s="1164">
        <v>7</v>
      </c>
      <c r="AZ147" s="1162" t="s">
        <v>2036</v>
      </c>
      <c r="BA147" s="1145">
        <v>0.37</v>
      </c>
      <c r="BB147" s="1145">
        <v>0.13</v>
      </c>
      <c r="BC147" s="1147">
        <v>0</v>
      </c>
      <c r="BD147" s="1143">
        <v>0.32730957319928594</v>
      </c>
      <c r="BE147" s="1144">
        <v>5.5380974331957766E-2</v>
      </c>
      <c r="BF147" s="1144">
        <v>1.9524390310826235E-2</v>
      </c>
      <c r="BG147" s="1163">
        <f t="shared" si="97"/>
        <v>5.9651143472478275E-2</v>
      </c>
    </row>
    <row r="148" spans="1:59">
      <c r="A148" s="1083"/>
      <c r="B148" s="1088">
        <v>61</v>
      </c>
      <c r="C148" s="1110">
        <f>C138/C141</f>
        <v>-2.4172605998646825E-2</v>
      </c>
      <c r="D148" s="1110">
        <f>D138/D141</f>
        <v>-1.3084484530168057E-2</v>
      </c>
      <c r="E148" s="1118">
        <f t="shared" si="98"/>
        <v>0</v>
      </c>
      <c r="F148" s="1112"/>
      <c r="G148" s="1103">
        <v>61</v>
      </c>
      <c r="H148" s="1110">
        <f t="shared" si="99"/>
        <v>-2.4172605998646821E-2</v>
      </c>
      <c r="I148" s="1110">
        <f t="shared" si="100"/>
        <v>-1.3084484530168059E-2</v>
      </c>
      <c r="J148" s="1379">
        <f t="shared" si="100"/>
        <v>0</v>
      </c>
      <c r="K148" s="652"/>
      <c r="L148" s="654"/>
      <c r="M148" s="654"/>
      <c r="N148" s="654"/>
      <c r="O148" s="652"/>
      <c r="P148" s="659"/>
      <c r="Q148" s="659"/>
      <c r="R148" s="654"/>
      <c r="S148" s="654"/>
      <c r="T148" s="654"/>
      <c r="U148" s="654"/>
      <c r="V148" s="654"/>
      <c r="W148" s="654"/>
      <c r="X148" s="654"/>
      <c r="Y148" s="654"/>
      <c r="AD148" s="654"/>
      <c r="AE148" s="652"/>
      <c r="AF148" s="668"/>
      <c r="AG148" s="652"/>
      <c r="AH148" s="659"/>
      <c r="AI148" s="659"/>
      <c r="AJ148" s="660"/>
      <c r="AK148" s="660"/>
      <c r="AL148" s="660"/>
      <c r="AN148" s="1383"/>
      <c r="AO148" s="655"/>
      <c r="AY148" s="1164">
        <v>3</v>
      </c>
      <c r="AZ148" s="1162" t="s">
        <v>2035</v>
      </c>
      <c r="BA148" s="1145">
        <v>0.37</v>
      </c>
      <c r="BB148" s="1145">
        <v>0.13</v>
      </c>
      <c r="BC148" s="1147">
        <v>0</v>
      </c>
      <c r="BD148" s="1143">
        <v>0.56160225692920074</v>
      </c>
      <c r="BE148" s="1144">
        <v>5.5380974331957766E-2</v>
      </c>
      <c r="BF148" s="1144">
        <v>1.9524390310826235E-2</v>
      </c>
      <c r="BG148" s="1163">
        <f t="shared" si="97"/>
        <v>3.4765512549013153E-2</v>
      </c>
    </row>
    <row r="149" spans="1:59">
      <c r="A149" s="1083"/>
      <c r="B149" s="1088">
        <v>62</v>
      </c>
      <c r="C149" s="1110">
        <f>C139/C141</f>
        <v>6.5940052614074096E-3</v>
      </c>
      <c r="D149" s="1110">
        <f>D139/D141</f>
        <v>2.3781399041237525E-2</v>
      </c>
      <c r="E149" s="1118">
        <f t="shared" si="98"/>
        <v>0</v>
      </c>
      <c r="F149" s="1112"/>
      <c r="G149" s="1103">
        <v>62</v>
      </c>
      <c r="H149" s="1110">
        <f t="shared" si="99"/>
        <v>6.5940052614074087E-3</v>
      </c>
      <c r="I149" s="1110">
        <f t="shared" si="100"/>
        <v>2.3781399041237522E-2</v>
      </c>
      <c r="J149" s="1379">
        <f t="shared" si="100"/>
        <v>0</v>
      </c>
      <c r="AD149" s="654"/>
      <c r="AE149" s="654"/>
      <c r="AF149" s="660"/>
      <c r="AG149" s="652"/>
      <c r="AH149" s="654"/>
      <c r="AI149" s="654"/>
      <c r="AJ149" s="654"/>
      <c r="AK149" s="654"/>
      <c r="AL149" s="654"/>
      <c r="AN149" s="655"/>
      <c r="AO149" s="655"/>
    </row>
    <row r="150" spans="1:59">
      <c r="A150" s="1083"/>
      <c r="B150" s="1088"/>
      <c r="C150" s="1091"/>
      <c r="D150" s="1091"/>
      <c r="E150" s="1119"/>
      <c r="F150" s="1091"/>
      <c r="G150" s="1103"/>
      <c r="H150" s="1112"/>
      <c r="I150" s="1112"/>
      <c r="J150" s="1112"/>
      <c r="K150" s="652"/>
      <c r="AD150" s="668"/>
      <c r="AE150" s="661"/>
      <c r="AF150" s="668"/>
      <c r="AG150" s="661"/>
      <c r="AH150" s="664"/>
      <c r="AI150" s="668"/>
      <c r="AJ150" s="665"/>
      <c r="AK150" s="665"/>
      <c r="AL150" s="665"/>
      <c r="AM150" s="652"/>
      <c r="AN150" s="655"/>
      <c r="AO150" s="655"/>
    </row>
    <row r="151" spans="1:59" ht="16.2" thickBot="1">
      <c r="A151" s="1083"/>
      <c r="B151" s="1120" t="s">
        <v>1732</v>
      </c>
      <c r="C151" s="1121">
        <f>C144+C145+2*C147</f>
        <v>1</v>
      </c>
      <c r="D151" s="1121">
        <f>D144+D145+2*D147</f>
        <v>1</v>
      </c>
      <c r="E151" s="1121">
        <f>E144+E145+2*E147</f>
        <v>0</v>
      </c>
      <c r="F151" s="1122"/>
      <c r="G151" s="1123" t="s">
        <v>1732</v>
      </c>
      <c r="H151" s="1121">
        <f>H144+H145+2*H147</f>
        <v>1</v>
      </c>
      <c r="I151" s="1121">
        <f>I144+I145+2*I147</f>
        <v>1</v>
      </c>
      <c r="J151" s="1121">
        <f>J144+J145+2*J147</f>
        <v>0</v>
      </c>
      <c r="K151" s="652"/>
      <c r="AD151" s="665"/>
      <c r="AE151" s="652"/>
      <c r="AF151" s="668"/>
      <c r="AG151" s="652"/>
      <c r="AH151" s="659"/>
      <c r="AI151" s="659"/>
      <c r="AJ151" s="682"/>
      <c r="AK151" s="682"/>
      <c r="AL151" s="682"/>
      <c r="AN151" s="659"/>
      <c r="AO151" s="655"/>
    </row>
    <row r="152" spans="1:59">
      <c r="A152" s="1083"/>
      <c r="B152" s="1084"/>
      <c r="C152" s="1083"/>
      <c r="D152" s="1083"/>
      <c r="E152" s="1083"/>
      <c r="F152" s="1083"/>
      <c r="G152" s="1083"/>
      <c r="H152" s="1083"/>
      <c r="I152" s="1083"/>
      <c r="J152" s="1083"/>
      <c r="AD152" s="654"/>
      <c r="AE152" s="652"/>
      <c r="AF152" s="661"/>
      <c r="AG152" s="652"/>
      <c r="AH152" s="664"/>
      <c r="AI152" s="654"/>
      <c r="AJ152" s="654"/>
      <c r="AK152" s="654"/>
      <c r="AL152" s="654"/>
      <c r="AN152" s="655"/>
      <c r="AO152" s="655"/>
    </row>
    <row r="153" spans="1:59">
      <c r="AD153" s="654"/>
      <c r="AE153" s="652"/>
      <c r="AF153" s="668"/>
      <c r="AG153" s="652"/>
      <c r="AH153" s="659"/>
      <c r="AI153" s="654"/>
      <c r="AJ153" s="654"/>
      <c r="AK153" s="654"/>
      <c r="AL153" s="654"/>
      <c r="AN153" s="655"/>
      <c r="AO153" s="655"/>
    </row>
    <row r="156" spans="1:59">
      <c r="B156" s="1356" t="s">
        <v>2189</v>
      </c>
      <c r="C156" s="1083"/>
      <c r="D156" s="1083"/>
      <c r="E156" s="1083"/>
      <c r="F156" s="1357"/>
      <c r="G156" s="1357"/>
      <c r="H156" s="1357"/>
      <c r="I156" s="1084"/>
      <c r="J156" s="1083"/>
      <c r="K156" s="1095" t="s">
        <v>1550</v>
      </c>
      <c r="L156" s="1084"/>
      <c r="M156" s="1084"/>
      <c r="N156" s="1083"/>
      <c r="O156" s="1083"/>
      <c r="P156" s="1083"/>
      <c r="Q156" s="1358"/>
      <c r="R156" s="1083"/>
      <c r="S156" s="1083" t="s">
        <v>528</v>
      </c>
      <c r="T156" s="1359"/>
      <c r="U156" s="1359"/>
      <c r="V156" s="1083"/>
      <c r="W156" s="1083"/>
      <c r="X156" s="1359"/>
      <c r="Y156" s="1359"/>
      <c r="Z156" s="1083"/>
      <c r="AA156" s="1359"/>
    </row>
    <row r="157" spans="1:59">
      <c r="B157" s="1083" t="s">
        <v>1561</v>
      </c>
      <c r="C157" s="1360" t="s">
        <v>1562</v>
      </c>
      <c r="D157" s="1360" t="s">
        <v>1563</v>
      </c>
      <c r="E157" s="1360" t="s">
        <v>1564</v>
      </c>
      <c r="F157" s="1361" t="s">
        <v>1565</v>
      </c>
      <c r="G157" s="1357"/>
      <c r="H157" s="1362" t="s">
        <v>1566</v>
      </c>
      <c r="I157" s="1095">
        <f>K157</f>
        <v>0</v>
      </c>
      <c r="J157" s="1083"/>
      <c r="K157" s="1095"/>
      <c r="L157" s="1095"/>
      <c r="M157" s="1084"/>
      <c r="N157" s="1083"/>
      <c r="O157" s="1084"/>
      <c r="P157" s="1363"/>
      <c r="Q157" s="1363"/>
      <c r="R157" s="1364"/>
      <c r="S157" s="1095"/>
      <c r="T157" s="1359"/>
      <c r="U157" s="1359"/>
      <c r="V157" s="1083"/>
      <c r="W157" s="1083"/>
      <c r="X157" s="1359"/>
      <c r="Y157" s="1360"/>
      <c r="Z157" s="1083"/>
      <c r="AA157" s="1359"/>
    </row>
    <row r="158" spans="1:59">
      <c r="B158" s="1095" t="s">
        <v>292</v>
      </c>
      <c r="C158" s="1365">
        <f>B97</f>
        <v>19.18521776902778</v>
      </c>
      <c r="D158" s="1365">
        <f>-C158</f>
        <v>-19.18521776902778</v>
      </c>
      <c r="E158" s="1365">
        <f>B98</f>
        <v>58.489870438610964</v>
      </c>
      <c r="F158" s="1365">
        <f>-E158</f>
        <v>-58.489870438610964</v>
      </c>
      <c r="G158" s="1362" t="s">
        <v>1570</v>
      </c>
      <c r="H158" s="1362" t="s">
        <v>534</v>
      </c>
      <c r="I158" s="1095" t="s">
        <v>54</v>
      </c>
      <c r="J158" s="1366" t="s">
        <v>2188</v>
      </c>
      <c r="K158" s="1084"/>
      <c r="L158" s="1084"/>
      <c r="M158" s="1084"/>
      <c r="N158" s="1083"/>
      <c r="O158" s="1084"/>
      <c r="P158" s="1357"/>
      <c r="Q158" s="1357"/>
      <c r="R158" s="1364"/>
      <c r="S158" s="1084" t="s">
        <v>535</v>
      </c>
      <c r="T158" s="1360" t="s">
        <v>1562</v>
      </c>
      <c r="U158" s="1360" t="s">
        <v>1563</v>
      </c>
      <c r="V158" s="1360" t="s">
        <v>1564</v>
      </c>
      <c r="W158" s="1360" t="s">
        <v>1565</v>
      </c>
      <c r="X158" s="1360"/>
      <c r="Y158" s="1360"/>
      <c r="Z158" s="1083"/>
      <c r="AA158" s="1359"/>
    </row>
    <row r="159" spans="1:59">
      <c r="B159" s="1095" t="s">
        <v>1552</v>
      </c>
      <c r="C159" s="1365">
        <v>1</v>
      </c>
      <c r="D159" s="1365">
        <v>1</v>
      </c>
      <c r="E159" s="1365">
        <v>1</v>
      </c>
      <c r="F159" s="1365">
        <v>1</v>
      </c>
      <c r="G159" s="1365">
        <v>1</v>
      </c>
      <c r="H159" s="1367">
        <f>(C159+D159+E159+F159)*G159*2</f>
        <v>8</v>
      </c>
      <c r="I159" s="1358">
        <f>H159*C164/1000</f>
        <v>1</v>
      </c>
      <c r="J159" s="1367">
        <v>0</v>
      </c>
      <c r="K159" s="1084"/>
      <c r="L159" s="1084"/>
      <c r="M159" s="1084"/>
      <c r="N159" s="1368"/>
      <c r="O159" s="1084"/>
      <c r="P159" s="1363"/>
      <c r="Q159" s="1363"/>
      <c r="R159" s="1364"/>
      <c r="S159" s="1084" t="s">
        <v>537</v>
      </c>
      <c r="T159" s="1369">
        <f>C158</f>
        <v>19.18521776902778</v>
      </c>
      <c r="U159" s="1369">
        <f>D158</f>
        <v>-19.18521776902778</v>
      </c>
      <c r="V159" s="1369">
        <f>E158</f>
        <v>58.489870438610964</v>
      </c>
      <c r="W159" s="1369">
        <f>F158</f>
        <v>-58.489870438610964</v>
      </c>
      <c r="X159" s="1360" t="s">
        <v>538</v>
      </c>
      <c r="Y159" s="1360"/>
      <c r="Z159" s="1083"/>
      <c r="AA159" s="1083"/>
    </row>
    <row r="160" spans="1:59">
      <c r="B160" s="1083"/>
      <c r="C160" s="1083"/>
      <c r="D160" s="1083"/>
      <c r="E160" s="1083"/>
      <c r="F160" s="1367"/>
      <c r="G160" s="1358"/>
      <c r="H160" s="1367"/>
      <c r="I160" s="1095"/>
      <c r="J160" s="1370"/>
      <c r="K160" s="1084"/>
      <c r="L160" s="1363"/>
      <c r="M160" s="1363"/>
      <c r="N160" s="1364"/>
      <c r="O160" s="1084"/>
      <c r="P160" s="1363"/>
      <c r="Q160" s="1363"/>
      <c r="R160" s="1364"/>
      <c r="S160" s="1084" t="s">
        <v>541</v>
      </c>
      <c r="T160" s="1369" t="str">
        <f>$C$4</f>
        <v>theta/23</v>
      </c>
      <c r="U160" s="1369" t="str">
        <f>$D$4</f>
        <v>theta/22</v>
      </c>
      <c r="V160" s="1369" t="str">
        <f>$E$4</f>
        <v>theta/21</v>
      </c>
      <c r="W160" s="1369" t="str">
        <f>$F$4</f>
        <v>theta/20</v>
      </c>
      <c r="X160" s="1371">
        <f>G159</f>
        <v>1</v>
      </c>
      <c r="Y160" s="1372"/>
      <c r="Z160" s="1083"/>
      <c r="AA160" s="1083"/>
      <c r="AE160" s="659"/>
      <c r="AF160" s="659"/>
      <c r="AG160" s="659"/>
      <c r="AH160" s="659"/>
    </row>
    <row r="161" spans="2:43">
      <c r="B161" s="1083" t="s">
        <v>1574</v>
      </c>
      <c r="C161" s="1083"/>
      <c r="D161" s="1083"/>
      <c r="E161" s="1083"/>
      <c r="F161" s="1083"/>
      <c r="G161" s="1084"/>
      <c r="H161" s="1084"/>
      <c r="I161" s="1084"/>
      <c r="J161" s="1373"/>
      <c r="K161" s="1084"/>
      <c r="L161" s="1367"/>
      <c r="M161" s="1367"/>
      <c r="N161" s="1364"/>
      <c r="O161" s="1084"/>
      <c r="P161" s="1358"/>
      <c r="Q161" s="1358"/>
      <c r="R161" s="1364"/>
      <c r="S161" s="1084" t="s">
        <v>1295</v>
      </c>
      <c r="T161" s="1364">
        <f>T159*PI()/90</f>
        <v>0.66969043556331154</v>
      </c>
      <c r="U161" s="1364">
        <f>U159*PI()/90</f>
        <v>-0.66969043556331154</v>
      </c>
      <c r="V161" s="1364">
        <f>V159*PI()/90</f>
        <v>2.0416816364373225</v>
      </c>
      <c r="W161" s="1364">
        <f>W159*PI()/90</f>
        <v>-2.0416816364373225</v>
      </c>
      <c r="X161" s="1360" t="s">
        <v>1296</v>
      </c>
      <c r="Y161" s="1374"/>
      <c r="Z161" s="1084"/>
      <c r="AA161" s="1083"/>
      <c r="AE161" s="659"/>
      <c r="AF161" s="659"/>
      <c r="AG161" s="659"/>
      <c r="AH161" s="659"/>
    </row>
    <row r="162" spans="2:43">
      <c r="B162" s="1375" t="str">
        <f t="shared" ref="B162:I166" si="101">B50</f>
        <v>IM7/977[SI]</v>
      </c>
      <c r="C162" s="1375">
        <f t="shared" si="101"/>
        <v>191</v>
      </c>
      <c r="D162" s="1375">
        <f t="shared" si="101"/>
        <v>9.94</v>
      </c>
      <c r="E162" s="1375">
        <f t="shared" si="101"/>
        <v>0.35</v>
      </c>
      <c r="F162" s="1375">
        <f t="shared" si="101"/>
        <v>7.79</v>
      </c>
      <c r="G162" s="1375">
        <f t="shared" si="101"/>
        <v>3.4</v>
      </c>
      <c r="H162" s="1375">
        <f t="shared" si="101"/>
        <v>122</v>
      </c>
      <c r="I162" s="1375">
        <f t="shared" si="101"/>
        <v>160</v>
      </c>
      <c r="J162" s="1358"/>
      <c r="K162" s="1084"/>
      <c r="L162" s="1367"/>
      <c r="M162" s="1367"/>
      <c r="N162" s="1364"/>
      <c r="O162" s="1084"/>
      <c r="P162" s="1363"/>
      <c r="Q162" s="1363"/>
      <c r="R162" s="1364"/>
      <c r="S162" s="1084" t="s">
        <v>1300</v>
      </c>
      <c r="T162" s="1364">
        <f>2*T161</f>
        <v>1.3393808711266231</v>
      </c>
      <c r="U162" s="1364">
        <f>2*U161</f>
        <v>-1.3393808711266231</v>
      </c>
      <c r="V162" s="1364">
        <f>2*V161</f>
        <v>4.083363272874645</v>
      </c>
      <c r="W162" s="1364">
        <f>2*W161</f>
        <v>-4.083363272874645</v>
      </c>
      <c r="X162" s="1371">
        <f>H159/X160/2</f>
        <v>4</v>
      </c>
      <c r="Y162" s="1360"/>
      <c r="Z162" s="1357"/>
      <c r="AA162" s="1083"/>
      <c r="AE162" s="659"/>
      <c r="AF162" s="659"/>
      <c r="AG162" s="659"/>
      <c r="AH162" s="659"/>
      <c r="AM162" s="674"/>
    </row>
    <row r="163" spans="2:43">
      <c r="B163" s="1375">
        <f t="shared" si="101"/>
        <v>3250</v>
      </c>
      <c r="C163" s="1375">
        <f t="shared" si="101"/>
        <v>1600</v>
      </c>
      <c r="D163" s="1375">
        <f t="shared" si="101"/>
        <v>62</v>
      </c>
      <c r="E163" s="1375">
        <f t="shared" si="101"/>
        <v>98</v>
      </c>
      <c r="F163" s="1375">
        <f t="shared" si="101"/>
        <v>75</v>
      </c>
      <c r="G163" s="1375">
        <f t="shared" si="101"/>
        <v>1.2</v>
      </c>
      <c r="H163" s="1375">
        <f t="shared" si="101"/>
        <v>22</v>
      </c>
      <c r="I163" s="1375">
        <f t="shared" si="101"/>
        <v>5.0000000000000001E-3</v>
      </c>
      <c r="J163" s="1358"/>
      <c r="K163" s="1084"/>
      <c r="L163" s="1367"/>
      <c r="M163" s="1367"/>
      <c r="N163" s="1364"/>
      <c r="O163" s="1084"/>
      <c r="P163" s="1358"/>
      <c r="Q163" s="1358"/>
      <c r="R163" s="1358"/>
      <c r="S163" s="1083"/>
      <c r="T163" s="1376"/>
      <c r="U163" s="1376"/>
      <c r="V163" s="1376"/>
      <c r="W163" s="1111"/>
      <c r="X163" s="1360"/>
      <c r="Y163" s="1360"/>
      <c r="Z163" s="1357"/>
      <c r="AA163" s="1083"/>
      <c r="AE163" s="659"/>
      <c r="AF163" s="659"/>
      <c r="AG163" s="659"/>
      <c r="AH163" s="659"/>
    </row>
    <row r="164" spans="2:43">
      <c r="B164" s="1375">
        <f t="shared" si="101"/>
        <v>-0.5</v>
      </c>
      <c r="C164" s="1375">
        <f t="shared" si="101"/>
        <v>125</v>
      </c>
      <c r="D164" s="1375">
        <f t="shared" si="101"/>
        <v>0.64</v>
      </c>
      <c r="E164" s="1375">
        <f t="shared" si="101"/>
        <v>1.6</v>
      </c>
      <c r="F164" s="1375">
        <f t="shared" si="101"/>
        <v>0.52</v>
      </c>
      <c r="G164" s="1375">
        <f t="shared" si="101"/>
        <v>0.5</v>
      </c>
      <c r="H164" s="1375">
        <f t="shared" si="101"/>
        <v>0.2</v>
      </c>
      <c r="I164" s="1375">
        <f t="shared" si="101"/>
        <v>0.9</v>
      </c>
      <c r="J164" s="1358"/>
      <c r="K164" s="1084"/>
      <c r="L164" s="1363"/>
      <c r="M164" s="1363"/>
      <c r="N164" s="1364"/>
      <c r="O164" s="1095"/>
      <c r="P164" s="1358"/>
      <c r="Q164" s="1358"/>
      <c r="R164" s="1358"/>
      <c r="S164" s="1084" t="s">
        <v>1325</v>
      </c>
      <c r="T164" s="1360" t="s">
        <v>1326</v>
      </c>
      <c r="U164" s="1360" t="s">
        <v>1327</v>
      </c>
      <c r="V164" s="1360" t="s">
        <v>1328</v>
      </c>
      <c r="W164" s="1360" t="s">
        <v>1329</v>
      </c>
      <c r="X164" s="1360" t="s">
        <v>1330</v>
      </c>
      <c r="Y164" s="1360" t="s">
        <v>1331</v>
      </c>
      <c r="Z164" s="1083"/>
      <c r="AA164" s="1083"/>
    </row>
    <row r="165" spans="2:43">
      <c r="B165" s="1375">
        <f t="shared" si="101"/>
        <v>0.02</v>
      </c>
      <c r="C165" s="1375">
        <f t="shared" si="101"/>
        <v>22.5</v>
      </c>
      <c r="D165" s="1375">
        <f t="shared" si="101"/>
        <v>0</v>
      </c>
      <c r="E165" s="1375">
        <f t="shared" si="101"/>
        <v>0.6</v>
      </c>
      <c r="F165" s="1375">
        <f t="shared" si="101"/>
        <v>0.32</v>
      </c>
      <c r="G165" s="1375">
        <f t="shared" si="101"/>
        <v>0</v>
      </c>
      <c r="H165" s="1375">
        <f t="shared" si="101"/>
        <v>0</v>
      </c>
      <c r="I165" s="1375">
        <f t="shared" si="101"/>
        <v>2000</v>
      </c>
      <c r="J165" s="1357"/>
      <c r="K165" s="1095"/>
      <c r="L165" s="1358"/>
      <c r="M165" s="1358"/>
      <c r="N165" s="1083"/>
      <c r="O165" s="1084"/>
      <c r="P165" s="1358"/>
      <c r="Q165" s="1358"/>
      <c r="R165" s="1358"/>
      <c r="S165" s="1084">
        <v>11</v>
      </c>
      <c r="T165" s="1367">
        <f>$S$27+$S$28*COS(T161)+$S$29*COS(T162)</f>
        <v>156.74215551237046</v>
      </c>
      <c r="U165" s="1367">
        <f>$S$27+$S$28*COS(U161)+$S$29*COS(U162)</f>
        <v>156.74215551237046</v>
      </c>
      <c r="V165" s="1367">
        <f>$S$27+$S$28*COS(V161)+$S$29*COS(V162)</f>
        <v>27.205323372888373</v>
      </c>
      <c r="W165" s="1367">
        <f>$S$27+$S$28*COS(W161)+$S$29*COS(W162)</f>
        <v>27.205323372888373</v>
      </c>
      <c r="X165" s="1358">
        <f t="shared" ref="X165:X170" si="102">(T165+U165+V165+W165)/4</f>
        <v>91.973739442629409</v>
      </c>
      <c r="Y165" s="1377">
        <f t="shared" ref="Y165:Y170" si="103">X165/$I$159</f>
        <v>91.973739442629409</v>
      </c>
      <c r="Z165" s="1359"/>
      <c r="AA165" s="1083"/>
    </row>
    <row r="166" spans="2:43">
      <c r="B166" s="1375">
        <f t="shared" si="101"/>
        <v>0.15</v>
      </c>
      <c r="C166" s="1375">
        <f t="shared" si="101"/>
        <v>0.01</v>
      </c>
      <c r="D166" s="1375">
        <f t="shared" si="101"/>
        <v>1</v>
      </c>
      <c r="E166" s="1375">
        <f t="shared" si="101"/>
        <v>1</v>
      </c>
      <c r="F166" s="1375">
        <f t="shared" si="101"/>
        <v>0</v>
      </c>
      <c r="G166" s="1375">
        <f t="shared" si="101"/>
        <v>0.5</v>
      </c>
      <c r="H166" s="1375">
        <f t="shared" si="101"/>
        <v>0</v>
      </c>
      <c r="I166" s="1375">
        <f t="shared" si="101"/>
        <v>0</v>
      </c>
      <c r="J166" s="1373"/>
      <c r="K166" s="1084"/>
      <c r="L166" s="1358"/>
      <c r="M166" s="1358"/>
      <c r="N166" s="1364"/>
      <c r="O166" s="1084"/>
      <c r="P166" s="1358"/>
      <c r="Q166" s="1358"/>
      <c r="R166" s="1358"/>
      <c r="S166" s="1084">
        <v>22</v>
      </c>
      <c r="T166" s="1367">
        <f>T165-2*$S$28*COS(T161)</f>
        <v>13.877826590997188</v>
      </c>
      <c r="U166" s="1367">
        <f>U165-2*$S$28*COS(U161)</f>
        <v>13.877826590997188</v>
      </c>
      <c r="V166" s="1367">
        <f>V165-2*$S$28*COS(V161)</f>
        <v>109.87482413164729</v>
      </c>
      <c r="W166" s="1367">
        <f>W165-2*$S$28*COS(W161)</f>
        <v>109.87482413164729</v>
      </c>
      <c r="X166" s="1358">
        <f t="shared" si="102"/>
        <v>61.876325361322245</v>
      </c>
      <c r="Y166" s="1377">
        <f t="shared" si="103"/>
        <v>61.876325361322245</v>
      </c>
      <c r="Z166" s="1359"/>
      <c r="AA166" s="1083"/>
    </row>
    <row r="167" spans="2:43">
      <c r="B167" s="1083"/>
      <c r="C167" s="1083"/>
      <c r="D167" s="1083"/>
      <c r="E167" s="1083"/>
      <c r="F167" s="1083"/>
      <c r="G167" s="1083"/>
      <c r="H167" s="1358"/>
      <c r="I167" s="1358"/>
      <c r="J167" s="1369"/>
      <c r="K167" s="1084"/>
      <c r="L167" s="1363"/>
      <c r="M167" s="1363"/>
      <c r="N167" s="1364"/>
      <c r="O167" s="1083"/>
      <c r="P167" s="1358"/>
      <c r="Q167" s="1358"/>
      <c r="R167" s="1358"/>
      <c r="S167" s="1084" t="s">
        <v>1345</v>
      </c>
      <c r="T167" s="1367">
        <f>$S$30-$S$29*COS(T162)</f>
        <v>19.305949260995423</v>
      </c>
      <c r="U167" s="1367">
        <f>$S$30-$S$29*COS(U162)</f>
        <v>19.305949260995423</v>
      </c>
      <c r="V167" s="1367">
        <f>$S$30-$S$29*COS(V162)</f>
        <v>36.075866560411413</v>
      </c>
      <c r="W167" s="1367">
        <f>$S$30-$S$29*COS(W162)</f>
        <v>36.075866560411413</v>
      </c>
      <c r="X167" s="1358">
        <f t="shared" si="102"/>
        <v>27.690907910703416</v>
      </c>
      <c r="Y167" s="1377">
        <f t="shared" si="103"/>
        <v>27.690907910703416</v>
      </c>
      <c r="Z167" s="1369"/>
      <c r="AA167" s="1083"/>
    </row>
    <row r="168" spans="2:43">
      <c r="B168" s="1084" t="s">
        <v>1413</v>
      </c>
      <c r="C168" s="1084" t="s">
        <v>1577</v>
      </c>
      <c r="D168" s="1084" t="s">
        <v>1578</v>
      </c>
      <c r="E168" s="1084" t="s">
        <v>266</v>
      </c>
      <c r="F168" s="1084" t="s">
        <v>267</v>
      </c>
      <c r="G168" s="1084" t="s">
        <v>268</v>
      </c>
      <c r="H168" s="1084" t="s">
        <v>1584</v>
      </c>
      <c r="I168" s="1084" t="s">
        <v>1585</v>
      </c>
      <c r="J168" s="1369"/>
      <c r="K168" s="1084"/>
      <c r="L168" s="1358"/>
      <c r="M168" s="1358"/>
      <c r="N168" s="1364"/>
      <c r="O168" s="1084"/>
      <c r="P168" s="1358"/>
      <c r="Q168" s="1358"/>
      <c r="R168" s="1358"/>
      <c r="S168" s="1084">
        <v>66</v>
      </c>
      <c r="T168" s="1367">
        <f>T167-$S$30+$S$31</f>
        <v>23.594627878896404</v>
      </c>
      <c r="U168" s="1367">
        <f>U167-$S$30+$S$31</f>
        <v>23.594627878896404</v>
      </c>
      <c r="V168" s="1367">
        <f>V167-$S$30+$S$31</f>
        <v>40.364545178312397</v>
      </c>
      <c r="W168" s="1367">
        <f>W167-$S$30+$S$31</f>
        <v>40.364545178312397</v>
      </c>
      <c r="X168" s="1358">
        <f t="shared" si="102"/>
        <v>31.979586528604401</v>
      </c>
      <c r="Y168" s="1377">
        <f t="shared" si="103"/>
        <v>31.979586528604401</v>
      </c>
      <c r="Z168" s="1364"/>
      <c r="AA168" s="1083"/>
    </row>
    <row r="169" spans="2:43">
      <c r="B169" s="1084" t="s">
        <v>269</v>
      </c>
      <c r="C169" s="1084" t="s">
        <v>270</v>
      </c>
      <c r="D169" s="1084" t="s">
        <v>271</v>
      </c>
      <c r="E169" s="1084" t="s">
        <v>272</v>
      </c>
      <c r="F169" s="1084" t="s">
        <v>273</v>
      </c>
      <c r="G169" s="1084" t="s">
        <v>274</v>
      </c>
      <c r="H169" s="1084" t="s">
        <v>1588</v>
      </c>
      <c r="I169" s="1084" t="s">
        <v>275</v>
      </c>
      <c r="J169" s="1369"/>
      <c r="K169" s="1084"/>
      <c r="L169" s="1358"/>
      <c r="M169" s="1358"/>
      <c r="N169" s="1364"/>
      <c r="O169" s="1084"/>
      <c r="P169" s="1358"/>
      <c r="Q169" s="1358"/>
      <c r="R169" s="1358"/>
      <c r="S169" s="1084" t="s">
        <v>1347</v>
      </c>
      <c r="T169" s="1367">
        <f>$S$28*SIN(T161)/2+$S$29*SIN(T162)</f>
        <v>48.239851881700019</v>
      </c>
      <c r="U169" s="1367">
        <f>$S$28*SIN(U161)/2+$S$29*SIN(U162)</f>
        <v>-48.239851881700019</v>
      </c>
      <c r="V169" s="1367">
        <f>$S$28*SIN(V161)/2+$S$29*SIN(V162)</f>
        <v>24.014434145501735</v>
      </c>
      <c r="W169" s="1367">
        <f>$S$28*SIN(W161)/2+$S$29*SIN(W162)</f>
        <v>-24.014434145501735</v>
      </c>
      <c r="X169" s="1358">
        <f t="shared" si="102"/>
        <v>0</v>
      </c>
      <c r="Y169" s="1377">
        <f t="shared" si="103"/>
        <v>0</v>
      </c>
      <c r="Z169" s="1364"/>
      <c r="AA169" s="1083"/>
    </row>
    <row r="170" spans="2:43">
      <c r="B170" s="1084" t="s">
        <v>1568</v>
      </c>
      <c r="C170" s="1084" t="s">
        <v>276</v>
      </c>
      <c r="D170" s="1084" t="s">
        <v>277</v>
      </c>
      <c r="E170" s="1084" t="s">
        <v>278</v>
      </c>
      <c r="F170" s="1084" t="s">
        <v>279</v>
      </c>
      <c r="G170" s="1084" t="s">
        <v>280</v>
      </c>
      <c r="H170" s="1084" t="s">
        <v>281</v>
      </c>
      <c r="I170" s="1084" t="s">
        <v>282</v>
      </c>
      <c r="J170" s="1363"/>
      <c r="K170" s="1084"/>
      <c r="L170" s="1358"/>
      <c r="M170" s="1358"/>
      <c r="N170" s="1364"/>
      <c r="O170" s="1083"/>
      <c r="P170" s="1358"/>
      <c r="Q170" s="1358"/>
      <c r="R170" s="1358"/>
      <c r="S170" s="1084" t="s">
        <v>1349</v>
      </c>
      <c r="T170" s="1367">
        <f>$S$28*SIN(T161)-T169</f>
        <v>8.3165950843957432</v>
      </c>
      <c r="U170" s="1367">
        <f>$S$28*SIN(U161)-U169</f>
        <v>-8.3165950843957432</v>
      </c>
      <c r="V170" s="1367">
        <f>$S$28*SIN(V161)-V169</f>
        <v>57.180542448138439</v>
      </c>
      <c r="W170" s="1367">
        <f>$S$28*SIN(W161)-W169</f>
        <v>-57.180542448138439</v>
      </c>
      <c r="X170" s="1358">
        <f t="shared" si="102"/>
        <v>0</v>
      </c>
      <c r="Y170" s="1377">
        <f t="shared" si="103"/>
        <v>0</v>
      </c>
      <c r="Z170" s="1378"/>
      <c r="AA170" s="1083"/>
      <c r="AB170" s="650"/>
      <c r="AE170" s="650"/>
      <c r="AF170" s="650"/>
      <c r="AG170" s="650"/>
      <c r="AQ170" s="650"/>
    </row>
    <row r="171" spans="2:43">
      <c r="B171" s="1095" t="s">
        <v>1591</v>
      </c>
      <c r="C171" s="1095" t="s">
        <v>1592</v>
      </c>
      <c r="D171" s="1095" t="s">
        <v>1537</v>
      </c>
      <c r="E171" s="1095" t="s">
        <v>1539</v>
      </c>
      <c r="F171" s="1084" t="s">
        <v>295</v>
      </c>
      <c r="G171" s="1084" t="s">
        <v>283</v>
      </c>
      <c r="H171" s="1084" t="s">
        <v>284</v>
      </c>
      <c r="I171" s="1084" t="s">
        <v>285</v>
      </c>
      <c r="J171" s="1095"/>
      <c r="K171" s="1084"/>
      <c r="L171" s="1358"/>
      <c r="M171" s="1358"/>
      <c r="N171" s="1364"/>
      <c r="O171" s="1083"/>
      <c r="P171" s="1358"/>
      <c r="Q171" s="1358"/>
      <c r="R171" s="1358"/>
      <c r="S171" s="1083"/>
      <c r="T171" s="1083"/>
      <c r="U171" s="1083"/>
      <c r="V171" s="1083"/>
      <c r="W171" s="1083"/>
      <c r="X171" s="1083"/>
      <c r="Y171" s="1083"/>
      <c r="Z171" s="1378"/>
      <c r="AA171" s="1083"/>
      <c r="AB171" s="650"/>
      <c r="AE171" s="650"/>
      <c r="AF171" s="650"/>
      <c r="AG171" s="650"/>
      <c r="AQ171" s="650"/>
    </row>
    <row r="172" spans="2:43">
      <c r="B172" s="1095" t="s">
        <v>286</v>
      </c>
      <c r="C172" s="1095" t="s">
        <v>287</v>
      </c>
      <c r="D172" s="1084" t="s">
        <v>288</v>
      </c>
      <c r="E172" s="1084" t="s">
        <v>289</v>
      </c>
      <c r="F172" s="1084" t="s">
        <v>290</v>
      </c>
      <c r="G172" s="1083"/>
      <c r="H172" s="1083"/>
      <c r="I172" s="1083"/>
      <c r="J172" s="1358"/>
      <c r="K172" s="1084"/>
      <c r="L172" s="1358"/>
      <c r="M172" s="1358"/>
      <c r="N172" s="1364"/>
      <c r="O172" s="1084"/>
      <c r="P172" s="1363"/>
      <c r="Q172" s="1363"/>
      <c r="R172" s="1358"/>
      <c r="S172" s="1083"/>
      <c r="T172" s="1083"/>
      <c r="U172" s="1083"/>
      <c r="V172" s="1083"/>
      <c r="W172" s="1083"/>
      <c r="X172" s="1083"/>
      <c r="Y172" s="1083"/>
      <c r="Z172" s="1378"/>
      <c r="AA172" s="1083"/>
      <c r="AB172" s="650"/>
      <c r="AE172" s="650"/>
      <c r="AF172" s="650"/>
      <c r="AG172" s="650"/>
      <c r="AQ172" s="650"/>
    </row>
    <row r="173" spans="2:43">
      <c r="AB173" s="650"/>
      <c r="AE173" s="650"/>
      <c r="AF173" s="650"/>
      <c r="AG173" s="650"/>
      <c r="AQ173" s="650"/>
    </row>
    <row r="174" spans="2:43">
      <c r="AB174" s="650"/>
      <c r="AE174" s="650"/>
      <c r="AF174" s="650"/>
      <c r="AG174" s="650"/>
      <c r="AQ174" s="650"/>
    </row>
    <row r="175" spans="2:43">
      <c r="AB175" s="650"/>
      <c r="AE175" s="650"/>
      <c r="AF175" s="650"/>
      <c r="AG175" s="650"/>
      <c r="AQ175" s="650"/>
    </row>
    <row r="176" spans="2:43">
      <c r="AB176" s="650"/>
      <c r="AE176" s="650"/>
      <c r="AF176" s="650"/>
      <c r="AG176" s="650"/>
      <c r="AQ176" s="650"/>
    </row>
    <row r="177" spans="2:43">
      <c r="AB177" s="650"/>
      <c r="AE177" s="650"/>
      <c r="AF177" s="650"/>
      <c r="AG177" s="650"/>
      <c r="AQ177" s="650"/>
    </row>
    <row r="178" spans="2:43">
      <c r="AB178" s="650"/>
      <c r="AE178" s="650"/>
      <c r="AF178" s="650"/>
      <c r="AG178" s="650"/>
      <c r="AQ178" s="650"/>
    </row>
    <row r="179" spans="2:43">
      <c r="AB179" s="650"/>
      <c r="AE179" s="650"/>
      <c r="AF179" s="650"/>
      <c r="AG179" s="650"/>
      <c r="AQ179" s="650"/>
    </row>
    <row r="180" spans="2:43">
      <c r="AB180" s="650"/>
      <c r="AE180" s="650"/>
      <c r="AF180" s="650"/>
      <c r="AG180" s="650"/>
      <c r="AQ180" s="650"/>
    </row>
    <row r="181" spans="2:43">
      <c r="AB181" s="650"/>
      <c r="AE181" s="650"/>
      <c r="AF181" s="650"/>
      <c r="AG181" s="650"/>
      <c r="AQ181" s="650"/>
    </row>
    <row r="182" spans="2:43">
      <c r="AB182" s="650"/>
      <c r="AE182" s="650"/>
      <c r="AF182" s="650"/>
      <c r="AG182" s="650"/>
      <c r="AQ182" s="650"/>
    </row>
    <row r="183" spans="2:43">
      <c r="AB183" s="650"/>
      <c r="AE183" s="650"/>
      <c r="AF183" s="650"/>
      <c r="AG183" s="650"/>
      <c r="AQ183" s="650"/>
    </row>
    <row r="184" spans="2:43">
      <c r="B184" s="653"/>
      <c r="C184" s="692"/>
      <c r="D184" s="794"/>
      <c r="E184" s="693"/>
      <c r="F184" s="693"/>
      <c r="G184" s="694"/>
      <c r="H184" s="692"/>
      <c r="I184" s="695"/>
      <c r="J184" s="693"/>
      <c r="K184" s="652"/>
      <c r="L184" s="654"/>
      <c r="M184" s="654"/>
      <c r="N184" s="660"/>
      <c r="O184" s="652"/>
      <c r="P184" s="659"/>
      <c r="Q184" s="659"/>
      <c r="R184" s="654"/>
      <c r="Z184" s="671"/>
      <c r="AA184" s="650"/>
      <c r="AB184" s="650"/>
      <c r="AE184" s="650"/>
      <c r="AF184" s="650"/>
      <c r="AG184" s="650"/>
      <c r="AQ184" s="650"/>
    </row>
    <row r="185" spans="2:43">
      <c r="B185" s="663"/>
      <c r="C185" s="660"/>
      <c r="D185" s="660"/>
      <c r="E185" s="660"/>
      <c r="F185" s="660"/>
      <c r="G185" s="660"/>
      <c r="H185" s="660"/>
      <c r="I185" s="654"/>
      <c r="J185" s="654"/>
      <c r="K185" s="652"/>
      <c r="L185" s="664"/>
      <c r="M185" s="664"/>
      <c r="N185" s="660"/>
      <c r="O185" s="652"/>
      <c r="P185" s="659"/>
      <c r="Q185" s="659"/>
      <c r="R185" s="654"/>
      <c r="Z185" s="671"/>
      <c r="AA185" s="650"/>
      <c r="AB185" s="650"/>
      <c r="AE185" s="650"/>
      <c r="AF185" s="650"/>
      <c r="AG185" s="650"/>
      <c r="AQ185" s="650"/>
    </row>
    <row r="186" spans="2:43">
      <c r="B186" s="653"/>
      <c r="C186" s="666"/>
      <c r="D186" s="671"/>
      <c r="E186" s="663"/>
      <c r="F186" s="660"/>
      <c r="G186" s="682"/>
      <c r="H186" s="666"/>
      <c r="I186" s="659"/>
      <c r="M186" s="654"/>
      <c r="O186" s="652"/>
      <c r="P186" s="659"/>
      <c r="Q186" s="659"/>
      <c r="R186" s="654"/>
      <c r="Z186" s="671"/>
      <c r="AA186" s="650"/>
      <c r="AB186" s="650"/>
      <c r="AE186" s="650"/>
      <c r="AF186" s="650"/>
      <c r="AG186" s="650"/>
      <c r="AQ186" s="650"/>
    </row>
    <row r="187" spans="2:43">
      <c r="B187" s="696"/>
      <c r="C187" s="697"/>
      <c r="D187" s="651"/>
      <c r="O187" s="652"/>
      <c r="P187" s="682"/>
      <c r="Q187" s="682"/>
      <c r="R187" s="654"/>
      <c r="S187" s="653"/>
      <c r="T187" s="655"/>
      <c r="U187" s="655"/>
      <c r="W187" s="656"/>
      <c r="X187" s="655"/>
      <c r="Y187" s="664"/>
      <c r="Z187" s="671"/>
      <c r="AA187" s="650"/>
      <c r="AB187" s="650"/>
      <c r="AE187" s="650"/>
      <c r="AF187" s="650"/>
      <c r="AG187" s="650"/>
      <c r="AQ187" s="650"/>
    </row>
    <row r="188" spans="2:43">
      <c r="B188" s="650"/>
      <c r="C188" s="656"/>
      <c r="D188" s="656"/>
      <c r="E188" s="656"/>
      <c r="F188" s="656"/>
      <c r="I188" s="654"/>
      <c r="J188" s="698"/>
      <c r="K188" s="652"/>
      <c r="L188" s="654"/>
      <c r="M188" s="654"/>
      <c r="N188" s="660"/>
      <c r="O188" s="652"/>
      <c r="P188" s="660"/>
      <c r="Q188" s="660"/>
      <c r="R188" s="654"/>
      <c r="S188" s="652"/>
      <c r="T188" s="656"/>
      <c r="U188" s="656"/>
      <c r="V188" s="670"/>
      <c r="W188" s="656"/>
      <c r="X188" s="656"/>
      <c r="Y188" s="656"/>
      <c r="Z188" s="652"/>
      <c r="AA188" s="650"/>
      <c r="AB188" s="650"/>
      <c r="AE188" s="650"/>
      <c r="AF188" s="650"/>
      <c r="AG188" s="650"/>
      <c r="AQ188" s="650"/>
    </row>
    <row r="189" spans="2:43">
      <c r="B189" s="653"/>
      <c r="C189" s="660"/>
      <c r="D189" s="660"/>
      <c r="E189" s="660"/>
      <c r="F189" s="660"/>
      <c r="H189" s="654"/>
      <c r="J189" s="660"/>
      <c r="K189" s="652"/>
      <c r="L189" s="654"/>
      <c r="M189" s="654"/>
      <c r="N189" s="660"/>
      <c r="O189" s="652"/>
      <c r="P189" s="659"/>
      <c r="Q189" s="659"/>
      <c r="R189" s="654"/>
      <c r="S189" s="652"/>
      <c r="T189" s="654"/>
      <c r="U189" s="655"/>
      <c r="V189" s="654"/>
      <c r="W189" s="656"/>
      <c r="X189" s="651"/>
      <c r="Z189" s="651"/>
      <c r="AA189" s="650"/>
      <c r="AB189" s="650"/>
      <c r="AE189" s="650"/>
      <c r="AF189" s="650"/>
      <c r="AG189" s="650"/>
      <c r="AQ189" s="650"/>
    </row>
    <row r="190" spans="2:43">
      <c r="B190" s="653"/>
      <c r="C190" s="660"/>
      <c r="D190" s="660"/>
      <c r="E190" s="660"/>
      <c r="F190" s="660"/>
      <c r="H190" s="654"/>
      <c r="J190" s="654"/>
      <c r="K190" s="652"/>
      <c r="L190" s="654"/>
      <c r="M190" s="654"/>
      <c r="N190" s="660"/>
      <c r="O190" s="652"/>
      <c r="P190" s="659"/>
      <c r="Q190" s="659"/>
      <c r="R190" s="654"/>
      <c r="S190" s="652"/>
      <c r="T190" s="654"/>
      <c r="U190" s="655"/>
      <c r="V190" s="654"/>
      <c r="W190" s="656"/>
      <c r="X190" s="651"/>
      <c r="Z190" s="651"/>
    </row>
    <row r="191" spans="2:43">
      <c r="B191" s="650"/>
      <c r="C191" s="652"/>
      <c r="D191" s="652"/>
      <c r="E191" s="652"/>
      <c r="F191" s="652"/>
      <c r="G191" s="699"/>
      <c r="H191" s="698"/>
      <c r="J191" s="654"/>
      <c r="K191" s="652"/>
      <c r="L191" s="654"/>
      <c r="M191" s="654"/>
      <c r="N191" s="660"/>
      <c r="O191" s="654"/>
      <c r="S191" s="652"/>
      <c r="T191" s="654"/>
      <c r="U191" s="655"/>
      <c r="V191" s="654"/>
      <c r="W191" s="656"/>
      <c r="X191" s="651"/>
      <c r="Z191" s="651"/>
      <c r="AA191" s="650"/>
      <c r="AB191" s="650"/>
      <c r="AE191" s="650"/>
      <c r="AF191" s="650"/>
      <c r="AG191" s="650"/>
      <c r="AQ191" s="650"/>
    </row>
    <row r="192" spans="2:43">
      <c r="B192" s="650"/>
      <c r="C192" s="652"/>
      <c r="D192" s="652"/>
      <c r="E192" s="652"/>
      <c r="F192" s="652"/>
      <c r="G192" s="652"/>
      <c r="H192" s="698"/>
      <c r="J192" s="654"/>
      <c r="L192" s="654"/>
      <c r="M192" s="654"/>
      <c r="S192" s="652"/>
      <c r="T192" s="654"/>
      <c r="U192" s="655"/>
      <c r="V192" s="654"/>
      <c r="W192" s="656"/>
      <c r="X192" s="651"/>
      <c r="Z192" s="651"/>
      <c r="AA192" s="650"/>
      <c r="AB192" s="650"/>
      <c r="AE192" s="650"/>
      <c r="AF192" s="650"/>
      <c r="AG192" s="650"/>
      <c r="AQ192" s="650"/>
    </row>
    <row r="193" spans="2:48">
      <c r="K193" s="652"/>
      <c r="L193" s="664"/>
      <c r="M193" s="664"/>
      <c r="N193" s="660"/>
      <c r="O193" s="652"/>
      <c r="P193" s="654"/>
      <c r="Q193" s="654"/>
      <c r="R193" s="654"/>
      <c r="S193" s="652"/>
      <c r="T193" s="654"/>
      <c r="U193" s="655"/>
      <c r="V193" s="654"/>
      <c r="W193" s="656"/>
      <c r="X193" s="651"/>
      <c r="Z193" s="651"/>
    </row>
    <row r="194" spans="2:48">
      <c r="J194" s="664"/>
      <c r="K194" s="652"/>
      <c r="L194" s="664"/>
      <c r="M194" s="664"/>
      <c r="N194" s="660"/>
      <c r="O194" s="652"/>
      <c r="P194" s="654"/>
      <c r="Q194" s="654"/>
      <c r="R194" s="654"/>
      <c r="S194" s="652"/>
      <c r="T194" s="654"/>
      <c r="U194" s="655"/>
      <c r="V194" s="654"/>
      <c r="W194" s="656"/>
      <c r="X194" s="651"/>
      <c r="Z194" s="651"/>
      <c r="AA194" s="650"/>
      <c r="AB194" s="650"/>
      <c r="AE194" s="650"/>
      <c r="AF194" s="650"/>
      <c r="AG194" s="650"/>
      <c r="AQ194" s="650"/>
    </row>
    <row r="195" spans="2:48">
      <c r="J195" s="664"/>
      <c r="K195" s="652"/>
      <c r="L195" s="664"/>
      <c r="M195" s="664"/>
      <c r="N195" s="660"/>
      <c r="O195" s="652"/>
      <c r="P195" s="654"/>
      <c r="Q195" s="654"/>
      <c r="R195" s="654"/>
      <c r="T195" s="655"/>
      <c r="U195" s="655"/>
      <c r="V195" s="655"/>
      <c r="W195" s="655"/>
      <c r="X195" s="656"/>
      <c r="Y195" s="655"/>
      <c r="AA195" s="650"/>
      <c r="AB195" s="650"/>
      <c r="AE195" s="650"/>
      <c r="AF195" s="650"/>
      <c r="AG195" s="650"/>
      <c r="AQ195" s="650"/>
    </row>
    <row r="196" spans="2:48">
      <c r="J196" s="664"/>
      <c r="K196" s="652"/>
      <c r="L196" s="664"/>
      <c r="M196" s="664"/>
      <c r="N196" s="660"/>
      <c r="O196" s="652"/>
      <c r="P196" s="664"/>
      <c r="Q196" s="664"/>
      <c r="R196" s="654"/>
      <c r="S196" s="653"/>
      <c r="T196" s="655"/>
      <c r="U196" s="655"/>
      <c r="V196" s="655"/>
      <c r="W196" s="655"/>
      <c r="X196" s="656"/>
      <c r="Y196" s="655"/>
    </row>
    <row r="197" spans="2:48">
      <c r="J197" s="664"/>
      <c r="K197" s="652"/>
      <c r="L197" s="664"/>
      <c r="M197" s="664"/>
      <c r="N197" s="660"/>
      <c r="O197" s="652"/>
      <c r="P197" s="654"/>
      <c r="Q197" s="654"/>
      <c r="R197" s="665"/>
      <c r="S197" s="652"/>
      <c r="T197" s="651"/>
      <c r="U197" s="651"/>
      <c r="V197" s="651"/>
      <c r="W197" s="651"/>
      <c r="X197" s="651"/>
      <c r="Y197" s="655"/>
      <c r="AA197" s="650"/>
      <c r="AB197" s="650"/>
      <c r="AE197" s="650"/>
      <c r="AF197" s="650"/>
      <c r="AG197" s="650"/>
      <c r="AQ197" s="650"/>
    </row>
    <row r="198" spans="2:48">
      <c r="J198" s="664"/>
      <c r="L198" s="664"/>
      <c r="M198" s="664"/>
      <c r="O198" s="652"/>
      <c r="P198" s="654"/>
      <c r="Q198" s="654"/>
      <c r="R198" s="654"/>
      <c r="S198" s="652"/>
      <c r="T198" s="651"/>
      <c r="U198" s="651"/>
      <c r="V198" s="651"/>
      <c r="W198" s="651"/>
      <c r="X198" s="651"/>
      <c r="Y198" s="655"/>
      <c r="AA198" s="650"/>
      <c r="AB198" s="650"/>
      <c r="AE198" s="650"/>
      <c r="AF198" s="650"/>
      <c r="AG198" s="650"/>
      <c r="AQ198" s="650"/>
    </row>
    <row r="199" spans="2:48">
      <c r="J199" s="664"/>
      <c r="K199" s="652"/>
      <c r="L199" s="664"/>
      <c r="M199" s="664"/>
      <c r="N199" s="654"/>
      <c r="O199" s="652"/>
      <c r="P199" s="659"/>
      <c r="Q199" s="659"/>
      <c r="R199" s="654"/>
      <c r="S199" s="652"/>
      <c r="T199" s="656"/>
      <c r="U199" s="656"/>
      <c r="V199" s="656"/>
      <c r="W199" s="656"/>
      <c r="X199" s="656"/>
      <c r="Y199" s="656"/>
    </row>
    <row r="200" spans="2:48">
      <c r="K200" s="652"/>
      <c r="L200" s="654"/>
      <c r="M200" s="654"/>
      <c r="N200" s="654"/>
      <c r="O200" s="652"/>
      <c r="P200" s="659"/>
      <c r="Q200" s="659"/>
      <c r="R200" s="654"/>
      <c r="S200" s="652"/>
      <c r="T200" s="655"/>
      <c r="U200" s="655"/>
      <c r="V200" s="676"/>
      <c r="W200" s="654"/>
      <c r="X200" s="651"/>
      <c r="Y200" s="651"/>
    </row>
    <row r="201" spans="2:48">
      <c r="J201" s="659"/>
      <c r="K201" s="711"/>
      <c r="L201" s="714"/>
      <c r="M201" s="714"/>
      <c r="N201" s="698"/>
      <c r="O201" s="652"/>
      <c r="P201" s="659"/>
      <c r="Q201" s="659"/>
      <c r="R201" s="654"/>
      <c r="S201" s="652"/>
      <c r="T201" s="655"/>
      <c r="U201" s="655"/>
      <c r="V201" s="676"/>
      <c r="W201" s="654"/>
      <c r="X201" s="651"/>
      <c r="Y201" s="651"/>
    </row>
    <row r="202" spans="2:48">
      <c r="K202" s="652"/>
      <c r="L202" s="654"/>
      <c r="M202" s="654"/>
      <c r="N202" s="654"/>
      <c r="O202" s="652"/>
      <c r="P202" s="659"/>
      <c r="Q202" s="659"/>
      <c r="R202" s="654"/>
      <c r="S202" s="652"/>
      <c r="T202" s="656"/>
      <c r="U202" s="656"/>
      <c r="V202" s="676"/>
      <c r="W202" s="654"/>
      <c r="X202" s="651"/>
      <c r="Y202" s="651"/>
    </row>
    <row r="203" spans="2:48">
      <c r="K203" s="652"/>
      <c r="L203" s="654"/>
      <c r="M203" s="654"/>
      <c r="N203" s="654"/>
      <c r="O203" s="652"/>
      <c r="P203" s="659"/>
      <c r="Q203" s="659"/>
      <c r="R203" s="654"/>
      <c r="S203" s="652"/>
      <c r="T203" s="655"/>
      <c r="U203" s="655"/>
      <c r="V203" s="656"/>
      <c r="W203" s="655"/>
      <c r="X203" s="651"/>
      <c r="Y203" s="655"/>
    </row>
    <row r="204" spans="2:48">
      <c r="J204" s="654"/>
      <c r="K204" s="652"/>
      <c r="L204" s="654"/>
      <c r="M204" s="654"/>
      <c r="N204" s="654"/>
      <c r="O204" s="652"/>
      <c r="P204" s="659"/>
      <c r="Q204" s="659"/>
      <c r="R204" s="654"/>
      <c r="S204" s="652"/>
      <c r="T204" s="655"/>
      <c r="U204" s="655"/>
      <c r="V204" s="656"/>
      <c r="W204" s="655"/>
      <c r="X204" s="651"/>
      <c r="Y204" s="655"/>
    </row>
    <row r="205" spans="2:48">
      <c r="B205" s="674"/>
      <c r="C205" s="651"/>
      <c r="D205" s="651"/>
      <c r="E205" s="651"/>
      <c r="F205" s="651"/>
      <c r="G205" s="651"/>
      <c r="S205" s="652"/>
      <c r="T205" s="655"/>
      <c r="U205" s="655"/>
      <c r="V205" s="656"/>
      <c r="W205" s="655"/>
      <c r="X205" s="651"/>
      <c r="Y205" s="655"/>
    </row>
    <row r="206" spans="2:48">
      <c r="B206" s="650"/>
      <c r="K206" s="653"/>
      <c r="L206" s="652"/>
      <c r="M206" s="652"/>
      <c r="Q206" s="654"/>
      <c r="T206" s="655"/>
      <c r="U206" s="655"/>
      <c r="X206" s="655"/>
      <c r="Y206" s="655"/>
      <c r="AA206" s="1126"/>
      <c r="AB206" s="1126"/>
      <c r="AC206" s="1126"/>
      <c r="AD206" s="1126"/>
      <c r="AE206" s="1126"/>
      <c r="AF206" s="1126"/>
      <c r="AG206" s="1126"/>
      <c r="AH206" s="1126"/>
      <c r="AJ206" s="64"/>
      <c r="AK206" s="64"/>
      <c r="AL206" s="64"/>
      <c r="AM206" s="1126"/>
      <c r="AN206" s="1126"/>
      <c r="AO206" s="1126"/>
      <c r="AP206" s="1126"/>
      <c r="AQ206" s="1126"/>
      <c r="AR206" s="1126"/>
      <c r="AS206" s="1126"/>
      <c r="AT206" s="1126"/>
      <c r="AU206" s="1126"/>
      <c r="AV206" s="1126"/>
    </row>
    <row r="207" spans="2:48">
      <c r="B207" s="650"/>
      <c r="J207" s="651"/>
      <c r="K207" s="653"/>
      <c r="L207" s="653"/>
      <c r="M207" s="652"/>
      <c r="O207" s="652"/>
      <c r="P207" s="659"/>
      <c r="Q207" s="659"/>
      <c r="R207" s="660"/>
      <c r="S207" s="653"/>
      <c r="T207" s="655"/>
      <c r="U207" s="655"/>
      <c r="X207" s="655"/>
      <c r="Y207" s="656"/>
      <c r="AA207" s="53"/>
      <c r="AB207" s="53"/>
      <c r="AC207" s="52"/>
      <c r="AD207" s="53"/>
      <c r="AE207"/>
      <c r="AF207"/>
      <c r="AG207"/>
      <c r="AH207"/>
      <c r="AJ207" s="50"/>
      <c r="AK207" s="50"/>
      <c r="AL207" s="50"/>
      <c r="AM207" s="1344"/>
      <c r="AN207" s="1344"/>
      <c r="AO207" s="1344"/>
      <c r="AP207" s="1344"/>
      <c r="AQ207" s="1344"/>
      <c r="AR207" s="1344"/>
      <c r="AS207" s="623"/>
      <c r="AT207" s="623"/>
      <c r="AU207" s="623"/>
      <c r="AV207" s="623"/>
    </row>
    <row r="208" spans="2:48">
      <c r="B208" s="650"/>
      <c r="J208" s="651"/>
      <c r="K208" s="652"/>
      <c r="L208" s="652"/>
      <c r="M208" s="652"/>
      <c r="O208" s="652"/>
      <c r="P208" s="651"/>
      <c r="Q208" s="651"/>
      <c r="R208" s="660"/>
      <c r="S208" s="652"/>
      <c r="T208" s="656"/>
      <c r="U208" s="656"/>
      <c r="V208" s="656"/>
      <c r="W208" s="656"/>
      <c r="X208" s="656"/>
      <c r="Y208" s="656"/>
      <c r="AA208" s="53"/>
      <c r="AB208" s="53"/>
      <c r="AC208" s="52"/>
      <c r="AD208" s="53"/>
      <c r="AE208" s="52"/>
      <c r="AF208" s="52"/>
      <c r="AG208" s="52"/>
      <c r="AH208" s="52"/>
      <c r="AJ208" s="50"/>
      <c r="AK208" s="50"/>
      <c r="AL208" s="50"/>
      <c r="AM208" s="1344"/>
      <c r="AN208" s="1344"/>
      <c r="AO208" s="1344"/>
      <c r="AP208" s="1344"/>
      <c r="AQ208" s="1344"/>
      <c r="AR208" s="1344"/>
      <c r="AS208" s="1344"/>
      <c r="AT208" s="1344"/>
      <c r="AU208" s="1344"/>
      <c r="AV208" s="1344"/>
    </row>
    <row r="209" spans="2:48">
      <c r="B209" s="650"/>
      <c r="J209" s="651"/>
      <c r="K209" s="652"/>
      <c r="L209" s="652"/>
      <c r="M209" s="652"/>
      <c r="N209" s="665"/>
      <c r="O209" s="652"/>
      <c r="P209" s="659"/>
      <c r="Q209" s="659"/>
      <c r="R209" s="660"/>
      <c r="S209" s="652"/>
      <c r="T209" s="666"/>
      <c r="U209" s="666"/>
      <c r="V209" s="666"/>
      <c r="W209" s="666"/>
      <c r="X209" s="656"/>
      <c r="Y209" s="656"/>
      <c r="AA209" s="53"/>
      <c r="AB209" s="53"/>
      <c r="AC209" s="52"/>
      <c r="AD209" s="53"/>
      <c r="AE209" s="52"/>
      <c r="AF209" s="52"/>
      <c r="AG209" s="52"/>
      <c r="AH209" s="52"/>
      <c r="AJ209" s="50"/>
      <c r="AK209" s="50"/>
      <c r="AL209" s="50"/>
      <c r="AM209" s="1344"/>
      <c r="AN209" s="1344"/>
      <c r="AO209" s="1344"/>
      <c r="AP209" s="1344"/>
      <c r="AQ209" s="1344"/>
      <c r="AR209" s="1344"/>
      <c r="AS209" s="1344"/>
      <c r="AT209" s="1344"/>
      <c r="AU209" s="1344"/>
      <c r="AV209" s="1344"/>
    </row>
    <row r="210" spans="2:48">
      <c r="B210" s="650"/>
      <c r="J210" s="651"/>
      <c r="K210" s="652"/>
      <c r="L210" s="654"/>
      <c r="M210" s="654"/>
      <c r="N210" s="660"/>
      <c r="O210" s="652"/>
      <c r="P210" s="659"/>
      <c r="Q210" s="659"/>
      <c r="R210" s="660"/>
      <c r="S210" s="652"/>
      <c r="T210" s="666"/>
      <c r="U210" s="666"/>
      <c r="V210" s="666"/>
      <c r="W210" s="666"/>
      <c r="X210" s="668"/>
      <c r="Y210" s="661"/>
      <c r="AA210" s="53"/>
      <c r="AB210" s="53"/>
      <c r="AC210" s="52"/>
      <c r="AD210" s="53"/>
      <c r="AE210" s="52"/>
      <c r="AF210" s="52"/>
      <c r="AG210" s="52"/>
      <c r="AH210" s="52"/>
      <c r="AJ210" s="50"/>
      <c r="AK210" s="50"/>
      <c r="AL210" s="50"/>
      <c r="AM210" s="1344"/>
      <c r="AN210" s="1344"/>
      <c r="AO210" s="1344"/>
      <c r="AP210" s="1344"/>
      <c r="AQ210" s="1344"/>
      <c r="AR210" s="1344"/>
      <c r="AS210" s="1344"/>
      <c r="AT210" s="1344"/>
      <c r="AU210" s="1344"/>
      <c r="AV210" s="1344"/>
    </row>
    <row r="211" spans="2:48">
      <c r="B211" s="650"/>
      <c r="J211" s="651"/>
      <c r="K211" s="652"/>
      <c r="L211" s="654"/>
      <c r="M211" s="654"/>
      <c r="N211" s="660"/>
      <c r="O211" s="652"/>
      <c r="P211" s="654"/>
      <c r="Q211" s="654"/>
      <c r="R211" s="660"/>
      <c r="S211" s="652"/>
      <c r="T211" s="660"/>
      <c r="U211" s="660"/>
      <c r="V211" s="660"/>
      <c r="W211" s="660"/>
      <c r="X211" s="656"/>
      <c r="Y211" s="669"/>
      <c r="Z211" s="652"/>
      <c r="AA211" s="53"/>
      <c r="AB211" s="53"/>
      <c r="AC211" s="1126"/>
      <c r="AD211" s="53"/>
      <c r="AE211" s="52"/>
      <c r="AF211" s="52"/>
      <c r="AG211" s="52"/>
      <c r="AH211" s="52"/>
      <c r="AJ211" s="50"/>
      <c r="AK211" s="50"/>
      <c r="AL211" s="50"/>
      <c r="AM211" s="1344"/>
      <c r="AN211" s="1344"/>
      <c r="AO211" s="1344"/>
      <c r="AP211" s="1344"/>
      <c r="AQ211" s="1344"/>
      <c r="AR211" s="1344"/>
      <c r="AS211" s="1344"/>
      <c r="AT211" s="1344"/>
      <c r="AU211" s="1344"/>
      <c r="AV211" s="1344"/>
    </row>
    <row r="212" spans="2:48">
      <c r="B212" s="651"/>
      <c r="C212" s="651"/>
      <c r="D212" s="651"/>
      <c r="E212" s="651"/>
      <c r="F212" s="651"/>
      <c r="G212" s="651"/>
      <c r="H212" s="651"/>
      <c r="I212" s="651"/>
      <c r="K212" s="652"/>
      <c r="L212" s="654"/>
      <c r="M212" s="654"/>
      <c r="N212" s="660"/>
      <c r="O212" s="652"/>
      <c r="P212" s="659"/>
      <c r="Q212" s="659"/>
      <c r="R212" s="660"/>
      <c r="S212" s="652"/>
      <c r="T212" s="660"/>
      <c r="U212" s="660"/>
      <c r="V212" s="660"/>
      <c r="W212" s="660"/>
      <c r="X212" s="661"/>
      <c r="Y212" s="661"/>
      <c r="Z212" s="655"/>
      <c r="AA212" s="53"/>
      <c r="AB212" s="53"/>
      <c r="AC212" s="1126"/>
      <c r="AD212" s="53"/>
      <c r="AE212" s="52"/>
      <c r="AF212" s="52"/>
      <c r="AG212" s="52"/>
      <c r="AH212" s="52"/>
      <c r="AJ212" s="50"/>
      <c r="AK212" s="50"/>
      <c r="AL212" s="50"/>
      <c r="AM212" s="1344"/>
      <c r="AN212" s="1344"/>
      <c r="AO212" s="1344"/>
      <c r="AP212" s="1344"/>
      <c r="AQ212" s="1344"/>
      <c r="AR212" s="1344"/>
      <c r="AS212" s="1344"/>
      <c r="AT212" s="1344"/>
      <c r="AU212" s="1344"/>
      <c r="AV212" s="1344"/>
    </row>
    <row r="213" spans="2:48">
      <c r="B213" s="651"/>
      <c r="C213" s="651"/>
      <c r="D213" s="651"/>
      <c r="E213" s="651"/>
      <c r="F213" s="651"/>
      <c r="G213" s="651"/>
      <c r="H213" s="651"/>
      <c r="I213" s="651"/>
      <c r="J213" s="654"/>
      <c r="K213" s="652"/>
      <c r="L213" s="654"/>
      <c r="M213" s="654"/>
      <c r="N213" s="660"/>
      <c r="O213" s="652"/>
      <c r="P213" s="654"/>
      <c r="Q213" s="654"/>
      <c r="R213" s="654"/>
      <c r="T213" s="652"/>
      <c r="U213" s="652"/>
      <c r="V213" s="652"/>
      <c r="W213" s="652"/>
      <c r="X213" s="656"/>
      <c r="Y213" s="656"/>
      <c r="Z213" s="655"/>
      <c r="AA213" s="53"/>
      <c r="AB213" s="53"/>
      <c r="AC213" s="1126"/>
      <c r="AD213" s="53"/>
      <c r="AE213" s="1126"/>
      <c r="AF213" s="52"/>
      <c r="AG213" s="52"/>
      <c r="AH213" s="52"/>
      <c r="AJ213" s="50"/>
      <c r="AK213" s="50"/>
      <c r="AL213" s="50"/>
      <c r="AM213" s="1344"/>
      <c r="AN213" s="1344"/>
      <c r="AO213" s="1344"/>
      <c r="AP213" s="1344"/>
      <c r="AQ213" s="1344"/>
      <c r="AR213" s="1344"/>
      <c r="AS213" s="1344"/>
      <c r="AT213" s="1344"/>
      <c r="AU213" s="1344"/>
      <c r="AV213" s="1344"/>
    </row>
    <row r="214" spans="2:48">
      <c r="B214" s="651"/>
      <c r="C214" s="651"/>
      <c r="D214" s="651"/>
      <c r="E214" s="651"/>
      <c r="F214" s="651"/>
      <c r="G214" s="651"/>
      <c r="H214" s="651"/>
      <c r="I214" s="651"/>
      <c r="J214" s="654"/>
      <c r="K214" s="652"/>
      <c r="L214" s="659"/>
      <c r="M214" s="659"/>
      <c r="N214" s="660"/>
      <c r="O214" s="653"/>
      <c r="P214" s="654"/>
      <c r="Q214" s="654"/>
      <c r="R214" s="654"/>
      <c r="S214" s="652"/>
      <c r="T214" s="660"/>
      <c r="U214" s="660"/>
      <c r="V214" s="660"/>
      <c r="W214" s="660"/>
      <c r="X214" s="673"/>
      <c r="Y214" s="656"/>
      <c r="Z214" s="655"/>
      <c r="AA214" s="53"/>
      <c r="AB214" s="53"/>
      <c r="AC214" s="1126"/>
      <c r="AD214" s="53"/>
      <c r="AE214" s="1126"/>
      <c r="AF214" s="1126"/>
      <c r="AG214" s="1126"/>
      <c r="AH214" s="1126"/>
      <c r="AJ214" s="50"/>
      <c r="AK214" s="50"/>
      <c r="AL214" s="50"/>
      <c r="AM214" s="1344"/>
      <c r="AN214" s="1344"/>
      <c r="AO214" s="1344"/>
      <c r="AP214" s="1344"/>
      <c r="AQ214" s="1344"/>
      <c r="AR214" s="1344"/>
      <c r="AS214" s="1344"/>
      <c r="AT214" s="1344"/>
      <c r="AU214" s="1344"/>
      <c r="AV214" s="1344"/>
    </row>
    <row r="215" spans="2:48">
      <c r="B215" s="651"/>
      <c r="C215" s="651"/>
      <c r="D215" s="651"/>
      <c r="E215" s="651"/>
      <c r="F215" s="651"/>
      <c r="G215" s="651"/>
      <c r="H215" s="651"/>
      <c r="I215" s="651"/>
      <c r="J215" s="654"/>
      <c r="K215" s="653"/>
      <c r="L215" s="654"/>
      <c r="M215" s="654"/>
      <c r="O215" s="652"/>
      <c r="P215" s="654"/>
      <c r="Q215" s="654"/>
      <c r="R215" s="654"/>
      <c r="S215" s="652"/>
      <c r="T215" s="660"/>
      <c r="U215" s="660"/>
      <c r="V215" s="660"/>
      <c r="W215" s="660"/>
      <c r="X215" s="655"/>
      <c r="Y215" s="655"/>
      <c r="Z215" s="655"/>
      <c r="AA215" s="53"/>
      <c r="AB215" s="53"/>
      <c r="AC215" s="53"/>
      <c r="AD215" s="53"/>
      <c r="AE215" s="1126"/>
      <c r="AF215" s="1126"/>
      <c r="AG215" s="1126"/>
      <c r="AH215" s="1126"/>
      <c r="AJ215" s="50"/>
      <c r="AK215" s="50"/>
      <c r="AL215" s="50"/>
      <c r="AM215" s="1344"/>
      <c r="AN215" s="1344"/>
      <c r="AO215" s="1344"/>
      <c r="AP215" s="1344"/>
      <c r="AQ215" s="1344"/>
      <c r="AR215" s="1344"/>
      <c r="AS215" s="1344"/>
      <c r="AT215" s="1344"/>
      <c r="AU215" s="1344"/>
      <c r="AV215" s="1344"/>
    </row>
    <row r="216" spans="2:48">
      <c r="B216" s="651"/>
      <c r="C216" s="651"/>
      <c r="D216" s="651"/>
      <c r="E216" s="651"/>
      <c r="F216" s="651"/>
      <c r="G216" s="651"/>
      <c r="H216" s="651"/>
      <c r="I216" s="651"/>
      <c r="J216" s="654"/>
      <c r="K216" s="652"/>
      <c r="L216" s="654"/>
      <c r="M216" s="654"/>
      <c r="N216" s="660"/>
      <c r="O216" s="652"/>
      <c r="P216" s="654"/>
      <c r="Q216" s="654"/>
      <c r="R216" s="654"/>
      <c r="S216" s="652"/>
      <c r="T216" s="660"/>
      <c r="U216" s="660"/>
      <c r="V216" s="660"/>
      <c r="W216" s="660"/>
      <c r="X216" s="656"/>
      <c r="Y216" s="656"/>
      <c r="Z216" s="655"/>
      <c r="AA216" s="53"/>
      <c r="AB216" s="53"/>
      <c r="AC216" s="53"/>
      <c r="AD216" s="53"/>
      <c r="AE216" s="1126"/>
      <c r="AF216" s="1126"/>
      <c r="AG216" s="1126"/>
      <c r="AH216" s="1126"/>
      <c r="AJ216" s="50"/>
      <c r="AK216" s="50"/>
      <c r="AL216" s="50"/>
      <c r="AM216" s="1344"/>
      <c r="AN216" s="1344"/>
      <c r="AO216" s="1344"/>
      <c r="AP216" s="1344"/>
      <c r="AQ216" s="1344"/>
      <c r="AR216" s="1344"/>
      <c r="AS216" s="1344"/>
      <c r="AT216" s="1344"/>
      <c r="AU216" s="1344"/>
      <c r="AV216" s="1344"/>
    </row>
    <row r="217" spans="2:48">
      <c r="B217" s="650"/>
      <c r="J217" s="654"/>
      <c r="K217" s="652"/>
      <c r="L217" s="659"/>
      <c r="M217" s="659"/>
      <c r="N217" s="660"/>
      <c r="P217" s="654"/>
      <c r="Q217" s="654"/>
      <c r="R217" s="654"/>
      <c r="S217" s="653"/>
      <c r="T217" s="660"/>
      <c r="U217" s="660"/>
      <c r="V217" s="660"/>
      <c r="W217" s="660"/>
      <c r="X217" s="651"/>
      <c r="Y217" s="655"/>
      <c r="Z217" s="655"/>
    </row>
    <row r="218" spans="2:48">
      <c r="B218" s="650"/>
      <c r="K218" s="652"/>
      <c r="L218" s="654"/>
      <c r="M218" s="654"/>
      <c r="N218" s="660"/>
      <c r="O218" s="652"/>
      <c r="P218" s="654"/>
      <c r="Q218" s="654"/>
      <c r="R218" s="654"/>
      <c r="S218" s="653"/>
      <c r="T218" s="654"/>
      <c r="U218" s="654"/>
      <c r="V218" s="654"/>
      <c r="W218" s="654"/>
      <c r="X218" s="655"/>
      <c r="Y218" s="655"/>
    </row>
    <row r="219" spans="2:48">
      <c r="B219" s="650"/>
      <c r="D219" s="651"/>
      <c r="E219" s="683"/>
      <c r="F219" s="683"/>
      <c r="G219" s="659"/>
      <c r="H219" s="651"/>
      <c r="I219" s="664"/>
      <c r="J219" s="664"/>
      <c r="K219" s="652"/>
      <c r="L219" s="654"/>
      <c r="M219" s="654"/>
      <c r="N219" s="660"/>
      <c r="O219" s="652"/>
      <c r="P219" s="654"/>
      <c r="Q219" s="654"/>
      <c r="R219" s="654"/>
      <c r="S219" s="652"/>
      <c r="T219" s="656"/>
      <c r="U219" s="656"/>
      <c r="V219" s="656"/>
      <c r="W219" s="656"/>
      <c r="X219" s="656"/>
      <c r="Y219" s="656"/>
      <c r="Z219" s="652"/>
      <c r="AA219" s="1126"/>
      <c r="AB219" s="1126"/>
      <c r="AC219" s="1126"/>
      <c r="AD219" s="1126"/>
      <c r="AE219" s="1126"/>
      <c r="AF219" s="1126"/>
      <c r="AG219" s="1126"/>
      <c r="AH219" s="1126"/>
      <c r="AJ219" s="64"/>
      <c r="AK219" s="64"/>
      <c r="AL219" s="64"/>
      <c r="AM219" s="1126"/>
      <c r="AN219" s="1126"/>
      <c r="AO219" s="1126"/>
      <c r="AP219" s="1126"/>
      <c r="AQ219" s="1126"/>
      <c r="AR219" s="1126"/>
      <c r="AS219" s="1126"/>
      <c r="AT219" s="1126"/>
      <c r="AU219" s="1126"/>
      <c r="AV219" s="1126"/>
    </row>
    <row r="220" spans="2:48">
      <c r="B220" s="650"/>
      <c r="D220" s="708"/>
      <c r="E220" s="709"/>
      <c r="F220" s="709"/>
      <c r="G220" s="659"/>
      <c r="H220" s="651"/>
      <c r="I220" s="664"/>
      <c r="J220" s="664"/>
      <c r="K220" s="652"/>
      <c r="L220" s="654"/>
      <c r="M220" s="654"/>
      <c r="N220" s="660"/>
      <c r="P220" s="654"/>
      <c r="Q220" s="654"/>
      <c r="R220" s="654"/>
      <c r="S220" s="652"/>
      <c r="T220" s="654"/>
      <c r="U220" s="654"/>
      <c r="V220" s="654"/>
      <c r="W220" s="654"/>
      <c r="X220" s="655"/>
      <c r="Y220" s="654"/>
      <c r="Z220" s="656"/>
      <c r="AA220" s="53"/>
      <c r="AB220" s="53"/>
      <c r="AC220" s="52"/>
      <c r="AD220" s="53"/>
      <c r="AE220"/>
      <c r="AF220"/>
      <c r="AG220"/>
      <c r="AH220"/>
      <c r="AJ220" s="50"/>
      <c r="AK220" s="50"/>
      <c r="AL220" s="50"/>
      <c r="AM220" s="1344"/>
      <c r="AN220" s="1344"/>
      <c r="AO220" s="1344"/>
      <c r="AP220" s="1344"/>
      <c r="AQ220" s="1344"/>
      <c r="AR220" s="1344"/>
      <c r="AS220" s="623"/>
      <c r="AT220" s="623"/>
      <c r="AU220" s="623"/>
      <c r="AV220" s="623"/>
    </row>
    <row r="221" spans="2:48">
      <c r="B221" s="650"/>
      <c r="D221" s="651"/>
      <c r="E221" s="683"/>
      <c r="F221" s="683"/>
      <c r="H221" s="651"/>
      <c r="I221" s="664"/>
      <c r="J221" s="664"/>
      <c r="K221" s="652"/>
      <c r="L221" s="654"/>
      <c r="M221" s="654"/>
      <c r="N221" s="660"/>
      <c r="P221" s="654"/>
      <c r="Q221" s="654"/>
      <c r="R221" s="654"/>
      <c r="S221" s="652"/>
      <c r="T221" s="654"/>
      <c r="U221" s="654"/>
      <c r="V221" s="654"/>
      <c r="W221" s="654"/>
      <c r="X221" s="655"/>
      <c r="Y221" s="654"/>
      <c r="Z221" s="656"/>
      <c r="AA221" s="53"/>
      <c r="AB221" s="53"/>
      <c r="AC221" s="52"/>
      <c r="AD221" s="53"/>
      <c r="AE221" s="52"/>
      <c r="AF221" s="52"/>
      <c r="AG221" s="52"/>
      <c r="AH221" s="52"/>
      <c r="AJ221" s="50"/>
      <c r="AK221" s="50"/>
      <c r="AL221" s="50"/>
      <c r="AM221" s="1344"/>
      <c r="AN221" s="1344"/>
      <c r="AO221" s="1344"/>
      <c r="AP221" s="1344"/>
      <c r="AQ221" s="1344"/>
      <c r="AR221" s="1344"/>
      <c r="AS221" s="1344"/>
      <c r="AT221" s="1344"/>
      <c r="AU221" s="1344"/>
      <c r="AV221" s="1344"/>
    </row>
    <row r="222" spans="2:48">
      <c r="B222" s="650"/>
      <c r="D222" s="651"/>
      <c r="E222" s="683"/>
      <c r="F222" s="683"/>
      <c r="H222" s="651"/>
      <c r="I222" s="664"/>
      <c r="J222" s="664"/>
      <c r="K222" s="652"/>
      <c r="L222" s="654"/>
      <c r="M222" s="654"/>
      <c r="N222" s="660"/>
      <c r="O222" s="652"/>
      <c r="P222" s="659"/>
      <c r="Q222" s="659"/>
      <c r="R222" s="654"/>
      <c r="S222" s="652"/>
      <c r="T222" s="654"/>
      <c r="U222" s="654"/>
      <c r="V222" s="654"/>
      <c r="W222" s="654"/>
      <c r="X222" s="655"/>
      <c r="Y222" s="654"/>
      <c r="Z222" s="656"/>
      <c r="AA222" s="53"/>
      <c r="AB222" s="53"/>
      <c r="AC222" s="52"/>
      <c r="AD222" s="53"/>
      <c r="AE222" s="52"/>
      <c r="AF222" s="52"/>
      <c r="AG222" s="52"/>
      <c r="AH222" s="52"/>
      <c r="AJ222" s="50"/>
      <c r="AK222" s="50"/>
      <c r="AL222" s="50"/>
      <c r="AM222" s="1344"/>
      <c r="AN222" s="1344"/>
      <c r="AO222" s="1344"/>
      <c r="AP222" s="1344"/>
      <c r="AQ222" s="1344"/>
      <c r="AR222" s="1344"/>
      <c r="AS222" s="1344"/>
      <c r="AT222" s="1344"/>
      <c r="AU222" s="1344"/>
      <c r="AV222" s="1344"/>
    </row>
    <row r="223" spans="2:48">
      <c r="B223" s="650"/>
      <c r="D223" s="651"/>
      <c r="E223" s="683"/>
      <c r="F223" s="683"/>
      <c r="H223" s="651"/>
      <c r="I223" s="664"/>
      <c r="J223" s="664"/>
      <c r="K223" s="652"/>
      <c r="L223" s="654"/>
      <c r="M223" s="654"/>
      <c r="N223" s="660"/>
      <c r="O223" s="652"/>
      <c r="P223" s="659"/>
      <c r="Q223" s="659"/>
      <c r="R223" s="654"/>
      <c r="S223" s="652"/>
      <c r="T223" s="654"/>
      <c r="U223" s="654"/>
      <c r="V223" s="654"/>
      <c r="W223" s="654"/>
      <c r="X223" s="655"/>
      <c r="Y223" s="654"/>
      <c r="Z223" s="656"/>
      <c r="AA223" s="53"/>
      <c r="AB223" s="53"/>
      <c r="AC223" s="52"/>
      <c r="AD223" s="53"/>
      <c r="AE223" s="52"/>
      <c r="AF223" s="52"/>
      <c r="AG223" s="52"/>
      <c r="AH223" s="52"/>
      <c r="AJ223" s="50"/>
      <c r="AK223" s="50"/>
      <c r="AL223" s="50"/>
      <c r="AM223" s="1344"/>
      <c r="AN223" s="1344"/>
      <c r="AO223" s="1344"/>
      <c r="AP223" s="1344"/>
      <c r="AQ223" s="1344"/>
      <c r="AR223" s="1344"/>
      <c r="AS223" s="1344"/>
      <c r="AT223" s="1344"/>
      <c r="AU223" s="1344"/>
      <c r="AV223" s="1344"/>
    </row>
    <row r="224" spans="2:48">
      <c r="B224" s="650"/>
      <c r="D224" s="651"/>
      <c r="E224" s="683"/>
      <c r="F224" s="683"/>
      <c r="H224" s="651"/>
      <c r="I224" s="664"/>
      <c r="J224" s="664"/>
      <c r="K224" s="652"/>
      <c r="L224" s="654"/>
      <c r="M224" s="654"/>
      <c r="N224" s="660"/>
      <c r="O224" s="652"/>
      <c r="P224" s="659"/>
      <c r="Q224" s="659"/>
      <c r="R224" s="654"/>
      <c r="S224" s="652"/>
      <c r="T224" s="654"/>
      <c r="U224" s="654"/>
      <c r="V224" s="654"/>
      <c r="W224" s="654"/>
      <c r="X224" s="655"/>
      <c r="Y224" s="654"/>
      <c r="Z224" s="656"/>
      <c r="AA224" s="53"/>
      <c r="AB224" s="53"/>
      <c r="AC224" s="1126"/>
      <c r="AD224" s="53"/>
      <c r="AE224" s="52"/>
      <c r="AF224" s="52"/>
      <c r="AG224" s="52"/>
      <c r="AH224" s="52"/>
      <c r="AJ224" s="50"/>
      <c r="AK224" s="50"/>
      <c r="AL224" s="50"/>
      <c r="AM224" s="1344"/>
      <c r="AN224" s="1344"/>
      <c r="AO224" s="1344"/>
      <c r="AP224" s="1344"/>
      <c r="AQ224" s="1344"/>
      <c r="AR224" s="1344"/>
      <c r="AS224" s="1344"/>
      <c r="AT224" s="1344"/>
      <c r="AU224" s="1344"/>
      <c r="AV224" s="1344"/>
    </row>
    <row r="225" spans="2:48">
      <c r="B225" s="650"/>
      <c r="D225" s="651"/>
      <c r="E225" s="683"/>
      <c r="F225" s="683"/>
      <c r="H225" s="651"/>
      <c r="I225" s="664"/>
      <c r="J225" s="664"/>
      <c r="M225" s="654"/>
      <c r="O225" s="652"/>
      <c r="P225" s="659"/>
      <c r="Q225" s="659"/>
      <c r="R225" s="654"/>
      <c r="S225" s="652"/>
      <c r="T225" s="654"/>
      <c r="U225" s="654"/>
      <c r="V225" s="654"/>
      <c r="W225" s="654"/>
      <c r="X225" s="655"/>
      <c r="Y225" s="654"/>
      <c r="Z225" s="656"/>
      <c r="AA225" s="53"/>
      <c r="AB225" s="53"/>
      <c r="AC225" s="1126"/>
      <c r="AD225" s="53"/>
      <c r="AE225" s="52"/>
      <c r="AF225" s="52"/>
      <c r="AG225" s="52"/>
      <c r="AH225" s="52"/>
      <c r="AJ225" s="50"/>
      <c r="AK225" s="50"/>
      <c r="AL225" s="50"/>
      <c r="AM225" s="1344"/>
      <c r="AN225" s="1344"/>
      <c r="AO225" s="1344"/>
      <c r="AP225" s="1344"/>
      <c r="AQ225" s="1344"/>
      <c r="AR225" s="1344"/>
      <c r="AS225" s="1344"/>
      <c r="AT225" s="1344"/>
      <c r="AU225" s="1344"/>
      <c r="AV225" s="1344"/>
    </row>
    <row r="226" spans="2:48">
      <c r="B226" s="1167"/>
      <c r="C226" s="1183"/>
      <c r="D226" s="1183"/>
      <c r="E226" s="1183"/>
      <c r="F226" s="1183"/>
      <c r="G226" s="1183"/>
      <c r="H226" s="1166"/>
      <c r="I226" s="1166"/>
      <c r="J226" s="1166"/>
      <c r="K226" s="1166"/>
      <c r="L226" s="1166"/>
      <c r="M226" s="1166"/>
      <c r="N226" s="1166"/>
      <c r="O226" s="1166"/>
      <c r="Q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1126"/>
      <c r="AD226" s="53"/>
      <c r="AE226" s="1126"/>
      <c r="AF226" s="52"/>
      <c r="AG226" s="52"/>
      <c r="AH226" s="52"/>
      <c r="AJ226" s="50"/>
      <c r="AK226" s="50"/>
      <c r="AL226" s="50"/>
      <c r="AM226" s="1344"/>
      <c r="AN226" s="1344"/>
      <c r="AO226" s="1344"/>
      <c r="AP226" s="1344"/>
      <c r="AQ226" s="1344"/>
      <c r="AR226" s="1344"/>
      <c r="AS226" s="1344"/>
      <c r="AT226" s="1344"/>
      <c r="AU226" s="1344"/>
      <c r="AV226" s="1344"/>
    </row>
    <row r="227" spans="2:48">
      <c r="B227" s="1167"/>
      <c r="C227" s="1183"/>
      <c r="D227" s="1183"/>
      <c r="E227" s="1183"/>
      <c r="F227" s="1183"/>
      <c r="G227" s="1183"/>
      <c r="H227" s="1166"/>
      <c r="I227" s="1166"/>
      <c r="J227" s="1166"/>
      <c r="K227" s="1166"/>
      <c r="L227" s="1166"/>
      <c r="M227" s="1166"/>
      <c r="N227" s="1166"/>
      <c r="O227" s="1166"/>
      <c r="Q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1126"/>
      <c r="AD227" s="53"/>
      <c r="AE227" s="1126"/>
      <c r="AF227" s="1126"/>
      <c r="AG227" s="1126"/>
      <c r="AH227" s="1126"/>
      <c r="AJ227" s="50"/>
      <c r="AK227" s="50"/>
      <c r="AL227" s="50"/>
      <c r="AM227" s="1344"/>
      <c r="AN227" s="1344"/>
      <c r="AO227" s="1344"/>
      <c r="AP227" s="1344"/>
      <c r="AQ227" s="1344"/>
      <c r="AR227" s="1344"/>
      <c r="AS227" s="1344"/>
      <c r="AT227" s="1344"/>
      <c r="AU227" s="1344"/>
      <c r="AV227" s="1344"/>
    </row>
    <row r="228" spans="2:48">
      <c r="B228" s="1167"/>
      <c r="C228" s="1168"/>
      <c r="D228" s="1183"/>
      <c r="E228" s="1183"/>
      <c r="F228" s="1183"/>
      <c r="G228" s="1183"/>
      <c r="H228" s="1183"/>
      <c r="I228" s="1166"/>
      <c r="J228" s="1166"/>
      <c r="K228" s="1166"/>
      <c r="L228" s="1166"/>
      <c r="M228" s="1166"/>
      <c r="N228" s="1166"/>
      <c r="O228" s="1166"/>
      <c r="Q228" s="50"/>
      <c r="R228" s="1126"/>
      <c r="S228" s="1126"/>
      <c r="T228" s="1126"/>
      <c r="U228" s="1126"/>
      <c r="V228" s="1126"/>
      <c r="W228" s="1126"/>
      <c r="X228" s="1126"/>
      <c r="Y228" s="1126"/>
      <c r="Z228" s="53"/>
      <c r="AA228" s="53"/>
      <c r="AB228" s="53"/>
      <c r="AC228" s="53"/>
      <c r="AD228" s="53"/>
      <c r="AE228" s="1126"/>
      <c r="AF228" s="1126"/>
      <c r="AG228" s="1126"/>
      <c r="AH228" s="1126"/>
      <c r="AJ228" s="50"/>
      <c r="AK228" s="50"/>
      <c r="AL228" s="50"/>
      <c r="AM228" s="1344"/>
      <c r="AN228" s="1344"/>
      <c r="AO228" s="1344"/>
      <c r="AP228" s="1344"/>
      <c r="AQ228" s="1344"/>
      <c r="AR228" s="1344"/>
      <c r="AS228" s="1344"/>
      <c r="AT228" s="1344"/>
      <c r="AU228" s="1344"/>
      <c r="AV228" s="1344"/>
    </row>
    <row r="229" spans="2:48">
      <c r="B229" s="1167"/>
      <c r="C229" s="1168"/>
      <c r="D229" s="1168"/>
      <c r="E229" s="1183"/>
      <c r="F229" s="1183"/>
      <c r="G229" s="1183"/>
      <c r="H229" s="1183"/>
      <c r="I229" s="1183"/>
      <c r="J229" s="1166"/>
      <c r="K229" s="1166"/>
      <c r="L229" s="1166"/>
      <c r="M229" s="1166"/>
      <c r="N229" s="1166"/>
      <c r="O229" s="1166"/>
      <c r="Q229" s="50"/>
      <c r="R229" s="1126"/>
      <c r="S229" s="1126"/>
      <c r="T229" s="1126"/>
      <c r="U229" s="1126"/>
      <c r="V229" s="1126"/>
      <c r="W229" s="1126"/>
      <c r="X229" s="1126"/>
      <c r="Y229" s="1126"/>
      <c r="Z229" s="1126"/>
      <c r="AA229" s="53"/>
      <c r="AB229" s="53"/>
      <c r="AC229" s="53"/>
      <c r="AD229" s="53"/>
      <c r="AE229" s="1126"/>
      <c r="AF229" s="1126"/>
      <c r="AG229" s="1126"/>
      <c r="AH229" s="1126"/>
      <c r="AJ229" s="50"/>
      <c r="AK229" s="50"/>
      <c r="AL229" s="50"/>
      <c r="AM229" s="1344"/>
      <c r="AN229" s="1344"/>
      <c r="AO229" s="1344"/>
      <c r="AP229" s="1344"/>
      <c r="AQ229" s="1344"/>
      <c r="AR229" s="1344"/>
      <c r="AS229" s="1344"/>
      <c r="AT229" s="1344"/>
      <c r="AU229" s="1344"/>
      <c r="AV229" s="1344"/>
    </row>
    <row r="230" spans="2:48">
      <c r="B230" s="1167"/>
      <c r="C230" s="1168"/>
      <c r="D230" s="1168"/>
      <c r="E230" s="1168"/>
      <c r="F230" s="1168"/>
      <c r="G230" s="1183"/>
      <c r="H230" s="1183"/>
      <c r="I230" s="1183"/>
      <c r="J230" s="1183"/>
      <c r="K230" s="1166"/>
      <c r="L230" s="1166"/>
      <c r="M230" s="1166"/>
      <c r="N230" s="1166"/>
      <c r="O230" s="1166"/>
      <c r="Z230" s="1126"/>
    </row>
    <row r="231" spans="2:48">
      <c r="B231" s="1167"/>
      <c r="C231" s="1168"/>
      <c r="D231" s="1168"/>
      <c r="E231" s="1168"/>
      <c r="F231" s="1168"/>
      <c r="G231" s="1168"/>
      <c r="H231" s="1183"/>
      <c r="I231" s="1183"/>
      <c r="J231" s="1183"/>
      <c r="K231" s="1183"/>
      <c r="L231" s="1166"/>
      <c r="M231" s="1166"/>
      <c r="N231" s="1166"/>
      <c r="O231" s="1166"/>
    </row>
    <row r="232" spans="2:48">
      <c r="B232" s="1167"/>
      <c r="C232" s="1168"/>
      <c r="D232" s="1168"/>
      <c r="E232" s="1168"/>
      <c r="F232" s="1168"/>
      <c r="G232" s="1168"/>
      <c r="H232" s="1168"/>
      <c r="I232" s="1183"/>
      <c r="J232" s="1183"/>
      <c r="K232" s="1183"/>
      <c r="L232" s="1183"/>
      <c r="M232" s="1166"/>
      <c r="N232" s="1166"/>
      <c r="O232" s="1166"/>
      <c r="Q232" s="64"/>
      <c r="R232" s="1126"/>
      <c r="S232" s="1126"/>
      <c r="T232" s="1126"/>
      <c r="U232" s="1126"/>
      <c r="V232" s="1126"/>
      <c r="W232" s="1126"/>
      <c r="X232" s="1126"/>
      <c r="Y232" s="1126"/>
      <c r="Z232" s="1126"/>
      <c r="AA232" s="1126"/>
      <c r="AB232" s="1126"/>
      <c r="AC232" s="1126"/>
      <c r="AD232" s="1126"/>
      <c r="AE232" s="1126"/>
      <c r="AF232" s="1126"/>
      <c r="AG232" s="1126"/>
      <c r="AH232" s="1126"/>
      <c r="AJ232" s="64"/>
      <c r="AK232" s="64"/>
      <c r="AL232" s="64"/>
      <c r="AM232" s="1126"/>
      <c r="AN232" s="1126"/>
      <c r="AO232" s="1126"/>
      <c r="AP232" s="1126"/>
      <c r="AQ232" s="1126"/>
      <c r="AR232" s="1126"/>
      <c r="AS232" s="1126"/>
      <c r="AT232" s="1126"/>
      <c r="AU232" s="1126"/>
      <c r="AV232" s="1126"/>
    </row>
    <row r="233" spans="2:48">
      <c r="B233" s="1167"/>
      <c r="C233" s="1168"/>
      <c r="D233" s="1168"/>
      <c r="E233" s="1168"/>
      <c r="F233" s="1168"/>
      <c r="G233" s="1168"/>
      <c r="H233" s="1168"/>
      <c r="I233" s="1168"/>
      <c r="J233" s="1183"/>
      <c r="K233" s="1183"/>
      <c r="L233" s="1183"/>
      <c r="M233" s="1183"/>
      <c r="N233" s="1166"/>
      <c r="O233" s="1166"/>
      <c r="Q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2"/>
      <c r="AD233" s="53"/>
      <c r="AE233"/>
      <c r="AF233"/>
      <c r="AG233"/>
      <c r="AH233"/>
      <c r="AJ233" s="50"/>
      <c r="AK233" s="50"/>
      <c r="AL233" s="50"/>
      <c r="AM233" s="1344"/>
      <c r="AN233" s="1344"/>
      <c r="AO233" s="1344"/>
      <c r="AP233" s="1344"/>
      <c r="AQ233" s="1344"/>
      <c r="AR233" s="1344"/>
      <c r="AS233" s="623"/>
      <c r="AT233" s="623"/>
      <c r="AU233" s="623"/>
      <c r="AV233" s="623"/>
    </row>
    <row r="234" spans="2:48">
      <c r="B234" s="1167"/>
      <c r="C234" s="1168"/>
      <c r="D234" s="1168"/>
      <c r="E234" s="1168"/>
      <c r="F234" s="1168"/>
      <c r="G234" s="1168"/>
      <c r="H234" s="1168"/>
      <c r="I234" s="1168"/>
      <c r="J234" s="1168"/>
      <c r="K234" s="1183"/>
      <c r="L234" s="1183"/>
      <c r="M234" s="1183"/>
      <c r="N234" s="1183"/>
      <c r="O234" s="1168"/>
      <c r="Q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2"/>
      <c r="AD234" s="53"/>
      <c r="AE234" s="52"/>
      <c r="AF234" s="52"/>
      <c r="AG234" s="52"/>
      <c r="AH234" s="52"/>
      <c r="AJ234" s="50"/>
      <c r="AK234" s="50"/>
      <c r="AL234" s="50"/>
      <c r="AM234" s="1344"/>
      <c r="AN234" s="1344"/>
      <c r="AO234" s="1344"/>
      <c r="AP234" s="1344"/>
      <c r="AQ234" s="1344"/>
      <c r="AR234" s="1344"/>
      <c r="AS234" s="1344"/>
      <c r="AT234" s="1344"/>
      <c r="AU234" s="1344"/>
      <c r="AV234" s="1344"/>
    </row>
    <row r="235" spans="2:48">
      <c r="B235" s="1167"/>
      <c r="C235" s="1168"/>
      <c r="D235" s="1168"/>
      <c r="E235" s="1168"/>
      <c r="F235" s="1168"/>
      <c r="G235" s="1168"/>
      <c r="H235" s="1168"/>
      <c r="I235" s="1168"/>
      <c r="J235" s="1168"/>
      <c r="K235" s="1168"/>
      <c r="L235" s="1183"/>
      <c r="M235" s="1183"/>
      <c r="N235" s="1183"/>
      <c r="O235" s="1183"/>
      <c r="Q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2"/>
      <c r="AD235" s="53"/>
      <c r="AE235" s="52"/>
      <c r="AF235" s="52"/>
      <c r="AG235" s="52"/>
      <c r="AH235" s="52"/>
      <c r="AJ235" s="50"/>
      <c r="AK235" s="50"/>
      <c r="AL235" s="50"/>
      <c r="AM235" s="1344"/>
      <c r="AN235" s="1344"/>
      <c r="AO235" s="1344"/>
      <c r="AP235" s="1344"/>
      <c r="AQ235" s="1344"/>
      <c r="AR235" s="1344"/>
      <c r="AS235" s="1344"/>
      <c r="AT235" s="1344"/>
      <c r="AU235" s="1344"/>
      <c r="AV235" s="1344"/>
    </row>
    <row r="236" spans="2:48">
      <c r="N236" s="1168"/>
      <c r="O236" s="1168"/>
      <c r="Q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2"/>
      <c r="AD236" s="53"/>
      <c r="AE236" s="52"/>
      <c r="AF236" s="52"/>
      <c r="AG236" s="52"/>
      <c r="AH236" s="52"/>
      <c r="AJ236" s="50"/>
      <c r="AK236" s="50"/>
      <c r="AL236" s="50"/>
      <c r="AM236" s="1344"/>
      <c r="AN236" s="1344"/>
      <c r="AO236" s="1344"/>
      <c r="AP236" s="1344"/>
      <c r="AQ236" s="1344"/>
      <c r="AR236" s="1344"/>
      <c r="AS236" s="1344"/>
      <c r="AT236" s="1344"/>
      <c r="AU236" s="1344"/>
      <c r="AV236" s="1344"/>
    </row>
    <row r="237" spans="2:48">
      <c r="Q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1126"/>
      <c r="AD237" s="53"/>
      <c r="AE237" s="52"/>
      <c r="AF237" s="52"/>
      <c r="AG237" s="52"/>
      <c r="AH237" s="52"/>
      <c r="AJ237" s="50"/>
      <c r="AK237" s="50"/>
      <c r="AL237" s="50"/>
      <c r="AM237" s="1344"/>
      <c r="AN237" s="1344"/>
      <c r="AO237" s="1344"/>
      <c r="AP237" s="1344"/>
      <c r="AQ237" s="1344"/>
      <c r="AR237" s="1344"/>
      <c r="AS237" s="1344"/>
      <c r="AT237" s="1344"/>
      <c r="AU237" s="1344"/>
      <c r="AV237" s="1344"/>
    </row>
    <row r="238" spans="2:48">
      <c r="B238" s="1166"/>
      <c r="C238" s="1167"/>
      <c r="D238" s="1167"/>
      <c r="E238" s="1167"/>
      <c r="F238" s="1167"/>
      <c r="G238" s="1182"/>
      <c r="H238" s="1167"/>
      <c r="I238" s="1167"/>
      <c r="J238" s="1167"/>
      <c r="K238" s="1167"/>
      <c r="L238" s="1167"/>
      <c r="M238" s="1167"/>
      <c r="N238" s="1167"/>
      <c r="O238" s="1167"/>
      <c r="Q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1126"/>
      <c r="AD238" s="53"/>
      <c r="AE238" s="52"/>
      <c r="AF238" s="52"/>
      <c r="AG238" s="52"/>
      <c r="AH238" s="52"/>
      <c r="AJ238" s="50"/>
      <c r="AK238" s="50"/>
      <c r="AL238" s="50"/>
      <c r="AM238" s="1344"/>
      <c r="AN238" s="1344"/>
      <c r="AO238" s="1344"/>
      <c r="AP238" s="1344"/>
      <c r="AQ238" s="1344"/>
      <c r="AR238" s="1344"/>
      <c r="AS238" s="1344"/>
      <c r="AT238" s="1344"/>
      <c r="AU238" s="1344"/>
      <c r="AV238" s="1344"/>
    </row>
    <row r="239" spans="2:48">
      <c r="B239" s="1167"/>
      <c r="C239" s="1169"/>
      <c r="D239" s="1166"/>
      <c r="E239" s="1166"/>
      <c r="F239" s="1166"/>
      <c r="G239" s="1166"/>
      <c r="H239" s="1166"/>
      <c r="I239" s="1166"/>
      <c r="J239" s="1166"/>
      <c r="K239" s="1166"/>
      <c r="L239" s="1166"/>
      <c r="M239" s="1166"/>
      <c r="N239" s="1166"/>
      <c r="O239" s="1166"/>
      <c r="Q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1126"/>
      <c r="AD239" s="53"/>
      <c r="AE239" s="1126"/>
      <c r="AF239" s="52"/>
      <c r="AG239" s="52"/>
      <c r="AH239" s="52"/>
      <c r="AJ239" s="50"/>
      <c r="AK239" s="50"/>
      <c r="AL239" s="50"/>
      <c r="AM239" s="1344"/>
      <c r="AN239" s="1344"/>
      <c r="AO239" s="1344"/>
      <c r="AP239" s="1344"/>
      <c r="AQ239" s="1344"/>
      <c r="AR239" s="1344"/>
      <c r="AS239" s="1344"/>
      <c r="AT239" s="1344"/>
      <c r="AU239" s="1344"/>
      <c r="AV239" s="1344"/>
    </row>
    <row r="240" spans="2:48">
      <c r="B240" s="1167"/>
      <c r="C240" s="1169"/>
      <c r="D240" s="1169"/>
      <c r="E240" s="1166"/>
      <c r="F240" s="1166"/>
      <c r="G240" s="1166"/>
      <c r="H240" s="1166"/>
      <c r="I240" s="1166"/>
      <c r="J240" s="1166"/>
      <c r="K240" s="1166"/>
      <c r="L240" s="1166"/>
      <c r="M240" s="1166"/>
      <c r="N240" s="1166"/>
      <c r="O240" s="1166"/>
      <c r="Q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1126"/>
      <c r="AD240" s="53"/>
      <c r="AE240" s="1126"/>
      <c r="AF240" s="1126"/>
      <c r="AG240" s="1126"/>
      <c r="AH240" s="1126"/>
      <c r="AJ240" s="50"/>
      <c r="AK240" s="50"/>
      <c r="AL240" s="50"/>
      <c r="AM240" s="1344"/>
      <c r="AN240" s="1344"/>
      <c r="AO240" s="1344"/>
      <c r="AP240" s="1344"/>
      <c r="AQ240" s="1344"/>
      <c r="AR240" s="1344"/>
      <c r="AS240" s="1344"/>
      <c r="AT240" s="1344"/>
      <c r="AU240" s="1344"/>
      <c r="AV240" s="1344"/>
    </row>
    <row r="241" spans="2:50">
      <c r="B241" s="1167"/>
      <c r="C241" s="1169"/>
      <c r="D241" s="1169"/>
      <c r="E241" s="1169"/>
      <c r="F241" s="1166"/>
      <c r="G241" s="1166"/>
      <c r="H241" s="1166"/>
      <c r="I241" s="1166"/>
      <c r="J241" s="1166"/>
      <c r="K241" s="1166"/>
      <c r="L241" s="1166"/>
      <c r="M241" s="1166"/>
      <c r="N241" s="1166"/>
      <c r="O241" s="1166"/>
      <c r="Q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1126"/>
      <c r="AF241" s="1126"/>
      <c r="AG241" s="1126"/>
      <c r="AH241" s="1126"/>
      <c r="AJ241" s="50"/>
      <c r="AK241" s="50"/>
      <c r="AL241" s="50"/>
      <c r="AM241" s="1344"/>
      <c r="AN241" s="1344"/>
      <c r="AO241" s="1344"/>
      <c r="AP241" s="1344"/>
      <c r="AQ241" s="1344"/>
      <c r="AR241" s="1344"/>
      <c r="AS241" s="1344"/>
      <c r="AT241" s="1344"/>
      <c r="AU241" s="1344"/>
      <c r="AV241" s="1344"/>
    </row>
    <row r="242" spans="2:50">
      <c r="B242" s="1167"/>
      <c r="C242" s="1170"/>
      <c r="D242" s="1169"/>
      <c r="E242" s="1169"/>
      <c r="F242" s="1169"/>
      <c r="G242" s="1166"/>
      <c r="H242" s="1166"/>
      <c r="I242" s="1166"/>
      <c r="J242" s="1166"/>
      <c r="K242" s="1166"/>
      <c r="L242" s="1166"/>
      <c r="M242" s="1166"/>
      <c r="N242" s="1166"/>
      <c r="O242" s="1166"/>
      <c r="Q242" s="50"/>
      <c r="R242" s="1126"/>
      <c r="S242" s="1126"/>
      <c r="T242" s="1126"/>
      <c r="U242" s="1126"/>
      <c r="V242" s="1126"/>
      <c r="W242" s="1126"/>
      <c r="X242" s="1126"/>
      <c r="Y242" s="1126"/>
      <c r="Z242" s="1126"/>
      <c r="AA242" s="53"/>
      <c r="AB242" s="53"/>
      <c r="AC242" s="53"/>
      <c r="AD242" s="53"/>
      <c r="AE242" s="1126"/>
      <c r="AF242" s="1126"/>
      <c r="AG242" s="1126"/>
      <c r="AH242" s="1126"/>
      <c r="AJ242" s="50"/>
      <c r="AK242" s="50"/>
      <c r="AL242" s="50"/>
      <c r="AM242" s="1344"/>
      <c r="AN242" s="1344"/>
      <c r="AO242" s="1344"/>
      <c r="AP242" s="1344"/>
      <c r="AQ242" s="1344"/>
      <c r="AR242" s="1344"/>
      <c r="AS242" s="1344"/>
      <c r="AT242" s="1344"/>
      <c r="AU242" s="1344"/>
      <c r="AV242" s="1344"/>
    </row>
    <row r="243" spans="2:50">
      <c r="B243" s="1167"/>
      <c r="C243" s="1170"/>
      <c r="D243" s="1169"/>
      <c r="E243" s="1169"/>
      <c r="F243" s="1169"/>
      <c r="G243" s="1169"/>
      <c r="H243" s="1166"/>
      <c r="I243" s="1166"/>
      <c r="J243" s="1166"/>
      <c r="K243" s="1166"/>
      <c r="L243" s="1166"/>
      <c r="M243" s="1166"/>
      <c r="N243" s="1166"/>
      <c r="O243" s="1166"/>
    </row>
    <row r="244" spans="2:50">
      <c r="B244" s="1167"/>
      <c r="C244" s="1170"/>
      <c r="D244" s="1170"/>
      <c r="E244" s="1169"/>
      <c r="F244" s="1169"/>
      <c r="G244" s="1169"/>
      <c r="H244" s="1169"/>
      <c r="I244" s="1166"/>
      <c r="J244" s="1166"/>
      <c r="K244" s="1166"/>
      <c r="L244" s="1166"/>
      <c r="M244" s="1166"/>
      <c r="N244" s="1166"/>
      <c r="O244" s="1166"/>
      <c r="AQ244" s="650"/>
      <c r="AR244" s="655"/>
      <c r="AS244" s="655"/>
      <c r="AV244" s="655"/>
      <c r="AW244" s="655"/>
      <c r="AX244" s="655"/>
    </row>
    <row r="245" spans="2:50">
      <c r="B245" s="1167"/>
      <c r="C245" s="1170"/>
      <c r="D245" s="1170"/>
      <c r="E245" s="1170"/>
      <c r="F245" s="1169"/>
      <c r="G245" s="1169"/>
      <c r="H245" s="1169"/>
      <c r="I245" s="1169"/>
      <c r="J245" s="1166"/>
      <c r="K245" s="1166"/>
      <c r="L245" s="1166"/>
      <c r="M245" s="1166"/>
      <c r="N245" s="1166"/>
      <c r="O245" s="1166"/>
      <c r="Q245" s="64"/>
      <c r="R245" s="1126"/>
      <c r="S245" s="1126"/>
      <c r="T245" s="1126"/>
      <c r="U245" s="1126"/>
      <c r="V245" s="1126"/>
      <c r="W245" s="1126"/>
      <c r="X245" s="1126"/>
      <c r="Y245" s="1126"/>
      <c r="Z245" s="1126"/>
      <c r="AA245" s="1126"/>
      <c r="AB245" s="1126"/>
      <c r="AC245" s="1126"/>
      <c r="AD245" s="1126"/>
      <c r="AE245" s="1126"/>
      <c r="AF245" s="1126"/>
      <c r="AG245" s="1126"/>
      <c r="AH245" s="1126"/>
      <c r="AJ245" s="64"/>
      <c r="AK245" s="64"/>
      <c r="AL245" s="64"/>
      <c r="AM245" s="1126"/>
      <c r="AN245" s="1126"/>
      <c r="AO245" s="1126"/>
      <c r="AP245" s="1126"/>
      <c r="AQ245" s="1126"/>
      <c r="AR245" s="1126"/>
      <c r="AS245" s="1126"/>
      <c r="AT245" s="1126"/>
      <c r="AU245" s="1126"/>
      <c r="AV245" s="1126"/>
    </row>
    <row r="246" spans="2:50">
      <c r="B246" s="1167"/>
      <c r="C246" s="1170"/>
      <c r="D246" s="1170"/>
      <c r="E246" s="1170"/>
      <c r="F246" s="1170"/>
      <c r="G246" s="1169"/>
      <c r="H246" s="1169"/>
      <c r="I246" s="1169"/>
      <c r="J246" s="1169"/>
      <c r="K246" s="1166"/>
      <c r="L246" s="1166"/>
      <c r="M246" s="1166"/>
      <c r="N246" s="1166"/>
      <c r="O246" s="1166"/>
      <c r="Q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2"/>
      <c r="AD246" s="53"/>
      <c r="AE246"/>
      <c r="AF246"/>
      <c r="AG246"/>
      <c r="AH246"/>
      <c r="AJ246" s="50"/>
      <c r="AK246" s="50"/>
      <c r="AL246" s="50"/>
      <c r="AM246" s="1344"/>
      <c r="AN246" s="1344"/>
      <c r="AO246" s="1344"/>
      <c r="AP246" s="1344"/>
      <c r="AQ246" s="1344"/>
      <c r="AR246" s="1344"/>
      <c r="AS246" s="623"/>
      <c r="AT246" s="623"/>
      <c r="AU246" s="623"/>
      <c r="AV246" s="623"/>
    </row>
    <row r="247" spans="2:50">
      <c r="B247" s="1167"/>
      <c r="C247" s="1170"/>
      <c r="D247" s="1170"/>
      <c r="E247" s="1170"/>
      <c r="F247" s="1170"/>
      <c r="G247" s="1170"/>
      <c r="H247" s="1169"/>
      <c r="I247" s="1169"/>
      <c r="J247" s="1169"/>
      <c r="K247" s="1169"/>
      <c r="L247" s="1166"/>
      <c r="M247" s="1166"/>
      <c r="N247" s="1166"/>
      <c r="O247" s="1166"/>
      <c r="Q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2"/>
      <c r="AD247" s="53"/>
      <c r="AE247" s="52"/>
      <c r="AF247" s="52"/>
      <c r="AG247" s="52"/>
      <c r="AH247" s="52"/>
      <c r="AJ247" s="50"/>
      <c r="AK247" s="50"/>
      <c r="AL247" s="50"/>
      <c r="AM247" s="1344"/>
      <c r="AN247" s="1344"/>
      <c r="AO247" s="1344"/>
      <c r="AP247" s="1344"/>
      <c r="AQ247" s="1344"/>
      <c r="AR247" s="1344"/>
      <c r="AS247" s="1344"/>
      <c r="AT247" s="1344"/>
      <c r="AU247" s="1344"/>
      <c r="AV247" s="1344"/>
    </row>
    <row r="248" spans="2:50">
      <c r="B248" s="1167"/>
      <c r="C248" s="1170"/>
      <c r="D248" s="1170"/>
      <c r="E248" s="1170"/>
      <c r="F248" s="1170"/>
      <c r="G248" s="1170"/>
      <c r="H248" s="1170"/>
      <c r="I248" s="1169"/>
      <c r="J248" s="1169"/>
      <c r="K248" s="1169"/>
      <c r="L248" s="1169"/>
      <c r="M248" s="1166"/>
      <c r="N248" s="1166"/>
      <c r="O248" s="1166"/>
      <c r="Q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2"/>
      <c r="AD248" s="53"/>
      <c r="AE248" s="52"/>
      <c r="AF248" s="52"/>
      <c r="AG248" s="52"/>
      <c r="AH248" s="52"/>
      <c r="AJ248" s="50"/>
      <c r="AK248" s="50"/>
      <c r="AL248" s="50"/>
      <c r="AM248" s="1344"/>
      <c r="AN248" s="1344"/>
      <c r="AO248" s="1344"/>
      <c r="AP248" s="1344"/>
      <c r="AQ248" s="1344"/>
      <c r="AR248" s="1344"/>
      <c r="AS248" s="1344"/>
      <c r="AT248" s="1344"/>
      <c r="AU248" s="1344"/>
      <c r="AV248" s="1344"/>
    </row>
    <row r="249" spans="2:50">
      <c r="B249" s="1167"/>
      <c r="C249" s="1170"/>
      <c r="D249" s="1170"/>
      <c r="E249" s="1170"/>
      <c r="F249" s="1170"/>
      <c r="G249" s="1170"/>
      <c r="H249" s="1170"/>
      <c r="I249" s="1170"/>
      <c r="J249" s="1169"/>
      <c r="K249" s="1169"/>
      <c r="L249" s="1169"/>
      <c r="M249" s="1169"/>
      <c r="N249" s="1166"/>
      <c r="O249" s="1166"/>
      <c r="Q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2"/>
      <c r="AD249" s="53"/>
      <c r="AE249" s="52"/>
      <c r="AF249" s="52"/>
      <c r="AG249" s="52"/>
      <c r="AH249" s="52"/>
      <c r="AJ249" s="50"/>
      <c r="AK249" s="50"/>
      <c r="AL249" s="50"/>
      <c r="AM249" s="1344"/>
      <c r="AN249" s="1344"/>
      <c r="AO249" s="1344"/>
      <c r="AP249" s="1344"/>
      <c r="AQ249" s="1344"/>
      <c r="AR249" s="1344"/>
      <c r="AS249" s="1344"/>
      <c r="AT249" s="1344"/>
      <c r="AU249" s="1344"/>
      <c r="AV249" s="1344"/>
    </row>
    <row r="250" spans="2:50">
      <c r="B250" s="1167"/>
      <c r="C250" s="1170"/>
      <c r="D250" s="1170"/>
      <c r="E250" s="1170"/>
      <c r="F250" s="1170"/>
      <c r="G250" s="1170"/>
      <c r="H250" s="1170"/>
      <c r="I250" s="1170"/>
      <c r="J250" s="1170"/>
      <c r="K250" s="1169"/>
      <c r="L250" s="1169"/>
      <c r="M250" s="1169"/>
      <c r="N250" s="1169"/>
      <c r="O250" s="1166"/>
      <c r="Q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1126"/>
      <c r="AD250" s="53"/>
      <c r="AE250" s="52"/>
      <c r="AF250" s="52"/>
      <c r="AG250" s="52"/>
      <c r="AH250" s="52"/>
      <c r="AJ250" s="50"/>
      <c r="AK250" s="50"/>
      <c r="AL250" s="50"/>
      <c r="AM250" s="1344"/>
      <c r="AN250" s="1344"/>
      <c r="AO250" s="1344"/>
      <c r="AP250" s="1344"/>
      <c r="AQ250" s="1344"/>
      <c r="AR250" s="1344"/>
      <c r="AS250" s="1344"/>
      <c r="AT250" s="1344"/>
      <c r="AU250" s="1344"/>
      <c r="AV250" s="1344"/>
    </row>
    <row r="251" spans="2:50">
      <c r="B251" s="1167"/>
      <c r="C251" s="1170"/>
      <c r="D251" s="1170"/>
      <c r="E251" s="1170"/>
      <c r="F251" s="1170"/>
      <c r="G251" s="1170"/>
      <c r="H251" s="1170"/>
      <c r="I251" s="1170"/>
      <c r="J251" s="1170"/>
      <c r="K251" s="1170"/>
      <c r="L251" s="1169"/>
      <c r="M251" s="1169"/>
      <c r="N251" s="1169"/>
      <c r="O251" s="1169"/>
      <c r="Q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1126"/>
      <c r="AD251" s="53"/>
      <c r="AE251" s="52"/>
      <c r="AF251" s="52"/>
      <c r="AG251" s="52"/>
      <c r="AH251" s="52"/>
      <c r="AJ251" s="50"/>
      <c r="AK251" s="50"/>
      <c r="AL251" s="50"/>
      <c r="AM251" s="1344"/>
      <c r="AN251" s="1344"/>
      <c r="AO251" s="1344"/>
      <c r="AP251" s="1344"/>
      <c r="AQ251" s="1344"/>
      <c r="AR251" s="1344"/>
      <c r="AS251" s="1344"/>
      <c r="AT251" s="1344"/>
      <c r="AU251" s="1344"/>
      <c r="AV251" s="1344"/>
    </row>
    <row r="252" spans="2:50">
      <c r="Q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1126"/>
      <c r="AD252" s="53"/>
      <c r="AE252" s="1126"/>
      <c r="AF252" s="52"/>
      <c r="AG252" s="52"/>
      <c r="AH252" s="52"/>
      <c r="AJ252" s="50"/>
      <c r="AK252" s="50"/>
      <c r="AL252" s="50"/>
      <c r="AM252" s="1344"/>
      <c r="AN252" s="1344"/>
      <c r="AO252" s="1344"/>
      <c r="AP252" s="1344"/>
      <c r="AQ252" s="1344"/>
      <c r="AR252" s="1344"/>
      <c r="AS252" s="1344"/>
      <c r="AT252" s="1344"/>
      <c r="AU252" s="1344"/>
      <c r="AV252" s="1344"/>
    </row>
    <row r="253" spans="2:50">
      <c r="Q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1126"/>
      <c r="AD253" s="53"/>
      <c r="AE253" s="1126"/>
      <c r="AF253" s="1126"/>
      <c r="AG253" s="1126"/>
      <c r="AH253" s="1126"/>
      <c r="AJ253" s="50"/>
      <c r="AK253" s="50"/>
      <c r="AL253" s="50"/>
      <c r="AM253" s="1344"/>
      <c r="AN253" s="1344"/>
      <c r="AO253" s="1344"/>
      <c r="AP253" s="1344"/>
      <c r="AQ253" s="1344"/>
      <c r="AR253" s="1344"/>
      <c r="AS253" s="1344"/>
      <c r="AT253" s="1344"/>
      <c r="AU253" s="1344"/>
      <c r="AV253" s="1344"/>
    </row>
    <row r="254" spans="2:50">
      <c r="Q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1126"/>
      <c r="AF254" s="1126"/>
      <c r="AG254" s="1126"/>
      <c r="AH254" s="1126"/>
      <c r="AJ254" s="50"/>
      <c r="AK254" s="50"/>
      <c r="AL254" s="50"/>
      <c r="AM254" s="1344"/>
      <c r="AN254" s="1344"/>
      <c r="AO254" s="1344"/>
      <c r="AP254" s="1344"/>
      <c r="AQ254" s="1344"/>
      <c r="AR254" s="1344"/>
      <c r="AS254" s="1344"/>
      <c r="AT254" s="1344"/>
      <c r="AU254" s="1344"/>
      <c r="AV254" s="1344"/>
    </row>
    <row r="255" spans="2:50">
      <c r="Q255" s="50"/>
      <c r="R255" s="1126"/>
      <c r="S255" s="1126"/>
      <c r="T255" s="1126"/>
      <c r="U255" s="1126"/>
      <c r="V255" s="1126"/>
      <c r="W255" s="1126"/>
      <c r="X255" s="1126"/>
      <c r="Y255" s="1126"/>
      <c r="Z255" s="1126"/>
      <c r="AA255" s="53"/>
      <c r="AB255" s="53"/>
      <c r="AC255" s="53"/>
      <c r="AD255" s="53"/>
      <c r="AE255" s="1126"/>
      <c r="AF255" s="1126"/>
      <c r="AG255" s="1126"/>
      <c r="AH255" s="1126"/>
      <c r="AJ255" s="50"/>
      <c r="AK255" s="50"/>
      <c r="AL255" s="50"/>
      <c r="AM255" s="1344"/>
      <c r="AN255" s="1344"/>
      <c r="AO255" s="1344"/>
      <c r="AP255" s="1344"/>
      <c r="AQ255" s="1344"/>
      <c r="AR255" s="1344"/>
      <c r="AS255" s="1344"/>
      <c r="AT255" s="1344"/>
      <c r="AU255" s="1344"/>
      <c r="AV255" s="1344"/>
    </row>
    <row r="259" spans="17:48">
      <c r="Q259" s="64"/>
      <c r="R259" s="1126"/>
      <c r="S259" s="1126"/>
      <c r="T259" s="1126"/>
      <c r="U259" s="1126"/>
      <c r="V259" s="1126"/>
      <c r="W259" s="1126"/>
      <c r="X259" s="1126"/>
      <c r="Y259" s="1126"/>
      <c r="AJ259" s="64"/>
      <c r="AK259" s="64"/>
      <c r="AL259" s="64"/>
      <c r="AR259" s="655"/>
      <c r="AT259" s="1126"/>
    </row>
    <row r="261" spans="17:48">
      <c r="AU261" s="1126"/>
      <c r="AV261" s="1126"/>
    </row>
    <row r="262" spans="17:48">
      <c r="Q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2"/>
      <c r="AD262" s="53"/>
      <c r="AE262"/>
      <c r="AF262"/>
      <c r="AG262"/>
      <c r="AH262"/>
      <c r="AJ262" s="50"/>
      <c r="AK262" s="50"/>
      <c r="AL262" s="50"/>
      <c r="AM262" s="1344"/>
      <c r="AN262" s="1344"/>
      <c r="AO262" s="1344"/>
      <c r="AP262" s="1344"/>
      <c r="AQ262" s="1344"/>
      <c r="AR262" s="1344"/>
      <c r="AS262" s="623"/>
      <c r="AT262" s="623"/>
      <c r="AU262" s="623"/>
      <c r="AV262" s="623"/>
    </row>
    <row r="263" spans="17:48">
      <c r="Q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2"/>
      <c r="AD263" s="53"/>
      <c r="AE263" s="52"/>
      <c r="AF263" s="52"/>
      <c r="AG263" s="52"/>
      <c r="AH263" s="52"/>
      <c r="AJ263" s="50"/>
      <c r="AK263" s="50"/>
      <c r="AL263" s="50"/>
      <c r="AM263" s="1344"/>
      <c r="AN263" s="1344"/>
      <c r="AO263" s="1344"/>
      <c r="AP263" s="1344"/>
      <c r="AQ263" s="1344"/>
      <c r="AR263" s="1344"/>
      <c r="AS263" s="1344"/>
      <c r="AT263" s="1344"/>
      <c r="AU263" s="1344"/>
      <c r="AV263" s="1344"/>
    </row>
    <row r="264" spans="17:48">
      <c r="Q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2"/>
      <c r="AD264" s="53"/>
      <c r="AE264" s="52"/>
      <c r="AF264" s="52"/>
      <c r="AG264" s="52"/>
      <c r="AH264" s="52"/>
      <c r="AJ264" s="50"/>
      <c r="AK264" s="50"/>
      <c r="AL264" s="50"/>
      <c r="AM264" s="1344"/>
      <c r="AN264" s="1344"/>
      <c r="AO264" s="1344"/>
      <c r="AP264" s="1344"/>
      <c r="AQ264" s="1344"/>
      <c r="AR264" s="1344"/>
      <c r="AS264" s="1344"/>
      <c r="AT264" s="1344"/>
      <c r="AU264" s="1344"/>
      <c r="AV264" s="1344"/>
    </row>
    <row r="265" spans="17:48">
      <c r="Q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2"/>
      <c r="AD265" s="53"/>
      <c r="AE265" s="52"/>
      <c r="AF265" s="52"/>
      <c r="AG265" s="52"/>
      <c r="AH265" s="52"/>
      <c r="AJ265" s="50"/>
      <c r="AK265" s="50"/>
      <c r="AL265" s="50"/>
      <c r="AM265" s="1344"/>
      <c r="AN265" s="1344"/>
      <c r="AO265" s="1344"/>
      <c r="AP265" s="1344"/>
      <c r="AQ265" s="1344"/>
      <c r="AR265" s="1344"/>
      <c r="AS265" s="1344"/>
      <c r="AT265" s="1344"/>
      <c r="AU265" s="1344"/>
      <c r="AV265" s="1344"/>
    </row>
    <row r="266" spans="17:48">
      <c r="Q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1126"/>
      <c r="AD266" s="53"/>
      <c r="AE266" s="52"/>
      <c r="AF266" s="52"/>
      <c r="AG266" s="52"/>
      <c r="AH266" s="52"/>
      <c r="AJ266" s="50"/>
      <c r="AK266" s="50"/>
      <c r="AL266" s="50"/>
      <c r="AM266" s="1344"/>
      <c r="AN266" s="1344"/>
      <c r="AO266" s="1344"/>
      <c r="AP266" s="1344"/>
      <c r="AQ266" s="1344"/>
      <c r="AR266" s="1344"/>
      <c r="AS266" s="1344"/>
      <c r="AT266" s="1344"/>
      <c r="AU266" s="1344"/>
      <c r="AV266" s="1344"/>
    </row>
    <row r="267" spans="17:48">
      <c r="Q267" s="50"/>
      <c r="R267" s="1345"/>
      <c r="S267" s="1345"/>
      <c r="T267" s="1345"/>
      <c r="U267" s="1345"/>
      <c r="V267" s="1345"/>
      <c r="W267" s="1345"/>
      <c r="X267" s="1345"/>
      <c r="Y267" s="1345"/>
      <c r="Z267" s="1345"/>
      <c r="AA267" s="53"/>
      <c r="AB267" s="53"/>
      <c r="AC267" s="1126"/>
      <c r="AD267" s="53"/>
      <c r="AE267" s="52"/>
      <c r="AF267" s="52"/>
      <c r="AG267" s="52"/>
      <c r="AH267" s="52"/>
      <c r="AJ267" s="50"/>
      <c r="AK267" s="50"/>
      <c r="AL267" s="50"/>
      <c r="AM267" s="1344"/>
      <c r="AN267" s="1344"/>
      <c r="AO267" s="1344"/>
      <c r="AP267" s="1344"/>
      <c r="AQ267" s="1344"/>
      <c r="AR267" s="1344"/>
      <c r="AS267" s="1344"/>
      <c r="AT267" s="1344"/>
      <c r="AU267" s="1344"/>
      <c r="AV267" s="1344"/>
    </row>
    <row r="268" spans="17:48">
      <c r="Q268" s="50"/>
      <c r="R268" s="1345"/>
      <c r="S268" s="1345"/>
      <c r="T268" s="1345"/>
      <c r="U268" s="1345"/>
      <c r="V268" s="1345"/>
      <c r="W268" s="1345"/>
      <c r="X268" s="1345"/>
      <c r="Y268" s="1345"/>
      <c r="Z268" s="1345"/>
      <c r="AA268" s="53"/>
      <c r="AB268" s="53"/>
      <c r="AC268" s="1126"/>
      <c r="AD268" s="53"/>
      <c r="AE268" s="1126"/>
      <c r="AF268" s="52"/>
      <c r="AG268" s="52"/>
      <c r="AH268" s="52"/>
      <c r="AJ268" s="50"/>
      <c r="AK268" s="50"/>
      <c r="AL268" s="50"/>
      <c r="AM268" s="1344"/>
      <c r="AN268" s="1344"/>
      <c r="AO268" s="1344"/>
      <c r="AP268" s="1344"/>
      <c r="AQ268" s="1344"/>
      <c r="AR268" s="1344"/>
      <c r="AS268" s="1344"/>
      <c r="AT268" s="1344"/>
      <c r="AU268" s="1344"/>
      <c r="AV268" s="1344"/>
    </row>
    <row r="269" spans="17:48">
      <c r="Q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1126"/>
      <c r="AD269" s="53"/>
      <c r="AE269" s="1126"/>
      <c r="AF269" s="1126"/>
      <c r="AG269" s="1126"/>
      <c r="AH269" s="1126"/>
      <c r="AJ269" s="50"/>
      <c r="AK269" s="50"/>
      <c r="AL269" s="50"/>
      <c r="AM269" s="1344"/>
      <c r="AN269" s="1344"/>
      <c r="AO269" s="1344"/>
      <c r="AP269" s="1344"/>
      <c r="AQ269" s="1344"/>
      <c r="AR269" s="1344"/>
      <c r="AS269" s="1344"/>
      <c r="AT269" s="1344"/>
      <c r="AU269" s="1344"/>
      <c r="AV269" s="1344"/>
    </row>
    <row r="270" spans="17:48">
      <c r="Q270" s="50"/>
      <c r="R270" s="1126"/>
      <c r="S270" s="1126"/>
      <c r="T270" s="1126"/>
      <c r="U270" s="1126"/>
      <c r="V270" s="1126"/>
      <c r="W270" s="1126"/>
      <c r="X270" s="1126"/>
      <c r="Y270" s="1126"/>
      <c r="Z270" s="53"/>
      <c r="AA270" s="53"/>
      <c r="AB270" s="53"/>
      <c r="AC270" s="53"/>
      <c r="AD270" s="53"/>
      <c r="AE270" s="1126"/>
      <c r="AF270" s="1126"/>
      <c r="AG270" s="1126"/>
      <c r="AH270" s="1126"/>
      <c r="AJ270" s="50"/>
      <c r="AK270" s="50"/>
      <c r="AL270" s="50"/>
      <c r="AM270" s="1344"/>
      <c r="AN270" s="1344"/>
      <c r="AO270" s="1344"/>
      <c r="AP270" s="1344"/>
      <c r="AQ270" s="1344"/>
      <c r="AR270" s="1344"/>
      <c r="AS270" s="1344"/>
      <c r="AT270" s="1344"/>
      <c r="AU270" s="1344"/>
      <c r="AV270" s="1344"/>
    </row>
    <row r="271" spans="17:48">
      <c r="Q271" s="50"/>
      <c r="R271" s="1126"/>
      <c r="S271" s="1126"/>
      <c r="T271" s="1126"/>
      <c r="U271" s="1126"/>
      <c r="V271" s="1126"/>
      <c r="W271" s="1126"/>
      <c r="X271" s="1126"/>
      <c r="Y271" s="1126"/>
      <c r="Z271" s="1126"/>
      <c r="AA271" s="53"/>
      <c r="AB271" s="53"/>
      <c r="AC271" s="53"/>
      <c r="AD271" s="53"/>
      <c r="AE271" s="1126"/>
      <c r="AF271" s="1126"/>
      <c r="AG271" s="1126"/>
      <c r="AH271" s="1126"/>
      <c r="AJ271" s="50"/>
      <c r="AK271" s="50"/>
      <c r="AL271" s="50"/>
      <c r="AM271" s="1344"/>
      <c r="AN271" s="1344"/>
      <c r="AO271" s="1344"/>
      <c r="AP271" s="1344"/>
      <c r="AQ271" s="1344"/>
      <c r="AR271" s="1344"/>
      <c r="AS271" s="1344"/>
      <c r="AT271" s="1344"/>
      <c r="AU271" s="1344"/>
      <c r="AV271" s="1344"/>
    </row>
    <row r="274" spans="18:51">
      <c r="R274" s="664"/>
      <c r="S274" s="664"/>
      <c r="T274" s="664"/>
      <c r="U274" s="664"/>
      <c r="V274" s="664"/>
      <c r="W274" s="664"/>
      <c r="X274" s="664"/>
      <c r="Y274" s="664"/>
      <c r="Z274" s="664"/>
      <c r="AA274" s="664"/>
      <c r="AB274" s="664"/>
      <c r="AC274" s="664"/>
      <c r="AD274" s="664"/>
      <c r="AE274" s="664"/>
      <c r="AF274" s="664"/>
      <c r="AG274" s="664"/>
      <c r="AH274" s="664"/>
      <c r="AM274" s="664"/>
      <c r="AN274" s="664"/>
      <c r="AO274" s="664"/>
      <c r="AP274" s="664"/>
      <c r="AQ274" s="664"/>
      <c r="AR274" s="664"/>
      <c r="AS274" s="664"/>
      <c r="AT274" s="664"/>
      <c r="AU274" s="664"/>
      <c r="AV274" s="664"/>
    </row>
    <row r="275" spans="18:51">
      <c r="R275" s="664"/>
      <c r="S275" s="664"/>
      <c r="T275" s="664"/>
      <c r="U275" s="664"/>
      <c r="V275" s="664"/>
      <c r="W275" s="664"/>
      <c r="X275" s="664"/>
      <c r="Y275" s="664"/>
      <c r="Z275" s="664"/>
      <c r="AA275" s="664"/>
      <c r="AB275" s="664"/>
      <c r="AC275" s="664"/>
      <c r="AD275" s="664"/>
      <c r="AE275" s="664"/>
      <c r="AF275" s="664"/>
      <c r="AG275" s="664"/>
      <c r="AH275" s="664"/>
      <c r="AM275" s="664"/>
      <c r="AN275" s="664"/>
      <c r="AO275" s="664"/>
      <c r="AP275" s="664"/>
      <c r="AQ275" s="664"/>
      <c r="AR275" s="664"/>
      <c r="AS275" s="664"/>
      <c r="AT275" s="664"/>
      <c r="AU275" s="664"/>
      <c r="AV275" s="664"/>
    </row>
    <row r="276" spans="18:51">
      <c r="R276" s="664"/>
      <c r="S276" s="664"/>
      <c r="T276" s="664"/>
      <c r="U276" s="664"/>
      <c r="V276" s="664"/>
      <c r="W276" s="664"/>
      <c r="X276" s="664"/>
      <c r="Y276" s="664"/>
      <c r="Z276" s="664"/>
      <c r="AA276" s="664"/>
      <c r="AB276" s="664"/>
      <c r="AC276" s="664"/>
      <c r="AD276" s="664"/>
      <c r="AE276" s="664"/>
      <c r="AF276" s="664"/>
      <c r="AG276" s="664"/>
      <c r="AH276" s="664"/>
      <c r="AM276" s="664"/>
      <c r="AN276" s="664"/>
      <c r="AO276" s="664"/>
      <c r="AP276" s="664"/>
      <c r="AQ276" s="664"/>
      <c r="AR276" s="664"/>
      <c r="AS276" s="664"/>
      <c r="AT276" s="664"/>
      <c r="AU276" s="664"/>
      <c r="AV276" s="664"/>
    </row>
    <row r="277" spans="18:51">
      <c r="R277" s="664"/>
      <c r="S277" s="664"/>
      <c r="T277" s="664"/>
      <c r="U277" s="664"/>
      <c r="V277" s="664"/>
      <c r="W277" s="664"/>
      <c r="X277" s="664"/>
      <c r="Y277" s="664"/>
      <c r="Z277" s="664"/>
      <c r="AA277" s="664"/>
      <c r="AB277" s="664"/>
      <c r="AC277" s="664"/>
      <c r="AD277" s="664"/>
      <c r="AE277" s="664"/>
      <c r="AF277" s="664"/>
      <c r="AG277" s="664"/>
      <c r="AH277" s="664"/>
      <c r="AM277" s="664"/>
      <c r="AN277" s="664"/>
      <c r="AO277" s="664"/>
      <c r="AP277" s="664"/>
      <c r="AQ277" s="664"/>
      <c r="AR277" s="664"/>
      <c r="AS277" s="664"/>
      <c r="AT277" s="664"/>
      <c r="AU277" s="664"/>
      <c r="AV277" s="664"/>
      <c r="AY277" s="650">
        <v>40</v>
      </c>
    </row>
    <row r="278" spans="18:51">
      <c r="R278" s="664"/>
      <c r="S278" s="664"/>
      <c r="T278" s="664"/>
      <c r="U278" s="664"/>
      <c r="V278" s="664"/>
      <c r="W278" s="664"/>
      <c r="X278" s="664"/>
      <c r="Y278" s="664"/>
      <c r="Z278" s="664"/>
      <c r="AA278" s="664"/>
      <c r="AB278" s="664"/>
      <c r="AC278" s="664"/>
      <c r="AD278" s="664"/>
      <c r="AE278" s="664"/>
      <c r="AF278" s="664"/>
      <c r="AG278" s="664"/>
      <c r="AH278" s="664"/>
      <c r="AM278" s="664"/>
      <c r="AN278" s="664"/>
      <c r="AO278" s="664"/>
      <c r="AP278" s="664"/>
      <c r="AQ278" s="664"/>
      <c r="AR278" s="664"/>
      <c r="AS278" s="664"/>
      <c r="AT278" s="664"/>
      <c r="AU278" s="664"/>
      <c r="AV278" s="664"/>
    </row>
    <row r="279" spans="18:51">
      <c r="R279" s="664"/>
      <c r="S279" s="664"/>
      <c r="T279" s="664"/>
      <c r="U279" s="664"/>
      <c r="V279" s="664"/>
      <c r="W279" s="664"/>
      <c r="X279" s="664"/>
      <c r="Y279" s="664"/>
      <c r="Z279" s="664"/>
      <c r="AA279" s="664"/>
      <c r="AB279" s="664"/>
      <c r="AC279" s="664"/>
      <c r="AD279" s="664"/>
      <c r="AE279" s="664"/>
      <c r="AF279" s="664"/>
      <c r="AG279" s="664"/>
      <c r="AH279" s="664"/>
      <c r="AM279" s="664"/>
      <c r="AN279" s="664"/>
      <c r="AO279" s="664"/>
      <c r="AP279" s="664"/>
      <c r="AQ279" s="664"/>
      <c r="AR279" s="664"/>
      <c r="AS279" s="664"/>
      <c r="AT279" s="664"/>
      <c r="AU279" s="664"/>
      <c r="AV279" s="664"/>
    </row>
    <row r="280" spans="18:51">
      <c r="R280" s="664"/>
      <c r="S280" s="664"/>
      <c r="T280" s="664"/>
      <c r="U280" s="664"/>
      <c r="V280" s="664"/>
      <c r="W280" s="664"/>
      <c r="X280" s="664"/>
      <c r="Y280" s="664"/>
      <c r="Z280" s="664"/>
      <c r="AA280" s="664"/>
      <c r="AB280" s="664"/>
      <c r="AC280" s="664"/>
      <c r="AD280" s="664"/>
      <c r="AE280" s="664"/>
      <c r="AF280" s="664"/>
      <c r="AG280" s="664"/>
      <c r="AH280" s="664"/>
      <c r="AM280" s="664"/>
      <c r="AN280" s="664"/>
      <c r="AO280" s="664"/>
      <c r="AP280" s="664"/>
      <c r="AQ280" s="664"/>
      <c r="AR280" s="664"/>
      <c r="AS280" s="664"/>
      <c r="AT280" s="664"/>
      <c r="AU280" s="664"/>
      <c r="AV280" s="664"/>
    </row>
    <row r="281" spans="18:51">
      <c r="R281" s="664"/>
      <c r="S281" s="664"/>
      <c r="T281" s="664"/>
      <c r="U281" s="664"/>
      <c r="V281" s="664"/>
      <c r="W281" s="664"/>
      <c r="X281" s="664"/>
      <c r="Y281" s="664"/>
      <c r="Z281" s="664"/>
      <c r="AA281" s="664"/>
      <c r="AB281" s="664"/>
      <c r="AC281" s="664"/>
      <c r="AD281" s="664"/>
      <c r="AE281" s="664"/>
      <c r="AF281" s="664"/>
      <c r="AG281" s="664"/>
      <c r="AH281" s="664"/>
      <c r="AM281" s="664"/>
      <c r="AN281" s="664"/>
      <c r="AO281" s="664"/>
      <c r="AP281" s="664"/>
      <c r="AQ281" s="664"/>
      <c r="AR281" s="664"/>
      <c r="AS281" s="664"/>
      <c r="AT281" s="664"/>
      <c r="AU281" s="664"/>
      <c r="AV281" s="664"/>
    </row>
    <row r="282" spans="18:51">
      <c r="R282" s="664"/>
      <c r="S282" s="664"/>
      <c r="T282" s="664"/>
      <c r="U282" s="664"/>
      <c r="V282" s="664"/>
      <c r="W282" s="664"/>
      <c r="X282" s="664"/>
      <c r="Y282" s="664"/>
      <c r="Z282" s="664"/>
      <c r="AA282" s="664"/>
      <c r="AB282" s="664"/>
      <c r="AC282" s="664"/>
      <c r="AD282" s="664"/>
      <c r="AE282" s="664"/>
      <c r="AF282" s="664"/>
      <c r="AG282" s="664"/>
      <c r="AH282" s="664"/>
      <c r="AM282" s="664"/>
      <c r="AN282" s="664"/>
      <c r="AO282" s="664"/>
      <c r="AP282" s="664"/>
      <c r="AQ282" s="664"/>
      <c r="AR282" s="664"/>
      <c r="AS282" s="664"/>
      <c r="AT282" s="664"/>
      <c r="AU282" s="664"/>
      <c r="AV282" s="664"/>
    </row>
    <row r="283" spans="18:51">
      <c r="R283" s="664"/>
      <c r="S283" s="664"/>
      <c r="T283" s="664"/>
      <c r="U283" s="664"/>
      <c r="V283" s="664"/>
      <c r="W283" s="664"/>
      <c r="X283" s="664"/>
      <c r="Y283" s="664"/>
      <c r="Z283" s="664"/>
      <c r="AA283" s="664"/>
      <c r="AB283" s="664"/>
      <c r="AC283" s="664"/>
      <c r="AD283" s="664"/>
      <c r="AE283" s="664"/>
      <c r="AF283" s="664"/>
      <c r="AG283" s="664"/>
      <c r="AH283" s="664"/>
      <c r="AM283" s="664"/>
      <c r="AN283" s="664"/>
      <c r="AO283" s="664"/>
      <c r="AP283" s="664"/>
      <c r="AQ283" s="664"/>
      <c r="AR283" s="664"/>
      <c r="AS283" s="664"/>
      <c r="AT283" s="664"/>
      <c r="AU283" s="664"/>
      <c r="AV283" s="664"/>
    </row>
    <row r="284" spans="18:51">
      <c r="R284" s="1126"/>
      <c r="S284" s="1126"/>
      <c r="T284" s="1126"/>
      <c r="U284" s="1126"/>
      <c r="V284" s="1126"/>
      <c r="W284" s="1126"/>
      <c r="X284" s="1126"/>
      <c r="Y284" s="1126"/>
      <c r="Z284" s="1126"/>
      <c r="AA284" s="1126"/>
      <c r="AB284" s="1126"/>
      <c r="AC284" s="1126"/>
      <c r="AD284" s="1126"/>
      <c r="AE284" s="1126"/>
      <c r="AF284" s="1126"/>
      <c r="AG284" s="1126"/>
      <c r="AH284" s="1126"/>
      <c r="AM284" s="1126"/>
      <c r="AN284" s="1126"/>
      <c r="AO284" s="1126"/>
      <c r="AP284" s="1126"/>
      <c r="AQ284" s="1126"/>
      <c r="AR284" s="1126"/>
      <c r="AS284" s="1126"/>
      <c r="AT284" s="1126"/>
      <c r="AU284" s="1126"/>
      <c r="AV284" s="1126"/>
    </row>
    <row r="286" spans="18:51">
      <c r="AB286" s="650"/>
      <c r="AC286" s="655"/>
      <c r="AD286" s="655"/>
      <c r="AE286" s="650"/>
      <c r="AF286" s="650"/>
      <c r="AR286" s="655"/>
    </row>
  </sheetData>
  <phoneticPr fontId="5" type="noConversion"/>
  <printOptions headings="1" gridLines="1" gridLinesSet="0"/>
  <pageMargins left="0.75" right="0.75" top="1" bottom="1" header="0.5" footer="0.5"/>
  <pageSetup orientation="portrait" r:id="rId1"/>
  <headerFooter alignWithMargins="0">
    <oddHeader>&amp;F</oddHeader>
    <oddFooter>Page &amp;P</oddFooter>
  </headerFooter>
  <colBreaks count="4" manualBreakCount="4">
    <brk id="10" max="1048575" man="1"/>
    <brk id="25" max="1048575" man="1"/>
    <brk id="34" max="1048575" man="1"/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3056" r:id="rId4" name="Button 46080">
              <controlPr defaultSize="0" print="0" autoFill="0" autoLine="0" autoPict="0" macro="[0]!SelectMaterial2">
                <anchor moveWithCells="1" sizeWithCells="1">
                  <from>
                    <xdr:col>6</xdr:col>
                    <xdr:colOff>7620</xdr:colOff>
                    <xdr:row>0</xdr:row>
                    <xdr:rowOff>152400</xdr:rowOff>
                  </from>
                  <to>
                    <xdr:col>7</xdr:col>
                    <xdr:colOff>502920</xdr:colOff>
                    <xdr:row>0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057" r:id="rId5" name="Button 46081">
              <controlPr defaultSize="0" print="0" autoFill="0" autoLine="0" autoPict="0" macro="[0]!ChartQ">
                <anchor moveWithCells="1" sizeWithCells="1">
                  <from>
                    <xdr:col>8</xdr:col>
                    <xdr:colOff>419100</xdr:colOff>
                    <xdr:row>0</xdr:row>
                    <xdr:rowOff>160020</xdr:rowOff>
                  </from>
                  <to>
                    <xdr:col>10</xdr:col>
                    <xdr:colOff>411480</xdr:colOff>
                    <xdr:row>0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058" r:id="rId6" name="Button 46082">
              <controlPr defaultSize="0" print="0" autoFill="0" autoPict="0" macro="[0]!LaunchFinder">
                <anchor moveWithCells="1" sizeWithCells="1">
                  <from>
                    <xdr:col>10</xdr:col>
                    <xdr:colOff>792480</xdr:colOff>
                    <xdr:row>0</xdr:row>
                    <xdr:rowOff>160020</xdr:rowOff>
                  </from>
                  <to>
                    <xdr:col>12</xdr:col>
                    <xdr:colOff>198120</xdr:colOff>
                    <xdr:row>0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059" r:id="rId7" name="Button 46083">
              <controlPr defaultSize="0" print="0" autoFill="0" autoPict="0" macro="[0]!Main">
                <anchor moveWithCells="1" sizeWithCells="1">
                  <from>
                    <xdr:col>12</xdr:col>
                    <xdr:colOff>655320</xdr:colOff>
                    <xdr:row>0</xdr:row>
                    <xdr:rowOff>160020</xdr:rowOff>
                  </from>
                  <to>
                    <xdr:col>13</xdr:col>
                    <xdr:colOff>678180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060" r:id="rId8" name="Button 46084">
              <controlPr defaultSize="0" print="0" autoFill="0" autoPict="0" macro="[0]!GetVals">
                <anchor moveWithCells="1" sizeWithCells="1">
                  <from>
                    <xdr:col>15</xdr:col>
                    <xdr:colOff>83820</xdr:colOff>
                    <xdr:row>0</xdr:row>
                    <xdr:rowOff>144780</xdr:rowOff>
                  </from>
                  <to>
                    <xdr:col>16</xdr:col>
                    <xdr:colOff>106680</xdr:colOff>
                    <xdr:row>0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3"/>
  <dimension ref="A1"/>
  <sheetViews>
    <sheetView workbookViewId="0"/>
  </sheetViews>
  <sheetFormatPr defaultColWidth="11.54296875"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/>
  <dimension ref="A1:BG362"/>
  <sheetViews>
    <sheetView zoomScale="120" zoomScaleNormal="120" zoomScalePageLayoutView="200" workbookViewId="0">
      <pane xSplit="26460" topLeftCell="C1"/>
      <selection activeCell="R24" sqref="R24"/>
      <selection pane="topRight" activeCell="C1" sqref="C1:F65536"/>
    </sheetView>
  </sheetViews>
  <sheetFormatPr defaultColWidth="8.6328125" defaultRowHeight="15.9" customHeight="1"/>
  <cols>
    <col min="1" max="1" width="3.36328125" style="50" customWidth="1"/>
    <col min="2" max="2" width="3.36328125" style="53" customWidth="1"/>
    <col min="3" max="3" width="7.90625" style="50" customWidth="1"/>
    <col min="4" max="6" width="7.90625" style="53" customWidth="1"/>
    <col min="7" max="7" width="5.36328125" customWidth="1"/>
    <col min="8" max="8" width="4.90625" style="998" customWidth="1"/>
    <col min="9" max="20" width="4.90625" customWidth="1"/>
    <col min="21" max="24" width="5.36328125" customWidth="1"/>
    <col min="25" max="25" width="6.08984375" customWidth="1"/>
    <col min="34" max="34" width="4.453125" style="613" customWidth="1"/>
    <col min="35" max="35" width="5.90625" customWidth="1"/>
    <col min="36" max="36" width="4.453125" customWidth="1"/>
    <col min="37" max="37" width="4.453125" style="613" customWidth="1"/>
    <col min="38" max="38" width="4.453125" customWidth="1"/>
  </cols>
  <sheetData>
    <row r="1" spans="1:59" ht="15.9" customHeight="1">
      <c r="B1" s="52"/>
      <c r="D1" s="52"/>
      <c r="H1" s="998">
        <v>37.5</v>
      </c>
      <c r="I1">
        <v>30</v>
      </c>
      <c r="J1">
        <v>45</v>
      </c>
      <c r="K1">
        <v>50</v>
      </c>
      <c r="L1">
        <v>160</v>
      </c>
      <c r="M1">
        <v>200</v>
      </c>
      <c r="N1">
        <v>240</v>
      </c>
      <c r="O1">
        <v>280</v>
      </c>
      <c r="P1">
        <v>320</v>
      </c>
      <c r="Q1" t="s">
        <v>1779</v>
      </c>
      <c r="R1" t="s">
        <v>1781</v>
      </c>
      <c r="T1" s="613" t="s">
        <v>1780</v>
      </c>
      <c r="V1" s="613" t="s">
        <v>1755</v>
      </c>
      <c r="X1" s="613" t="s">
        <v>1713</v>
      </c>
    </row>
    <row r="2" spans="1:59" ht="15.9" customHeight="1">
      <c r="A2" s="50" t="s">
        <v>467</v>
      </c>
      <c r="B2" s="52" t="str">
        <f>TVAR1</f>
        <v>V1</v>
      </c>
      <c r="C2" s="50" t="s">
        <v>467</v>
      </c>
      <c r="D2" s="52" t="str">
        <f>TVAR1</f>
        <v>V1</v>
      </c>
      <c r="E2" s="53" t="str">
        <f>TVAR2</f>
        <v>V2</v>
      </c>
      <c r="F2" s="53">
        <f>TVAR3</f>
        <v>0</v>
      </c>
      <c r="G2" s="50" t="s">
        <v>467</v>
      </c>
      <c r="H2" s="52" t="str">
        <f>TVAR1</f>
        <v>V1</v>
      </c>
      <c r="I2" s="53" t="str">
        <f>TVAR2</f>
        <v>V2</v>
      </c>
      <c r="J2" s="53">
        <f>TVAR3</f>
        <v>0</v>
      </c>
      <c r="K2" s="52" t="str">
        <f>TVAR1</f>
        <v>V1</v>
      </c>
      <c r="L2" s="53" t="str">
        <f>TVAR2</f>
        <v>V2</v>
      </c>
      <c r="M2" s="53">
        <f>TVAR3</f>
        <v>0</v>
      </c>
      <c r="N2" s="614">
        <v>8</v>
      </c>
      <c r="O2" s="614">
        <v>9</v>
      </c>
      <c r="P2" s="614">
        <v>10</v>
      </c>
      <c r="S2" s="50"/>
      <c r="U2" s="613"/>
      <c r="W2" s="613" t="s">
        <v>1753</v>
      </c>
      <c r="Y2" s="613" t="s">
        <v>1769</v>
      </c>
      <c r="AF2">
        <v>0.01</v>
      </c>
      <c r="AG2" s="52">
        <v>1045.3463121616849</v>
      </c>
      <c r="AH2" s="52">
        <v>1071.0616637753499</v>
      </c>
      <c r="AI2">
        <f>AG2/AH2</f>
        <v>0.97599078327290534</v>
      </c>
      <c r="AK2" s="613" t="s">
        <v>1856</v>
      </c>
      <c r="AL2" t="s">
        <v>941</v>
      </c>
      <c r="AM2" t="s">
        <v>950</v>
      </c>
      <c r="AN2" t="s">
        <v>1961</v>
      </c>
      <c r="AO2" t="s">
        <v>944</v>
      </c>
      <c r="AP2" t="s">
        <v>950</v>
      </c>
      <c r="AQ2" t="s">
        <v>1960</v>
      </c>
      <c r="AS2" t="s">
        <v>1856</v>
      </c>
      <c r="AT2" t="s">
        <v>941</v>
      </c>
      <c r="AU2" t="s">
        <v>950</v>
      </c>
      <c r="AV2" t="s">
        <v>1961</v>
      </c>
      <c r="AW2" t="s">
        <v>944</v>
      </c>
      <c r="AX2" t="s">
        <v>950</v>
      </c>
      <c r="AY2" t="s">
        <v>1960</v>
      </c>
    </row>
    <row r="3" spans="1:59" ht="15.9" customHeight="1">
      <c r="A3" s="50">
        <v>0</v>
      </c>
      <c r="B3" s="52">
        <v>9.3868585610450577</v>
      </c>
      <c r="C3" s="50">
        <v>1</v>
      </c>
      <c r="D3" s="52">
        <v>1</v>
      </c>
      <c r="E3" s="53">
        <v>8.931713556951261E-2</v>
      </c>
      <c r="F3" s="53">
        <v>8.4197485389575735E-2</v>
      </c>
      <c r="G3" s="50">
        <v>1</v>
      </c>
      <c r="H3" s="52">
        <v>1</v>
      </c>
      <c r="I3" s="53">
        <v>8.931713556951261E-2</v>
      </c>
      <c r="J3" s="53">
        <v>8.4197485389575735E-2</v>
      </c>
      <c r="K3" s="52">
        <v>0.16398713271976953</v>
      </c>
      <c r="L3" s="53">
        <v>0.17181798660926012</v>
      </c>
      <c r="M3" s="53">
        <v>4.7752855724798815E-2</v>
      </c>
      <c r="N3" s="53">
        <v>1.1079562790850804E-2</v>
      </c>
      <c r="O3" s="53">
        <v>9.8485002585340601E-3</v>
      </c>
      <c r="P3" s="53">
        <v>0</v>
      </c>
      <c r="Q3" s="52"/>
      <c r="R3" s="53"/>
      <c r="S3" s="53"/>
      <c r="T3" s="53"/>
      <c r="U3" s="53"/>
      <c r="V3" s="53">
        <v>0.92846951693604807</v>
      </c>
      <c r="W3" s="53">
        <v>0.94521557548212753</v>
      </c>
      <c r="X3" s="53">
        <v>0.94479362004420564</v>
      </c>
      <c r="Y3" s="53">
        <v>0.94363010360185517</v>
      </c>
      <c r="AF3">
        <v>0.11</v>
      </c>
      <c r="AG3" s="52">
        <v>1059.293799726551</v>
      </c>
      <c r="AH3" s="52">
        <v>996.53647480523944</v>
      </c>
      <c r="AI3">
        <f t="shared" ref="AI3:AI12" si="0">AG3/AH3</f>
        <v>1.0629754419511606</v>
      </c>
      <c r="AK3" s="613">
        <v>1</v>
      </c>
      <c r="AL3" s="52">
        <v>0.71959467696900525</v>
      </c>
      <c r="AM3" s="53">
        <v>4.3483058857962387E-2</v>
      </c>
      <c r="AN3" s="53">
        <v>9.9964878391430399E-3</v>
      </c>
      <c r="AO3" s="52">
        <v>0.19311298410747221</v>
      </c>
      <c r="AP3" s="53">
        <v>4.3483058857962387E-2</v>
      </c>
      <c r="AQ3" s="53">
        <v>0</v>
      </c>
      <c r="AS3">
        <v>1</v>
      </c>
      <c r="AT3" s="52">
        <v>0.27926562964263768</v>
      </c>
      <c r="AU3" s="53">
        <v>0.18391747101003897</v>
      </c>
      <c r="AV3" s="53">
        <v>3.9985951356572104E-2</v>
      </c>
      <c r="AW3" s="52">
        <v>0.35257320712968659</v>
      </c>
      <c r="AX3" s="53">
        <v>0.18391747101003897</v>
      </c>
      <c r="AY3" s="53">
        <v>0</v>
      </c>
      <c r="BA3" s="50">
        <v>0</v>
      </c>
      <c r="BB3" s="52">
        <v>0.42198180443414035</v>
      </c>
      <c r="BC3" s="53">
        <v>0.42198180443414024</v>
      </c>
      <c r="BD3" s="53">
        <v>1.4487087054504048E-2</v>
      </c>
      <c r="BE3" s="52">
        <v>0.15268458607957899</v>
      </c>
      <c r="BF3" s="53">
        <v>0.15268458607957894</v>
      </c>
      <c r="BG3" s="53">
        <v>1.4487087054504048E-2</v>
      </c>
    </row>
    <row r="4" spans="1:59" ht="15.9" customHeight="1">
      <c r="A4" s="50">
        <v>5</v>
      </c>
      <c r="B4" s="52">
        <v>9.4719321493931261</v>
      </c>
      <c r="C4" s="50">
        <v>1.5</v>
      </c>
      <c r="D4" s="52">
        <v>1</v>
      </c>
      <c r="E4" s="53">
        <v>3.9696504697561127E-2</v>
      </c>
      <c r="F4" s="53">
        <v>5.6131656926383798E-2</v>
      </c>
      <c r="G4" s="50">
        <v>1.5</v>
      </c>
      <c r="H4" s="52">
        <v>1</v>
      </c>
      <c r="I4" s="53">
        <v>3.9696504697561127E-2</v>
      </c>
      <c r="J4" s="53">
        <v>5.6131656926383798E-2</v>
      </c>
      <c r="K4" s="52">
        <v>0.15569031173484577</v>
      </c>
      <c r="L4" s="53">
        <v>0.16168909384176666</v>
      </c>
      <c r="M4" s="53">
        <v>3.8530220924326564E-2</v>
      </c>
      <c r="N4" s="53">
        <v>9.5815781971929932E-3</v>
      </c>
      <c r="O4" s="53">
        <v>8.5169583975048674E-3</v>
      </c>
      <c r="P4" s="53">
        <v>1.6739540469607082E-3</v>
      </c>
      <c r="Q4" s="52"/>
      <c r="R4" s="53"/>
      <c r="S4" s="53"/>
      <c r="T4" s="53"/>
      <c r="U4" s="53"/>
      <c r="V4" s="53">
        <v>0.91925274679065549</v>
      </c>
      <c r="W4" s="53">
        <v>0.9354776799249569</v>
      </c>
      <c r="X4" s="53">
        <v>0.93495729794735272</v>
      </c>
      <c r="Y4" s="53">
        <v>0.93380452700959715</v>
      </c>
      <c r="AF4">
        <v>0.21000000000000002</v>
      </c>
      <c r="AG4" s="52">
        <v>1071.4301395371324</v>
      </c>
      <c r="AH4" s="52">
        <v>802.63541572170561</v>
      </c>
      <c r="AI4">
        <f t="shared" si="0"/>
        <v>1.3348901861921139</v>
      </c>
      <c r="AK4" s="613">
        <v>2</v>
      </c>
      <c r="AL4" s="52">
        <v>0.59053117780314335</v>
      </c>
      <c r="AM4" s="53">
        <v>7.5080801592179586E-2</v>
      </c>
      <c r="AN4" s="53">
        <v>8.7469268592501506E-3</v>
      </c>
      <c r="AO4" s="52">
        <v>0.25898099780489953</v>
      </c>
      <c r="AP4" s="53">
        <v>7.5080801592179586E-2</v>
      </c>
      <c r="AQ4" s="53">
        <v>0</v>
      </c>
      <c r="AS4">
        <v>2</v>
      </c>
      <c r="AT4" s="52">
        <v>0.37036665413995967</v>
      </c>
      <c r="AU4" s="53">
        <v>0.14529800766821796</v>
      </c>
      <c r="AV4" s="53">
        <v>1.6244292738607415E-2</v>
      </c>
      <c r="AW4" s="52">
        <v>0.33871110931600668</v>
      </c>
      <c r="AX4" s="53">
        <v>0.14529800766821796</v>
      </c>
      <c r="AY4" s="53">
        <v>0</v>
      </c>
      <c r="BA4" s="50">
        <v>10</v>
      </c>
      <c r="BB4" s="52">
        <v>0.4231215607253892</v>
      </c>
      <c r="BC4" s="53">
        <v>0.42384810982282645</v>
      </c>
      <c r="BD4" s="53">
        <v>3.022344300312868E-2</v>
      </c>
      <c r="BE4" s="52">
        <v>0.14703205868803479</v>
      </c>
      <c r="BF4" s="53">
        <v>0.14590372090255049</v>
      </c>
      <c r="BG4" s="53">
        <v>3.022344300312868E-2</v>
      </c>
    </row>
    <row r="5" spans="1:59" ht="15.9" customHeight="1">
      <c r="A5" s="50">
        <v>10</v>
      </c>
      <c r="B5" s="52">
        <v>9.606378757085551</v>
      </c>
      <c r="C5" s="50">
        <v>2</v>
      </c>
      <c r="D5" s="52">
        <v>1</v>
      </c>
      <c r="E5" s="53">
        <v>2.2329283892378145E-2</v>
      </c>
      <c r="F5" s="53">
        <v>4.2098742694787888E-2</v>
      </c>
      <c r="G5" s="50">
        <v>2</v>
      </c>
      <c r="H5" s="52">
        <v>1</v>
      </c>
      <c r="I5" s="53">
        <v>2.2329283892378145E-2</v>
      </c>
      <c r="J5" s="53">
        <v>4.2098742694787888E-2</v>
      </c>
      <c r="K5" s="52">
        <v>0.13468202352781447</v>
      </c>
      <c r="L5" s="53">
        <v>0.13604183703530054</v>
      </c>
      <c r="M5" s="53">
        <v>1.0096473693129715E-2</v>
      </c>
      <c r="N5" s="53">
        <v>7.7300954273807612E-3</v>
      </c>
      <c r="O5" s="53">
        <v>6.8711959354495937E-3</v>
      </c>
      <c r="P5" s="53">
        <v>4.4509073811771667E-3</v>
      </c>
      <c r="Q5" s="52"/>
      <c r="R5" s="53"/>
      <c r="S5" s="53"/>
      <c r="T5" s="53"/>
      <c r="U5" s="53"/>
      <c r="V5" s="53">
        <v>0.89250463803332236</v>
      </c>
      <c r="W5" s="53">
        <v>0.90721720631848923</v>
      </c>
      <c r="X5" s="53">
        <v>0.90641117939731919</v>
      </c>
      <c r="Y5" s="53">
        <v>0.90528959312849122</v>
      </c>
      <c r="AF5">
        <v>0.31000000000000005</v>
      </c>
      <c r="AG5" s="52">
        <v>916.95811175837753</v>
      </c>
      <c r="AH5" s="52">
        <v>676.51589520862206</v>
      </c>
      <c r="AI5">
        <f t="shared" si="0"/>
        <v>1.3554125161768869</v>
      </c>
      <c r="AK5" s="613">
        <v>3</v>
      </c>
      <c r="AL5" s="52">
        <v>0.5503220465751556</v>
      </c>
      <c r="AM5" s="53">
        <v>8.6133509956000429E-2</v>
      </c>
      <c r="AN5" s="53">
        <v>6.6643252260953781E-3</v>
      </c>
      <c r="AO5" s="52">
        <v>0.27708471230524601</v>
      </c>
      <c r="AP5" s="53">
        <v>8.6133509956000429E-2</v>
      </c>
      <c r="AQ5" s="53">
        <v>0</v>
      </c>
      <c r="AS5">
        <v>3</v>
      </c>
      <c r="AT5" s="52">
        <v>0.4035456974663662</v>
      </c>
      <c r="AU5" s="53">
        <v>0.13294498067335928</v>
      </c>
      <c r="AV5" s="53">
        <v>9.9964878391430537E-3</v>
      </c>
      <c r="AW5" s="52">
        <v>0.33023811997931729</v>
      </c>
      <c r="AX5" s="53">
        <v>0.13294498067335928</v>
      </c>
      <c r="AY5" s="53">
        <v>0</v>
      </c>
      <c r="BA5" s="50">
        <v>20</v>
      </c>
      <c r="BB5" s="52">
        <v>0.42444025600789131</v>
      </c>
      <c r="BC5" s="53">
        <v>0.42541385405840809</v>
      </c>
      <c r="BD5" s="53">
        <v>4.8598146503394182E-2</v>
      </c>
      <c r="BE5" s="52">
        <v>0.13271935690074996</v>
      </c>
      <c r="BF5" s="53">
        <v>0.13099064311968717</v>
      </c>
      <c r="BG5" s="53">
        <v>4.8598146503394182E-2</v>
      </c>
    </row>
    <row r="6" spans="1:59" ht="15.9" customHeight="1">
      <c r="A6" s="50">
        <v>15</v>
      </c>
      <c r="B6" s="52">
        <v>9.7920112241347983</v>
      </c>
      <c r="C6" s="50">
        <v>2.5</v>
      </c>
      <c r="D6" s="52">
        <v>1.0000000000000002</v>
      </c>
      <c r="E6" s="53">
        <v>1.4290741691121983E-2</v>
      </c>
      <c r="F6" s="53">
        <v>3.3678994155830248E-2</v>
      </c>
      <c r="G6" s="50">
        <v>2.5</v>
      </c>
      <c r="H6" s="52">
        <v>1.0000000000000002</v>
      </c>
      <c r="I6" s="53">
        <v>1.4290741691121983E-2</v>
      </c>
      <c r="J6" s="53">
        <v>3.3678994155830248E-2</v>
      </c>
      <c r="K6" s="52">
        <v>0.11079227963186174</v>
      </c>
      <c r="L6" s="53">
        <v>0.10687685268711646</v>
      </c>
      <c r="M6" s="53">
        <v>3.5340250762556535E-2</v>
      </c>
      <c r="N6" s="53">
        <v>8.2755238934208927E-3</v>
      </c>
      <c r="O6" s="53">
        <v>7.3560212385963795E-3</v>
      </c>
      <c r="P6" s="53">
        <v>8.8636502326806602E-3</v>
      </c>
      <c r="Q6" s="52"/>
      <c r="R6" s="53"/>
      <c r="S6" s="53"/>
      <c r="T6" s="53"/>
      <c r="U6" s="53"/>
      <c r="V6" s="53">
        <v>0.85084348191424886</v>
      </c>
      <c r="W6" s="53">
        <v>0.86320048672162308</v>
      </c>
      <c r="X6" s="53">
        <v>0.86194955737028611</v>
      </c>
      <c r="Y6" s="53">
        <v>0.86087654236204658</v>
      </c>
      <c r="AF6">
        <v>0.41000000000000003</v>
      </c>
      <c r="AG6" s="52">
        <v>767.52201897083933</v>
      </c>
      <c r="AH6" s="52">
        <v>594.61552678086468</v>
      </c>
      <c r="AI6">
        <f t="shared" si="0"/>
        <v>1.2907870454141308</v>
      </c>
      <c r="AK6" s="613">
        <v>4</v>
      </c>
      <c r="AL6" s="52">
        <v>0.53074473755378004</v>
      </c>
      <c r="AM6" s="53">
        <v>9.175738803523889E-2</v>
      </c>
      <c r="AN6" s="53">
        <v>5.310634164544659E-3</v>
      </c>
      <c r="AO6" s="52">
        <v>0.28541426516814516</v>
      </c>
      <c r="AP6" s="53">
        <v>9.175738803523889E-2</v>
      </c>
      <c r="AQ6" s="53">
        <v>0</v>
      </c>
      <c r="AS6">
        <v>4</v>
      </c>
      <c r="AT6" s="52">
        <v>0.42066247572218823</v>
      </c>
      <c r="AU6" s="53">
        <v>0.12686599107325794</v>
      </c>
      <c r="AV6" s="53">
        <v>7.1849756343841525E-3</v>
      </c>
      <c r="AW6" s="52">
        <v>0.32527932092369871</v>
      </c>
      <c r="AX6" s="53">
        <v>0.12686599107325794</v>
      </c>
      <c r="AY6" s="53">
        <v>0</v>
      </c>
      <c r="BA6" s="50">
        <v>30</v>
      </c>
      <c r="BB6" s="52">
        <v>0.42080808700300326</v>
      </c>
      <c r="BC6" s="53">
        <v>0.42131092771735168</v>
      </c>
      <c r="BD6" s="53">
        <v>5.2741891586785487E-2</v>
      </c>
      <c r="BE6" s="52">
        <v>0.11644355295195702</v>
      </c>
      <c r="BF6" s="53">
        <v>0.11492334756598861</v>
      </c>
      <c r="BG6" s="53">
        <v>5.2741891586785487E-2</v>
      </c>
    </row>
    <row r="7" spans="1:59" ht="15.9" customHeight="1">
      <c r="A7" s="50">
        <v>20</v>
      </c>
      <c r="B7" s="52">
        <v>10.031348180338535</v>
      </c>
      <c r="C7" s="50">
        <v>3</v>
      </c>
      <c r="D7" s="52">
        <v>1.0000000000000002</v>
      </c>
      <c r="E7" s="53">
        <v>9.9241261743902732E-3</v>
      </c>
      <c r="F7" s="53">
        <v>2.8065828463191875E-2</v>
      </c>
      <c r="G7" s="50">
        <v>3</v>
      </c>
      <c r="H7" s="52">
        <v>1.0000000000000002</v>
      </c>
      <c r="I7" s="53">
        <v>9.9241261743902732E-3</v>
      </c>
      <c r="J7" s="53">
        <v>2.8065828463191875E-2</v>
      </c>
      <c r="K7" s="52">
        <v>9.5199356720832684E-2</v>
      </c>
      <c r="L7" s="53">
        <v>8.7840761106425774E-2</v>
      </c>
      <c r="M7" s="53">
        <v>7.7296694724373172E-2</v>
      </c>
      <c r="N7" s="53">
        <v>7.8635644594981947E-3</v>
      </c>
      <c r="O7" s="53">
        <v>6.9898350751095382E-3</v>
      </c>
      <c r="P7" s="53">
        <v>1.33339678736834E-2</v>
      </c>
      <c r="Q7" s="52"/>
      <c r="R7" s="53"/>
      <c r="S7" s="53"/>
      <c r="T7" s="53"/>
      <c r="U7" s="53"/>
      <c r="V7" s="53">
        <v>0.79834736266471262</v>
      </c>
      <c r="W7" s="53">
        <v>0.80773618433101857</v>
      </c>
      <c r="X7" s="53">
        <v>0.80592464521259533</v>
      </c>
      <c r="Y7" s="53">
        <v>0.8049128335632032</v>
      </c>
      <c r="AF7">
        <v>0.51</v>
      </c>
      <c r="AG7" s="52">
        <v>672.55354999531039</v>
      </c>
      <c r="AH7" s="52">
        <v>538.67657648561567</v>
      </c>
      <c r="AI7">
        <f t="shared" si="0"/>
        <v>1.2485294132949358</v>
      </c>
      <c r="AK7" s="613">
        <v>5</v>
      </c>
      <c r="AL7" s="52">
        <v>0.51916707425059272</v>
      </c>
      <c r="AM7" s="53">
        <v>9.5162922529926572E-2</v>
      </c>
      <c r="AN7" s="53">
        <v>4.3984546492228938E-3</v>
      </c>
      <c r="AO7" s="52">
        <v>0.29018085948195649</v>
      </c>
      <c r="AP7" s="53">
        <v>9.5162922529926572E-2</v>
      </c>
      <c r="AQ7" s="53">
        <v>0</v>
      </c>
      <c r="AS7">
        <v>5</v>
      </c>
      <c r="AT7" s="52">
        <v>0.43110126478531852</v>
      </c>
      <c r="AU7" s="53">
        <v>0.12324980496034196</v>
      </c>
      <c r="AV7" s="53">
        <v>5.5980331899201435E-3</v>
      </c>
      <c r="AW7" s="52">
        <v>0.32207290408639994</v>
      </c>
      <c r="AX7" s="53">
        <v>0.12324980496034196</v>
      </c>
      <c r="AY7" s="53">
        <v>0</v>
      </c>
      <c r="BA7" s="50">
        <v>40</v>
      </c>
      <c r="BB7" s="52">
        <v>0.40701061950627554</v>
      </c>
      <c r="BC7" s="53">
        <v>0.40645409108326103</v>
      </c>
      <c r="BD7" s="53">
        <v>4.3562255897518276E-2</v>
      </c>
      <c r="BE7" s="52">
        <v>0.10582027639470838</v>
      </c>
      <c r="BF7" s="53">
        <v>0.10521990039912983</v>
      </c>
      <c r="BG7" s="53">
        <v>4.3562255897518276E-2</v>
      </c>
    </row>
    <row r="8" spans="1:59" ht="15.9" customHeight="1">
      <c r="A8" s="50">
        <v>25</v>
      </c>
      <c r="B8" s="52">
        <v>10.327537299213455</v>
      </c>
      <c r="C8" s="50">
        <v>3.5</v>
      </c>
      <c r="D8" s="52">
        <v>1.0000000000000002</v>
      </c>
      <c r="E8" s="53">
        <v>7.2911947403683716E-3</v>
      </c>
      <c r="F8" s="53">
        <v>2.4056424397021648E-2</v>
      </c>
      <c r="G8" s="50">
        <v>3.5</v>
      </c>
      <c r="H8" s="52">
        <v>1.0000000000000002</v>
      </c>
      <c r="I8" s="53">
        <v>7.2911947403683716E-3</v>
      </c>
      <c r="J8" s="53">
        <v>2.4056424397021648E-2</v>
      </c>
      <c r="K8" s="52">
        <v>9.5199356720832712E-2</v>
      </c>
      <c r="L8" s="53">
        <v>8.7840761106425774E-2</v>
      </c>
      <c r="M8" s="53">
        <v>7.7296694724373505E-2</v>
      </c>
      <c r="N8" s="53">
        <v>1.0108396781297191E-2</v>
      </c>
      <c r="O8" s="53">
        <v>8.9852415833752124E-3</v>
      </c>
      <c r="P8" s="53">
        <v>1.6950367657718419E-2</v>
      </c>
      <c r="Q8" s="52"/>
      <c r="R8" s="53"/>
      <c r="S8" s="53"/>
      <c r="T8" s="53"/>
      <c r="U8" s="53"/>
      <c r="V8" s="53">
        <v>0.7401549661988287</v>
      </c>
      <c r="W8" s="53">
        <v>0.74625353150718576</v>
      </c>
      <c r="X8" s="53">
        <v>0.74382055167475769</v>
      </c>
      <c r="Y8" s="53">
        <v>0.74287658447127891</v>
      </c>
      <c r="AF8">
        <v>0.6100000000000001</v>
      </c>
      <c r="AG8" s="52">
        <v>607.08029776706724</v>
      </c>
      <c r="AH8" s="52">
        <v>498.66178928524272</v>
      </c>
      <c r="AI8">
        <f t="shared" si="0"/>
        <v>1.2174189216246671</v>
      </c>
      <c r="AK8" s="613">
        <v>6</v>
      </c>
      <c r="AL8" s="52">
        <v>0.51151893292748363</v>
      </c>
      <c r="AM8" s="53">
        <v>9.7446282046028856E-2</v>
      </c>
      <c r="AN8" s="53">
        <v>3.7486829396786029E-3</v>
      </c>
      <c r="AO8" s="52">
        <v>0.29326228177286079</v>
      </c>
      <c r="AP8" s="53">
        <v>9.7446282046028856E-2</v>
      </c>
      <c r="AQ8" s="53">
        <v>0</v>
      </c>
      <c r="AS8">
        <v>6</v>
      </c>
      <c r="AT8" s="52">
        <v>0.43813075837308907</v>
      </c>
      <c r="AU8" s="53">
        <v>0.12085201740470822</v>
      </c>
      <c r="AV8" s="53">
        <v>4.5817235929405354E-3</v>
      </c>
      <c r="AW8" s="52">
        <v>0.31983898560989626</v>
      </c>
      <c r="AX8" s="53">
        <v>0.12085201740470822</v>
      </c>
      <c r="AY8" s="53">
        <v>0</v>
      </c>
      <c r="BA8" s="50">
        <v>50</v>
      </c>
      <c r="BB8" s="52">
        <v>0.38102260649671044</v>
      </c>
      <c r="BC8" s="53">
        <v>0.37926532608253882</v>
      </c>
      <c r="BD8" s="53">
        <v>4.6657301416488592E-2</v>
      </c>
      <c r="BE8" s="52">
        <v>0.10582027639470838</v>
      </c>
      <c r="BF8" s="53">
        <v>0.10642065239028684</v>
      </c>
      <c r="BG8" s="53">
        <v>4.6657301416488592E-2</v>
      </c>
    </row>
    <row r="9" spans="1:59" ht="15.9" customHeight="1">
      <c r="A9" s="50">
        <v>30</v>
      </c>
      <c r="B9" s="52">
        <v>10.684222879743606</v>
      </c>
      <c r="C9" s="50">
        <v>4</v>
      </c>
      <c r="D9" s="52">
        <v>1</v>
      </c>
      <c r="E9" s="53">
        <v>5.5823209730945476E-3</v>
      </c>
      <c r="F9" s="53">
        <v>2.1049371347393934E-2</v>
      </c>
      <c r="G9" s="50">
        <v>4</v>
      </c>
      <c r="H9" s="52">
        <v>1</v>
      </c>
      <c r="I9" s="53">
        <v>5.5823209730945476E-3</v>
      </c>
      <c r="J9" s="53">
        <v>2.1049371347393934E-2</v>
      </c>
      <c r="K9" s="52">
        <v>0.1107922796318617</v>
      </c>
      <c r="L9" s="53">
        <v>0.10687685268711644</v>
      </c>
      <c r="M9" s="53">
        <v>3.5340250762556313E-2</v>
      </c>
      <c r="N9" s="53">
        <v>1.3016260207217484E-2</v>
      </c>
      <c r="O9" s="53">
        <v>1.1570009073082184E-2</v>
      </c>
      <c r="P9" s="53">
        <v>1.9276658398454688E-2</v>
      </c>
      <c r="Q9" s="52"/>
      <c r="R9" s="53"/>
      <c r="S9" s="53"/>
      <c r="T9" s="53"/>
      <c r="U9" s="53"/>
      <c r="V9" s="53">
        <v>0.68196256973294467</v>
      </c>
      <c r="W9" s="53">
        <v>0.68477087868335318</v>
      </c>
      <c r="X9" s="53">
        <v>0.68171645813692006</v>
      </c>
      <c r="Y9" s="53">
        <v>0.68084033537935451</v>
      </c>
      <c r="AF9">
        <v>0.71000000000000008</v>
      </c>
      <c r="AG9" s="52">
        <v>559.31118933634025</v>
      </c>
      <c r="AH9" s="52">
        <v>468.97583769034429</v>
      </c>
      <c r="AI9">
        <f t="shared" si="0"/>
        <v>1.1926226137595657</v>
      </c>
      <c r="AK9" s="613">
        <v>7</v>
      </c>
      <c r="AL9" s="52">
        <v>0.5060904079231483</v>
      </c>
      <c r="AM9" s="53">
        <v>9.9083622036539656E-2</v>
      </c>
      <c r="AN9" s="53">
        <v>3.2641592944143323E-3</v>
      </c>
      <c r="AO9" s="52">
        <v>0.29541612679617463</v>
      </c>
      <c r="AP9" s="53">
        <v>9.9083622036539656E-2</v>
      </c>
      <c r="AQ9" s="53">
        <v>0</v>
      </c>
      <c r="AS9">
        <v>7</v>
      </c>
      <c r="AT9" s="52">
        <v>0.44318625830509573</v>
      </c>
      <c r="AU9" s="53">
        <v>0.11914568091540781</v>
      </c>
      <c r="AV9" s="53">
        <v>3.876189162116587E-3</v>
      </c>
      <c r="AW9" s="52">
        <v>0.31819615865649103</v>
      </c>
      <c r="AX9" s="53">
        <v>0.11914568091540781</v>
      </c>
      <c r="AY9" s="53">
        <v>0</v>
      </c>
      <c r="BA9" s="50">
        <v>60</v>
      </c>
      <c r="BB9" s="52">
        <v>0.34597858588548525</v>
      </c>
      <c r="BC9" s="53">
        <v>0.34344101582789699</v>
      </c>
      <c r="BD9" s="53">
        <v>5.3909897797386495E-2</v>
      </c>
      <c r="BE9" s="52">
        <v>0.11644355295195705</v>
      </c>
      <c r="BF9" s="53">
        <v>0.11796375833792536</v>
      </c>
      <c r="BG9" s="53">
        <v>5.3909897797386495E-2</v>
      </c>
    </row>
    <row r="10" spans="1:59" ht="15.9" customHeight="1">
      <c r="A10" s="50">
        <v>35</v>
      </c>
      <c r="B10" s="52">
        <v>11.105321243571552</v>
      </c>
      <c r="C10" s="50">
        <v>4.5</v>
      </c>
      <c r="D10" s="52">
        <v>0.99999999999999956</v>
      </c>
      <c r="E10" s="53">
        <v>4.4107227441734535E-3</v>
      </c>
      <c r="F10" s="53">
        <v>1.8710552308794533E-2</v>
      </c>
      <c r="G10" s="50">
        <v>4.5</v>
      </c>
      <c r="H10" s="52">
        <v>0.99999999999999956</v>
      </c>
      <c r="I10" s="53">
        <v>4.4107227441734535E-3</v>
      </c>
      <c r="J10" s="53">
        <v>1.8710552308794533E-2</v>
      </c>
      <c r="K10" s="52">
        <v>0.13468202352781447</v>
      </c>
      <c r="L10" s="53">
        <v>0.13604183703530051</v>
      </c>
      <c r="M10" s="53">
        <v>1.0096473693129493E-2</v>
      </c>
      <c r="N10" s="53">
        <v>1.8532188771596819E-2</v>
      </c>
      <c r="O10" s="53">
        <v>1.6473056685863758E-2</v>
      </c>
      <c r="P10" s="53">
        <v>2.0404561464264684E-2</v>
      </c>
      <c r="Q10" s="52"/>
      <c r="R10" s="53"/>
      <c r="S10" s="53"/>
      <c r="T10" s="53"/>
      <c r="U10" s="53"/>
      <c r="V10" s="53">
        <v>0.62946645048340844</v>
      </c>
      <c r="W10" s="53">
        <v>0.62930657629274844</v>
      </c>
      <c r="X10" s="53">
        <v>0.62569154597922938</v>
      </c>
      <c r="Y10" s="53">
        <v>0.62487662658051091</v>
      </c>
      <c r="AF10">
        <v>0.81</v>
      </c>
      <c r="AG10" s="52">
        <v>522.98139784607122</v>
      </c>
      <c r="AH10" s="52">
        <v>446.33184713271817</v>
      </c>
      <c r="AI10">
        <f t="shared" si="0"/>
        <v>1.171732201512748</v>
      </c>
      <c r="AK10" s="613">
        <v>8</v>
      </c>
      <c r="AL10" s="52">
        <v>0.50203784476249069</v>
      </c>
      <c r="AM10" s="53">
        <v>0.10031511002575595</v>
      </c>
      <c r="AN10" s="53">
        <v>2.8896097660022135E-3</v>
      </c>
      <c r="AO10" s="52">
        <v>0.2970057139784002</v>
      </c>
      <c r="AP10" s="53">
        <v>0.10031511002575595</v>
      </c>
      <c r="AQ10" s="53">
        <v>0</v>
      </c>
      <c r="AS10">
        <v>8</v>
      </c>
      <c r="AT10" s="52">
        <v>0.4469967138466947</v>
      </c>
      <c r="AU10" s="53">
        <v>0.11786941154476566</v>
      </c>
      <c r="AV10" s="53">
        <v>3.3581951334619993E-3</v>
      </c>
      <c r="AW10" s="52">
        <v>0.31693824185617736</v>
      </c>
      <c r="AX10" s="53">
        <v>0.11786941154476566</v>
      </c>
      <c r="AY10" s="53">
        <v>0</v>
      </c>
      <c r="BA10" s="50">
        <v>70</v>
      </c>
      <c r="BB10" s="52">
        <v>0.30979480898301137</v>
      </c>
      <c r="BC10" s="53">
        <v>0.30731097947140257</v>
      </c>
      <c r="BD10" s="53">
        <v>4.7088596855643844E-2</v>
      </c>
      <c r="BE10" s="52">
        <v>0.13271935690074999</v>
      </c>
      <c r="BF10" s="53">
        <v>0.13444807068181264</v>
      </c>
      <c r="BG10" s="53">
        <v>4.7088596855643844E-2</v>
      </c>
    </row>
    <row r="11" spans="1:59" ht="15.9" customHeight="1">
      <c r="A11" s="50">
        <v>40</v>
      </c>
      <c r="B11" s="52">
        <v>11.594657165320271</v>
      </c>
      <c r="C11" s="50">
        <v>5</v>
      </c>
      <c r="D11" s="52">
        <v>0.99999999999999989</v>
      </c>
      <c r="E11" s="53">
        <v>3.5726854227804772E-3</v>
      </c>
      <c r="F11" s="53">
        <v>1.6839497077915169E-2</v>
      </c>
      <c r="G11" s="50">
        <v>5</v>
      </c>
      <c r="H11" s="52">
        <v>0.99999999999999989</v>
      </c>
      <c r="I11" s="53">
        <v>3.5726854227804772E-3</v>
      </c>
      <c r="J11" s="53">
        <v>1.6839497077915169E-2</v>
      </c>
      <c r="K11" s="52">
        <v>0.15569031173484577</v>
      </c>
      <c r="L11" s="53">
        <v>0.16168909384176666</v>
      </c>
      <c r="M11" s="53">
        <v>3.8530220924326564E-2</v>
      </c>
      <c r="N11" s="53">
        <v>2.2597838404410504E-2</v>
      </c>
      <c r="O11" s="53">
        <v>2.008696747058698E-2</v>
      </c>
      <c r="P11" s="53">
        <v>2.0768441542048845E-2</v>
      </c>
      <c r="Q11" s="52"/>
      <c r="R11" s="53"/>
      <c r="S11" s="53"/>
      <c r="T11" s="53"/>
      <c r="U11" s="53"/>
      <c r="V11" s="53">
        <v>0.58780529436433482</v>
      </c>
      <c r="W11" s="53">
        <v>0.58528985669588229</v>
      </c>
      <c r="X11" s="53">
        <v>0.58122992395219619</v>
      </c>
      <c r="Y11" s="53">
        <v>0.58046357581406627</v>
      </c>
      <c r="AF11">
        <v>0.91</v>
      </c>
      <c r="AG11" s="52">
        <v>494.46227777091389</v>
      </c>
      <c r="AH11" s="52">
        <v>428.69548581286466</v>
      </c>
      <c r="AI11">
        <f t="shared" si="0"/>
        <v>1.1534114403685556</v>
      </c>
      <c r="AK11" s="613">
        <v>9</v>
      </c>
      <c r="AL11" s="52">
        <v>0.49889701006277398</v>
      </c>
      <c r="AM11" s="53">
        <v>0.10127499801519557</v>
      </c>
      <c r="AN11" s="53">
        <v>2.5916820323706445E-3</v>
      </c>
      <c r="AO11" s="52">
        <v>0.29822677269923742</v>
      </c>
      <c r="AP11" s="53">
        <v>0.10127499801519557</v>
      </c>
      <c r="AQ11" s="53">
        <v>0</v>
      </c>
      <c r="AS11">
        <v>9</v>
      </c>
      <c r="AT11" s="52">
        <v>0.44997156035984393</v>
      </c>
      <c r="AU11" s="53">
        <v>0.11687882158764851</v>
      </c>
      <c r="AV11" s="53">
        <v>2.9619223227090393E-3</v>
      </c>
      <c r="AW11" s="52">
        <v>0.31594457525726088</v>
      </c>
      <c r="AX11" s="53">
        <v>0.11687882158764851</v>
      </c>
      <c r="AY11" s="53">
        <v>0</v>
      </c>
      <c r="BA11" s="50">
        <v>80</v>
      </c>
      <c r="BB11" s="52">
        <v>0.28248810069094399</v>
      </c>
      <c r="BC11" s="53">
        <v>0.28095797421741281</v>
      </c>
      <c r="BD11" s="53">
        <v>2.643013643630614E-2</v>
      </c>
      <c r="BE11" s="52">
        <v>0.14703205868803479</v>
      </c>
      <c r="BF11" s="53">
        <v>0.14816039647351892</v>
      </c>
      <c r="BG11" s="53">
        <v>2.643013643630614E-2</v>
      </c>
    </row>
    <row r="12" spans="1:59" ht="15.9" customHeight="1">
      <c r="A12" s="50">
        <v>45</v>
      </c>
      <c r="B12" s="52">
        <v>12.155408942106245</v>
      </c>
      <c r="C12" s="50">
        <v>5.5</v>
      </c>
      <c r="D12" s="52">
        <v>0.99999999999999956</v>
      </c>
      <c r="E12" s="53">
        <v>2.9526325808103141E-3</v>
      </c>
      <c r="F12" s="53">
        <v>1.5308633707195566E-2</v>
      </c>
      <c r="G12" s="50">
        <v>5.5</v>
      </c>
      <c r="H12" s="52">
        <v>0.99999999999999956</v>
      </c>
      <c r="I12" s="53">
        <v>2.9526325808103141E-3</v>
      </c>
      <c r="J12" s="53">
        <v>1.5308633707195566E-2</v>
      </c>
      <c r="K12" s="52">
        <v>0.16398713271976953</v>
      </c>
      <c r="L12" s="53">
        <v>0.17181798660926009</v>
      </c>
      <c r="M12" s="53">
        <v>4.7752855724798593E-2</v>
      </c>
      <c r="N12" s="53">
        <v>2.4095822998068343E-2</v>
      </c>
      <c r="O12" s="53">
        <v>2.1418509331616212E-2</v>
      </c>
      <c r="P12" s="53">
        <v>2.0826016331548007E-2</v>
      </c>
      <c r="Q12" s="52"/>
      <c r="R12" s="53"/>
      <c r="S12" s="53"/>
      <c r="T12" s="53"/>
      <c r="U12" s="53"/>
      <c r="V12" s="53">
        <v>0.5610571856070018</v>
      </c>
      <c r="W12" s="53">
        <v>0.55702938308941463</v>
      </c>
      <c r="X12" s="53">
        <v>0.55268380540216289</v>
      </c>
      <c r="Y12" s="53">
        <v>0.55194864193296023</v>
      </c>
      <c r="AF12">
        <v>1.01</v>
      </c>
      <c r="AG12" s="52">
        <v>473.60035679502778</v>
      </c>
      <c r="AH12" s="52">
        <v>416.00542040463938</v>
      </c>
      <c r="AI12">
        <f t="shared" si="0"/>
        <v>1.1384475623763919</v>
      </c>
      <c r="AK12" s="613">
        <v>10</v>
      </c>
      <c r="AL12" s="52">
        <v>0.49639137239090392</v>
      </c>
      <c r="AM12" s="53">
        <v>0.10204420872537839</v>
      </c>
      <c r="AN12" s="53">
        <v>2.3491746421982315E-3</v>
      </c>
      <c r="AO12" s="52">
        <v>0.29919398895074251</v>
      </c>
      <c r="AP12" s="53">
        <v>0.10204420872537839</v>
      </c>
      <c r="AQ12" s="53">
        <v>0</v>
      </c>
      <c r="AS12">
        <v>10</v>
      </c>
      <c r="AT12" s="52">
        <v>0.45235846765826704</v>
      </c>
      <c r="AU12" s="53">
        <v>0.11608764994058608</v>
      </c>
      <c r="AV12" s="53">
        <v>2.6490692773727931E-3</v>
      </c>
      <c r="AW12" s="52">
        <v>0.31514001125296398</v>
      </c>
      <c r="AX12" s="53">
        <v>0.11608764994058608</v>
      </c>
      <c r="AY12" s="53">
        <v>0</v>
      </c>
      <c r="BA12" s="50">
        <v>90</v>
      </c>
      <c r="BB12" s="52">
        <v>0.27232280219910437</v>
      </c>
      <c r="BC12" s="53">
        <v>0.27232280219910437</v>
      </c>
      <c r="BD12" s="53">
        <v>1.4487087054504052E-2</v>
      </c>
      <c r="BE12" s="52">
        <v>0.15268458607957897</v>
      </c>
      <c r="BF12" s="53">
        <v>0.15268458607957891</v>
      </c>
      <c r="BG12" s="53">
        <v>1.4487087054504052E-2</v>
      </c>
    </row>
    <row r="13" spans="1:59" ht="15.9" customHeight="1">
      <c r="A13" s="50">
        <v>50</v>
      </c>
      <c r="B13" s="52">
        <v>11.596580994667832</v>
      </c>
      <c r="C13" s="50">
        <v>6</v>
      </c>
      <c r="D13" s="52">
        <v>0.99999999999999944</v>
      </c>
      <c r="E13" s="53">
        <v>2.481031543597482E-3</v>
      </c>
      <c r="F13" s="53">
        <v>1.4032914231595936E-2</v>
      </c>
      <c r="G13" s="50">
        <v>6</v>
      </c>
      <c r="H13" s="52">
        <v>0.99999999999999944</v>
      </c>
      <c r="I13" s="53">
        <v>2.481031543597482E-3</v>
      </c>
      <c r="J13" s="53">
        <v>1.4032914231595936E-2</v>
      </c>
      <c r="K13" s="53"/>
      <c r="L13" s="52"/>
      <c r="M13" s="53"/>
      <c r="N13" s="52"/>
      <c r="O13" s="52"/>
      <c r="P13" s="52"/>
      <c r="Q13" s="52"/>
      <c r="R13" s="53"/>
      <c r="S13" s="53"/>
      <c r="T13" s="53"/>
      <c r="U13" s="53"/>
      <c r="V13" s="53">
        <v>0.55184041546160922</v>
      </c>
      <c r="W13" s="53">
        <v>0.5472914875322441</v>
      </c>
      <c r="X13" s="53">
        <v>0.54284748330530974</v>
      </c>
      <c r="Y13" s="53">
        <v>0.5421230653407022</v>
      </c>
      <c r="AK13" s="613">
        <v>11</v>
      </c>
      <c r="AL13" s="52">
        <v>0.49434595319682845</v>
      </c>
      <c r="AM13" s="53">
        <v>0.10267442265759805</v>
      </c>
      <c r="AN13" s="53">
        <v>2.1480056513862636E-3</v>
      </c>
      <c r="AO13" s="52">
        <v>0.29997898028037756</v>
      </c>
      <c r="AP13" s="53">
        <v>0.10267442265759805</v>
      </c>
      <c r="AQ13" s="53">
        <v>0</v>
      </c>
      <c r="AS13">
        <v>11</v>
      </c>
      <c r="AT13" s="52">
        <v>0.45431603980352275</v>
      </c>
      <c r="AU13" s="53">
        <v>0.1154411873986958</v>
      </c>
      <c r="AV13" s="53">
        <v>2.3958524573151991E-3</v>
      </c>
      <c r="AW13" s="52">
        <v>0.31447536419148819</v>
      </c>
      <c r="AX13" s="53">
        <v>0.1154411873986958</v>
      </c>
      <c r="AY13" s="53">
        <v>0</v>
      </c>
    </row>
    <row r="14" spans="1:59" ht="15.9" customHeight="1">
      <c r="A14" s="50">
        <v>55</v>
      </c>
      <c r="B14" s="52">
        <v>11.106618830705157</v>
      </c>
      <c r="C14" s="50">
        <v>6.5</v>
      </c>
      <c r="D14" s="52">
        <v>0.99999999999999978</v>
      </c>
      <c r="E14" s="53">
        <v>2.1140150430653459E-3</v>
      </c>
      <c r="F14" s="53">
        <v>1.2953459290703953E-2</v>
      </c>
      <c r="G14" s="50">
        <v>6.5</v>
      </c>
      <c r="H14" s="52">
        <v>0.99999999999999978</v>
      </c>
      <c r="I14" s="53">
        <v>2.1140150430653459E-3</v>
      </c>
      <c r="J14" s="53">
        <v>1.2953459290703953E-2</v>
      </c>
      <c r="K14" s="1126">
        <v>30</v>
      </c>
      <c r="L14" s="1126">
        <v>40</v>
      </c>
      <c r="M14" s="1126">
        <v>50</v>
      </c>
      <c r="N14" s="1126">
        <v>60</v>
      </c>
      <c r="O14" s="1126">
        <v>70</v>
      </c>
      <c r="P14" s="1126">
        <v>80</v>
      </c>
      <c r="Q14" s="1126">
        <v>90</v>
      </c>
      <c r="R14" s="53"/>
      <c r="S14" s="53"/>
      <c r="T14" s="53"/>
      <c r="U14" s="53"/>
      <c r="V14" s="53">
        <v>0.5610571856070018</v>
      </c>
      <c r="W14" s="53">
        <v>0.55702938308941463</v>
      </c>
      <c r="X14" s="53">
        <v>0.55268380540216289</v>
      </c>
      <c r="Y14" s="53">
        <v>0.55194864193296023</v>
      </c>
      <c r="AG14" t="s">
        <v>1914</v>
      </c>
      <c r="AH14" s="613" t="s">
        <v>1915</v>
      </c>
      <c r="AI14" t="s">
        <v>1916</v>
      </c>
      <c r="AK14" s="613">
        <v>12</v>
      </c>
      <c r="AL14" s="52">
        <v>0.49264463269626652</v>
      </c>
      <c r="AM14" s="53">
        <v>0.10320019198837102</v>
      </c>
      <c r="AN14" s="53">
        <v>1.9784715514970766E-3</v>
      </c>
      <c r="AO14" s="52">
        <v>0.30062876211939565</v>
      </c>
      <c r="AP14" s="53">
        <v>0.10320019198837102</v>
      </c>
      <c r="AQ14" s="53">
        <v>0</v>
      </c>
      <c r="AS14">
        <v>12</v>
      </c>
      <c r="AT14" s="52">
        <v>0.45595054541906949</v>
      </c>
      <c r="AU14" s="53">
        <v>0.11490305966771085</v>
      </c>
      <c r="AV14" s="53">
        <v>2.1867317148123624E-3</v>
      </c>
      <c r="AW14" s="52">
        <v>0.31391711403791228</v>
      </c>
      <c r="AX14" s="53">
        <v>0.11490305966771085</v>
      </c>
      <c r="AY14" s="53">
        <v>0</v>
      </c>
    </row>
    <row r="15" spans="1:59" ht="15.9" customHeight="1">
      <c r="A15" s="50">
        <v>60</v>
      </c>
      <c r="B15" s="52">
        <v>10.685050871287283</v>
      </c>
      <c r="C15" s="50">
        <v>7</v>
      </c>
      <c r="D15" s="52">
        <v>0.99999999999999989</v>
      </c>
      <c r="E15" s="53">
        <v>1.8227986850920916E-3</v>
      </c>
      <c r="F15" s="53">
        <v>1.202821219851089E-2</v>
      </c>
      <c r="G15" s="50">
        <v>7</v>
      </c>
      <c r="H15" s="52">
        <v>0.99999999999999989</v>
      </c>
      <c r="I15" s="53">
        <v>1.8227986850920916E-3</v>
      </c>
      <c r="J15" s="53">
        <v>1.202821219851089E-2</v>
      </c>
      <c r="K15" s="53"/>
      <c r="L15" s="52"/>
      <c r="M15" s="53"/>
      <c r="R15" s="53"/>
      <c r="S15" s="53"/>
      <c r="T15" s="53"/>
      <c r="U15" s="53"/>
      <c r="V15" s="53">
        <v>0.58780529436433482</v>
      </c>
      <c r="W15" s="53">
        <v>0.5852898566958824</v>
      </c>
      <c r="X15" s="53">
        <v>0.58122992395219608</v>
      </c>
      <c r="Y15" s="53">
        <v>0.58046357581406605</v>
      </c>
      <c r="AF15">
        <v>0.01</v>
      </c>
      <c r="AG15">
        <v>0.72193829454962388</v>
      </c>
      <c r="AH15" s="613">
        <v>0.70144715126585666</v>
      </c>
      <c r="AI15">
        <v>0.97599078327290534</v>
      </c>
      <c r="AK15" s="613">
        <v>13</v>
      </c>
      <c r="AL15" s="52">
        <v>0.49120732280135276</v>
      </c>
      <c r="AM15" s="53">
        <v>0.10364549341305287</v>
      </c>
      <c r="AN15" s="53">
        <v>1.8336752841031053E-3</v>
      </c>
      <c r="AO15" s="52">
        <v>0.30117546916494259</v>
      </c>
      <c r="AP15" s="53">
        <v>0.10364549341305287</v>
      </c>
      <c r="AQ15" s="53">
        <v>0</v>
      </c>
      <c r="AS15">
        <v>13</v>
      </c>
      <c r="AT15" s="52">
        <v>0.45733585762240259</v>
      </c>
      <c r="AU15" s="53">
        <v>0.11444814050167407</v>
      </c>
      <c r="AV15" s="53">
        <v>2.0111277309522026E-3</v>
      </c>
      <c r="AW15" s="52">
        <v>0.31344164016665071</v>
      </c>
      <c r="AX15" s="53">
        <v>0.11444814050167407</v>
      </c>
      <c r="AY15" s="53">
        <v>0</v>
      </c>
    </row>
    <row r="16" spans="1:59" ht="15.9" customHeight="1">
      <c r="A16" s="50">
        <v>65</v>
      </c>
      <c r="B16" s="52">
        <v>10.328038739456852</v>
      </c>
      <c r="C16" s="50">
        <v>7.5</v>
      </c>
      <c r="D16" s="52">
        <v>0.99999999999999989</v>
      </c>
      <c r="E16" s="53">
        <v>1.5878601879024245E-3</v>
      </c>
      <c r="F16" s="53">
        <v>1.1226331385276719E-2</v>
      </c>
      <c r="G16" s="50">
        <v>7.5</v>
      </c>
      <c r="H16" s="52">
        <v>0.99999999999999989</v>
      </c>
      <c r="I16" s="53">
        <v>1.5878601879024245E-3</v>
      </c>
      <c r="J16" s="53">
        <v>1.1226331385276719E-2</v>
      </c>
      <c r="K16" s="53"/>
      <c r="L16" s="52"/>
      <c r="M16" s="53"/>
      <c r="N16" s="52"/>
      <c r="O16" s="52"/>
      <c r="P16" s="52"/>
      <c r="Q16" s="52"/>
      <c r="R16" s="53"/>
      <c r="S16" s="53" t="s">
        <v>1991</v>
      </c>
      <c r="T16" s="53"/>
      <c r="U16" s="53"/>
      <c r="V16" s="53">
        <v>0.62946645048340832</v>
      </c>
      <c r="W16" s="53">
        <v>0.62930657629274855</v>
      </c>
      <c r="X16" s="53">
        <v>0.62569154597922916</v>
      </c>
      <c r="Y16" s="53">
        <v>0.62487662658051091</v>
      </c>
      <c r="AF16">
        <v>0.11</v>
      </c>
      <c r="AG16">
        <v>0.716357354903154</v>
      </c>
      <c r="AH16" s="613">
        <v>0.66595190407443339</v>
      </c>
      <c r="AI16">
        <v>1.0629754419511606</v>
      </c>
      <c r="AK16" s="613">
        <v>14</v>
      </c>
      <c r="AL16" s="52">
        <v>0.48997699832813885</v>
      </c>
      <c r="AM16" s="53">
        <v>0.10402748654597448</v>
      </c>
      <c r="AN16" s="53">
        <v>1.7085833806698308E-3</v>
      </c>
      <c r="AO16" s="52">
        <v>0.30164180737231194</v>
      </c>
      <c r="AP16" s="53">
        <v>0.10402748654597448</v>
      </c>
      <c r="AQ16" s="53">
        <v>0</v>
      </c>
      <c r="AS16">
        <v>14</v>
      </c>
      <c r="AT16" s="52">
        <v>0.4585249235191125</v>
      </c>
      <c r="AU16" s="53">
        <v>0.1140585159854086</v>
      </c>
      <c r="AV16" s="53">
        <v>1.8615908475954285E-3</v>
      </c>
      <c r="AW16" s="52">
        <v>0.31303182330247004</v>
      </c>
      <c r="AX16" s="53">
        <v>0.1140585159854086</v>
      </c>
      <c r="AY16" s="53">
        <v>0</v>
      </c>
    </row>
    <row r="17" spans="1:51" ht="15.9" customHeight="1">
      <c r="A17" s="50">
        <v>70</v>
      </c>
      <c r="B17" s="52">
        <v>10.031651255258103</v>
      </c>
      <c r="C17" s="50">
        <v>8</v>
      </c>
      <c r="D17" s="52">
        <v>1.0000000000000007</v>
      </c>
      <c r="E17" s="53">
        <v>1.3955802432736406E-3</v>
      </c>
      <c r="F17" s="53">
        <v>1.0524685673697026E-2</v>
      </c>
      <c r="G17" s="50">
        <v>8</v>
      </c>
      <c r="H17" s="52">
        <v>1.0000000000000007</v>
      </c>
      <c r="I17" s="53">
        <v>1.3955802432736406E-3</v>
      </c>
      <c r="J17" s="53">
        <v>1.0524685673697026E-2</v>
      </c>
      <c r="K17" s="53"/>
      <c r="L17" s="52"/>
      <c r="M17" s="53"/>
      <c r="N17" s="52"/>
      <c r="O17" s="52"/>
      <c r="P17" s="52"/>
      <c r="Q17" s="52"/>
      <c r="R17" s="53"/>
      <c r="S17" s="53"/>
      <c r="T17" s="53"/>
      <c r="U17" s="53"/>
      <c r="V17" s="53">
        <v>0.68196256973294456</v>
      </c>
      <c r="W17" s="53">
        <v>0.68477087868335307</v>
      </c>
      <c r="X17" s="53">
        <v>0.68171645813692006</v>
      </c>
      <c r="Y17" s="53">
        <v>0.6808403353793544</v>
      </c>
      <c r="AF17">
        <v>0.21000000000000002</v>
      </c>
      <c r="AG17">
        <v>0.80528798978771543</v>
      </c>
      <c r="AH17" s="613">
        <v>0.78839210819915495</v>
      </c>
      <c r="AI17">
        <v>1.3348901861921139</v>
      </c>
      <c r="AK17" s="613">
        <v>15</v>
      </c>
      <c r="AL17" s="52">
        <v>0.48891195317743164</v>
      </c>
      <c r="AM17" s="53">
        <v>0.10435877588862527</v>
      </c>
      <c r="AN17" s="53">
        <v>1.5994380542627728E-3</v>
      </c>
      <c r="AO17" s="52">
        <v>0.30204427383771754</v>
      </c>
      <c r="AP17" s="53">
        <v>0.10435877588862527</v>
      </c>
      <c r="AQ17" s="53">
        <v>0</v>
      </c>
      <c r="AS17">
        <v>15</v>
      </c>
      <c r="AT17" s="52">
        <v>0.45955668335567362</v>
      </c>
      <c r="AU17" s="53">
        <v>0.11372107003209715</v>
      </c>
      <c r="AV17" s="53">
        <v>1.7327245587845088E-3</v>
      </c>
      <c r="AW17" s="52">
        <v>0.3126749553725317</v>
      </c>
      <c r="AX17" s="53">
        <v>0.11372107003209715</v>
      </c>
      <c r="AY17" s="53">
        <v>0</v>
      </c>
    </row>
    <row r="18" spans="1:51" ht="15.9" customHeight="1">
      <c r="A18" s="50">
        <v>75</v>
      </c>
      <c r="B18" s="52">
        <v>9.7922303759650955</v>
      </c>
      <c r="C18" s="50">
        <v>8.5</v>
      </c>
      <c r="D18" s="52">
        <v>1.0000000000000002</v>
      </c>
      <c r="E18" s="53">
        <v>1.2362233296818695E-3</v>
      </c>
      <c r="F18" s="53">
        <v>9.9055865164205999E-3</v>
      </c>
      <c r="G18" s="50">
        <v>8.5</v>
      </c>
      <c r="H18" s="52">
        <v>1.0000000000000002</v>
      </c>
      <c r="I18" s="53">
        <v>1.2362233296818695E-3</v>
      </c>
      <c r="J18" s="53">
        <v>9.9055865164205999E-3</v>
      </c>
      <c r="K18" s="53">
        <v>3</v>
      </c>
      <c r="L18" s="52"/>
      <c r="M18" s="53"/>
      <c r="N18" s="52"/>
      <c r="O18" s="52"/>
      <c r="P18" s="52"/>
      <c r="Q18" s="52"/>
      <c r="R18" s="53"/>
      <c r="S18" s="53"/>
      <c r="T18" s="53"/>
      <c r="U18" s="53"/>
      <c r="V18" s="53">
        <v>0.74015496619882848</v>
      </c>
      <c r="W18" s="53">
        <v>0.74625353150718576</v>
      </c>
      <c r="X18" s="53">
        <v>0.74382055167475758</v>
      </c>
      <c r="Y18" s="53">
        <v>0.7428765844712788</v>
      </c>
      <c r="AF18">
        <v>0.31000000000000005</v>
      </c>
      <c r="AG18">
        <v>1.0261877697903601</v>
      </c>
      <c r="AH18" s="613">
        <v>0.92638864407995647</v>
      </c>
      <c r="AI18">
        <v>1.3554125161768869</v>
      </c>
      <c r="AK18" s="613">
        <v>16</v>
      </c>
      <c r="AL18" s="52">
        <v>0.48798098020019315</v>
      </c>
      <c r="AM18" s="53">
        <v>0.10464882821326105</v>
      </c>
      <c r="AN18" s="53">
        <v>1.5033780539337458E-3</v>
      </c>
      <c r="AO18" s="52">
        <v>0.30239514216568536</v>
      </c>
      <c r="AP18" s="53">
        <v>0.10464882821326105</v>
      </c>
      <c r="AQ18" s="53">
        <v>0</v>
      </c>
      <c r="AS18">
        <v>16</v>
      </c>
      <c r="AT18" s="52">
        <v>0.46046041474229582</v>
      </c>
      <c r="AU18" s="53">
        <v>0.11342597897276582</v>
      </c>
      <c r="AV18" s="53">
        <v>1.6205243957986587E-3</v>
      </c>
      <c r="AW18" s="52">
        <v>0.31236140610457319</v>
      </c>
      <c r="AX18" s="53">
        <v>0.11342597897276582</v>
      </c>
      <c r="AY18" s="53">
        <v>0</v>
      </c>
    </row>
    <row r="19" spans="1:51" ht="15.9" customHeight="1">
      <c r="A19" s="50">
        <v>80</v>
      </c>
      <c r="B19" s="52">
        <v>9.6066169976405558</v>
      </c>
      <c r="C19" s="50">
        <v>9</v>
      </c>
      <c r="D19" s="52">
        <v>0.99999999999999933</v>
      </c>
      <c r="E19" s="53">
        <v>1.1026806860433621E-3</v>
      </c>
      <c r="F19" s="53">
        <v>9.3552761543973413E-3</v>
      </c>
      <c r="G19" s="50">
        <v>9</v>
      </c>
      <c r="H19" s="52">
        <v>0.99999999999999933</v>
      </c>
      <c r="I19" s="53">
        <v>1.1026806860433621E-3</v>
      </c>
      <c r="J19" s="53">
        <v>9.3552761543973413E-3</v>
      </c>
      <c r="K19" s="53">
        <v>3</v>
      </c>
      <c r="L19" s="1126">
        <v>3</v>
      </c>
      <c r="M19" s="53"/>
      <c r="N19" s="52"/>
      <c r="O19" s="52"/>
      <c r="P19" s="52"/>
      <c r="Q19" s="52"/>
      <c r="R19" s="53"/>
      <c r="S19" s="53"/>
      <c r="T19" s="53"/>
      <c r="U19" s="53"/>
      <c r="V19" s="53">
        <v>0.79834736266471262</v>
      </c>
      <c r="W19" s="53">
        <v>0.80773618433101835</v>
      </c>
      <c r="X19" s="53">
        <v>0.80592464521259521</v>
      </c>
      <c r="Y19" s="53">
        <v>0.80491283356320309</v>
      </c>
      <c r="AF19">
        <v>0.41000000000000003</v>
      </c>
      <c r="AG19">
        <v>1.1812758467644773</v>
      </c>
      <c r="AH19" s="613">
        <v>1.0578699198882797</v>
      </c>
      <c r="AI19">
        <v>1.2907870454141308</v>
      </c>
      <c r="AK19" s="613">
        <v>17</v>
      </c>
      <c r="AL19" s="52">
        <v>0.48716026322248046</v>
      </c>
      <c r="AM19" s="53">
        <v>0.10490489171617137</v>
      </c>
      <c r="AN19" s="53">
        <v>1.4181868560723455E-3</v>
      </c>
      <c r="AO19" s="52">
        <v>0.30270373213757695</v>
      </c>
      <c r="AP19" s="53">
        <v>0.10490489171617137</v>
      </c>
      <c r="AQ19" s="53">
        <v>0</v>
      </c>
      <c r="AS19">
        <v>17</v>
      </c>
      <c r="AT19" s="52">
        <v>0.46125855455622422</v>
      </c>
      <c r="AU19" s="53">
        <v>0.11316573948982286</v>
      </c>
      <c r="AV19" s="53">
        <v>1.5219566260285264E-3</v>
      </c>
      <c r="AW19" s="52">
        <v>0.31208374525653043</v>
      </c>
      <c r="AX19" s="53">
        <v>0.11316573948982286</v>
      </c>
      <c r="AY19" s="53">
        <v>0</v>
      </c>
    </row>
    <row r="20" spans="1:51" ht="15.9" customHeight="1">
      <c r="A20" s="50">
        <v>85</v>
      </c>
      <c r="B20" s="52">
        <v>9.4722838694187939</v>
      </c>
      <c r="C20" s="50">
        <v>9.5</v>
      </c>
      <c r="D20" s="52">
        <v>1.0000000000000004</v>
      </c>
      <c r="E20" s="53">
        <v>9.8966355201675045E-4</v>
      </c>
      <c r="F20" s="53">
        <v>8.862893198902726E-3</v>
      </c>
      <c r="G20" s="50">
        <v>9.5</v>
      </c>
      <c r="H20" s="52">
        <v>1.0000000000000004</v>
      </c>
      <c r="I20" s="53">
        <v>9.8966355201675045E-4</v>
      </c>
      <c r="J20" s="53">
        <v>8.862893198902726E-3</v>
      </c>
      <c r="K20" s="53">
        <v>4</v>
      </c>
      <c r="L20" s="1126">
        <v>4</v>
      </c>
      <c r="M20" s="53">
        <v>3</v>
      </c>
      <c r="N20" s="52"/>
      <c r="O20" s="52"/>
      <c r="P20" s="52"/>
      <c r="Q20" s="52"/>
      <c r="R20" s="53"/>
      <c r="S20" s="53"/>
      <c r="T20" s="53"/>
      <c r="U20" s="53"/>
      <c r="V20" s="53">
        <v>0.85084348191424897</v>
      </c>
      <c r="W20" s="53">
        <v>0.86320048672162297</v>
      </c>
      <c r="X20" s="53">
        <v>0.86194955737028611</v>
      </c>
      <c r="Y20" s="53">
        <v>0.86087654236204636</v>
      </c>
      <c r="AF20">
        <v>0.51</v>
      </c>
      <c r="AG20">
        <v>1.1490658062202441</v>
      </c>
      <c r="AH20" s="613">
        <v>1.1629455285483834</v>
      </c>
      <c r="AI20">
        <v>1.2485294132949358</v>
      </c>
      <c r="AK20" s="613">
        <v>18</v>
      </c>
      <c r="AL20" s="52">
        <v>0.48643131137365592</v>
      </c>
      <c r="AM20" s="53">
        <v>0.10513260995394064</v>
      </c>
      <c r="AN20" s="53">
        <v>1.3421210524771404E-3</v>
      </c>
      <c r="AO20" s="52">
        <v>0.3029772475108638</v>
      </c>
      <c r="AP20" s="53">
        <v>0.10513260995394064</v>
      </c>
      <c r="AQ20" s="53">
        <v>0</v>
      </c>
      <c r="AS20">
        <v>18</v>
      </c>
      <c r="AT20" s="52">
        <v>0.46196858652219186</v>
      </c>
      <c r="AU20" s="53">
        <v>0.1129345217401668</v>
      </c>
      <c r="AV20" s="53">
        <v>1.4346811250625501E-3</v>
      </c>
      <c r="AW20" s="52">
        <v>0.31183614878987542</v>
      </c>
      <c r="AX20" s="53">
        <v>0.1129345217401668</v>
      </c>
      <c r="AY20" s="53">
        <v>0</v>
      </c>
    </row>
    <row r="21" spans="1:51" ht="17.100000000000001" customHeight="1">
      <c r="A21" s="50">
        <v>90</v>
      </c>
      <c r="B21" s="52">
        <v>9.387412454035104</v>
      </c>
      <c r="C21" s="50">
        <v>10</v>
      </c>
      <c r="D21" s="52">
        <v>0.99999999999999956</v>
      </c>
      <c r="E21" s="53">
        <v>8.9317135569508884E-4</v>
      </c>
      <c r="F21" s="53">
        <v>8.4197485389574788E-3</v>
      </c>
      <c r="G21" s="50">
        <v>10</v>
      </c>
      <c r="H21" s="52">
        <v>0.99999999999999956</v>
      </c>
      <c r="I21" s="53">
        <v>8.9317135569508884E-4</v>
      </c>
      <c r="J21" s="53">
        <v>8.4197485389574788E-3</v>
      </c>
      <c r="K21" s="53">
        <v>5</v>
      </c>
      <c r="L21" s="1126">
        <v>4</v>
      </c>
      <c r="M21" s="53">
        <v>3</v>
      </c>
      <c r="N21" s="1126">
        <v>3</v>
      </c>
      <c r="O21" s="52"/>
      <c r="P21" s="52"/>
      <c r="Q21" s="52"/>
      <c r="R21" s="53"/>
      <c r="S21" s="53"/>
      <c r="T21" s="53"/>
      <c r="U21" s="53"/>
      <c r="V21" s="53">
        <v>0.89250463803332236</v>
      </c>
      <c r="W21" s="53">
        <v>0.90721720631848923</v>
      </c>
      <c r="X21" s="53">
        <v>0.90641117939731941</v>
      </c>
      <c r="Y21" s="53">
        <v>0.90528959312849144</v>
      </c>
      <c r="AF21">
        <v>0.6100000000000001</v>
      </c>
      <c r="AG21">
        <v>1.124586488195803</v>
      </c>
      <c r="AH21" s="613">
        <v>1.1122618066674834</v>
      </c>
      <c r="AI21">
        <v>1.2174189216246671</v>
      </c>
      <c r="AK21" s="613">
        <v>19</v>
      </c>
      <c r="AL21" s="52">
        <v>0.48577954950845503</v>
      </c>
      <c r="AM21" s="53">
        <v>0.10533644260361409</v>
      </c>
      <c r="AN21" s="53">
        <v>1.2737906941850735E-3</v>
      </c>
      <c r="AO21" s="52">
        <v>0.30322134407671969</v>
      </c>
      <c r="AP21" s="53">
        <v>0.10533644260361409</v>
      </c>
      <c r="AQ21" s="53">
        <v>0</v>
      </c>
      <c r="AS21">
        <v>19</v>
      </c>
      <c r="AT21" s="52">
        <v>0.46260433649127802</v>
      </c>
      <c r="AU21" s="53">
        <v>0.11272772745372332</v>
      </c>
      <c r="AV21" s="53">
        <v>1.3568640003273551E-3</v>
      </c>
      <c r="AW21" s="52">
        <v>0.31161398739367863</v>
      </c>
      <c r="AX21" s="53">
        <v>0.11272772745372332</v>
      </c>
      <c r="AY21" s="53">
        <v>0</v>
      </c>
    </row>
    <row r="22" spans="1:51" ht="15.9" customHeight="1">
      <c r="A22" s="50">
        <v>95</v>
      </c>
      <c r="B22" s="52">
        <v>9.350940381172407</v>
      </c>
      <c r="C22" s="50">
        <v>20</v>
      </c>
      <c r="D22" s="52">
        <v>7.7494593649912567E-5</v>
      </c>
      <c r="E22" s="53">
        <v>-8.474154782937805E-6</v>
      </c>
      <c r="F22" s="53">
        <v>5.2288211262211141E-4</v>
      </c>
      <c r="G22" s="50">
        <v>20</v>
      </c>
      <c r="H22" s="1340">
        <v>7.7494593649912567E-5</v>
      </c>
      <c r="I22" s="1340">
        <v>-8.474154782937805E-6</v>
      </c>
      <c r="J22" s="1340">
        <v>5.2288211262211141E-4</v>
      </c>
      <c r="K22" s="53">
        <v>6</v>
      </c>
      <c r="L22" s="1126">
        <v>5</v>
      </c>
      <c r="M22" s="53">
        <v>4</v>
      </c>
      <c r="N22" s="1126">
        <v>3</v>
      </c>
      <c r="O22" s="1126">
        <v>3</v>
      </c>
      <c r="P22" s="1126"/>
      <c r="Q22" s="1126"/>
      <c r="R22" s="53"/>
      <c r="S22" s="53"/>
      <c r="T22" s="53"/>
      <c r="U22" s="53"/>
      <c r="V22" s="53">
        <v>0.91925274679065549</v>
      </c>
      <c r="W22" s="53">
        <v>0.93547767992495678</v>
      </c>
      <c r="X22" s="53">
        <v>0.93495729794735249</v>
      </c>
      <c r="Y22" s="53">
        <v>0.93380452700959737</v>
      </c>
      <c r="AF22">
        <v>0.71000000000000008</v>
      </c>
      <c r="AG22">
        <v>1.1045146774966883</v>
      </c>
      <c r="AH22" s="613">
        <v>1.070469428088292</v>
      </c>
      <c r="AI22">
        <v>1.1926226137595657</v>
      </c>
      <c r="AK22" s="613">
        <v>20</v>
      </c>
      <c r="AL22" s="52">
        <v>0.48519333383440211</v>
      </c>
      <c r="AM22" s="53">
        <v>0.10551996042614267</v>
      </c>
      <c r="AN22" s="53">
        <v>1.2120741504958732E-3</v>
      </c>
      <c r="AO22" s="52">
        <v>0.3034405241057172</v>
      </c>
      <c r="AP22" s="53">
        <v>0.10551996042614267</v>
      </c>
      <c r="AQ22" s="53">
        <v>0</v>
      </c>
      <c r="AS22">
        <v>20</v>
      </c>
      <c r="AT22" s="52">
        <v>0.46317688146808522</v>
      </c>
      <c r="AU22" s="53">
        <v>0.11254168103374615</v>
      </c>
      <c r="AV22" s="53">
        <v>1.2870478092901958E-3</v>
      </c>
      <c r="AW22" s="52">
        <v>0.31141353525682736</v>
      </c>
      <c r="AX22" s="53">
        <v>0.11254168103374615</v>
      </c>
      <c r="AY22" s="53">
        <v>0</v>
      </c>
    </row>
    <row r="23" spans="1:51" ht="15.9" customHeight="1">
      <c r="A23" s="50">
        <v>100</v>
      </c>
      <c r="B23" s="52">
        <v>9.3625979546553211</v>
      </c>
      <c r="C23" s="50">
        <v>20</v>
      </c>
      <c r="D23" s="52">
        <v>7.7494593649912567E-5</v>
      </c>
      <c r="E23" s="53">
        <v>-8.474154782937805E-6</v>
      </c>
      <c r="F23" s="53">
        <v>5.2288211262211141E-4</v>
      </c>
      <c r="G23" s="50">
        <v>21</v>
      </c>
      <c r="H23" s="52">
        <v>0.99598057372983195</v>
      </c>
      <c r="I23" s="53">
        <v>1.0047048695777425</v>
      </c>
      <c r="J23" s="53">
        <v>1.2008503484435622E-2</v>
      </c>
      <c r="K23" s="53">
        <v>8</v>
      </c>
      <c r="L23" s="53">
        <v>7</v>
      </c>
      <c r="M23" s="53">
        <v>5</v>
      </c>
      <c r="N23" s="1126">
        <v>3</v>
      </c>
      <c r="O23" s="1126">
        <v>3</v>
      </c>
      <c r="P23" s="1126">
        <v>2</v>
      </c>
      <c r="Q23" s="1126"/>
      <c r="R23" s="53"/>
      <c r="S23" s="53"/>
      <c r="T23" s="53"/>
      <c r="U23" s="53"/>
      <c r="V23" s="53">
        <v>0.92846951693604807</v>
      </c>
      <c r="W23" s="53">
        <v>0.94521557548212753</v>
      </c>
      <c r="X23" s="53">
        <v>0.94479362004420564</v>
      </c>
      <c r="Y23" s="53">
        <v>0.94363010360185551</v>
      </c>
      <c r="AF23">
        <v>0.81</v>
      </c>
      <c r="AG23">
        <v>1.0872308731682263</v>
      </c>
      <c r="AH23" s="613">
        <v>1.0342715641905411</v>
      </c>
      <c r="AI23">
        <v>1.171732201512748</v>
      </c>
    </row>
    <row r="24" spans="1:51" ht="15.9" customHeight="1">
      <c r="A24" s="50">
        <v>105</v>
      </c>
      <c r="B24" s="52">
        <v>9.4229462029689479</v>
      </c>
      <c r="C24" s="50">
        <v>22</v>
      </c>
      <c r="D24" s="52">
        <v>6.404511872015674E-5</v>
      </c>
      <c r="E24" s="53">
        <v>-7.0034337057346066E-6</v>
      </c>
      <c r="F24" s="53">
        <v>4.7534737511120034E-4</v>
      </c>
      <c r="G24" s="50">
        <v>22</v>
      </c>
      <c r="H24" s="52">
        <v>1.0049436731995487</v>
      </c>
      <c r="I24" s="53">
        <v>0.99083785546376846</v>
      </c>
      <c r="J24" s="53">
        <v>5.6523124240540957E-4</v>
      </c>
      <c r="K24" s="53">
        <v>8</v>
      </c>
      <c r="L24" s="53">
        <v>7</v>
      </c>
      <c r="M24" s="53">
        <v>7</v>
      </c>
      <c r="N24" s="1126">
        <v>3</v>
      </c>
      <c r="O24" s="1126">
        <v>3</v>
      </c>
      <c r="P24" s="1126">
        <v>2</v>
      </c>
      <c r="Q24" s="1126">
        <v>1</v>
      </c>
      <c r="R24" s="53"/>
      <c r="S24" s="53"/>
      <c r="T24" s="52"/>
      <c r="U24" s="52"/>
      <c r="V24">
        <v>5.8848429915106433</v>
      </c>
      <c r="W24">
        <v>6.5432707231488454</v>
      </c>
      <c r="X24">
        <v>8.4116876778990957</v>
      </c>
      <c r="Y24">
        <v>7.1929289548398208</v>
      </c>
      <c r="AF24">
        <v>0.91</v>
      </c>
      <c r="AG24">
        <v>1.071846281374675</v>
      </c>
      <c r="AH24" s="613">
        <v>1.0018999262914692</v>
      </c>
      <c r="AI24">
        <v>1.1534114403685556</v>
      </c>
    </row>
    <row r="25" spans="1:51" ht="15.9" customHeight="1">
      <c r="A25" s="50">
        <v>110</v>
      </c>
      <c r="B25" s="52">
        <v>9.533424784380129</v>
      </c>
      <c r="C25" s="50">
        <v>23</v>
      </c>
      <c r="D25" s="52">
        <v>5.8597046238228796E-5</v>
      </c>
      <c r="E25" s="53">
        <v>-6.4076784749761683E-6</v>
      </c>
      <c r="F25" s="53">
        <v>4.5468009793230767E-4</v>
      </c>
      <c r="G25" s="50">
        <v>23</v>
      </c>
      <c r="H25" s="52">
        <v>1.0047278782014988</v>
      </c>
      <c r="I25" s="53">
        <v>0.99123271384590494</v>
      </c>
      <c r="J25" s="53">
        <v>5.4087162954015292E-4</v>
      </c>
      <c r="K25" s="52"/>
      <c r="L25" s="53"/>
      <c r="M25" s="53"/>
      <c r="N25" s="52"/>
      <c r="O25" s="52"/>
      <c r="P25" s="52"/>
      <c r="Q25" s="52"/>
      <c r="R25" s="53"/>
      <c r="S25" s="53"/>
      <c r="T25" s="52"/>
      <c r="U25" s="52"/>
      <c r="V25">
        <v>5.7856855903894289</v>
      </c>
      <c r="W25">
        <v>6.4956989398204259</v>
      </c>
      <c r="X25">
        <v>8.3365667833559147</v>
      </c>
      <c r="Y25">
        <v>7.1586751422558406</v>
      </c>
      <c r="AF25">
        <v>1.01</v>
      </c>
      <c r="AG25">
        <v>1.0591782695964225</v>
      </c>
      <c r="AH25" s="613">
        <v>0.97517743098105103</v>
      </c>
      <c r="AI25">
        <v>1.1384475623763919</v>
      </c>
    </row>
    <row r="26" spans="1:51" ht="15.9" customHeight="1">
      <c r="A26" s="50">
        <v>115</v>
      </c>
      <c r="B26" s="52">
        <v>9.6964150506879285</v>
      </c>
      <c r="C26" s="50">
        <v>24</v>
      </c>
      <c r="D26" s="52">
        <v>5.381569003594673E-5</v>
      </c>
      <c r="E26" s="53">
        <v>-5.8848297104328545E-6</v>
      </c>
      <c r="F26" s="53">
        <v>4.3573509385163938E-4</v>
      </c>
      <c r="G26" s="50">
        <v>24</v>
      </c>
      <c r="H26" s="52">
        <v>1.0045301342163304</v>
      </c>
      <c r="I26" s="53">
        <v>0.99159494653560165</v>
      </c>
      <c r="J26" s="53">
        <v>5.1852476168251537E-4</v>
      </c>
      <c r="K26" s="52"/>
      <c r="L26" s="53"/>
      <c r="M26" s="53"/>
      <c r="N26" s="52"/>
      <c r="O26" s="52"/>
      <c r="P26" s="52"/>
      <c r="Q26" s="52"/>
      <c r="R26" s="53"/>
      <c r="S26" s="53"/>
      <c r="T26" s="52"/>
      <c r="U26" s="52"/>
      <c r="V26">
        <v>5.7516101250073532</v>
      </c>
      <c r="W26">
        <v>6.4974421129748627</v>
      </c>
      <c r="X26">
        <v>8.3085872120172564</v>
      </c>
      <c r="Y26">
        <v>7.1653947085891208</v>
      </c>
    </row>
    <row r="27" spans="1:51" ht="15.9" customHeight="1">
      <c r="A27" s="50">
        <v>120</v>
      </c>
      <c r="B27" s="52">
        <v>9.9153210524015414</v>
      </c>
      <c r="C27" s="50">
        <v>25</v>
      </c>
      <c r="D27" s="52">
        <v>4.959653993779708E-5</v>
      </c>
      <c r="E27" s="53">
        <v>-5.4234590619629531E-6</v>
      </c>
      <c r="F27" s="53">
        <v>4.1830569009748263E-4</v>
      </c>
      <c r="G27" s="50">
        <v>25</v>
      </c>
      <c r="H27" s="52">
        <v>1.0043482672777873</v>
      </c>
      <c r="I27" s="53">
        <v>0.99192843645523809</v>
      </c>
      <c r="J27" s="53">
        <v>4.9795109349150594E-4</v>
      </c>
      <c r="K27" s="52"/>
      <c r="L27" s="53"/>
      <c r="M27" s="53"/>
      <c r="N27" s="52"/>
      <c r="O27" s="52"/>
      <c r="P27" s="52"/>
      <c r="Q27" s="52"/>
      <c r="R27" s="53"/>
      <c r="S27" s="53"/>
      <c r="T27" s="52"/>
      <c r="U27" s="52"/>
      <c r="V27">
        <v>5.7542895340737665</v>
      </c>
      <c r="W27">
        <v>6.5377470358666594</v>
      </c>
      <c r="X27">
        <v>8.3243286201456641</v>
      </c>
      <c r="Y27">
        <v>7.2079271554469289</v>
      </c>
    </row>
    <row r="28" spans="1:51" ht="15.9" customHeight="1">
      <c r="A28" s="50">
        <v>125</v>
      </c>
      <c r="B28" s="52">
        <v>10.194668465933123</v>
      </c>
      <c r="C28" s="50">
        <v>26</v>
      </c>
      <c r="D28" s="52">
        <v>4.5854789140884419E-5</v>
      </c>
      <c r="E28" s="53">
        <v>-5.0142927706666584E-6</v>
      </c>
      <c r="F28" s="53">
        <v>4.0221700970941097E-4</v>
      </c>
      <c r="G28" s="50">
        <v>26</v>
      </c>
      <c r="H28" s="52">
        <v>1.0041804390364275</v>
      </c>
      <c r="I28" s="53">
        <v>0.99223647391205416</v>
      </c>
      <c r="J28" s="53">
        <v>4.7894763925433167E-4</v>
      </c>
      <c r="K28" s="52"/>
      <c r="L28" s="53"/>
      <c r="M28" s="53"/>
      <c r="N28" s="52"/>
      <c r="O28" s="52"/>
      <c r="P28" s="52"/>
      <c r="Q28" s="52"/>
      <c r="R28" s="53"/>
      <c r="S28" s="53"/>
      <c r="T28" s="52"/>
      <c r="U28" s="52"/>
      <c r="V28">
        <v>5.6228470840975664</v>
      </c>
      <c r="W28">
        <v>6.5371549650929444</v>
      </c>
      <c r="X28">
        <v>8.3228830601809189</v>
      </c>
      <c r="Y28">
        <v>7.2462235036486788</v>
      </c>
      <c r="AH28" s="632" t="s">
        <v>1880</v>
      </c>
      <c r="AI28" s="631">
        <v>127</v>
      </c>
      <c r="AK28" s="632" t="s">
        <v>1877</v>
      </c>
      <c r="AL28" s="631">
        <v>139</v>
      </c>
    </row>
    <row r="29" spans="1:51" ht="15.9" customHeight="1">
      <c r="A29" s="50">
        <v>130</v>
      </c>
      <c r="B29" s="52">
        <v>10.540217381128606</v>
      </c>
      <c r="C29" s="50">
        <v>27</v>
      </c>
      <c r="D29" s="52">
        <v>4.2521039039495013E-5</v>
      </c>
      <c r="E29" s="53">
        <v>-4.6497419934214149E-6</v>
      </c>
      <c r="F29" s="53">
        <v>3.8732008342382788E-4</v>
      </c>
      <c r="G29" s="50">
        <v>27</v>
      </c>
      <c r="H29" s="52">
        <v>1.0040250844014207</v>
      </c>
      <c r="I29" s="53">
        <v>0.9925218654932324</v>
      </c>
      <c r="J29" s="53">
        <v>4.6134125492271584E-4</v>
      </c>
      <c r="K29" s="52"/>
      <c r="L29" s="53"/>
      <c r="M29" s="53">
        <v>0.94429280446044439</v>
      </c>
      <c r="N29" s="52" t="e">
        <f>MIN(#REF!,#REF!,L29)</f>
        <v>#REF!</v>
      </c>
      <c r="O29" s="52" t="e">
        <f>MIN(#REF!,K29,M29)</f>
        <v>#REF!</v>
      </c>
      <c r="P29" s="52" t="e">
        <f t="shared" ref="P29:P67" si="1">$N$75</f>
        <v>#REF!</v>
      </c>
      <c r="Q29" s="52" t="e">
        <f t="shared" ref="Q29:Q67" si="2">$O$75</f>
        <v>#REF!</v>
      </c>
      <c r="R29" s="53">
        <v>92.802449613104187</v>
      </c>
      <c r="S29" s="53">
        <v>161.09814411211943</v>
      </c>
      <c r="T29" s="52">
        <v>6.6573084445412025</v>
      </c>
      <c r="U29" s="52">
        <v>4.6842720338233637</v>
      </c>
      <c r="V29">
        <v>5.5524382093060183</v>
      </c>
      <c r="W29">
        <v>6.6126082016183663</v>
      </c>
      <c r="X29">
        <v>8.3957916614134707</v>
      </c>
      <c r="Y29">
        <v>7.3397229592690607</v>
      </c>
      <c r="AH29" s="632" t="s">
        <v>1878</v>
      </c>
      <c r="AI29" s="631">
        <v>9.4</v>
      </c>
      <c r="AK29" s="632" t="s">
        <v>1878</v>
      </c>
      <c r="AL29" s="631">
        <v>9.4</v>
      </c>
    </row>
    <row r="30" spans="1:51" ht="15.9" customHeight="1">
      <c r="A30" s="50">
        <v>135</v>
      </c>
      <c r="B30" s="52">
        <v>10.959078285556899</v>
      </c>
      <c r="C30" s="50">
        <v>28</v>
      </c>
      <c r="D30" s="52">
        <v>3.953805798275207E-5</v>
      </c>
      <c r="E30" s="53">
        <v>-4.3235483584030814E-6</v>
      </c>
      <c r="F30" s="53">
        <v>3.7348722330135146E-4</v>
      </c>
      <c r="G30" s="50">
        <v>28</v>
      </c>
      <c r="H30" s="52">
        <v>1.003880862587561</v>
      </c>
      <c r="I30" s="53">
        <v>0.99278701980176887</v>
      </c>
      <c r="J30" s="53">
        <v>4.4498334890469884E-4</v>
      </c>
      <c r="K30" s="52">
        <v>5.5380974331957766E-2</v>
      </c>
      <c r="L30" s="53">
        <v>0.6169832312611585</v>
      </c>
      <c r="M30" s="53">
        <v>0.94429280446044439</v>
      </c>
      <c r="N30" s="52" t="e">
        <f>MIN(#REF!,#REF!,L30)</f>
        <v>#REF!</v>
      </c>
      <c r="O30" s="52" t="e">
        <f>MIN(#REF!,K30,M30)</f>
        <v>#REF!</v>
      </c>
      <c r="P30" s="52" t="e">
        <f t="shared" si="1"/>
        <v>#REF!</v>
      </c>
      <c r="Q30" s="52" t="e">
        <f t="shared" si="2"/>
        <v>#REF!</v>
      </c>
      <c r="R30" s="53">
        <v>95.051278199176792</v>
      </c>
      <c r="S30" s="53">
        <v>161.09814411211943</v>
      </c>
      <c r="T30" s="52"/>
      <c r="U30" s="52"/>
    </row>
    <row r="31" spans="1:51" ht="15.9" customHeight="1">
      <c r="A31" s="50">
        <v>140</v>
      </c>
      <c r="B31" s="52">
        <v>11.459809545330863</v>
      </c>
      <c r="C31" s="50">
        <v>29</v>
      </c>
      <c r="D31" s="52">
        <v>3.685830850932529E-5</v>
      </c>
      <c r="E31" s="53">
        <v>-4.0305135702352419E-6</v>
      </c>
      <c r="F31" s="53">
        <v>3.6060835353246383E-4</v>
      </c>
      <c r="G31" s="50">
        <v>29</v>
      </c>
      <c r="H31" s="52">
        <v>1.0037466183218313</v>
      </c>
      <c r="I31" s="53">
        <v>0.99303401558217141</v>
      </c>
      <c r="J31" s="53">
        <v>4.2974567924421761E-4</v>
      </c>
      <c r="K31" s="52">
        <v>5.5380974331957766E-2</v>
      </c>
      <c r="L31" s="53">
        <v>0.6169832312611585</v>
      </c>
      <c r="M31" s="53">
        <v>0.94429280446044439</v>
      </c>
      <c r="N31" s="52" t="e">
        <f>MIN(#REF!,#REF!,L31)</f>
        <v>#REF!</v>
      </c>
      <c r="O31" s="52" t="e">
        <f>MIN(#REF!,K31,M31)</f>
        <v>#REF!</v>
      </c>
      <c r="P31" s="52" t="e">
        <f t="shared" si="1"/>
        <v>#REF!</v>
      </c>
      <c r="Q31" s="52" t="e">
        <f t="shared" si="2"/>
        <v>#REF!</v>
      </c>
      <c r="R31" s="53">
        <v>97.779088356310922</v>
      </c>
      <c r="S31" s="53">
        <v>161.09814411211943</v>
      </c>
      <c r="T31" s="52">
        <v>6.5332482319174439</v>
      </c>
      <c r="U31" s="52">
        <v>4.4577141507268268</v>
      </c>
      <c r="V31">
        <v>5.5311943647764723</v>
      </c>
      <c r="W31">
        <v>6.8329939633155199</v>
      </c>
      <c r="X31">
        <v>8.5916731054242526</v>
      </c>
      <c r="Y31">
        <v>7.6087673242143907</v>
      </c>
      <c r="AH31" s="632" t="s">
        <v>1880</v>
      </c>
      <c r="AI31" s="631">
        <v>127</v>
      </c>
      <c r="AK31" s="632" t="s">
        <v>1877</v>
      </c>
      <c r="AL31" s="631">
        <v>139</v>
      </c>
    </row>
    <row r="32" spans="1:51" ht="15.9" customHeight="1">
      <c r="A32" s="50">
        <v>145</v>
      </c>
      <c r="B32" s="52">
        <v>12.052456644657459</v>
      </c>
      <c r="C32" s="50">
        <v>30</v>
      </c>
      <c r="D32" s="52">
        <v>3.444204162430053E-5</v>
      </c>
      <c r="E32" s="53">
        <v>-3.7662910157627082E-6</v>
      </c>
      <c r="F32" s="53">
        <v>3.4858807508139199E-4</v>
      </c>
      <c r="G32" s="50">
        <v>30</v>
      </c>
      <c r="H32" s="52">
        <v>1.0036213508318512</v>
      </c>
      <c r="I32" s="53">
        <v>0.99326465631625582</v>
      </c>
      <c r="J32" s="53">
        <v>4.1551698549773496E-4</v>
      </c>
      <c r="K32" s="52">
        <v>5.5380974331957766E-2</v>
      </c>
      <c r="L32" s="53">
        <v>0.6169832312611585</v>
      </c>
      <c r="M32" s="53">
        <v>0.94429280446044439</v>
      </c>
      <c r="N32" s="52" t="e">
        <f>MIN(#REF!,#REF!,L32)</f>
        <v>#REF!</v>
      </c>
      <c r="O32" s="52" t="e">
        <f>MIN(#REF!,K32,M32)</f>
        <v>#REF!</v>
      </c>
      <c r="P32" s="52" t="e">
        <f t="shared" si="1"/>
        <v>#REF!</v>
      </c>
      <c r="Q32" s="52" t="e">
        <f t="shared" si="2"/>
        <v>#REF!</v>
      </c>
      <c r="R32" s="53">
        <v>100.93278636263599</v>
      </c>
      <c r="S32" s="53">
        <v>161.09814411211943</v>
      </c>
      <c r="T32" s="52">
        <v>6.526175460715586</v>
      </c>
      <c r="U32" s="52">
        <v>4.4142439308252026</v>
      </c>
      <c r="V32">
        <v>5.5486758315399847</v>
      </c>
      <c r="W32">
        <v>7.0198965694714683</v>
      </c>
      <c r="X32">
        <v>8.7656761206348257</v>
      </c>
      <c r="Y32">
        <v>7.8078719353511756</v>
      </c>
      <c r="AH32" s="632" t="s">
        <v>1879</v>
      </c>
      <c r="AI32" s="631">
        <v>10</v>
      </c>
      <c r="AK32" s="632" t="s">
        <v>1879</v>
      </c>
      <c r="AL32" s="631">
        <v>10</v>
      </c>
    </row>
    <row r="33" spans="1:25" ht="15.9" customHeight="1">
      <c r="A33" s="50">
        <v>150</v>
      </c>
      <c r="B33" s="52">
        <v>12.748465311471996</v>
      </c>
      <c r="C33" s="50">
        <v>31</v>
      </c>
      <c r="D33" s="52">
        <v>3.2255814213576094E-5</v>
      </c>
      <c r="E33" s="53">
        <v>-3.5272236344713652E-6</v>
      </c>
      <c r="F33" s="53">
        <v>3.3734329846615125E-4</v>
      </c>
      <c r="G33" s="50">
        <v>300</v>
      </c>
      <c r="H33" s="1126">
        <v>125.28061857486968</v>
      </c>
      <c r="I33" s="1126">
        <v>-217.18578953512647</v>
      </c>
      <c r="J33" s="53">
        <v>1000000000</v>
      </c>
      <c r="K33" s="52">
        <v>5.5380974331957766E-2</v>
      </c>
      <c r="L33" s="53">
        <v>0.6169832312611585</v>
      </c>
      <c r="M33" s="53">
        <v>0.94429280446044439</v>
      </c>
      <c r="N33" s="52" t="e">
        <f>MIN(#REF!,#REF!,L33)</f>
        <v>#REF!</v>
      </c>
      <c r="O33" s="52" t="e">
        <f>MIN(#REF!,K33,M33)</f>
        <v>#REF!</v>
      </c>
      <c r="P33" s="52" t="e">
        <f t="shared" si="1"/>
        <v>#REF!</v>
      </c>
      <c r="Q33" s="52" t="e">
        <f t="shared" si="2"/>
        <v>#REF!</v>
      </c>
      <c r="R33" s="53">
        <v>104.45098907373719</v>
      </c>
      <c r="S33" s="53">
        <v>161.09814411211943</v>
      </c>
      <c r="T33" s="52">
        <v>6.4423621366399217</v>
      </c>
      <c r="U33" s="52">
        <v>4.3365863756477054</v>
      </c>
      <c r="V33">
        <v>5.5103395378794584</v>
      </c>
      <c r="W33">
        <v>7.1509253096306793</v>
      </c>
      <c r="X33">
        <v>8.921400448971907</v>
      </c>
      <c r="Y33">
        <v>8.0131963808747919</v>
      </c>
    </row>
    <row r="34" spans="1:25" ht="15.9" customHeight="1">
      <c r="A34" s="50">
        <v>155</v>
      </c>
      <c r="B34" s="52">
        <v>13.560359806716216</v>
      </c>
      <c r="C34" s="50">
        <v>32</v>
      </c>
      <c r="D34" s="52">
        <v>3.0271325645052423E-5</v>
      </c>
      <c r="E34" s="53">
        <v>-3.3102167120705207E-6</v>
      </c>
      <c r="F34" s="53">
        <v>3.2680132038904444E-4</v>
      </c>
      <c r="G34" s="50">
        <v>310</v>
      </c>
      <c r="H34" s="1126">
        <v>170.66166270371633</v>
      </c>
      <c r="I34" s="1126">
        <v>-203.55133474614482</v>
      </c>
      <c r="J34" s="53">
        <v>1000000000</v>
      </c>
      <c r="K34" s="52">
        <v>5.5380974331957766E-2</v>
      </c>
      <c r="L34" s="53">
        <v>0.6169832312611585</v>
      </c>
      <c r="M34" s="53">
        <v>0.94429280446044439</v>
      </c>
      <c r="N34" s="52" t="e">
        <f>MIN(#REF!,#REF!,L34)</f>
        <v>#REF!</v>
      </c>
      <c r="O34" s="52" t="e">
        <f>MIN(#REF!,K34,M34)</f>
        <v>#REF!</v>
      </c>
      <c r="P34" s="52" t="e">
        <f t="shared" si="1"/>
        <v>#REF!</v>
      </c>
      <c r="Q34" s="52" t="e">
        <f t="shared" si="2"/>
        <v>#REF!</v>
      </c>
      <c r="R34" s="53">
        <v>108.26521867573925</v>
      </c>
      <c r="S34" s="53">
        <v>161.09814411211943</v>
      </c>
      <c r="T34" s="52">
        <v>6.4370661993960567</v>
      </c>
      <c r="U34" s="52">
        <v>4.3464841584012444</v>
      </c>
      <c r="V34">
        <v>5.5845408845784172</v>
      </c>
      <c r="W34">
        <v>7.3811268814931399</v>
      </c>
      <c r="X34">
        <v>9.1658968755750454</v>
      </c>
      <c r="Y34">
        <v>8.2813458257514547</v>
      </c>
    </row>
    <row r="35" spans="1:25" ht="15.9" customHeight="1">
      <c r="A35" s="50">
        <v>160</v>
      </c>
      <c r="B35" s="52">
        <v>14.501024869394568</v>
      </c>
      <c r="C35" s="50">
        <v>33</v>
      </c>
      <c r="D35" s="52">
        <v>2.8464497207566372E-5</v>
      </c>
      <c r="E35" s="53">
        <v>-3.1126372021952692E-6</v>
      </c>
      <c r="F35" s="53">
        <v>3.168982500734502E-4</v>
      </c>
      <c r="G35" s="50">
        <v>320</v>
      </c>
      <c r="H35" s="1126">
        <v>221.14334403633478</v>
      </c>
      <c r="I35" s="1126">
        <v>-185.71637677229552</v>
      </c>
      <c r="J35" s="53">
        <v>1000000000</v>
      </c>
      <c r="K35" s="52">
        <v>5.5380974331957766E-2</v>
      </c>
      <c r="L35" s="53">
        <v>0.6169832312611585</v>
      </c>
      <c r="M35" s="53">
        <v>0.94429280446044439</v>
      </c>
      <c r="N35" s="52" t="e">
        <f>MIN(#REF!,#REF!,L35)</f>
        <v>#REF!</v>
      </c>
      <c r="O35" s="52" t="e">
        <f>MIN(#REF!,K35,M35)</f>
        <v>#REF!</v>
      </c>
      <c r="P35" s="52" t="e">
        <f t="shared" si="1"/>
        <v>#REF!</v>
      </c>
      <c r="Q35" s="52" t="e">
        <f t="shared" si="2"/>
        <v>#REF!</v>
      </c>
      <c r="R35" s="53">
        <v>112.30123552806103</v>
      </c>
      <c r="S35" s="53">
        <v>161.0981441121194</v>
      </c>
      <c r="T35" s="52">
        <v>6.4444278166050974</v>
      </c>
      <c r="U35" s="52">
        <v>4.3105608594178442</v>
      </c>
      <c r="V35">
        <v>5.5951500610372698</v>
      </c>
      <c r="W35">
        <v>7.625211284350506</v>
      </c>
      <c r="X35">
        <v>9.4180743798775932</v>
      </c>
      <c r="Y35">
        <v>8.5939089137215134</v>
      </c>
    </row>
    <row r="36" spans="1:25" ht="15.9" customHeight="1">
      <c r="A36" s="50">
        <v>165</v>
      </c>
      <c r="B36" s="52">
        <v>15.582375631986146</v>
      </c>
      <c r="C36" s="50">
        <v>34</v>
      </c>
      <c r="D36" s="52">
        <v>2.6814738288384415E-5</v>
      </c>
      <c r="E36" s="53">
        <v>-2.9322334891282568E-6</v>
      </c>
      <c r="F36" s="53">
        <v>3.0757771330679835E-4</v>
      </c>
      <c r="G36" s="50">
        <v>330</v>
      </c>
      <c r="H36" s="1126">
        <v>279.06629619873041</v>
      </c>
      <c r="I36" s="1126">
        <v>-161.27689019749096</v>
      </c>
      <c r="J36" s="53">
        <v>1000000000</v>
      </c>
      <c r="K36" s="52">
        <v>5.5380974331957766E-2</v>
      </c>
      <c r="L36" s="53">
        <v>0.6169832312611585</v>
      </c>
      <c r="M36" s="53">
        <v>0.94429280446044439</v>
      </c>
      <c r="N36" s="52" t="e">
        <f>MIN(#REF!,#REF!,L36)</f>
        <v>#REF!</v>
      </c>
      <c r="O36" s="52" t="e">
        <f>MIN(#REF!,K36,M36)</f>
        <v>#REF!</v>
      </c>
      <c r="P36" s="52" t="e">
        <f t="shared" si="1"/>
        <v>#REF!</v>
      </c>
      <c r="Q36" s="52" t="e">
        <f t="shared" si="2"/>
        <v>#REF!</v>
      </c>
      <c r="R36" s="53">
        <v>116.48048315357323</v>
      </c>
      <c r="S36" s="53">
        <v>161.09814411211943</v>
      </c>
      <c r="T36" s="52">
        <v>6.5102714367310996</v>
      </c>
      <c r="U36" s="52">
        <v>4.3154431556329609</v>
      </c>
      <c r="V36">
        <v>5.6108932664285032</v>
      </c>
      <c r="W36">
        <v>7.9551849061092064</v>
      </c>
      <c r="X36">
        <v>9.7404918237453799</v>
      </c>
      <c r="Y36">
        <v>8.9737958521334775</v>
      </c>
    </row>
    <row r="37" spans="1:25" ht="15.9" customHeight="1">
      <c r="A37" s="50">
        <v>170</v>
      </c>
      <c r="B37" s="52">
        <v>16.813175308185475</v>
      </c>
      <c r="C37" s="50">
        <v>35</v>
      </c>
      <c r="D37" s="52">
        <v>2.5304357110526944E-5</v>
      </c>
      <c r="E37" s="53">
        <v>-2.7670709499181644E-6</v>
      </c>
      <c r="F37" s="53">
        <v>2.9878977864133971E-4</v>
      </c>
      <c r="G37" s="50">
        <v>340</v>
      </c>
      <c r="H37" s="1126">
        <v>346.28075680836434</v>
      </c>
      <c r="I37" s="1126">
        <v>-126.20731945797367</v>
      </c>
      <c r="J37" s="53">
        <v>1000000000</v>
      </c>
      <c r="K37" s="52">
        <v>5.5380974331957766E-2</v>
      </c>
      <c r="L37" s="53">
        <v>0.6169832312611585</v>
      </c>
      <c r="M37" s="53">
        <v>0.94429280446044439</v>
      </c>
      <c r="N37" s="52" t="e">
        <f>MIN(#REF!,#REF!,L37)</f>
        <v>#REF!</v>
      </c>
      <c r="O37" s="52" t="e">
        <f>MIN(#REF!,K37,M37)</f>
        <v>#REF!</v>
      </c>
      <c r="P37" s="52" t="e">
        <f t="shared" si="1"/>
        <v>#REF!</v>
      </c>
      <c r="Q37" s="52" t="e">
        <f t="shared" si="2"/>
        <v>#REF!</v>
      </c>
      <c r="R37" s="53">
        <v>120.72161725106896</v>
      </c>
      <c r="S37" s="53">
        <v>161.09814411211943</v>
      </c>
      <c r="T37" s="52">
        <v>6.6059497315235438</v>
      </c>
      <c r="U37" s="52">
        <v>4.3670797768387182</v>
      </c>
      <c r="V37">
        <v>5.6721178580202691</v>
      </c>
      <c r="W37">
        <v>8.3527110920138661</v>
      </c>
      <c r="X37">
        <v>10.130725747416214</v>
      </c>
      <c r="Y37">
        <v>9.4128013101649444</v>
      </c>
    </row>
    <row r="38" spans="1:25" ht="15.9" customHeight="1">
      <c r="A38" s="50">
        <v>175</v>
      </c>
      <c r="B38" s="52">
        <v>18.195828930553816</v>
      </c>
      <c r="C38" s="50">
        <v>36</v>
      </c>
      <c r="D38" s="52">
        <v>2.3918084457709574E-5</v>
      </c>
      <c r="E38" s="53">
        <v>-2.6154798715554085E-6</v>
      </c>
      <c r="F38" s="53">
        <v>2.9049006256804343E-4</v>
      </c>
      <c r="G38" s="50">
        <v>350</v>
      </c>
      <c r="H38" s="1126">
        <v>420.96261994782378</v>
      </c>
      <c r="I38" s="1126">
        <v>-74.422379551962635</v>
      </c>
      <c r="J38" s="53">
        <v>1000000000</v>
      </c>
      <c r="K38" s="52">
        <v>5.5380974331957766E-2</v>
      </c>
      <c r="L38" s="53">
        <v>0.6169832312611585</v>
      </c>
      <c r="M38" s="53">
        <v>0.94429280446044439</v>
      </c>
      <c r="N38" s="52" t="e">
        <f>MIN(#REF!,#REF!,L38)</f>
        <v>#REF!</v>
      </c>
      <c r="O38" s="52" t="e">
        <f>MIN(#REF!,K38,M38)</f>
        <v>#REF!</v>
      </c>
      <c r="P38" s="52" t="e">
        <f t="shared" si="1"/>
        <v>#REF!</v>
      </c>
      <c r="Q38" s="52" t="e">
        <f t="shared" si="2"/>
        <v>#REF!</v>
      </c>
      <c r="R38" s="53">
        <v>124.94208896955899</v>
      </c>
      <c r="S38" s="53">
        <v>161.09814411211943</v>
      </c>
      <c r="T38" s="52">
        <v>6.6200721017705852</v>
      </c>
      <c r="U38" s="52">
        <v>4.3854081160871159</v>
      </c>
      <c r="V38">
        <v>5.7819200488745848</v>
      </c>
      <c r="W38">
        <v>8.6819556716372013</v>
      </c>
      <c r="X38">
        <v>10.51530349240727</v>
      </c>
      <c r="Y38">
        <v>9.8773580935999803</v>
      </c>
    </row>
    <row r="39" spans="1:25" ht="15.9" customHeight="1">
      <c r="A39" s="50">
        <v>180</v>
      </c>
      <c r="B39" s="52">
        <v>19.722236367611625</v>
      </c>
      <c r="C39" s="50">
        <v>37</v>
      </c>
      <c r="D39" s="52">
        <v>2.2642686238147925E-5</v>
      </c>
      <c r="E39" s="53">
        <v>-2.4760130855488151E-6</v>
      </c>
      <c r="F39" s="53">
        <v>2.8263897979604078E-4</v>
      </c>
      <c r="G39" s="50">
        <v>360</v>
      </c>
      <c r="H39" s="1126">
        <v>488.84579170269592</v>
      </c>
      <c r="I39" s="1126">
        <v>-0.22623495975686131</v>
      </c>
      <c r="J39" s="53">
        <v>1000000000</v>
      </c>
      <c r="K39" s="52">
        <v>5.5380974331957766E-2</v>
      </c>
      <c r="L39" s="53">
        <v>0.6169832312611585</v>
      </c>
      <c r="M39" s="53">
        <v>0.94429280446044439</v>
      </c>
      <c r="N39" s="52" t="e">
        <f>MIN(#REF!,#REF!,L39)</f>
        <v>#REF!</v>
      </c>
      <c r="O39" s="52" t="e">
        <f>MIN(#REF!,K39,M39)</f>
        <v>#REF!</v>
      </c>
      <c r="P39" s="52" t="e">
        <f t="shared" si="1"/>
        <v>#REF!</v>
      </c>
      <c r="Q39" s="52" t="e">
        <f t="shared" si="2"/>
        <v>#REF!</v>
      </c>
      <c r="R39" s="53">
        <v>129.05975162775835</v>
      </c>
      <c r="S39" s="53">
        <v>161.09814411211943</v>
      </c>
      <c r="T39" s="52">
        <v>6.7213803034178561</v>
      </c>
      <c r="U39" s="52">
        <v>4.4962718047393047</v>
      </c>
      <c r="V39">
        <v>6.0278418091647055</v>
      </c>
      <c r="W39">
        <v>9.1478836717085539</v>
      </c>
      <c r="X39">
        <v>11.016548510161616</v>
      </c>
      <c r="Y39">
        <v>10.390720889888438</v>
      </c>
    </row>
    <row r="40" spans="1:25" ht="15.9" customHeight="1">
      <c r="A40" s="50">
        <v>185</v>
      </c>
      <c r="B40" s="52">
        <v>21.369306067032841</v>
      </c>
      <c r="C40" s="50">
        <v>38</v>
      </c>
      <c r="D40" s="52">
        <v>2.1466646443072463E-5</v>
      </c>
      <c r="E40" s="53">
        <v>-2.3474112972108756E-6</v>
      </c>
      <c r="F40" s="53">
        <v>2.7520111190693661E-4</v>
      </c>
      <c r="G40" s="50">
        <v>185</v>
      </c>
      <c r="H40" s="999">
        <v>19.587124319380266</v>
      </c>
      <c r="I40" s="52">
        <v>21.984585036734291</v>
      </c>
      <c r="J40" s="52">
        <v>11.645470661210119</v>
      </c>
      <c r="K40" s="52">
        <v>11.708288783887378</v>
      </c>
      <c r="L40" s="52">
        <v>11.640118403871508</v>
      </c>
      <c r="M40" s="52">
        <v>11.925654832249684</v>
      </c>
      <c r="N40" s="52">
        <f t="shared" ref="N40:N74" si="3">MIN(H40,J40,L40)</f>
        <v>11.640118403871508</v>
      </c>
      <c r="O40" s="52" t="e">
        <f>MIN(#REF!,K40,M40)</f>
        <v>#REF!</v>
      </c>
      <c r="P40" s="52" t="e">
        <f t="shared" si="1"/>
        <v>#REF!</v>
      </c>
      <c r="Q40" s="52" t="e">
        <f t="shared" si="2"/>
        <v>#REF!</v>
      </c>
      <c r="R40" s="53">
        <v>132.99445960579703</v>
      </c>
      <c r="S40" s="53">
        <v>161.09814411211943</v>
      </c>
      <c r="T40" s="52">
        <v>6.8364560901945239</v>
      </c>
      <c r="U40" s="52">
        <v>4.5562038948764787</v>
      </c>
      <c r="V40">
        <v>6.0473969302688477</v>
      </c>
      <c r="W40">
        <v>9.653135923831119</v>
      </c>
      <c r="X40">
        <v>11.553742190941531</v>
      </c>
      <c r="Y40">
        <v>10.973298695627321</v>
      </c>
    </row>
    <row r="41" spans="1:25" ht="15.9" customHeight="1">
      <c r="A41" s="50">
        <v>190</v>
      </c>
      <c r="B41" s="52">
        <v>23.095453845736518</v>
      </c>
      <c r="C41" s="50">
        <v>39</v>
      </c>
      <c r="D41" s="52">
        <v>2.0379906285388413E-5</v>
      </c>
      <c r="E41" s="53">
        <v>-2.2285745643021487E-6</v>
      </c>
      <c r="F41" s="53">
        <v>2.68144673138852E-4</v>
      </c>
      <c r="G41" s="50">
        <v>190</v>
      </c>
      <c r="H41" s="999">
        <v>20.893296782954625</v>
      </c>
      <c r="I41" s="52">
        <v>23.352605637614744</v>
      </c>
      <c r="J41" s="52">
        <v>12.352602287315856</v>
      </c>
      <c r="K41" s="52">
        <v>12.477154881180622</v>
      </c>
      <c r="L41" s="52">
        <v>12.361266728373545</v>
      </c>
      <c r="M41" s="52">
        <v>12.571364065219418</v>
      </c>
      <c r="N41" s="52">
        <f t="shared" si="3"/>
        <v>12.352602287315856</v>
      </c>
      <c r="O41" s="52" t="e">
        <f>MIN(#REF!,K41,M41)</f>
        <v>#REF!</v>
      </c>
      <c r="P41" s="52" t="e">
        <f t="shared" si="1"/>
        <v>#REF!</v>
      </c>
      <c r="Q41" s="52" t="e">
        <f t="shared" si="2"/>
        <v>#REF!</v>
      </c>
      <c r="R41" s="53">
        <v>136.66962828854651</v>
      </c>
      <c r="S41" s="53">
        <v>161.09814411211943</v>
      </c>
      <c r="T41" s="52">
        <v>7.0185850910911158</v>
      </c>
      <c r="U41" s="52">
        <v>4.6627809446540898</v>
      </c>
      <c r="V41">
        <v>6.0615788008107572</v>
      </c>
      <c r="W41">
        <v>10.282846325876502</v>
      </c>
      <c r="X41">
        <v>12.195836515389338</v>
      </c>
      <c r="Y41">
        <v>11.607741566416481</v>
      </c>
    </row>
    <row r="42" spans="1:25" ht="15.9" customHeight="1">
      <c r="A42" s="50">
        <v>195</v>
      </c>
      <c r="B42" s="52">
        <v>24.839999878276352</v>
      </c>
      <c r="C42" s="50">
        <v>40</v>
      </c>
      <c r="D42" s="52">
        <v>1.9373648410211299E-5</v>
      </c>
      <c r="E42" s="53">
        <v>-2.1185386952084552E-6</v>
      </c>
      <c r="F42" s="53">
        <v>2.6144105631065336E-4</v>
      </c>
      <c r="G42" s="50">
        <v>195</v>
      </c>
      <c r="H42" s="999">
        <v>22.253525911187758</v>
      </c>
      <c r="I42" s="52">
        <v>24.761892591010131</v>
      </c>
      <c r="J42" s="52">
        <v>13.105080546540629</v>
      </c>
      <c r="K42" s="52">
        <v>13.31311228458098</v>
      </c>
      <c r="L42" s="52">
        <v>13.133210732143223</v>
      </c>
      <c r="M42" s="52">
        <v>13.230974795051198</v>
      </c>
      <c r="N42" s="52">
        <f t="shared" si="3"/>
        <v>13.105080546540629</v>
      </c>
      <c r="O42" s="52" t="e">
        <f>MIN(#REF!,K42,M42)</f>
        <v>#REF!</v>
      </c>
      <c r="P42" s="52" t="e">
        <f t="shared" si="1"/>
        <v>#REF!</v>
      </c>
      <c r="Q42" s="52" t="e">
        <f t="shared" si="2"/>
        <v>#REF!</v>
      </c>
      <c r="R42" s="53">
        <v>140.01372469803948</v>
      </c>
      <c r="S42" s="53">
        <v>161.09814411211943</v>
      </c>
      <c r="T42" s="52">
        <v>7.2392024745755785</v>
      </c>
      <c r="U42" s="52">
        <v>4.8283773216307271</v>
      </c>
      <c r="V42">
        <v>6.1894311304059162</v>
      </c>
      <c r="W42">
        <v>10.99734526234602</v>
      </c>
      <c r="X42">
        <v>12.939122178506665</v>
      </c>
      <c r="Y42">
        <v>12.306801447273964</v>
      </c>
    </row>
    <row r="43" spans="1:25" ht="15.9" customHeight="1">
      <c r="A43" s="50">
        <v>200</v>
      </c>
      <c r="B43" s="52">
        <v>26.52723162371165</v>
      </c>
      <c r="C43" s="50">
        <v>41</v>
      </c>
      <c r="D43" s="52">
        <v>1.8440117464207767E-5</v>
      </c>
      <c r="E43" s="53">
        <v>-2.0164556298547163E-6</v>
      </c>
      <c r="F43" s="53">
        <v>2.5506444518128148E-4</v>
      </c>
      <c r="G43" s="50">
        <v>200</v>
      </c>
      <c r="H43" s="999">
        <v>23.620277214155458</v>
      </c>
      <c r="I43" s="52">
        <v>26.16231412015021</v>
      </c>
      <c r="J43" s="52">
        <v>13.89550877296052</v>
      </c>
      <c r="K43" s="52">
        <v>14.211799976986223</v>
      </c>
      <c r="L43" s="52">
        <v>13.949323613743497</v>
      </c>
      <c r="M43" s="52">
        <v>13.892765917506148</v>
      </c>
      <c r="N43" s="52">
        <f t="shared" si="3"/>
        <v>13.89550877296052</v>
      </c>
      <c r="O43" s="52" t="e">
        <f>MIN(#REF!,K43,M43)</f>
        <v>#REF!</v>
      </c>
      <c r="P43" s="52" t="e">
        <f t="shared" si="1"/>
        <v>#REF!</v>
      </c>
      <c r="Q43" s="52" t="e">
        <f t="shared" si="2"/>
        <v>#REF!</v>
      </c>
      <c r="R43" s="53">
        <v>142.96165980151844</v>
      </c>
      <c r="S43" s="53">
        <v>161.0981441121194</v>
      </c>
      <c r="T43" s="52">
        <v>7.377922773175464</v>
      </c>
      <c r="U43" s="52">
        <v>4.9669943590159757</v>
      </c>
      <c r="V43">
        <v>6.3499365219006592</v>
      </c>
      <c r="W43">
        <v>11.617567407568094</v>
      </c>
      <c r="X43">
        <v>13.710324291092732</v>
      </c>
      <c r="Y43">
        <v>13.090168978744812</v>
      </c>
    </row>
    <row r="44" spans="1:25" ht="15.9" customHeight="1">
      <c r="A44" s="50">
        <v>205</v>
      </c>
      <c r="B44" s="52">
        <v>28.075558962171669</v>
      </c>
      <c r="C44" s="50">
        <v>42</v>
      </c>
      <c r="D44" s="52">
        <v>1.7572470213911289E-5</v>
      </c>
      <c r="E44" s="53">
        <v>-1.9215770473672157E-6</v>
      </c>
      <c r="F44" s="53">
        <v>2.489914822008739E-4</v>
      </c>
      <c r="G44" s="50">
        <v>205</v>
      </c>
      <c r="H44" s="999">
        <v>24.926462501514575</v>
      </c>
      <c r="I44" s="52">
        <v>27.4861849993177</v>
      </c>
      <c r="J44" s="52">
        <v>14.713703396317031</v>
      </c>
      <c r="K44" s="52">
        <v>14.767751502287679</v>
      </c>
      <c r="L44" s="52">
        <v>14.7999493411277</v>
      </c>
      <c r="M44" s="52">
        <v>14.543786015389413</v>
      </c>
      <c r="N44" s="52">
        <f t="shared" si="3"/>
        <v>14.713703396317031</v>
      </c>
      <c r="O44" s="52" t="e">
        <f>MIN(#REF!,K44,M44)</f>
        <v>#REF!</v>
      </c>
      <c r="P44" s="52" t="e">
        <f t="shared" si="1"/>
        <v>#REF!</v>
      </c>
      <c r="Q44" s="52" t="e">
        <f t="shared" si="2"/>
        <v>#REF!</v>
      </c>
      <c r="R44" s="53">
        <v>145.45605539542066</v>
      </c>
      <c r="S44" s="53">
        <v>161.0981441121194</v>
      </c>
      <c r="T44" s="52">
        <v>7.6205889453004074</v>
      </c>
      <c r="U44" s="52">
        <v>5.222816029321705</v>
      </c>
      <c r="V44">
        <v>6.5761173874785896</v>
      </c>
      <c r="W44">
        <v>12.373396582567361</v>
      </c>
      <c r="X44">
        <v>14.633106614782902</v>
      </c>
      <c r="Y44">
        <v>13.9625119295698</v>
      </c>
    </row>
    <row r="45" spans="1:25" ht="15.9" customHeight="1">
      <c r="A45" s="50">
        <v>210</v>
      </c>
      <c r="B45" s="52">
        <v>29.409960378838385</v>
      </c>
      <c r="C45" s="50">
        <v>43</v>
      </c>
      <c r="D45" s="52">
        <v>1.6764649791186553E-5</v>
      </c>
      <c r="E45" s="53">
        <v>-1.8332406247986744E-6</v>
      </c>
      <c r="F45" s="53">
        <v>2.4320098261476774E-4</v>
      </c>
      <c r="G45" s="50">
        <v>210</v>
      </c>
      <c r="H45" s="999">
        <v>25.918004557350322</v>
      </c>
      <c r="I45" s="52">
        <v>28.651261281035943</v>
      </c>
      <c r="J45" s="52">
        <v>15.546767051336346</v>
      </c>
      <c r="K45" s="52">
        <v>15.226562250825056</v>
      </c>
      <c r="L45" s="52">
        <v>15.447485456996846</v>
      </c>
      <c r="M45" s="52">
        <v>15.170615112374669</v>
      </c>
      <c r="N45" s="52">
        <f t="shared" si="3"/>
        <v>15.447485456996846</v>
      </c>
      <c r="O45" s="52" t="e">
        <f>MIN(#REF!,K45,M45)</f>
        <v>#REF!</v>
      </c>
      <c r="P45" s="52" t="e">
        <f t="shared" si="1"/>
        <v>#REF!</v>
      </c>
      <c r="Q45" s="52" t="e">
        <f t="shared" si="2"/>
        <v>#REF!</v>
      </c>
      <c r="R45" s="53">
        <v>147.44836090684379</v>
      </c>
      <c r="S45" s="53">
        <v>161.0981441121194</v>
      </c>
      <c r="T45" s="52">
        <v>7.8851562042322652</v>
      </c>
      <c r="U45" s="52">
        <v>5.4300410464300617</v>
      </c>
      <c r="V45">
        <v>6.704288985347131</v>
      </c>
      <c r="W45">
        <v>13.170035148710372</v>
      </c>
      <c r="X45">
        <v>15.64081443708327</v>
      </c>
      <c r="Y45">
        <v>14.783120527337614</v>
      </c>
    </row>
    <row r="46" spans="1:25" ht="15.9" customHeight="1">
      <c r="A46" s="50">
        <v>215</v>
      </c>
      <c r="B46" s="52">
        <v>30.47405321079534</v>
      </c>
      <c r="C46" s="50">
        <v>44</v>
      </c>
      <c r="D46" s="52">
        <v>1.6011279678880769E-5</v>
      </c>
      <c r="E46" s="53">
        <v>-1.7508584260380729E-6</v>
      </c>
      <c r="F46" s="53">
        <v>2.3767368755521273E-4</v>
      </c>
      <c r="G46" s="50">
        <v>215</v>
      </c>
      <c r="H46" s="999">
        <v>26.566652937481287</v>
      </c>
      <c r="I46" s="52">
        <v>29.569078639756768</v>
      </c>
      <c r="J46" s="52">
        <v>15.80237970578627</v>
      </c>
      <c r="K46" s="52">
        <v>15.654390990269597</v>
      </c>
      <c r="L46" s="52">
        <v>15.739445362807222</v>
      </c>
      <c r="M46" s="52">
        <v>15.760244637143899</v>
      </c>
      <c r="N46" s="52">
        <f t="shared" si="3"/>
        <v>15.739445362807222</v>
      </c>
      <c r="O46" s="52" t="e">
        <f>MIN(#REF!,K46,M46)</f>
        <v>#REF!</v>
      </c>
      <c r="P46" s="52" t="e">
        <f t="shared" si="1"/>
        <v>#REF!</v>
      </c>
      <c r="Q46" s="52" t="e">
        <f t="shared" si="2"/>
        <v>#REF!</v>
      </c>
      <c r="R46" s="53">
        <v>148.89979837522188</v>
      </c>
      <c r="S46" s="53">
        <v>161.09814411211943</v>
      </c>
      <c r="T46" s="52">
        <v>8.2339104728528643</v>
      </c>
      <c r="U46" s="52">
        <v>5.7093598411432005</v>
      </c>
      <c r="V46">
        <v>6.9109819342328773</v>
      </c>
      <c r="W46">
        <v>14.039104323303278</v>
      </c>
      <c r="X46">
        <v>16.785661433030814</v>
      </c>
      <c r="Y46">
        <v>15.83115991829496</v>
      </c>
    </row>
    <row r="47" spans="1:25" ht="15.9" customHeight="1">
      <c r="A47" s="50">
        <v>220</v>
      </c>
      <c r="B47" s="52">
        <v>31.237962134630362</v>
      </c>
      <c r="C47" s="50">
        <v>45</v>
      </c>
      <c r="D47" s="52">
        <v>1.530757405235197E-5</v>
      </c>
      <c r="E47" s="53">
        <v>-1.6739071175005394E-6</v>
      </c>
      <c r="F47" s="53">
        <v>2.3239205005446103E-4</v>
      </c>
      <c r="G47" s="50">
        <v>220</v>
      </c>
      <c r="H47" s="999">
        <v>27.212003975438453</v>
      </c>
      <c r="I47" s="52">
        <v>30.158543589947236</v>
      </c>
      <c r="J47" s="52">
        <v>15.98903986655138</v>
      </c>
      <c r="K47" s="52">
        <v>16.031134771402346</v>
      </c>
      <c r="L47" s="52">
        <v>15.974097616032601</v>
      </c>
      <c r="M47" s="52">
        <v>16.300955759675485</v>
      </c>
      <c r="N47" s="52">
        <f t="shared" si="3"/>
        <v>15.974097616032601</v>
      </c>
      <c r="O47" s="52" t="e">
        <f>MIN(#REF!,K47,M47)</f>
        <v>#REF!</v>
      </c>
      <c r="P47" s="52" t="e">
        <f t="shared" si="1"/>
        <v>#REF!</v>
      </c>
      <c r="Q47" s="52" t="e">
        <f t="shared" si="2"/>
        <v>#REF!</v>
      </c>
      <c r="R47" s="53">
        <v>149.78211722121861</v>
      </c>
      <c r="S47" s="53">
        <v>161.09814411211943</v>
      </c>
      <c r="T47" s="52">
        <v>8.6381924012755817</v>
      </c>
      <c r="U47" s="52">
        <v>6.0849528634950696</v>
      </c>
      <c r="V47">
        <v>7.1969423627768832</v>
      </c>
      <c r="W47">
        <v>14.8318625839013</v>
      </c>
      <c r="X47">
        <v>18.043696493386491</v>
      </c>
      <c r="Y47">
        <v>16.937249463122203</v>
      </c>
    </row>
    <row r="48" spans="1:25" ht="15.9" customHeight="1">
      <c r="A48" s="50">
        <v>225</v>
      </c>
      <c r="B48" s="52">
        <v>31.699934738735976</v>
      </c>
      <c r="C48" s="50">
        <v>46</v>
      </c>
      <c r="D48" s="52">
        <v>1.4649261561106724E-5</v>
      </c>
      <c r="E48" s="53">
        <v>-1.6019196186420974E-6</v>
      </c>
      <c r="F48" s="53">
        <v>2.2734004896581995E-4</v>
      </c>
      <c r="G48" s="50">
        <v>225</v>
      </c>
      <c r="H48" s="999">
        <v>27.812649432480608</v>
      </c>
      <c r="I48" s="52">
        <v>30.361978487209647</v>
      </c>
      <c r="J48" s="52">
        <v>16.101296215998197</v>
      </c>
      <c r="K48" s="52">
        <v>16.333684645576952</v>
      </c>
      <c r="L48" s="52">
        <v>16.13448261587877</v>
      </c>
      <c r="M48" s="52">
        <v>16.230748547775349</v>
      </c>
      <c r="N48" s="52">
        <f t="shared" si="3"/>
        <v>16.101296215998197</v>
      </c>
      <c r="O48" s="52" t="e">
        <f>MIN(#REF!,K48,M48)</f>
        <v>#REF!</v>
      </c>
      <c r="P48" s="52" t="e">
        <f t="shared" si="1"/>
        <v>#REF!</v>
      </c>
      <c r="Q48" s="52" t="e">
        <f t="shared" si="2"/>
        <v>#REF!</v>
      </c>
      <c r="R48" s="53">
        <v>150.07814411211942</v>
      </c>
      <c r="S48" s="53">
        <v>161.09814411211943</v>
      </c>
      <c r="T48" s="52">
        <v>8.969791887481092</v>
      </c>
      <c r="U48" s="52">
        <v>6.4582798973306303</v>
      </c>
      <c r="V48">
        <v>7.3730361625651568</v>
      </c>
      <c r="W48">
        <v>15.302912789017535</v>
      </c>
      <c r="X48">
        <v>19.347895524164347</v>
      </c>
      <c r="Y48">
        <v>17.859898565768628</v>
      </c>
    </row>
    <row r="49" spans="1:25" ht="15.9" customHeight="1">
      <c r="A49" s="50">
        <v>230</v>
      </c>
      <c r="B49" s="52">
        <v>31.250464406237221</v>
      </c>
      <c r="C49" s="50">
        <v>47</v>
      </c>
      <c r="D49" s="52">
        <v>1.4032520355065344E-5</v>
      </c>
      <c r="E49" s="53">
        <v>-1.5344780050055062E-6</v>
      </c>
      <c r="F49" s="53">
        <v>2.225030266485102E-4</v>
      </c>
      <c r="G49" s="50">
        <v>230</v>
      </c>
      <c r="H49" s="999">
        <v>27.21187115440469</v>
      </c>
      <c r="I49" s="52">
        <v>30.158458693689052</v>
      </c>
      <c r="J49" s="52">
        <v>16.124565577424466</v>
      </c>
      <c r="K49" s="52">
        <v>16.53737178921002</v>
      </c>
      <c r="L49" s="52">
        <v>16.203759907306889</v>
      </c>
      <c r="M49" s="52">
        <v>15.98849615827371</v>
      </c>
      <c r="N49" s="52">
        <f t="shared" si="3"/>
        <v>16.124565577424466</v>
      </c>
      <c r="O49" s="52" t="e">
        <f>MIN(#REF!,K49,M49)</f>
        <v>#REF!</v>
      </c>
      <c r="P49" s="52" t="e">
        <f t="shared" si="1"/>
        <v>#REF!</v>
      </c>
      <c r="Q49" s="52" t="e">
        <f t="shared" si="2"/>
        <v>#REF!</v>
      </c>
      <c r="R49" s="114">
        <v>7.82</v>
      </c>
      <c r="S49" s="50">
        <v>184</v>
      </c>
      <c r="T49" s="52">
        <v>9.4319837033135769</v>
      </c>
      <c r="U49" s="52">
        <v>7.0165374825914544</v>
      </c>
      <c r="V49">
        <v>7.6093845815163546</v>
      </c>
      <c r="W49">
        <v>15.575558488442086</v>
      </c>
      <c r="X49">
        <v>20.756444912334864</v>
      </c>
      <c r="Y49">
        <v>18.986878783784036</v>
      </c>
    </row>
    <row r="50" spans="1:25" ht="15.9" customHeight="1">
      <c r="A50" s="50">
        <v>235</v>
      </c>
      <c r="B50" s="52">
        <v>30.492578375022774</v>
      </c>
      <c r="C50" s="50">
        <v>48</v>
      </c>
      <c r="D50" s="52">
        <v>1.3453922509883834E-5</v>
      </c>
      <c r="E50" s="53">
        <v>-1.4712074286072702E-6</v>
      </c>
      <c r="F50" s="53">
        <v>2.1786754692575231E-4</v>
      </c>
      <c r="G50" s="50">
        <v>235</v>
      </c>
      <c r="H50" s="999">
        <v>26.566515558228549</v>
      </c>
      <c r="I50" s="52">
        <v>29.568917476517413</v>
      </c>
      <c r="J50" s="52">
        <v>16.046425189783118</v>
      </c>
      <c r="K50" s="52">
        <v>16.618428706685222</v>
      </c>
      <c r="L50" s="52">
        <v>16.166992343280736</v>
      </c>
      <c r="M50" s="52">
        <v>15.667815324652182</v>
      </c>
      <c r="N50" s="52">
        <f t="shared" si="3"/>
        <v>16.046425189783118</v>
      </c>
      <c r="O50" s="52" t="e">
        <f>MIN(#REF!,K50,M50)</f>
        <v>#REF!</v>
      </c>
      <c r="P50" s="52" t="e">
        <f t="shared" si="1"/>
        <v>#REF!</v>
      </c>
      <c r="Q50" s="52" t="e">
        <f t="shared" si="2"/>
        <v>#REF!</v>
      </c>
      <c r="R50" s="114">
        <v>7.82</v>
      </c>
      <c r="S50" s="50">
        <v>188</v>
      </c>
      <c r="T50" s="52">
        <v>9.9339652151963929</v>
      </c>
      <c r="U50" s="52">
        <v>7.5601436761503198</v>
      </c>
      <c r="V50">
        <v>7.8916179228113918</v>
      </c>
      <c r="W50">
        <v>15.569651676026776</v>
      </c>
      <c r="X50">
        <v>22.220495893644774</v>
      </c>
      <c r="Y50">
        <v>20.145333658153682</v>
      </c>
    </row>
    <row r="51" spans="1:25" ht="15.9" customHeight="1">
      <c r="A51" s="50">
        <v>240</v>
      </c>
      <c r="B51" s="52">
        <v>29.4348241300656</v>
      </c>
      <c r="C51" s="50">
        <v>49</v>
      </c>
      <c r="D51" s="52">
        <v>1.2910386285988707E-5</v>
      </c>
      <c r="E51" s="53">
        <v>-1.4117708934355401E-6</v>
      </c>
      <c r="F51" s="53">
        <v>2.1342127045821197E-4</v>
      </c>
      <c r="G51" s="50">
        <v>240</v>
      </c>
      <c r="H51" s="999">
        <v>25.917869913615935</v>
      </c>
      <c r="I51" s="52">
        <v>28.651039009863336</v>
      </c>
      <c r="J51" s="52">
        <v>15.858457517714678</v>
      </c>
      <c r="K51" s="52">
        <v>15.846151999363936</v>
      </c>
      <c r="L51" s="52">
        <v>16.013299540087395</v>
      </c>
      <c r="M51" s="52">
        <v>15.271308035652691</v>
      </c>
      <c r="N51" s="52">
        <f t="shared" si="3"/>
        <v>15.858457517714678</v>
      </c>
      <c r="O51" s="52" t="e">
        <f>MIN(#REF!,K51,M51)</f>
        <v>#REF!</v>
      </c>
      <c r="P51" s="52" t="e">
        <f t="shared" si="1"/>
        <v>#REF!</v>
      </c>
      <c r="Q51" s="52" t="e">
        <f t="shared" si="2"/>
        <v>#REF!</v>
      </c>
      <c r="R51" s="114">
        <v>7.82</v>
      </c>
      <c r="S51" s="50">
        <v>192</v>
      </c>
      <c r="T51" s="52">
        <v>10.543609400894296</v>
      </c>
      <c r="U51" s="52">
        <v>8.2598849226303397</v>
      </c>
      <c r="V51">
        <v>8.2042118685006749</v>
      </c>
      <c r="W51">
        <v>15.52488234178362</v>
      </c>
      <c r="X51">
        <v>23.689286506684116</v>
      </c>
      <c r="Y51">
        <v>21.293148829628109</v>
      </c>
    </row>
    <row r="52" spans="1:25" ht="15.9" customHeight="1">
      <c r="A52" s="50">
        <v>245</v>
      </c>
      <c r="B52" s="52">
        <v>28.106570088025585</v>
      </c>
      <c r="C52" s="50">
        <v>50</v>
      </c>
      <c r="D52" s="52">
        <v>1.2399134982394087E-5</v>
      </c>
      <c r="E52" s="53">
        <v>-1.3558647654540382E-6</v>
      </c>
      <c r="F52" s="53">
        <v>2.091528450484501E-4</v>
      </c>
      <c r="G52" s="50">
        <v>245</v>
      </c>
      <c r="H52" s="999">
        <v>24.926199658468349</v>
      </c>
      <c r="I52" s="52">
        <v>27.485920012809519</v>
      </c>
      <c r="J52" s="52">
        <v>15.447721210911553</v>
      </c>
      <c r="K52" s="52">
        <v>14.900179910699917</v>
      </c>
      <c r="L52" s="52">
        <v>15.289254979642701</v>
      </c>
      <c r="M52" s="52">
        <v>14.80534513418009</v>
      </c>
      <c r="N52" s="52">
        <f t="shared" si="3"/>
        <v>15.289254979642701</v>
      </c>
      <c r="O52" s="52" t="e">
        <f>MIN(#REF!,K52,M52)</f>
        <v>#REF!</v>
      </c>
      <c r="P52" s="52" t="e">
        <f t="shared" si="1"/>
        <v>#REF!</v>
      </c>
      <c r="Q52" s="52" t="e">
        <f t="shared" si="2"/>
        <v>#REF!</v>
      </c>
      <c r="R52" s="114">
        <v>7.82</v>
      </c>
      <c r="S52" s="50">
        <v>196</v>
      </c>
      <c r="T52" s="52">
        <v>11.229660159495355</v>
      </c>
      <c r="U52" s="52">
        <v>9.164815308258504</v>
      </c>
      <c r="V52">
        <v>8.5035698053939175</v>
      </c>
      <c r="W52">
        <v>15.530790287037229</v>
      </c>
      <c r="X52">
        <v>25.095954225409667</v>
      </c>
      <c r="Y52">
        <v>22.464371252793374</v>
      </c>
    </row>
    <row r="53" spans="1:25" ht="15.9" customHeight="1">
      <c r="A53" s="50">
        <v>250</v>
      </c>
      <c r="B53" s="52">
        <v>26.563625561190296</v>
      </c>
      <c r="C53" s="50">
        <v>202.24719101123597</v>
      </c>
      <c r="D53" s="52">
        <v>0.35253561431162289</v>
      </c>
      <c r="E53" s="53">
        <v>0.33328411965800536</v>
      </c>
      <c r="F53" s="53">
        <v>0.35253561431162289</v>
      </c>
      <c r="G53" s="50">
        <v>250</v>
      </c>
      <c r="H53" s="999">
        <v>23.619993248985409</v>
      </c>
      <c r="I53" s="52">
        <v>26.162024775315409</v>
      </c>
      <c r="J53" s="52">
        <v>14.391883415668124</v>
      </c>
      <c r="K53" s="52">
        <v>13.990046476395356</v>
      </c>
      <c r="L53" s="52">
        <v>14.269114547630018</v>
      </c>
      <c r="M53" s="52">
        <v>14.27990792621585</v>
      </c>
      <c r="N53" s="52">
        <f t="shared" si="3"/>
        <v>14.269114547630018</v>
      </c>
      <c r="O53" s="52" t="e">
        <f>MIN(#REF!,K53,M53)</f>
        <v>#REF!</v>
      </c>
      <c r="P53" s="52" t="e">
        <f t="shared" si="1"/>
        <v>#REF!</v>
      </c>
      <c r="Q53" s="52" t="e">
        <f t="shared" si="2"/>
        <v>#REF!</v>
      </c>
      <c r="R53" s="114">
        <v>7.82</v>
      </c>
      <c r="S53" s="50">
        <v>200</v>
      </c>
      <c r="T53" s="52">
        <v>11.870726906142044</v>
      </c>
      <c r="U53" s="52">
        <v>10.156620036061753</v>
      </c>
      <c r="V53">
        <v>8.7949470997810018</v>
      </c>
      <c r="W53">
        <v>15.540358638966158</v>
      </c>
      <c r="X53">
        <v>26.401407164578686</v>
      </c>
      <c r="Y53">
        <v>23.616874057859988</v>
      </c>
    </row>
    <row r="54" spans="1:25" ht="15.9" customHeight="1">
      <c r="A54" s="50">
        <v>255</v>
      </c>
      <c r="B54" s="52">
        <v>24.880511779414967</v>
      </c>
      <c r="C54" s="50">
        <v>206.29213483146069</v>
      </c>
      <c r="D54" s="52">
        <v>0.3503634644944893</v>
      </c>
      <c r="E54" s="53">
        <v>0.34256459035476627</v>
      </c>
      <c r="F54" s="53">
        <v>0.3503634644944893</v>
      </c>
      <c r="G54" s="50">
        <v>255</v>
      </c>
      <c r="H54" s="999">
        <v>22.253236945512082</v>
      </c>
      <c r="I54" s="52">
        <v>24.761594856139347</v>
      </c>
      <c r="J54" s="52">
        <v>13.407342479595622</v>
      </c>
      <c r="K54" s="52">
        <v>13.13822145530078</v>
      </c>
      <c r="L54" s="52">
        <v>13.317988720044051</v>
      </c>
      <c r="M54" s="52">
        <v>13.707972544191708</v>
      </c>
      <c r="N54" s="52">
        <f t="shared" si="3"/>
        <v>13.317988720044051</v>
      </c>
      <c r="O54" s="52" t="e">
        <f>MIN(#REF!,K54,M54)</f>
        <v>#REF!</v>
      </c>
      <c r="P54" s="52" t="e">
        <f t="shared" si="1"/>
        <v>#REF!</v>
      </c>
      <c r="Q54" s="52" t="e">
        <f t="shared" si="2"/>
        <v>#REF!</v>
      </c>
      <c r="R54" s="114">
        <v>7.82</v>
      </c>
      <c r="S54" s="50">
        <v>204</v>
      </c>
      <c r="T54" s="52">
        <v>12.65881128242548</v>
      </c>
      <c r="U54" s="52">
        <v>11.482639446217688</v>
      </c>
      <c r="V54">
        <v>9.1989900900670918</v>
      </c>
      <c r="W54">
        <v>15.584199653370646</v>
      </c>
      <c r="X54">
        <v>27.65650430521886</v>
      </c>
      <c r="Y54">
        <v>24.702873266130663</v>
      </c>
    </row>
    <row r="55" spans="1:25" ht="15.9" customHeight="1">
      <c r="A55" s="50">
        <v>260</v>
      </c>
      <c r="B55" s="52">
        <v>23.13851630551331</v>
      </c>
      <c r="C55" s="50">
        <v>210.3370786516854</v>
      </c>
      <c r="D55" s="52">
        <v>0.34888314562045963</v>
      </c>
      <c r="E55" s="53">
        <v>0.35220739403400736</v>
      </c>
      <c r="F55" s="53">
        <v>0.35220739403400736</v>
      </c>
      <c r="G55" s="50">
        <v>260</v>
      </c>
      <c r="H55" s="999">
        <v>20.893014865589535</v>
      </c>
      <c r="I55" s="52">
        <v>23.352311934477029</v>
      </c>
      <c r="J55" s="52">
        <v>12.510114711163565</v>
      </c>
      <c r="K55" s="52">
        <v>12.355704715197874</v>
      </c>
      <c r="L55" s="52">
        <v>12.45012753194302</v>
      </c>
      <c r="M55" s="52">
        <v>13.09905388656818</v>
      </c>
      <c r="N55" s="52">
        <f t="shared" si="3"/>
        <v>12.45012753194302</v>
      </c>
      <c r="O55" s="52" t="e">
        <f>MIN(#REF!,K55,M55)</f>
        <v>#REF!</v>
      </c>
      <c r="P55" s="52" t="e">
        <f t="shared" si="1"/>
        <v>#REF!</v>
      </c>
      <c r="Q55" s="52" t="e">
        <f t="shared" si="2"/>
        <v>#REF!</v>
      </c>
      <c r="R55" s="114">
        <v>7.82</v>
      </c>
      <c r="S55" s="50">
        <v>208</v>
      </c>
      <c r="T55" s="52">
        <v>13.500250846810362</v>
      </c>
      <c r="U55" s="52">
        <v>12.924775220885813</v>
      </c>
      <c r="V55">
        <v>9.480856082753423</v>
      </c>
      <c r="W55">
        <v>15.667412366473949</v>
      </c>
      <c r="X55">
        <v>28.728768726537272</v>
      </c>
      <c r="Y55">
        <v>25.678791458360418</v>
      </c>
    </row>
    <row r="56" spans="1:25" ht="15.9" customHeight="1">
      <c r="A56" s="50">
        <v>265</v>
      </c>
      <c r="B56" s="52">
        <v>21.413302473703705</v>
      </c>
      <c r="C56" s="50">
        <v>214.38202247191012</v>
      </c>
      <c r="D56" s="52">
        <v>0.34816573046732019</v>
      </c>
      <c r="E56" s="53">
        <v>0.36180078332613136</v>
      </c>
      <c r="F56" s="53">
        <v>0.36180078332613136</v>
      </c>
      <c r="G56" s="50">
        <v>265</v>
      </c>
      <c r="H56" s="999">
        <v>19.586857483185128</v>
      </c>
      <c r="I56" s="52">
        <v>21.98430408067702</v>
      </c>
      <c r="J56" s="52">
        <v>11.7045736748336</v>
      </c>
      <c r="K56" s="52">
        <v>11.645928784802274</v>
      </c>
      <c r="L56" s="52">
        <v>11.669385504682158</v>
      </c>
      <c r="M56" s="52">
        <v>12.145559766917005</v>
      </c>
      <c r="N56" s="52">
        <f t="shared" si="3"/>
        <v>11.669385504682158</v>
      </c>
      <c r="O56" s="52" t="e">
        <f>MIN(#REF!,K56,M56)</f>
        <v>#REF!</v>
      </c>
      <c r="P56" s="52" t="e">
        <f t="shared" si="1"/>
        <v>#REF!</v>
      </c>
      <c r="Q56" s="52" t="e">
        <f t="shared" si="2"/>
        <v>#REF!</v>
      </c>
      <c r="R56" s="114">
        <v>7.82</v>
      </c>
      <c r="S56" s="50">
        <v>212</v>
      </c>
      <c r="T56" s="52">
        <v>14.438386305281975</v>
      </c>
      <c r="U56" s="52">
        <v>14.655620593601807</v>
      </c>
      <c r="V56">
        <v>9.8301466747914734</v>
      </c>
      <c r="W56">
        <v>15.787718439057034</v>
      </c>
      <c r="X56">
        <v>29.621182525240293</v>
      </c>
      <c r="Y56">
        <v>26.515487310398949</v>
      </c>
    </row>
    <row r="57" spans="1:25" ht="15.9" customHeight="1">
      <c r="A57" s="50">
        <v>270</v>
      </c>
      <c r="B57" s="52">
        <v>19.765724853795572</v>
      </c>
      <c r="C57" s="50">
        <v>218.42696629213484</v>
      </c>
      <c r="D57" s="52">
        <v>0.34824596417237774</v>
      </c>
      <c r="E57" s="53">
        <v>0.37096801338528484</v>
      </c>
      <c r="F57" s="53">
        <v>0.37096801338528484</v>
      </c>
      <c r="G57" s="50">
        <v>270</v>
      </c>
      <c r="H57" s="999">
        <v>18.364630712230667</v>
      </c>
      <c r="I57" s="52">
        <v>20.414219900655979</v>
      </c>
      <c r="J57" s="52">
        <v>10.988332612044335</v>
      </c>
      <c r="K57" s="52">
        <v>11.007715980393058</v>
      </c>
      <c r="L57" s="52">
        <v>10.973537053101566</v>
      </c>
      <c r="M57" s="52">
        <v>11.303632466227674</v>
      </c>
      <c r="N57" s="52">
        <f t="shared" si="3"/>
        <v>10.973537053101566</v>
      </c>
      <c r="O57" s="52" t="e">
        <f>MIN(#REF!,K57,M57)</f>
        <v>#REF!</v>
      </c>
      <c r="P57" s="52" t="e">
        <f t="shared" si="1"/>
        <v>#REF!</v>
      </c>
      <c r="Q57" s="52" t="e">
        <f t="shared" si="2"/>
        <v>#REF!</v>
      </c>
      <c r="R57" s="114">
        <v>7.82</v>
      </c>
      <c r="S57" s="50">
        <v>216</v>
      </c>
      <c r="T57" s="52">
        <v>15.426778923764667</v>
      </c>
      <c r="U57" s="52">
        <v>16.55388837111024</v>
      </c>
      <c r="V57">
        <v>10.243375670937882</v>
      </c>
      <c r="W57">
        <v>15.932443503932994</v>
      </c>
      <c r="X57">
        <v>30.328034355740279</v>
      </c>
      <c r="Y57">
        <v>27.204889003652291</v>
      </c>
    </row>
    <row r="58" spans="1:25" ht="15.9" customHeight="1">
      <c r="A58" s="50">
        <v>275</v>
      </c>
      <c r="B58" s="52">
        <v>18.237679883589891</v>
      </c>
      <c r="C58" s="50">
        <v>222.47191011235955</v>
      </c>
      <c r="D58" s="52">
        <v>0.34911995143567648</v>
      </c>
      <c r="E58" s="53">
        <v>0.37938955914689365</v>
      </c>
      <c r="F58" s="53">
        <v>0.37938955914689365</v>
      </c>
      <c r="G58" s="50">
        <v>275</v>
      </c>
      <c r="H58" s="999">
        <v>17.242241050405337</v>
      </c>
      <c r="I58" s="52">
        <v>18.738462765252184</v>
      </c>
      <c r="J58" s="52">
        <v>10.355514804665251</v>
      </c>
      <c r="K58" s="52">
        <v>10.437321216616056</v>
      </c>
      <c r="L58" s="52">
        <v>10.357177018526757</v>
      </c>
      <c r="M58" s="52">
        <v>10.566649362383584</v>
      </c>
      <c r="N58" s="52">
        <f t="shared" si="3"/>
        <v>10.355514804665251</v>
      </c>
      <c r="O58" s="52" t="e">
        <f>MIN(#REF!,K58,M58)</f>
        <v>#REF!</v>
      </c>
      <c r="P58" s="52" t="e">
        <f t="shared" si="1"/>
        <v>#REF!</v>
      </c>
      <c r="Q58" s="52" t="e">
        <f t="shared" si="2"/>
        <v>#REF!</v>
      </c>
      <c r="R58" s="114">
        <v>7.82</v>
      </c>
      <c r="S58" s="50">
        <v>220</v>
      </c>
      <c r="T58" s="52">
        <v>16.399952952636728</v>
      </c>
      <c r="U58" s="52">
        <v>18.259176630015453</v>
      </c>
      <c r="V58">
        <v>10.644351785198438</v>
      </c>
      <c r="W58">
        <v>16.092167838191941</v>
      </c>
      <c r="X58">
        <v>30.818191428858299</v>
      </c>
      <c r="Y58">
        <v>27.737183673246147</v>
      </c>
    </row>
    <row r="59" spans="1:25" ht="15.9" customHeight="1">
      <c r="A59" s="50">
        <v>280</v>
      </c>
      <c r="B59" s="52">
        <v>16.852611942043108</v>
      </c>
      <c r="C59" s="50">
        <v>226.51685393258427</v>
      </c>
      <c r="D59" s="52">
        <v>0.35074541611844418</v>
      </c>
      <c r="E59" s="53">
        <v>0.38682033292656542</v>
      </c>
      <c r="F59" s="53">
        <v>0.38682033292656542</v>
      </c>
      <c r="G59" s="50">
        <v>280</v>
      </c>
      <c r="H59" s="999">
        <v>16.225599638991678</v>
      </c>
      <c r="I59" s="52">
        <v>17.196040094491259</v>
      </c>
      <c r="J59" s="52">
        <v>9.7987714360967146</v>
      </c>
      <c r="K59" s="52">
        <v>9.929754923888126</v>
      </c>
      <c r="L59" s="52">
        <v>9.8135258906937128</v>
      </c>
      <c r="M59" s="52">
        <v>12.958682111546981</v>
      </c>
      <c r="N59" s="52">
        <f t="shared" si="3"/>
        <v>9.7987714360967146</v>
      </c>
      <c r="O59" s="52" t="e">
        <f>MIN(#REF!,K59,M59)</f>
        <v>#REF!</v>
      </c>
      <c r="P59" s="52" t="e">
        <f t="shared" si="1"/>
        <v>#REF!</v>
      </c>
      <c r="Q59" s="52" t="e">
        <f t="shared" si="2"/>
        <v>#REF!</v>
      </c>
      <c r="R59" s="114">
        <v>7.82</v>
      </c>
      <c r="S59" s="50">
        <v>224</v>
      </c>
      <c r="T59" s="52">
        <v>17.42284355067866</v>
      </c>
      <c r="U59" s="52">
        <v>19.630841363714818</v>
      </c>
      <c r="V59">
        <v>11.119589784836993</v>
      </c>
      <c r="W59">
        <v>16.283856896018641</v>
      </c>
      <c r="X59">
        <v>31.090616368416967</v>
      </c>
      <c r="Y59">
        <v>28.201507763818157</v>
      </c>
    </row>
    <row r="60" spans="1:25" ht="15.9" customHeight="1">
      <c r="A60" s="50">
        <v>285</v>
      </c>
      <c r="B60" s="52">
        <v>15.618942099762798</v>
      </c>
      <c r="C60" s="50">
        <v>230.56179775280899</v>
      </c>
      <c r="D60" s="52">
        <v>0.35304451364714234</v>
      </c>
      <c r="E60" s="53">
        <v>0.39310069954604793</v>
      </c>
      <c r="F60" s="53">
        <v>0.39310069954604793</v>
      </c>
      <c r="G60" s="50">
        <v>285</v>
      </c>
      <c r="H60" s="999">
        <v>15.314044465159972</v>
      </c>
      <c r="I60" s="52">
        <v>15.811815071717188</v>
      </c>
      <c r="J60" s="52">
        <v>9.3104437913660263</v>
      </c>
      <c r="K60" s="52">
        <v>9.4795948162578405</v>
      </c>
      <c r="L60" s="52">
        <v>9.3354827001199858</v>
      </c>
      <c r="M60" s="52">
        <v>12.869457474354391</v>
      </c>
      <c r="N60" s="52">
        <f t="shared" si="3"/>
        <v>9.3104437913660263</v>
      </c>
      <c r="O60" s="52" t="e">
        <f>MIN(#REF!,K60,M60)</f>
        <v>#REF!</v>
      </c>
      <c r="P60" s="52" t="e">
        <f t="shared" si="1"/>
        <v>#REF!</v>
      </c>
      <c r="Q60" s="52" t="e">
        <f t="shared" si="2"/>
        <v>#REF!</v>
      </c>
      <c r="R60" s="114">
        <v>7.82</v>
      </c>
      <c r="S60" s="50">
        <v>228</v>
      </c>
      <c r="T60" s="52">
        <v>16.915465294946873</v>
      </c>
      <c r="U60" s="52">
        <v>19.023985546500054</v>
      </c>
      <c r="V60">
        <v>10.876020149043192</v>
      </c>
      <c r="W60">
        <v>16.186481622985589</v>
      </c>
      <c r="X60">
        <v>30.982642658092132</v>
      </c>
      <c r="Y60">
        <v>27.975495462847121</v>
      </c>
    </row>
    <row r="61" spans="1:25" ht="15.9" customHeight="1">
      <c r="A61" s="50">
        <v>290</v>
      </c>
      <c r="B61" s="52">
        <v>14.534517654124228</v>
      </c>
      <c r="C61" s="50">
        <v>234.6067415730337</v>
      </c>
      <c r="D61" s="52">
        <v>0.35590898411493171</v>
      </c>
      <c r="E61" s="53">
        <v>0.39816058359318218</v>
      </c>
      <c r="F61" s="53">
        <v>0.39816058359318218</v>
      </c>
      <c r="G61" s="50">
        <v>290</v>
      </c>
      <c r="H61" s="999">
        <v>14.502959628321777</v>
      </c>
      <c r="I61" s="52">
        <v>14.592421139655857</v>
      </c>
      <c r="J61" s="52">
        <v>8.8831835539378705</v>
      </c>
      <c r="K61" s="52">
        <v>9.0814567689795815</v>
      </c>
      <c r="L61" s="52">
        <v>8.9161967454555171</v>
      </c>
      <c r="M61" s="52">
        <v>12.184797808389458</v>
      </c>
      <c r="N61" s="52">
        <f t="shared" si="3"/>
        <v>8.8831835539378705</v>
      </c>
      <c r="O61" s="52" t="e">
        <f>MIN(#REF!,K61,M61)</f>
        <v>#REF!</v>
      </c>
      <c r="P61" s="52" t="e">
        <f t="shared" si="1"/>
        <v>#REF!</v>
      </c>
      <c r="Q61" s="52" t="e">
        <f t="shared" si="2"/>
        <v>#REF!</v>
      </c>
      <c r="R61" s="114">
        <v>7.82</v>
      </c>
      <c r="S61" s="50">
        <v>232</v>
      </c>
      <c r="T61" s="52">
        <v>15.889856891241124</v>
      </c>
      <c r="U61" s="52">
        <v>17.388727542725306</v>
      </c>
      <c r="V61">
        <v>10.424838407491459</v>
      </c>
      <c r="W61">
        <v>16.003617603700107</v>
      </c>
      <c r="X61">
        <v>30.602004040791449</v>
      </c>
      <c r="Y61">
        <v>27.481650811622842</v>
      </c>
    </row>
    <row r="62" spans="1:25" ht="15.9" customHeight="1">
      <c r="A62" s="50">
        <v>295</v>
      </c>
      <c r="B62" s="52">
        <v>13.59075169426149</v>
      </c>
      <c r="C62" s="50">
        <v>238.65168539325845</v>
      </c>
      <c r="D62" s="52">
        <v>0.35920725804359682</v>
      </c>
      <c r="E62" s="53">
        <v>0.40201651339494221</v>
      </c>
      <c r="F62" s="53">
        <v>0.40201651339494221</v>
      </c>
      <c r="G62" s="50">
        <v>295</v>
      </c>
      <c r="H62" s="999">
        <v>13.472131097386145</v>
      </c>
      <c r="I62" s="52">
        <v>13.532470902961375</v>
      </c>
      <c r="J62" s="52">
        <v>10.075778490128174</v>
      </c>
      <c r="K62" s="52">
        <v>8.7302479924552667</v>
      </c>
      <c r="L62" s="52">
        <v>8.5493465667781816</v>
      </c>
      <c r="M62" s="52">
        <v>11.602324003058872</v>
      </c>
      <c r="N62" s="52">
        <f t="shared" si="3"/>
        <v>8.5493465667781816</v>
      </c>
      <c r="O62" s="52" t="e">
        <f>MIN(#REF!,K62,M62)</f>
        <v>#REF!</v>
      </c>
      <c r="P62" s="52" t="e">
        <f t="shared" si="1"/>
        <v>#REF!</v>
      </c>
      <c r="Q62" s="52" t="e">
        <f t="shared" si="2"/>
        <v>#REF!</v>
      </c>
      <c r="R62" s="114">
        <v>7.82</v>
      </c>
      <c r="S62" s="50">
        <v>236</v>
      </c>
      <c r="T62" s="52">
        <v>14.904730190857682</v>
      </c>
      <c r="U62" s="52">
        <v>15.570744509023744</v>
      </c>
      <c r="V62">
        <v>10.017963715657229</v>
      </c>
      <c r="W62">
        <v>15.847584137146489</v>
      </c>
      <c r="X62">
        <v>30.015591744970646</v>
      </c>
      <c r="Y62">
        <v>26.909030941211611</v>
      </c>
    </row>
    <row r="63" spans="1:25" ht="15.9" customHeight="1">
      <c r="A63" s="50">
        <v>300</v>
      </c>
      <c r="B63" s="52">
        <v>12.775838759588364</v>
      </c>
      <c r="C63" s="50">
        <v>242.69662921348316</v>
      </c>
      <c r="D63" s="52">
        <v>0.3627929811774061</v>
      </c>
      <c r="E63" s="53">
        <v>0.40476200518431676</v>
      </c>
      <c r="F63" s="53">
        <v>0.40476200518431676</v>
      </c>
      <c r="G63" s="50">
        <v>300</v>
      </c>
      <c r="H63" s="999">
        <v>12.387161069715591</v>
      </c>
      <c r="I63" s="52">
        <v>12.619943226097087</v>
      </c>
      <c r="J63" s="52">
        <v>9.6553584098641831</v>
      </c>
      <c r="K63" s="52">
        <v>8.4212858833393085</v>
      </c>
      <c r="L63" s="52">
        <v>9.4591561082787887</v>
      </c>
      <c r="M63" s="52">
        <v>11.111034201301292</v>
      </c>
      <c r="N63" s="52">
        <f t="shared" si="3"/>
        <v>9.4591561082787887</v>
      </c>
      <c r="O63" s="52" t="e">
        <f>MIN(#REF!,K63,M63)</f>
        <v>#REF!</v>
      </c>
      <c r="P63" s="52" t="e">
        <f t="shared" si="1"/>
        <v>#REF!</v>
      </c>
      <c r="Q63" s="52" t="e">
        <f t="shared" si="2"/>
        <v>#REF!</v>
      </c>
      <c r="R63" s="114">
        <v>7.82</v>
      </c>
      <c r="S63" s="50">
        <v>240</v>
      </c>
      <c r="T63" s="52">
        <v>13.955630145389504</v>
      </c>
      <c r="U63" s="52">
        <v>13.747976557493191</v>
      </c>
      <c r="V63">
        <v>9.6433631122343009</v>
      </c>
      <c r="W63">
        <v>15.723103696907087</v>
      </c>
      <c r="X63">
        <v>29.196346713739036</v>
      </c>
      <c r="Y63">
        <v>26.11536104210699</v>
      </c>
    </row>
    <row r="64" spans="1:25" ht="15.9" customHeight="1">
      <c r="A64" s="50">
        <v>305</v>
      </c>
      <c r="B64" s="52">
        <v>12.076952695619299</v>
      </c>
      <c r="C64" s="50">
        <v>246.74157303370788</v>
      </c>
      <c r="D64" s="52">
        <v>0.36651432077826634</v>
      </c>
      <c r="E64" s="53">
        <v>0.40655221451149143</v>
      </c>
      <c r="F64" s="53">
        <v>0.40655221451149143</v>
      </c>
      <c r="G64" s="50">
        <v>305</v>
      </c>
      <c r="H64" s="999">
        <v>11.470120539907359</v>
      </c>
      <c r="I64" s="52">
        <v>11.840057937367515</v>
      </c>
      <c r="J64" s="52">
        <v>9.3032380701482822</v>
      </c>
      <c r="K64" s="52">
        <v>8.1503366404957855</v>
      </c>
      <c r="L64" s="52">
        <v>9.1149186401247189</v>
      </c>
      <c r="M64" s="52">
        <v>10.701324056284191</v>
      </c>
      <c r="N64" s="52">
        <f t="shared" si="3"/>
        <v>9.1149186401247189</v>
      </c>
      <c r="O64" s="52" t="e">
        <f>MIN(#REF!,K64,M64)</f>
        <v>#REF!</v>
      </c>
      <c r="P64" s="52" t="e">
        <f t="shared" si="1"/>
        <v>#REF!</v>
      </c>
      <c r="Q64" s="52" t="e">
        <f t="shared" si="2"/>
        <v>#REF!</v>
      </c>
      <c r="R64" s="114">
        <v>7.82</v>
      </c>
      <c r="S64" s="50">
        <v>244</v>
      </c>
      <c r="T64" s="52">
        <v>13.129399317141903</v>
      </c>
      <c r="U64" s="52">
        <v>12.199396667814909</v>
      </c>
      <c r="V64">
        <v>9.2907255253489023</v>
      </c>
      <c r="W64">
        <v>15.648723725900723</v>
      </c>
      <c r="X64">
        <v>28.186734548884889</v>
      </c>
      <c r="Y64">
        <v>25.277722801662996</v>
      </c>
    </row>
    <row r="65" spans="1:25" ht="15.9" customHeight="1">
      <c r="A65" s="50">
        <v>310</v>
      </c>
      <c r="B65" s="52">
        <v>11.481592066759784</v>
      </c>
      <c r="C65" s="50">
        <v>250.7865168539326</v>
      </c>
      <c r="D65" s="52">
        <v>0.37022336174020226</v>
      </c>
      <c r="E65" s="53">
        <v>0.40758422879200085</v>
      </c>
      <c r="F65" s="53">
        <v>0.40758422879200085</v>
      </c>
      <c r="G65" s="50">
        <v>310</v>
      </c>
      <c r="H65" s="999">
        <v>10.699427801298439</v>
      </c>
      <c r="I65" s="52">
        <v>11.177702693414352</v>
      </c>
      <c r="J65" s="52">
        <v>9.0125884628356676</v>
      </c>
      <c r="K65" s="52">
        <v>8.3718434492484519</v>
      </c>
      <c r="L65" s="52">
        <v>8.8303113625527008</v>
      </c>
      <c r="M65" s="52">
        <v>10.36504454415943</v>
      </c>
      <c r="N65" s="52">
        <f t="shared" si="3"/>
        <v>8.8303113625527008</v>
      </c>
      <c r="O65" s="52" t="e">
        <f>MIN(#REF!,K65,M65)</f>
        <v>#REF!</v>
      </c>
      <c r="P65" s="52" t="e">
        <f t="shared" si="1"/>
        <v>#REF!</v>
      </c>
      <c r="Q65" s="52" t="e">
        <f t="shared" si="2"/>
        <v>#REF!</v>
      </c>
      <c r="R65" s="114">
        <v>7.82</v>
      </c>
      <c r="S65" s="50">
        <v>248</v>
      </c>
      <c r="T65" s="52">
        <v>12.276444091026642</v>
      </c>
      <c r="U65" s="52">
        <v>10.770706247285478</v>
      </c>
      <c r="V65">
        <v>8.9554479889270038</v>
      </c>
      <c r="W65">
        <v>15.573928383640101</v>
      </c>
      <c r="X65">
        <v>27.028258153211809</v>
      </c>
      <c r="Y65">
        <v>24.161857693230452</v>
      </c>
    </row>
    <row r="66" spans="1:25" ht="15.9" customHeight="1">
      <c r="A66" s="50">
        <v>315</v>
      </c>
      <c r="B66" s="52">
        <v>10.978310618676442</v>
      </c>
      <c r="C66" s="50">
        <v>254.83146067415731</v>
      </c>
      <c r="D66" s="52">
        <v>0.37378490057596903</v>
      </c>
      <c r="E66" s="53">
        <v>0.4080747097472554</v>
      </c>
      <c r="F66" s="53">
        <v>0.4080747097472554</v>
      </c>
      <c r="G66" s="50">
        <v>315</v>
      </c>
      <c r="H66" s="999">
        <v>10.054661063615889</v>
      </c>
      <c r="I66" s="52">
        <v>10.618767710205493</v>
      </c>
      <c r="J66" s="52">
        <v>8.7778025601119793</v>
      </c>
      <c r="K66" s="52">
        <v>8.1516838408949628</v>
      </c>
      <c r="L66" s="52">
        <v>8.5999244466641152</v>
      </c>
      <c r="M66" s="52">
        <v>10.095448642235965</v>
      </c>
      <c r="N66" s="52">
        <f t="shared" si="3"/>
        <v>8.5999244466641152</v>
      </c>
      <c r="O66" s="52" t="e">
        <f>MIN(#REF!,K66,M66)</f>
        <v>#REF!</v>
      </c>
      <c r="P66" s="52" t="e">
        <f t="shared" si="1"/>
        <v>#REF!</v>
      </c>
      <c r="Q66" s="52" t="e">
        <f t="shared" si="2"/>
        <v>#REF!</v>
      </c>
      <c r="R66" s="114">
        <v>7.82</v>
      </c>
      <c r="S66" s="50">
        <v>252</v>
      </c>
      <c r="T66" s="52">
        <v>11.499540381910471</v>
      </c>
      <c r="U66" s="52">
        <v>9.630272470739861</v>
      </c>
      <c r="V66">
        <v>8.6401397371171988</v>
      </c>
      <c r="W66">
        <v>15.520607990506896</v>
      </c>
      <c r="X66">
        <v>25.747973579760654</v>
      </c>
      <c r="Y66">
        <v>23.117105250020831</v>
      </c>
    </row>
    <row r="67" spans="1:25" ht="15.9" customHeight="1">
      <c r="A67" s="50">
        <v>320</v>
      </c>
      <c r="B67" s="52">
        <v>10.557047949303627</v>
      </c>
      <c r="C67" s="50">
        <v>258.87640449438203</v>
      </c>
      <c r="D67" s="52">
        <v>0.37708399883409699</v>
      </c>
      <c r="E67" s="52">
        <v>0.4082367910571818</v>
      </c>
      <c r="F67" s="53">
        <v>0.4082367910571818</v>
      </c>
      <c r="G67" s="50">
        <v>320</v>
      </c>
      <c r="H67" s="999">
        <v>9.5178565346481623</v>
      </c>
      <c r="I67" s="52">
        <v>10.150764942769635</v>
      </c>
      <c r="J67" s="52">
        <v>8.5943857028497632</v>
      </c>
      <c r="K67" s="52">
        <v>7.9774286226082909</v>
      </c>
      <c r="L67" s="52">
        <v>8.4194175476573587</v>
      </c>
      <c r="M67" s="52">
        <v>9.8870875823042255</v>
      </c>
      <c r="N67" s="52">
        <f t="shared" si="3"/>
        <v>8.4194175476573587</v>
      </c>
      <c r="O67" s="52" t="e">
        <f>MIN(#REF!,K67,M67)</f>
        <v>#REF!</v>
      </c>
      <c r="P67" s="52" t="e">
        <f t="shared" si="1"/>
        <v>#REF!</v>
      </c>
      <c r="Q67" s="52" t="e">
        <f t="shared" si="2"/>
        <v>#REF!</v>
      </c>
      <c r="R67" s="114">
        <v>7.82</v>
      </c>
      <c r="S67" s="50">
        <v>256</v>
      </c>
      <c r="T67" s="52">
        <v>10.835226122862853</v>
      </c>
      <c r="U67" s="52">
        <v>8.7345349386025468</v>
      </c>
      <c r="V67">
        <v>8.3306139365501668</v>
      </c>
      <c r="W67">
        <v>15.520027379562375</v>
      </c>
      <c r="X67">
        <v>24.372540182153251</v>
      </c>
      <c r="Y67">
        <v>22.070088928499139</v>
      </c>
    </row>
    <row r="68" spans="1:25" ht="15.9" customHeight="1">
      <c r="A68" s="50">
        <v>325</v>
      </c>
      <c r="B68" s="52">
        <v>10.209222345000207</v>
      </c>
      <c r="C68" s="50">
        <v>262.92134831460675</v>
      </c>
      <c r="D68" s="52">
        <v>0.38003176042689829</v>
      </c>
      <c r="E68" s="52">
        <v>0.40825817950575743</v>
      </c>
      <c r="F68" s="53">
        <v>0.40825817950575743</v>
      </c>
      <c r="G68" s="50">
        <v>325</v>
      </c>
      <c r="H68" s="999">
        <v>9.0738659681842293</v>
      </c>
      <c r="I68" s="52">
        <v>9.7630258119762825</v>
      </c>
      <c r="J68" s="52">
        <v>8.4588495520344438</v>
      </c>
      <c r="K68" s="52">
        <v>15.119311627084562</v>
      </c>
      <c r="L68" s="52">
        <v>8.2854192521442425</v>
      </c>
      <c r="M68" s="52">
        <v>9.735689776844195</v>
      </c>
      <c r="N68" s="52">
        <f t="shared" si="3"/>
        <v>8.2854192521442425</v>
      </c>
      <c r="O68" s="52" t="e">
        <f>MIN(#REF!,K68,M68)</f>
        <v>#REF!</v>
      </c>
      <c r="P68" s="52" t="e">
        <f t="shared" ref="P68:P74" si="4">$N$75</f>
        <v>#REF!</v>
      </c>
      <c r="Q68" s="52" t="e">
        <f t="shared" ref="Q68:Q74" si="5">$O$75</f>
        <v>#REF!</v>
      </c>
      <c r="R68" s="114">
        <v>7.82</v>
      </c>
      <c r="S68" s="50">
        <v>260</v>
      </c>
      <c r="T68" s="52">
        <v>10.220977126841605</v>
      </c>
      <c r="U68" s="52">
        <v>7.8781798970562233</v>
      </c>
      <c r="V68">
        <v>8.0450140001513812</v>
      </c>
      <c r="W68">
        <v>15.540352090923939</v>
      </c>
      <c r="X68">
        <v>22.956238254955196</v>
      </c>
      <c r="Y68">
        <v>20.713797236600353</v>
      </c>
    </row>
    <row r="69" spans="1:25" ht="15.9" customHeight="1">
      <c r="A69" s="50">
        <v>330</v>
      </c>
      <c r="B69" s="53">
        <v>9.9276952263645661</v>
      </c>
      <c r="C69" s="50">
        <v>266.96629213483146</v>
      </c>
      <c r="D69" s="53">
        <v>0.38256894144322384</v>
      </c>
      <c r="E69" s="52">
        <v>0.40828229417387646</v>
      </c>
      <c r="F69" s="53">
        <v>0.40828229417387646</v>
      </c>
      <c r="G69" s="50">
        <v>330</v>
      </c>
      <c r="H69" s="1000">
        <v>8.7102592462755517</v>
      </c>
      <c r="I69" s="53">
        <v>9.4466754190764721</v>
      </c>
      <c r="J69" s="53">
        <v>8.3686178210857971</v>
      </c>
      <c r="K69" s="53">
        <v>16.070582543684061</v>
      </c>
      <c r="L69" s="53">
        <v>8.1954384235114244</v>
      </c>
      <c r="M69" s="53">
        <v>9.6380382497370629</v>
      </c>
      <c r="N69" s="52">
        <f t="shared" si="3"/>
        <v>8.1954384235114244</v>
      </c>
      <c r="O69" s="52" t="e">
        <f>MIN(#REF!,K69,M69)</f>
        <v>#REF!</v>
      </c>
      <c r="P69" s="52" t="e">
        <f t="shared" si="4"/>
        <v>#REF!</v>
      </c>
      <c r="Q69" s="52" t="e">
        <f t="shared" si="5"/>
        <v>#REF!</v>
      </c>
      <c r="R69" s="114">
        <v>7.82</v>
      </c>
      <c r="S69" s="50">
        <v>264</v>
      </c>
      <c r="T69" s="52">
        <v>9.7504867933494417</v>
      </c>
      <c r="U69" s="52">
        <v>7.2737600596961531</v>
      </c>
      <c r="V69">
        <v>7.8905360079412548</v>
      </c>
      <c r="W69">
        <v>15.575202303555537</v>
      </c>
      <c r="X69">
        <v>21.516776773774097</v>
      </c>
      <c r="Y69">
        <v>19.585798953935445</v>
      </c>
    </row>
    <row r="70" spans="1:25" ht="15.9" customHeight="1">
      <c r="A70" s="50">
        <v>335</v>
      </c>
      <c r="B70" s="53">
        <v>9.7066757535653441</v>
      </c>
      <c r="C70" s="50">
        <v>271.01123595505618</v>
      </c>
      <c r="D70" s="53">
        <v>0.38466717480204915</v>
      </c>
      <c r="E70" s="52">
        <v>0.40839401719531904</v>
      </c>
      <c r="F70" s="53">
        <v>0.40839401719531904</v>
      </c>
      <c r="G70" s="50">
        <v>335</v>
      </c>
      <c r="H70" s="1000">
        <v>8.4170449398724028</v>
      </c>
      <c r="I70" s="53">
        <v>9.1945044104281699</v>
      </c>
      <c r="J70" s="53">
        <v>8.3219465602183114</v>
      </c>
      <c r="K70" s="53">
        <v>17.205976224371152</v>
      </c>
      <c r="L70" s="53">
        <v>17.591371998321954</v>
      </c>
      <c r="M70" s="53">
        <v>9.5918512916480072</v>
      </c>
      <c r="N70" s="52">
        <f t="shared" si="3"/>
        <v>8.3219465602183114</v>
      </c>
      <c r="O70" s="52" t="e">
        <f>MIN(#REF!,K70,M70)</f>
        <v>#REF!</v>
      </c>
      <c r="P70" s="52" t="e">
        <f t="shared" si="4"/>
        <v>#REF!</v>
      </c>
      <c r="Q70" s="52" t="e">
        <f t="shared" si="5"/>
        <v>#REF!</v>
      </c>
      <c r="R70" s="114">
        <v>7.82</v>
      </c>
      <c r="S70" s="50">
        <v>268</v>
      </c>
      <c r="T70" s="52">
        <v>9.2185771425819443</v>
      </c>
      <c r="U70" s="52">
        <v>6.6995770497173313</v>
      </c>
      <c r="V70">
        <v>7.5511817448530065</v>
      </c>
      <c r="W70">
        <v>15.491099100439071</v>
      </c>
      <c r="X70">
        <v>20.058296248867435</v>
      </c>
      <c r="Y70">
        <v>18.44305300454338</v>
      </c>
    </row>
    <row r="71" spans="1:25" ht="15.9" customHeight="1">
      <c r="A71" s="50">
        <v>340</v>
      </c>
      <c r="B71" s="52">
        <v>9.5416058597091116</v>
      </c>
      <c r="C71" s="50">
        <v>275.0561797752809</v>
      </c>
      <c r="D71" s="52">
        <v>0.38632778176646387</v>
      </c>
      <c r="E71" s="52">
        <v>0.40861124232445795</v>
      </c>
      <c r="F71" s="53">
        <v>0.40861124232445795</v>
      </c>
      <c r="G71" s="50">
        <v>340</v>
      </c>
      <c r="H71" s="999">
        <v>8.1863484715315025</v>
      </c>
      <c r="I71" s="52">
        <v>9.0008073861311573</v>
      </c>
      <c r="J71" s="52">
        <v>16.864213149966208</v>
      </c>
      <c r="K71" s="52">
        <v>18.556901464548684</v>
      </c>
      <c r="L71" s="52">
        <v>17.386759491891667</v>
      </c>
      <c r="M71" s="52">
        <v>9.5956630972884973</v>
      </c>
      <c r="N71" s="52">
        <f t="shared" si="3"/>
        <v>8.1863484715315025</v>
      </c>
      <c r="O71" s="52" t="e">
        <f>MIN(#REF!,K71,M71)</f>
        <v>#REF!</v>
      </c>
      <c r="P71" s="52" t="e">
        <f t="shared" si="4"/>
        <v>#REF!</v>
      </c>
      <c r="Q71" s="52" t="e">
        <f t="shared" si="5"/>
        <v>#REF!</v>
      </c>
      <c r="R71" s="114">
        <v>7.82</v>
      </c>
      <c r="S71" s="50">
        <v>272</v>
      </c>
      <c r="T71" s="52">
        <v>8.75342974122543</v>
      </c>
      <c r="U71" s="52">
        <v>6.2622337039878921</v>
      </c>
      <c r="V71">
        <v>7.2315154626435554</v>
      </c>
      <c r="W71">
        <v>15.044692237642643</v>
      </c>
      <c r="X71">
        <v>18.663276354666394</v>
      </c>
      <c r="Y71">
        <v>17.296492303390188</v>
      </c>
    </row>
    <row r="72" spans="1:25" ht="15.9" customHeight="1">
      <c r="A72" s="50">
        <v>345</v>
      </c>
      <c r="B72" s="52">
        <v>9.4290477940586186</v>
      </c>
      <c r="C72" s="50">
        <v>279.10112359550561</v>
      </c>
      <c r="D72" s="52">
        <v>0.3875783328437305</v>
      </c>
      <c r="E72" s="53">
        <v>0.40888292518351749</v>
      </c>
      <c r="F72" s="53">
        <v>0.40888292518351749</v>
      </c>
      <c r="G72" s="50">
        <v>345</v>
      </c>
      <c r="H72" s="999">
        <v>8.0121125924002925</v>
      </c>
      <c r="I72" s="52">
        <v>8.8612243034531701</v>
      </c>
      <c r="J72" s="52">
        <v>16.188573450575088</v>
      </c>
      <c r="K72" s="52">
        <v>17.96478862572264</v>
      </c>
      <c r="L72" s="52">
        <v>16.694045373407057</v>
      </c>
      <c r="M72" s="52">
        <v>9.6486941252562293</v>
      </c>
      <c r="N72" s="52">
        <f t="shared" si="3"/>
        <v>8.0121125924002925</v>
      </c>
      <c r="O72" s="52" t="e">
        <f>MIN(#REF!,K72,M72)</f>
        <v>#REF!</v>
      </c>
      <c r="P72" s="52" t="e">
        <f t="shared" si="4"/>
        <v>#REF!</v>
      </c>
      <c r="Q72" s="52" t="e">
        <f t="shared" si="5"/>
        <v>#REF!</v>
      </c>
      <c r="R72" s="114">
        <v>7.82</v>
      </c>
      <c r="S72" s="50">
        <v>276</v>
      </c>
      <c r="T72" s="52">
        <v>8.3842852309824565</v>
      </c>
      <c r="U72" s="52">
        <v>5.9267829719470457</v>
      </c>
      <c r="V72">
        <v>7.0202567086266798</v>
      </c>
      <c r="W72">
        <v>14.364400648603405</v>
      </c>
      <c r="X72">
        <v>17.380966701380984</v>
      </c>
      <c r="Y72">
        <v>16.236788725920569</v>
      </c>
    </row>
    <row r="73" spans="1:25" ht="15.9" customHeight="1">
      <c r="A73" s="50">
        <v>350</v>
      </c>
      <c r="B73" s="52">
        <v>9.3665851039187995</v>
      </c>
      <c r="C73" s="50">
        <v>283.14606741573033</v>
      </c>
      <c r="D73" s="52">
        <v>0.388467296867614</v>
      </c>
      <c r="E73" s="53">
        <v>0.40909380023463637</v>
      </c>
      <c r="F73" s="53">
        <v>0.40909380023463637</v>
      </c>
      <c r="G73" s="50">
        <v>350</v>
      </c>
      <c r="H73" s="999">
        <v>7.8898459815381301</v>
      </c>
      <c r="I73" s="52">
        <v>8.7726024340709241</v>
      </c>
      <c r="J73" s="52">
        <v>15.476393161020042</v>
      </c>
      <c r="K73" s="52">
        <v>17.222108623630977</v>
      </c>
      <c r="L73" s="52">
        <v>15.95998021368935</v>
      </c>
      <c r="M73" s="52">
        <v>9.7506931125984231</v>
      </c>
      <c r="N73" s="52">
        <f t="shared" si="3"/>
        <v>7.8898459815381301</v>
      </c>
      <c r="O73" s="52" t="e">
        <f>MIN(#REF!,K73,M73)</f>
        <v>#REF!</v>
      </c>
      <c r="P73" s="52" t="e">
        <f t="shared" si="4"/>
        <v>#REF!</v>
      </c>
      <c r="Q73" s="52" t="e">
        <f t="shared" si="5"/>
        <v>#REF!</v>
      </c>
      <c r="R73" s="114">
        <v>7.82</v>
      </c>
      <c r="S73" s="50">
        <v>280</v>
      </c>
      <c r="T73" s="52">
        <v>8.0447825126618859</v>
      </c>
      <c r="U73" s="52">
        <v>5.5521993044827607</v>
      </c>
      <c r="V73">
        <v>6.7895401821158421</v>
      </c>
      <c r="W73">
        <v>13.596091648243362</v>
      </c>
      <c r="X73">
        <v>16.193734430210043</v>
      </c>
      <c r="Y73">
        <v>15.267297351989795</v>
      </c>
    </row>
    <row r="74" spans="1:25" ht="15.9" customHeight="1">
      <c r="A74" s="50">
        <v>355</v>
      </c>
      <c r="B74" s="52">
        <v>9.3527413060404818</v>
      </c>
      <c r="C74" s="50">
        <v>287.19101123595505</v>
      </c>
      <c r="D74" s="52">
        <v>0.3890572651708436</v>
      </c>
      <c r="E74" s="53">
        <v>0.40907537741438882</v>
      </c>
      <c r="F74" s="53">
        <v>0.40907537741438882</v>
      </c>
      <c r="G74" s="50">
        <v>355</v>
      </c>
      <c r="H74" s="999">
        <v>7.816427065842019</v>
      </c>
      <c r="I74" s="52">
        <v>8.7328859663803016</v>
      </c>
      <c r="J74" s="52">
        <v>14.737541321266031</v>
      </c>
      <c r="K74" s="52">
        <v>16.43077418251989</v>
      </c>
      <c r="L74" s="52">
        <v>15.194341639127922</v>
      </c>
      <c r="M74" s="52">
        <v>12.223101410302334</v>
      </c>
      <c r="N74" s="52">
        <f t="shared" si="3"/>
        <v>7.816427065842019</v>
      </c>
      <c r="O74" s="52" t="e">
        <f>MIN(#REF!,K74,M74)</f>
        <v>#REF!</v>
      </c>
      <c r="P74" s="52" t="e">
        <f t="shared" si="4"/>
        <v>#REF!</v>
      </c>
      <c r="Q74" s="52" t="e">
        <f t="shared" si="5"/>
        <v>#REF!</v>
      </c>
      <c r="R74" s="114">
        <v>7.82</v>
      </c>
      <c r="S74" s="50">
        <v>284</v>
      </c>
      <c r="T74" s="52">
        <v>7.8215424487941458</v>
      </c>
      <c r="U74" s="52">
        <v>5.3204718209499307</v>
      </c>
      <c r="V74">
        <v>6.621722686104671</v>
      </c>
      <c r="W74">
        <v>12.884462685207419</v>
      </c>
      <c r="X74">
        <v>15.156613538996398</v>
      </c>
      <c r="Y74">
        <v>14.381137765422134</v>
      </c>
    </row>
    <row r="75" spans="1:25" ht="15.9" customHeight="1">
      <c r="A75" s="50">
        <v>360</v>
      </c>
      <c r="B75" s="52">
        <v>12.317464997416179</v>
      </c>
      <c r="C75" s="50">
        <v>291.23595505617976</v>
      </c>
      <c r="D75" s="52">
        <v>0.38941734604195166</v>
      </c>
      <c r="E75" s="53">
        <v>0.40862231018903916</v>
      </c>
      <c r="F75" s="53">
        <v>0.40862231018903916</v>
      </c>
      <c r="G75" s="50">
        <v>360</v>
      </c>
      <c r="H75" s="999">
        <v>7.7899620731662989</v>
      </c>
      <c r="I75" s="52">
        <v>8.7410347416929017</v>
      </c>
      <c r="J75" s="52">
        <v>13.984467403512841</v>
      </c>
      <c r="K75" s="52">
        <v>15.602034288426681</v>
      </c>
      <c r="L75" s="52">
        <v>14.410075731637864</v>
      </c>
      <c r="M75" s="52">
        <v>11.694471806543582</v>
      </c>
      <c r="N75" s="52" t="e">
        <f>MIN(N3:N74)</f>
        <v>#REF!</v>
      </c>
      <c r="O75" s="52" t="e">
        <f>MIN(O3:O74)</f>
        <v>#REF!</v>
      </c>
      <c r="P75" s="52" t="e">
        <f>MIN(P3:P74)</f>
        <v>#REF!</v>
      </c>
      <c r="Q75" s="114" t="e">
        <f t="shared" ref="Q75:Q93" si="6">MIN(H75:P75)</f>
        <v>#REF!</v>
      </c>
      <c r="R75" s="114">
        <v>7.82</v>
      </c>
      <c r="S75" s="50">
        <v>288</v>
      </c>
      <c r="T75" s="52">
        <v>7.5192471210756882</v>
      </c>
      <c r="U75" s="52">
        <v>5.0700267491844642</v>
      </c>
      <c r="V75">
        <v>6.4193372758433416</v>
      </c>
      <c r="W75">
        <v>12.034598464324773</v>
      </c>
      <c r="X75">
        <v>14.166277861143104</v>
      </c>
      <c r="Y75">
        <v>13.470436277320511</v>
      </c>
    </row>
    <row r="76" spans="1:25" ht="15.9" customHeight="1">
      <c r="A76" s="50">
        <v>292</v>
      </c>
      <c r="B76" s="52">
        <v>13.292717553039875</v>
      </c>
      <c r="C76" s="50">
        <v>295.28089887640448</v>
      </c>
      <c r="D76" s="52">
        <v>0.38961538463515977</v>
      </c>
      <c r="E76" s="53">
        <v>0.40751277829560034</v>
      </c>
      <c r="F76" s="53">
        <v>0.40751277829560034</v>
      </c>
      <c r="G76" s="50">
        <v>219</v>
      </c>
      <c r="H76" s="999">
        <v>7.5313525888643005</v>
      </c>
      <c r="I76" s="633">
        <v>15.179459438258901</v>
      </c>
      <c r="J76" s="203">
        <v>0</v>
      </c>
      <c r="K76" s="633">
        <f>MIN(K3:K75)</f>
        <v>5.5380974331957766E-2</v>
      </c>
      <c r="L76" s="52">
        <v>13.391806340411126</v>
      </c>
      <c r="M76" s="52">
        <v>16.933055679335631</v>
      </c>
      <c r="N76" s="52">
        <v>22.665366783214346</v>
      </c>
      <c r="O76" s="52">
        <v>14.958672524598965</v>
      </c>
      <c r="P76" s="52">
        <v>13.292717553039875</v>
      </c>
      <c r="Q76" s="114">
        <f t="shared" si="6"/>
        <v>0</v>
      </c>
      <c r="R76" s="114">
        <v>7.82</v>
      </c>
      <c r="S76" s="50">
        <v>292</v>
      </c>
      <c r="T76" s="52">
        <v>7.262814977792261</v>
      </c>
      <c r="U76" s="52">
        <v>4.8923807170923919</v>
      </c>
      <c r="V76">
        <v>6.3149535635033525</v>
      </c>
      <c r="W76">
        <v>11.238292085062225</v>
      </c>
      <c r="X76">
        <v>13.292717553039875</v>
      </c>
      <c r="Y76">
        <v>12.774022309730169</v>
      </c>
    </row>
    <row r="77" spans="1:25" ht="15.9" customHeight="1">
      <c r="A77" s="50">
        <v>296</v>
      </c>
      <c r="B77" s="52">
        <v>12.545233471409674</v>
      </c>
      <c r="C77" s="50">
        <v>299.32584269662919</v>
      </c>
      <c r="D77" s="52">
        <v>0.38971067052803821</v>
      </c>
      <c r="E77" s="53">
        <v>0.40553118861208515</v>
      </c>
      <c r="F77" s="53">
        <v>0.40553118861208515</v>
      </c>
      <c r="G77" s="50">
        <v>222</v>
      </c>
      <c r="H77" s="999">
        <v>7.6814655774198313</v>
      </c>
      <c r="I77" s="633">
        <v>14.166277861143101</v>
      </c>
      <c r="J77" s="203">
        <v>0</v>
      </c>
      <c r="K77" s="203">
        <v>0</v>
      </c>
      <c r="L77" s="52">
        <v>12.714015826845907</v>
      </c>
      <c r="M77" s="52">
        <v>16.998964605733534</v>
      </c>
      <c r="N77" s="52">
        <v>21.202669185230864</v>
      </c>
      <c r="O77" s="52">
        <v>13.807724039339728</v>
      </c>
      <c r="P77" s="52">
        <v>12.545233471409674</v>
      </c>
      <c r="Q77" s="114">
        <f t="shared" si="6"/>
        <v>0</v>
      </c>
      <c r="R77" s="114">
        <v>7.82</v>
      </c>
      <c r="S77" s="50">
        <v>296</v>
      </c>
      <c r="T77" s="52">
        <v>7.0807964028140278</v>
      </c>
      <c r="U77" s="52">
        <v>4.7703934291999648</v>
      </c>
      <c r="V77">
        <v>6.2604805204474872</v>
      </c>
      <c r="W77">
        <v>10.56697497438269</v>
      </c>
      <c r="X77">
        <v>12.545233471409674</v>
      </c>
      <c r="Y77">
        <v>12.042832846690803</v>
      </c>
    </row>
    <row r="78" spans="1:25" ht="15.9" customHeight="1">
      <c r="A78" s="50">
        <v>300</v>
      </c>
      <c r="B78" s="52">
        <v>11.857318091794699</v>
      </c>
      <c r="C78" s="50">
        <v>303.37078651685397</v>
      </c>
      <c r="D78" s="52">
        <v>0.38974774877810431</v>
      </c>
      <c r="E78" s="53">
        <v>0.40249129380320997</v>
      </c>
      <c r="F78" s="53">
        <v>0.40249129380320997</v>
      </c>
      <c r="G78" s="50">
        <v>225</v>
      </c>
      <c r="H78" s="999">
        <v>7.841507442215649</v>
      </c>
      <c r="I78" s="633">
        <v>13.2927175530399</v>
      </c>
      <c r="J78" s="203">
        <v>0</v>
      </c>
      <c r="K78" s="203">
        <v>0</v>
      </c>
      <c r="L78" s="52">
        <v>12.178963744847081</v>
      </c>
      <c r="M78" s="52">
        <v>17.237043375717771</v>
      </c>
      <c r="N78" s="52">
        <v>19.672926909926822</v>
      </c>
      <c r="O78" s="52">
        <v>12.787527916889401</v>
      </c>
      <c r="P78" s="52">
        <v>11.857318091794699</v>
      </c>
      <c r="Q78" s="114">
        <f t="shared" si="6"/>
        <v>0</v>
      </c>
      <c r="R78" s="114">
        <v>7.82</v>
      </c>
      <c r="S78" s="50">
        <v>300</v>
      </c>
      <c r="T78" s="52">
        <v>6.9155245118736239</v>
      </c>
      <c r="U78" s="52">
        <v>4.5971055551921411</v>
      </c>
      <c r="V78">
        <v>6.0379161091323823</v>
      </c>
      <c r="W78">
        <v>9.947002894296439</v>
      </c>
      <c r="X78">
        <v>11.857318091794699</v>
      </c>
      <c r="Y78">
        <v>11.282566267250186</v>
      </c>
    </row>
    <row r="79" spans="1:25" ht="15.9" customHeight="1">
      <c r="A79" s="50">
        <v>304</v>
      </c>
      <c r="B79" s="52">
        <v>11.304782622002277</v>
      </c>
      <c r="C79" s="50">
        <v>307.41573033707868</v>
      </c>
      <c r="D79" s="52">
        <v>0.38975185444106891</v>
      </c>
      <c r="E79" s="53">
        <v>0.39825777716053229</v>
      </c>
      <c r="F79" s="53">
        <v>0.39825777716053229</v>
      </c>
      <c r="G79" s="50">
        <v>228</v>
      </c>
      <c r="H79" s="999">
        <v>8.011997619049632</v>
      </c>
      <c r="I79" s="633">
        <v>12.5452334714097</v>
      </c>
      <c r="J79" s="203">
        <v>0</v>
      </c>
      <c r="K79" s="203">
        <v>0</v>
      </c>
      <c r="L79" s="52">
        <v>11.779937035375166</v>
      </c>
      <c r="M79" s="52">
        <v>17.637743092852993</v>
      </c>
      <c r="N79" s="52">
        <v>18.139264771813384</v>
      </c>
      <c r="O79" s="52">
        <v>11.901276223161794</v>
      </c>
      <c r="P79" s="52">
        <v>11.304782622002277</v>
      </c>
      <c r="Q79" s="114">
        <f t="shared" si="6"/>
        <v>0</v>
      </c>
      <c r="R79" s="114">
        <v>7.82</v>
      </c>
      <c r="S79" s="50">
        <v>304</v>
      </c>
      <c r="T79" s="52">
        <v>6.8445723982647966</v>
      </c>
      <c r="U79" s="52">
        <v>4.5254335106094992</v>
      </c>
      <c r="V79">
        <v>5.8839160881091033</v>
      </c>
      <c r="W79">
        <v>9.4780184277197748</v>
      </c>
      <c r="X79">
        <v>11.304782622002277</v>
      </c>
      <c r="Y79">
        <v>10.720953329654929</v>
      </c>
    </row>
    <row r="80" spans="1:25" ht="15.9" customHeight="1">
      <c r="A80" s="50">
        <v>308</v>
      </c>
      <c r="B80" s="52">
        <v>10.804064561253202</v>
      </c>
      <c r="C80" s="50">
        <v>311.4606741573034</v>
      </c>
      <c r="D80" s="52">
        <v>0.38972635284455703</v>
      </c>
      <c r="E80" s="53">
        <v>0.39276445781745156</v>
      </c>
      <c r="F80" s="53">
        <v>0.39276445781745156</v>
      </c>
      <c r="G80" s="50">
        <v>231</v>
      </c>
      <c r="H80" s="999">
        <v>8.1934797201108189</v>
      </c>
      <c r="I80" s="633">
        <v>11.857318091794699</v>
      </c>
      <c r="J80" s="203">
        <v>0</v>
      </c>
      <c r="K80" s="203">
        <v>0</v>
      </c>
      <c r="L80" s="52">
        <v>11.509517561461063</v>
      </c>
      <c r="M80" s="52">
        <v>18.188248674141565</v>
      </c>
      <c r="N80" s="52">
        <v>16.65671167898445</v>
      </c>
      <c r="O80" s="52">
        <v>11.147528631042558</v>
      </c>
      <c r="P80" s="52">
        <v>10.804064561253202</v>
      </c>
      <c r="Q80" s="114">
        <f t="shared" si="6"/>
        <v>0</v>
      </c>
      <c r="R80" s="114">
        <v>7.82</v>
      </c>
      <c r="S80" s="50">
        <v>308</v>
      </c>
      <c r="T80" s="52">
        <v>6.6911643894012398</v>
      </c>
      <c r="U80" s="52">
        <v>4.4225750930525303</v>
      </c>
      <c r="V80">
        <v>5.7989519194196939</v>
      </c>
      <c r="W80">
        <v>8.9327362893356508</v>
      </c>
      <c r="X80">
        <v>10.760671579355073</v>
      </c>
      <c r="Y80">
        <v>10.145080946596689</v>
      </c>
    </row>
    <row r="81" spans="1:25" ht="15.9" customHeight="1">
      <c r="A81" s="50">
        <v>312</v>
      </c>
      <c r="B81" s="52">
        <v>10.378016124531886</v>
      </c>
      <c r="C81" s="50">
        <v>315.50561797752812</v>
      </c>
      <c r="D81" s="52">
        <v>0.38965239954787645</v>
      </c>
      <c r="E81" s="53">
        <v>0.38602752520503658</v>
      </c>
      <c r="F81" s="53">
        <v>0.38965239954787645</v>
      </c>
      <c r="G81" s="50">
        <v>234</v>
      </c>
      <c r="H81" s="999">
        <v>8.3865189667717708</v>
      </c>
      <c r="I81" s="633">
        <v>11.3047826220023</v>
      </c>
      <c r="J81" s="203">
        <v>0</v>
      </c>
      <c r="K81" s="203">
        <v>0</v>
      </c>
      <c r="L81" s="52">
        <v>11.360860255616581</v>
      </c>
      <c r="M81" s="52">
        <v>18.868802318645763</v>
      </c>
      <c r="N81" s="52">
        <v>15.267623588416969</v>
      </c>
      <c r="O81" s="52">
        <v>10.521356374296694</v>
      </c>
      <c r="P81" s="52">
        <v>10.378016124531886</v>
      </c>
      <c r="Q81" s="114">
        <f t="shared" si="6"/>
        <v>0</v>
      </c>
      <c r="R81" s="114">
        <v>7.82</v>
      </c>
      <c r="S81" s="50">
        <v>312</v>
      </c>
      <c r="T81" s="52">
        <v>6.571013972239431</v>
      </c>
      <c r="U81" s="52">
        <v>4.3707135609466103</v>
      </c>
      <c r="V81">
        <v>5.7813231340191118</v>
      </c>
      <c r="W81">
        <v>8.468151379143487</v>
      </c>
      <c r="X81">
        <v>10.299472976518253</v>
      </c>
      <c r="Y81">
        <v>9.6256739632375172</v>
      </c>
    </row>
    <row r="82" spans="1:25" ht="15.9" customHeight="1">
      <c r="A82" s="50">
        <v>316</v>
      </c>
      <c r="B82" s="52">
        <v>10.062189009877255</v>
      </c>
      <c r="C82" s="50">
        <v>319.55056179775283</v>
      </c>
      <c r="D82" s="52">
        <v>0.38949084838631493</v>
      </c>
      <c r="E82" s="53">
        <v>0.37815259530848416</v>
      </c>
      <c r="F82" s="53">
        <v>0.38949084838631493</v>
      </c>
      <c r="G82" s="50">
        <v>237</v>
      </c>
      <c r="H82" s="999">
        <v>8.5916983221328795</v>
      </c>
      <c r="I82" s="633">
        <v>10.804064561253201</v>
      </c>
      <c r="J82" s="203">
        <v>0</v>
      </c>
      <c r="K82" s="203">
        <v>0</v>
      </c>
      <c r="L82" s="52">
        <v>11.328398905464608</v>
      </c>
      <c r="M82" s="52">
        <v>19.647689577377683</v>
      </c>
      <c r="N82" s="52">
        <v>14.000502619058398</v>
      </c>
      <c r="O82" s="52">
        <v>10.015645861557951</v>
      </c>
      <c r="P82" s="52">
        <v>10.062189009877255</v>
      </c>
      <c r="Q82" s="114">
        <f t="shared" si="6"/>
        <v>0</v>
      </c>
      <c r="R82" s="114">
        <v>7.82</v>
      </c>
      <c r="S82" s="50">
        <v>316</v>
      </c>
      <c r="T82" s="52">
        <v>6.512729359317607</v>
      </c>
      <c r="U82" s="52">
        <v>4.3609916761752361</v>
      </c>
      <c r="V82">
        <v>5.750577481286645</v>
      </c>
      <c r="W82">
        <v>8.1089633137123958</v>
      </c>
      <c r="X82">
        <v>9.9235394930526155</v>
      </c>
      <c r="Y82">
        <v>9.1677244695521978</v>
      </c>
    </row>
    <row r="83" spans="1:25" ht="15.9" customHeight="1">
      <c r="A83" s="50">
        <v>320</v>
      </c>
      <c r="B83" s="52">
        <v>9.8495073549917347</v>
      </c>
      <c r="C83" s="50">
        <v>323.59550561797755</v>
      </c>
      <c r="D83" s="52">
        <v>0.38918624818768721</v>
      </c>
      <c r="E83" s="53">
        <v>0.36933486379203484</v>
      </c>
      <c r="F83" s="53">
        <v>0.38918624818768721</v>
      </c>
      <c r="G83" s="50">
        <v>240</v>
      </c>
      <c r="H83" s="999">
        <v>8.8096129721102834</v>
      </c>
      <c r="I83" s="633">
        <v>10.3780161245319</v>
      </c>
      <c r="J83" s="203">
        <v>0</v>
      </c>
      <c r="K83" s="203">
        <v>0</v>
      </c>
      <c r="L83" s="52">
        <v>11.408057062143836</v>
      </c>
      <c r="M83" s="52">
        <v>20.475380464180315</v>
      </c>
      <c r="N83" s="52">
        <v>12.871185931515015</v>
      </c>
      <c r="O83" s="52">
        <v>9.6223505831570684</v>
      </c>
      <c r="P83" s="52">
        <v>9.8495073549917347</v>
      </c>
      <c r="Q83" s="114">
        <f t="shared" si="6"/>
        <v>0</v>
      </c>
      <c r="R83" s="114">
        <v>7.82</v>
      </c>
      <c r="S83" s="50">
        <v>320</v>
      </c>
      <c r="T83" s="52">
        <v>6.4669612139624908</v>
      </c>
      <c r="U83" s="52">
        <v>4.3022954203903501</v>
      </c>
      <c r="V83">
        <v>5.5953741726461708</v>
      </c>
      <c r="W83">
        <v>7.7744139919937947</v>
      </c>
      <c r="X83">
        <v>9.5663609699092724</v>
      </c>
      <c r="Y83">
        <v>8.7745936348688929</v>
      </c>
    </row>
    <row r="84" spans="1:25" ht="15.9" customHeight="1">
      <c r="A84" s="50">
        <v>324</v>
      </c>
      <c r="B84" s="52">
        <v>9.7339567235650684</v>
      </c>
      <c r="C84" s="50">
        <v>327.64044943820227</v>
      </c>
      <c r="D84" s="52">
        <v>0.38867259373054674</v>
      </c>
      <c r="E84" s="53">
        <v>0.35985217429744937</v>
      </c>
      <c r="F84" s="53">
        <v>0.38867259373054674</v>
      </c>
      <c r="G84" s="50">
        <v>243</v>
      </c>
      <c r="H84" s="999">
        <v>9.0408627296300477</v>
      </c>
      <c r="I84" s="633">
        <v>10.062189009877301</v>
      </c>
      <c r="J84" s="203">
        <v>0</v>
      </c>
      <c r="K84" s="203">
        <v>0</v>
      </c>
      <c r="L84" s="52">
        <v>11.597032924735091</v>
      </c>
      <c r="M84" s="52">
        <v>21.279391128742098</v>
      </c>
      <c r="N84" s="52">
        <v>11.88526941905352</v>
      </c>
      <c r="O84" s="52">
        <v>9.3335092719753554</v>
      </c>
      <c r="P84" s="52">
        <v>9.7339567235650684</v>
      </c>
      <c r="Q84" s="114">
        <f t="shared" si="6"/>
        <v>0</v>
      </c>
      <c r="R84" s="114">
        <v>7.82</v>
      </c>
      <c r="S84" s="50">
        <v>324</v>
      </c>
      <c r="T84" s="52">
        <v>6.5032827594381928</v>
      </c>
      <c r="U84" s="52">
        <v>4.3317163746944356</v>
      </c>
      <c r="V84">
        <v>5.56292820170827</v>
      </c>
      <c r="W84">
        <v>7.5565155692604566</v>
      </c>
      <c r="X84">
        <v>9.3099826296339963</v>
      </c>
      <c r="Y84">
        <v>8.4513173153788603</v>
      </c>
    </row>
    <row r="85" spans="1:25" ht="15.9" customHeight="1">
      <c r="A85" s="50">
        <v>328</v>
      </c>
      <c r="B85" s="52">
        <v>9.7107809730317829</v>
      </c>
      <c r="C85" s="50">
        <v>331.68539325842698</v>
      </c>
      <c r="D85" s="52">
        <v>0.38788034834215485</v>
      </c>
      <c r="E85" s="53">
        <v>0.35005138122636775</v>
      </c>
      <c r="F85" s="53">
        <v>0.38788034834215485</v>
      </c>
      <c r="G85" s="50">
        <v>246</v>
      </c>
      <c r="H85" s="999">
        <v>9.2860418527770516</v>
      </c>
      <c r="I85" s="633">
        <v>9.8495073549917294</v>
      </c>
      <c r="J85" s="203">
        <v>0</v>
      </c>
      <c r="K85" s="203">
        <v>0</v>
      </c>
      <c r="L85" s="52">
        <v>11.893163059178038</v>
      </c>
      <c r="M85" s="52">
        <v>20.38923092695315</v>
      </c>
      <c r="N85" s="52">
        <v>11.040900877039331</v>
      </c>
      <c r="O85" s="52">
        <v>9.0394534814818464</v>
      </c>
      <c r="P85" s="52">
        <v>9.7107809730317829</v>
      </c>
      <c r="Q85" s="114">
        <f t="shared" si="6"/>
        <v>0</v>
      </c>
      <c r="R85" s="114">
        <v>7.82</v>
      </c>
      <c r="S85" s="50">
        <v>328</v>
      </c>
      <c r="T85" s="52">
        <v>6.4599868270913987</v>
      </c>
      <c r="U85" s="52">
        <v>4.3269156951559662</v>
      </c>
      <c r="V85">
        <v>5.5238522648975437</v>
      </c>
      <c r="W85">
        <v>7.2764244993510205</v>
      </c>
      <c r="X85">
        <v>9.0394534814818464</v>
      </c>
      <c r="Y85">
        <v>8.1485189410803898</v>
      </c>
    </row>
    <row r="86" spans="1:25" ht="15.9" customHeight="1">
      <c r="A86" s="50">
        <v>332</v>
      </c>
      <c r="B86" s="52">
        <v>9.776414515132025</v>
      </c>
      <c r="C86" s="50">
        <v>335.7303370786517</v>
      </c>
      <c r="D86" s="52">
        <v>0.38674414613080232</v>
      </c>
      <c r="E86" s="53">
        <v>0.34032892065409437</v>
      </c>
      <c r="F86" s="53">
        <v>0.38674414613080232</v>
      </c>
      <c r="G86" s="50">
        <v>249</v>
      </c>
      <c r="H86" s="999">
        <v>9.5457256763936851</v>
      </c>
      <c r="I86" s="633">
        <v>9.7339567235650701</v>
      </c>
      <c r="J86" s="203">
        <v>0</v>
      </c>
      <c r="K86" s="203">
        <v>0</v>
      </c>
      <c r="L86" s="52">
        <v>12.293785842956797</v>
      </c>
      <c r="M86" s="52">
        <v>18.861972914473988</v>
      </c>
      <c r="N86" s="52">
        <v>10.331413688401021</v>
      </c>
      <c r="O86" s="52">
        <v>8.8258145203135268</v>
      </c>
      <c r="P86" s="52">
        <v>9.776414515132025</v>
      </c>
      <c r="Q86" s="114">
        <f t="shared" si="6"/>
        <v>0</v>
      </c>
      <c r="R86" s="114">
        <v>7.82</v>
      </c>
      <c r="S86" s="50">
        <v>332</v>
      </c>
      <c r="T86" s="52">
        <v>6.4445900322303098</v>
      </c>
      <c r="U86" s="52">
        <v>4.3674894103274999</v>
      </c>
      <c r="V86">
        <v>5.5111373564096491</v>
      </c>
      <c r="W86">
        <v>7.0517904808488243</v>
      </c>
      <c r="X86">
        <v>8.8258145203135268</v>
      </c>
      <c r="Y86">
        <v>7.8940871336668144</v>
      </c>
    </row>
    <row r="87" spans="1:25" ht="15.9" customHeight="1">
      <c r="A87" s="50">
        <v>336</v>
      </c>
      <c r="B87" s="52">
        <v>9.9281628440300462</v>
      </c>
      <c r="C87" s="50">
        <v>339.77528089887642</v>
      </c>
      <c r="D87" s="52">
        <v>0.38521052005031536</v>
      </c>
      <c r="E87" s="53">
        <v>0.33110696830074299</v>
      </c>
      <c r="F87" s="53">
        <v>0.38521052005031536</v>
      </c>
      <c r="G87" s="50">
        <v>252</v>
      </c>
      <c r="H87" s="999">
        <v>9.8204533616166589</v>
      </c>
      <c r="I87" s="633">
        <v>9.7107809730317793</v>
      </c>
      <c r="J87" s="203">
        <v>0</v>
      </c>
      <c r="K87" s="203">
        <v>0</v>
      </c>
      <c r="L87" s="52">
        <v>12.793945317986026</v>
      </c>
      <c r="M87" s="52">
        <v>17.32471682469685</v>
      </c>
      <c r="N87" s="52">
        <v>9.747532616186863</v>
      </c>
      <c r="O87" s="52">
        <v>8.671877038162096</v>
      </c>
      <c r="P87" s="52">
        <v>9.9281628440300462</v>
      </c>
      <c r="Q87" s="114">
        <f t="shared" si="6"/>
        <v>0</v>
      </c>
      <c r="R87" s="114">
        <v>7.82</v>
      </c>
      <c r="S87" s="50">
        <v>336</v>
      </c>
      <c r="T87" s="52">
        <v>6.4857121185542157</v>
      </c>
      <c r="U87" s="52">
        <v>4.4502446700507603</v>
      </c>
      <c r="V87">
        <v>5.5201779375703959</v>
      </c>
      <c r="W87">
        <v>6.8978776039279461</v>
      </c>
      <c r="X87">
        <v>8.671877038162096</v>
      </c>
      <c r="Y87">
        <v>7.6944290224342859</v>
      </c>
    </row>
    <row r="88" spans="1:25" ht="15.9" customHeight="1">
      <c r="A88" s="50">
        <v>340</v>
      </c>
      <c r="B88" s="52">
        <v>10.163602949217662</v>
      </c>
      <c r="C88" s="50">
        <v>343.82022471910113</v>
      </c>
      <c r="D88" s="52">
        <v>0.3832449928583701</v>
      </c>
      <c r="E88" s="53">
        <v>0.32280692271916372</v>
      </c>
      <c r="F88" s="53">
        <v>0.3832449928583701</v>
      </c>
      <c r="G88" s="50">
        <v>255</v>
      </c>
      <c r="H88" s="999">
        <v>10.110705976357513</v>
      </c>
      <c r="I88" s="633">
        <v>9.7764145151320196</v>
      </c>
      <c r="J88" s="203">
        <v>0</v>
      </c>
      <c r="K88" s="203">
        <v>0</v>
      </c>
      <c r="L88" s="52">
        <v>13.383734305319976</v>
      </c>
      <c r="M88" s="52">
        <v>15.860968910529889</v>
      </c>
      <c r="N88" s="52">
        <v>9.2790535534161371</v>
      </c>
      <c r="O88" s="52">
        <v>8.5192857948047358</v>
      </c>
      <c r="P88" s="52">
        <v>10.163602949217662</v>
      </c>
      <c r="Q88" s="114">
        <f t="shared" si="6"/>
        <v>0</v>
      </c>
      <c r="R88" s="114">
        <v>7.82</v>
      </c>
      <c r="S88" s="50">
        <v>340</v>
      </c>
      <c r="T88" s="52">
        <v>6.5407809381063089</v>
      </c>
      <c r="U88" s="52">
        <v>4.4918408907697582</v>
      </c>
      <c r="V88">
        <v>5.5203975077872993</v>
      </c>
      <c r="W88">
        <v>6.7514799744134111</v>
      </c>
      <c r="X88">
        <v>8.5192857948047358</v>
      </c>
      <c r="Y88">
        <v>7.5222369494361079</v>
      </c>
    </row>
    <row r="89" spans="1:25" ht="15.9" customHeight="1">
      <c r="A89" s="50">
        <v>344</v>
      </c>
      <c r="B89" s="52">
        <v>10.479628550056049</v>
      </c>
      <c r="C89" s="50">
        <v>347.86516853932585</v>
      </c>
      <c r="D89" s="52">
        <v>0.38083791241933451</v>
      </c>
      <c r="E89" s="53">
        <v>0.31582217639838606</v>
      </c>
      <c r="F89" s="53">
        <v>0.38083791241933451</v>
      </c>
      <c r="G89" s="50">
        <v>258</v>
      </c>
      <c r="H89" s="999">
        <v>9.8968344361105363</v>
      </c>
      <c r="I89" s="633">
        <v>9.9281628440300498</v>
      </c>
      <c r="J89" s="203">
        <v>0</v>
      </c>
      <c r="K89" s="203">
        <v>0</v>
      </c>
      <c r="L89" s="52">
        <v>14.044649064731534</v>
      </c>
      <c r="M89" s="52">
        <v>14.526875701034321</v>
      </c>
      <c r="N89" s="52">
        <v>8.9160046798920565</v>
      </c>
      <c r="O89" s="52">
        <v>8.4468721223842422</v>
      </c>
      <c r="P89" s="52">
        <v>10.479628550056049</v>
      </c>
      <c r="Q89" s="114">
        <f t="shared" si="6"/>
        <v>0</v>
      </c>
      <c r="R89" s="114">
        <v>7.82</v>
      </c>
      <c r="S89" s="50">
        <v>344</v>
      </c>
      <c r="T89" s="52">
        <v>6.6717154887805643</v>
      </c>
      <c r="U89" s="52">
        <v>4.6241914444267467</v>
      </c>
      <c r="V89">
        <v>5.6251369798516153</v>
      </c>
      <c r="W89">
        <v>6.6908490357780552</v>
      </c>
      <c r="X89">
        <v>8.4468721223842422</v>
      </c>
      <c r="Y89">
        <v>7.4080333972703052</v>
      </c>
    </row>
    <row r="90" spans="1:25" ht="15.9" customHeight="1">
      <c r="A90" s="50">
        <v>348</v>
      </c>
      <c r="B90" s="52">
        <v>10.871027603485402</v>
      </c>
      <c r="C90" s="50">
        <v>351.91011235955057</v>
      </c>
      <c r="D90" s="52">
        <v>0.37800850732147201</v>
      </c>
      <c r="E90" s="53">
        <v>0.31049220928754317</v>
      </c>
      <c r="F90" s="53">
        <v>0.37800850732147201</v>
      </c>
      <c r="G90" s="50">
        <v>261</v>
      </c>
      <c r="H90" s="999">
        <v>9.6179830211099393</v>
      </c>
      <c r="I90" s="633">
        <v>10.163602949217699</v>
      </c>
      <c r="J90" s="203">
        <v>0</v>
      </c>
      <c r="K90" s="203">
        <v>0</v>
      </c>
      <c r="L90" s="52">
        <v>14.745167609832098</v>
      </c>
      <c r="M90" s="52">
        <v>13.352672686837307</v>
      </c>
      <c r="N90" s="52">
        <v>8.6493562592461082</v>
      </c>
      <c r="O90" s="52">
        <v>8.3903321301203029</v>
      </c>
      <c r="P90" s="52">
        <v>10.871027603485402</v>
      </c>
      <c r="Q90" s="114">
        <f t="shared" si="6"/>
        <v>0</v>
      </c>
      <c r="R90" s="114">
        <v>7.82</v>
      </c>
      <c r="S90" s="50">
        <v>348</v>
      </c>
      <c r="T90" s="52">
        <v>6.7298733947250096</v>
      </c>
      <c r="U90" s="52">
        <v>4.7235328403995211</v>
      </c>
      <c r="V90">
        <v>5.6297702827561888</v>
      </c>
      <c r="W90">
        <v>6.5813435447222339</v>
      </c>
      <c r="X90">
        <v>8.3553527832834362</v>
      </c>
      <c r="Y90">
        <v>7.2925029260641629</v>
      </c>
    </row>
    <row r="91" spans="1:25" ht="15.9" customHeight="1">
      <c r="A91" s="50">
        <v>352</v>
      </c>
      <c r="B91" s="52">
        <v>11.328480318056339</v>
      </c>
      <c r="C91" s="50">
        <v>355.95505617977528</v>
      </c>
      <c r="D91" s="52">
        <v>0.37480677603858747</v>
      </c>
      <c r="E91" s="53">
        <v>0.30707995232376795</v>
      </c>
      <c r="F91" s="53">
        <v>0.37480677603858747</v>
      </c>
      <c r="G91" s="50">
        <v>264</v>
      </c>
      <c r="H91" s="999">
        <v>9.3543113570698644</v>
      </c>
      <c r="I91" s="633">
        <v>10.479628550056001</v>
      </c>
      <c r="J91" s="203">
        <v>0</v>
      </c>
      <c r="K91" s="203">
        <v>0</v>
      </c>
      <c r="L91" s="52">
        <v>15.436584803725816</v>
      </c>
      <c r="M91" s="52">
        <v>12.348549436972586</v>
      </c>
      <c r="N91" s="52">
        <v>8.4713691540068492</v>
      </c>
      <c r="O91" s="52">
        <v>8.3645770579406289</v>
      </c>
      <c r="P91" s="52">
        <v>11.328480318056339</v>
      </c>
      <c r="Q91" s="114">
        <f t="shared" si="6"/>
        <v>0</v>
      </c>
      <c r="R91" s="114">
        <v>7.82</v>
      </c>
      <c r="S91" s="50">
        <v>352</v>
      </c>
      <c r="T91" s="52">
        <v>6.8154165626156731</v>
      </c>
      <c r="U91" s="52">
        <v>4.8735528154483099</v>
      </c>
      <c r="V91">
        <v>5.6290301516503645</v>
      </c>
      <c r="W91">
        <v>6.5130043267118625</v>
      </c>
      <c r="X91">
        <v>8.3092637845177357</v>
      </c>
      <c r="Y91">
        <v>7.2141079896799907</v>
      </c>
    </row>
    <row r="92" spans="1:25" ht="15.9" customHeight="1">
      <c r="A92" s="50">
        <v>356</v>
      </c>
      <c r="B92" s="52">
        <v>11.835965331230685</v>
      </c>
      <c r="C92" s="50">
        <v>360</v>
      </c>
      <c r="D92" s="52">
        <v>0.37131299206836987</v>
      </c>
      <c r="E92" s="53">
        <v>0.3057541294289286</v>
      </c>
      <c r="F92" s="53">
        <v>0.37131299206836987</v>
      </c>
      <c r="G92" s="50">
        <v>267</v>
      </c>
      <c r="H92" s="999">
        <v>9.1052935129782142</v>
      </c>
      <c r="I92" s="633">
        <v>10.8710276034854</v>
      </c>
      <c r="J92" s="203">
        <v>0</v>
      </c>
      <c r="K92" s="203">
        <v>0</v>
      </c>
      <c r="L92" s="52">
        <v>16.051538600131831</v>
      </c>
      <c r="M92" s="52">
        <v>11.511557277103048</v>
      </c>
      <c r="N92" s="52">
        <v>8.3756659908838884</v>
      </c>
      <c r="O92" s="52">
        <v>8.4100030966709198</v>
      </c>
      <c r="P92" s="52">
        <v>11.835965331230685</v>
      </c>
      <c r="Q92" s="114">
        <f t="shared" si="6"/>
        <v>0</v>
      </c>
      <c r="R92" s="114">
        <v>7.82</v>
      </c>
      <c r="S92" s="50">
        <v>356</v>
      </c>
      <c r="T92" s="52">
        <v>6.9559555775703235</v>
      </c>
      <c r="U92" s="52">
        <v>5.077757696853193</v>
      </c>
      <c r="V92">
        <v>5.6752253384191658</v>
      </c>
      <c r="W92">
        <v>6.4978187862282235</v>
      </c>
      <c r="X92">
        <v>8.3119887277747395</v>
      </c>
      <c r="Y92">
        <v>7.1783116612587214</v>
      </c>
    </row>
    <row r="93" spans="1:25" ht="15.9" customHeight="1">
      <c r="A93" s="50">
        <v>360</v>
      </c>
      <c r="B93" s="52">
        <v>12.367862375339952</v>
      </c>
      <c r="C93" s="50">
        <v>90.250696378830085</v>
      </c>
      <c r="D93" s="52">
        <v>0.38430649226335878</v>
      </c>
      <c r="E93" s="53">
        <v>0.40836454701081032</v>
      </c>
      <c r="F93" s="53">
        <v>0.40836454701081032</v>
      </c>
      <c r="G93" s="50">
        <v>270</v>
      </c>
      <c r="H93" s="999">
        <v>8.8703619925574557</v>
      </c>
      <c r="I93" s="633">
        <v>11.3284803180563</v>
      </c>
      <c r="J93" s="203">
        <v>0</v>
      </c>
      <c r="K93" s="203">
        <v>0</v>
      </c>
      <c r="L93" s="52">
        <v>16.509101867125558</v>
      </c>
      <c r="M93" s="52">
        <v>10.831579439260654</v>
      </c>
      <c r="N93" s="52">
        <v>8.3570837355674694</v>
      </c>
      <c r="O93" s="52">
        <v>8.5229201700363131</v>
      </c>
      <c r="P93" s="52">
        <v>12.367862375339952</v>
      </c>
      <c r="Q93" s="114">
        <f t="shared" si="6"/>
        <v>0</v>
      </c>
      <c r="R93" s="114">
        <v>7.82</v>
      </c>
      <c r="S93" s="50">
        <v>360</v>
      </c>
      <c r="T93" s="52">
        <v>7.1153010243220525</v>
      </c>
      <c r="U93" s="52">
        <v>5.2597218619921531</v>
      </c>
      <c r="V93">
        <v>5.7577704681692188</v>
      </c>
      <c r="W93">
        <v>6.4874452671544311</v>
      </c>
      <c r="X93">
        <v>8.3136133652933246</v>
      </c>
      <c r="Y93">
        <v>7.1550834969003061</v>
      </c>
    </row>
    <row r="94" spans="1:25" ht="15.9" customHeight="1">
      <c r="A94" s="50">
        <v>273</v>
      </c>
      <c r="B94" s="52">
        <v>8.0214888838943583</v>
      </c>
      <c r="C94" s="50">
        <v>91.253481894150411</v>
      </c>
      <c r="D94" s="52">
        <v>0.38477878926706149</v>
      </c>
      <c r="E94" s="53">
        <v>0.40840423456233443</v>
      </c>
      <c r="F94" s="53">
        <v>0.40840423456233443</v>
      </c>
      <c r="G94" s="50">
        <v>273</v>
      </c>
      <c r="H94" s="1001">
        <v>356</v>
      </c>
      <c r="I94" s="633">
        <v>11.8359653312307</v>
      </c>
      <c r="J94" s="203">
        <v>0</v>
      </c>
      <c r="K94" s="203">
        <v>0</v>
      </c>
      <c r="L94" s="114">
        <f t="shared" ref="L94:Q94" si="7">MIN(L3:L93)</f>
        <v>8.7840761106425774E-2</v>
      </c>
      <c r="M94" s="114">
        <f t="shared" si="7"/>
        <v>1.0096473693129493E-2</v>
      </c>
      <c r="N94" s="114" t="e">
        <f t="shared" si="7"/>
        <v>#REF!</v>
      </c>
      <c r="O94" s="114" t="e">
        <f t="shared" si="7"/>
        <v>#REF!</v>
      </c>
      <c r="P94" s="114" t="e">
        <f t="shared" si="7"/>
        <v>#REF!</v>
      </c>
      <c r="Q94" s="114" t="e">
        <f t="shared" si="7"/>
        <v>#REF!</v>
      </c>
      <c r="R94" s="114">
        <v>6.51</v>
      </c>
      <c r="S94" s="50"/>
      <c r="T94" s="114">
        <v>5.9859601801677735</v>
      </c>
      <c r="U94">
        <v>4.3022954203903501</v>
      </c>
      <c r="V94">
        <v>5.5103395378794584</v>
      </c>
      <c r="W94">
        <v>6.4874427410801205</v>
      </c>
      <c r="X94">
        <v>8.3085872120172564</v>
      </c>
      <c r="Y94">
        <v>7.1550834969003061</v>
      </c>
    </row>
    <row r="95" spans="1:25" ht="15.9" customHeight="1">
      <c r="A95" s="50">
        <v>276</v>
      </c>
      <c r="B95" s="52">
        <v>7.7118694329875686</v>
      </c>
      <c r="C95" s="50">
        <v>92.256267409470752</v>
      </c>
      <c r="D95" s="52">
        <v>0.38522412258152922</v>
      </c>
      <c r="E95" s="53">
        <v>0.40845067189708556</v>
      </c>
      <c r="F95" s="53">
        <v>0.40845067189708556</v>
      </c>
      <c r="G95" s="50">
        <v>276</v>
      </c>
      <c r="H95" s="1001">
        <v>360</v>
      </c>
      <c r="I95" s="633">
        <v>12.36786237534</v>
      </c>
      <c r="J95" s="203">
        <v>0</v>
      </c>
      <c r="K95" s="203">
        <v>0</v>
      </c>
    </row>
    <row r="96" spans="1:25" ht="15.9" customHeight="1">
      <c r="A96" s="50">
        <v>279</v>
      </c>
      <c r="B96" s="52">
        <v>7.4382484749971347</v>
      </c>
      <c r="C96" s="50">
        <v>93.259052924791078</v>
      </c>
      <c r="D96" s="52">
        <v>0.38564280209019713</v>
      </c>
      <c r="E96" s="53">
        <v>0.40850340561524023</v>
      </c>
      <c r="F96" s="53">
        <v>0.40850340561524023</v>
      </c>
      <c r="G96" s="50">
        <v>279</v>
      </c>
      <c r="H96" s="1001">
        <v>273</v>
      </c>
      <c r="I96" s="633">
        <v>8.0214888838943601</v>
      </c>
      <c r="J96" s="203">
        <v>0</v>
      </c>
      <c r="K96" s="203">
        <v>0</v>
      </c>
    </row>
    <row r="97" spans="1:11" ht="15.9" customHeight="1">
      <c r="A97" s="50">
        <v>282</v>
      </c>
      <c r="B97" s="52">
        <v>7.1967768869436526</v>
      </c>
      <c r="C97" s="50">
        <v>94.261838440111418</v>
      </c>
      <c r="D97" s="52">
        <v>0.38603523236376652</v>
      </c>
      <c r="E97" s="53">
        <v>0.40856172078634662</v>
      </c>
      <c r="F97" s="53">
        <v>0.40856172078634662</v>
      </c>
      <c r="G97" s="50">
        <v>282</v>
      </c>
      <c r="H97" s="1001">
        <v>276</v>
      </c>
      <c r="I97" s="633">
        <v>7.7118694329875703</v>
      </c>
      <c r="J97" s="203">
        <v>0</v>
      </c>
      <c r="K97" s="203">
        <v>0</v>
      </c>
    </row>
    <row r="98" spans="1:11" ht="15.9" customHeight="1">
      <c r="A98" s="50">
        <v>285</v>
      </c>
      <c r="B98" s="52">
        <v>6.9841534113188395</v>
      </c>
      <c r="C98" s="50">
        <v>95.264623955431745</v>
      </c>
      <c r="D98" s="52">
        <v>0.38640190766959087</v>
      </c>
      <c r="E98" s="53">
        <v>0.40862464501119744</v>
      </c>
      <c r="F98" s="53">
        <v>0.40862464501119744</v>
      </c>
      <c r="G98" s="50">
        <v>285</v>
      </c>
      <c r="H98" s="1001">
        <v>279</v>
      </c>
      <c r="I98" s="633">
        <v>7.4382484749971303</v>
      </c>
      <c r="J98" s="203">
        <v>0</v>
      </c>
      <c r="K98" s="203">
        <v>0</v>
      </c>
    </row>
    <row r="99" spans="1:11" ht="15.9" customHeight="1">
      <c r="A99" s="50">
        <v>288</v>
      </c>
      <c r="B99" s="52">
        <v>6.7975590441152676</v>
      </c>
      <c r="C99" s="50">
        <v>96.267409470752085</v>
      </c>
      <c r="D99" s="52">
        <v>0.38674340658929168</v>
      </c>
      <c r="E99" s="53">
        <v>0.40869095402699723</v>
      </c>
      <c r="F99" s="53">
        <v>0.40869095402699723</v>
      </c>
      <c r="G99" s="50">
        <v>288</v>
      </c>
      <c r="H99" s="1001">
        <v>282</v>
      </c>
      <c r="I99" s="633">
        <v>7.1967768869436499</v>
      </c>
      <c r="J99" s="203">
        <v>0</v>
      </c>
      <c r="K99" s="203">
        <v>0</v>
      </c>
    </row>
    <row r="100" spans="1:11" ht="15.9" customHeight="1">
      <c r="A100" s="50">
        <v>291</v>
      </c>
      <c r="B100" s="52">
        <v>6.6345959137911548</v>
      </c>
      <c r="C100" s="50">
        <v>97.270194986072426</v>
      </c>
      <c r="D100" s="52">
        <v>0.38706038627459749</v>
      </c>
      <c r="E100" s="53">
        <v>0.40875917882732793</v>
      </c>
      <c r="F100" s="53">
        <v>0.40875917882732793</v>
      </c>
      <c r="G100" s="50">
        <v>291</v>
      </c>
      <c r="H100" s="1001">
        <v>285</v>
      </c>
      <c r="I100" s="633">
        <v>6.9841534113188404</v>
      </c>
      <c r="J100" s="203">
        <v>0</v>
      </c>
      <c r="K100" s="203">
        <v>0</v>
      </c>
    </row>
    <row r="101" spans="1:11" ht="15.9" customHeight="1">
      <c r="A101" s="50">
        <v>294</v>
      </c>
      <c r="B101" s="52">
        <v>6.4932328412462539</v>
      </c>
      <c r="C101" s="50">
        <v>98.272980501392752</v>
      </c>
      <c r="D101" s="52">
        <v>0.38735357637311413</v>
      </c>
      <c r="E101" s="53">
        <v>0.408827614260664</v>
      </c>
      <c r="F101" s="53">
        <v>0.408827614260664</v>
      </c>
      <c r="G101" s="50">
        <v>294</v>
      </c>
      <c r="H101" s="1001">
        <v>288</v>
      </c>
      <c r="I101" s="633">
        <v>6.7975590441152702</v>
      </c>
      <c r="J101" s="203">
        <v>0</v>
      </c>
      <c r="K101" s="203">
        <v>0</v>
      </c>
    </row>
    <row r="102" spans="1:11" ht="15.9" customHeight="1">
      <c r="A102" s="50">
        <v>297</v>
      </c>
      <c r="B102" s="52">
        <v>6.3717581941966177</v>
      </c>
      <c r="C102" s="50">
        <v>99.275766016713092</v>
      </c>
      <c r="D102" s="52">
        <v>0.38762377265728037</v>
      </c>
      <c r="E102" s="53">
        <v>0.40889432906358814</v>
      </c>
      <c r="F102" s="53">
        <v>0.40889432906358814</v>
      </c>
      <c r="G102" s="50">
        <v>297</v>
      </c>
      <c r="H102" s="1001">
        <v>291</v>
      </c>
      <c r="I102" s="633">
        <v>6.6345959137911503</v>
      </c>
      <c r="J102" s="203">
        <v>0</v>
      </c>
      <c r="K102" s="203">
        <v>0</v>
      </c>
    </row>
    <row r="103" spans="1:11" ht="15.9" customHeight="1">
      <c r="A103" s="50">
        <v>300</v>
      </c>
      <c r="B103" s="52">
        <v>6.2687398526261449</v>
      </c>
      <c r="C103" s="50">
        <v>100.27855153203342</v>
      </c>
      <c r="D103" s="52">
        <v>0.3878718303911472</v>
      </c>
      <c r="E103" s="53">
        <v>0.4089571772775013</v>
      </c>
      <c r="F103" s="53">
        <v>0.4089571772775013</v>
      </c>
      <c r="G103" s="50">
        <v>300</v>
      </c>
      <c r="H103" s="1001">
        <v>294</v>
      </c>
      <c r="I103" s="633">
        <v>6.4932328412462503</v>
      </c>
      <c r="J103" s="203">
        <v>0</v>
      </c>
      <c r="K103" s="203">
        <v>0</v>
      </c>
    </row>
    <row r="104" spans="1:11" ht="15.9" customHeight="1">
      <c r="A104" s="50">
        <v>303</v>
      </c>
      <c r="B104" s="52">
        <v>6.1829917405346722</v>
      </c>
      <c r="C104" s="50">
        <v>101.28133704735376</v>
      </c>
      <c r="D104" s="52">
        <v>0.38809865747082856</v>
      </c>
      <c r="E104" s="53">
        <v>0.40901381099049616</v>
      </c>
      <c r="F104" s="53">
        <v>0.40901381099049616</v>
      </c>
      <c r="G104" s="50">
        <v>303</v>
      </c>
      <c r="H104" s="1001">
        <v>297</v>
      </c>
      <c r="I104" s="633">
        <v>6.3717581941966204</v>
      </c>
      <c r="J104" s="203">
        <v>0</v>
      </c>
      <c r="K104" s="203">
        <v>0</v>
      </c>
    </row>
    <row r="105" spans="1:11" ht="15.9" customHeight="1">
      <c r="A105" s="50">
        <v>306</v>
      </c>
      <c r="B105" s="52">
        <v>6.1135462547366703</v>
      </c>
      <c r="C105" s="50">
        <v>102.28412256267409</v>
      </c>
      <c r="D105" s="52">
        <v>0.38830520737549995</v>
      </c>
      <c r="E105" s="53">
        <v>0.40906169433924622</v>
      </c>
      <c r="F105" s="53">
        <v>0.40906169433924622</v>
      </c>
      <c r="G105" s="50">
        <v>306</v>
      </c>
      <c r="H105" s="1001">
        <v>300</v>
      </c>
      <c r="I105" s="633">
        <v>6.2687398526261404</v>
      </c>
      <c r="J105" s="203">
        <v>0</v>
      </c>
      <c r="K105" s="203">
        <v>0</v>
      </c>
    </row>
    <row r="106" spans="1:11" ht="15.9" customHeight="1">
      <c r="A106" s="50">
        <v>309</v>
      </c>
      <c r="B106" s="52">
        <v>6.0596319212473766</v>
      </c>
      <c r="C106" s="50">
        <v>103.28690807799443</v>
      </c>
      <c r="D106" s="52">
        <v>0.38849247196666187</v>
      </c>
      <c r="E106" s="53">
        <v>0.4090981186992439</v>
      </c>
      <c r="F106" s="53">
        <v>0.4090981186992439</v>
      </c>
      <c r="G106" s="50">
        <v>309</v>
      </c>
      <c r="H106" s="1001">
        <v>303</v>
      </c>
      <c r="I106" s="633">
        <v>6.1829917405346704</v>
      </c>
      <c r="J106" s="203">
        <v>0</v>
      </c>
      <c r="K106" s="203">
        <v>0</v>
      </c>
    </row>
    <row r="107" spans="1:11" ht="15.9" customHeight="1">
      <c r="A107" s="50">
        <v>312</v>
      </c>
      <c r="B107" s="52">
        <v>6.0206556706004655</v>
      </c>
      <c r="C107" s="50">
        <v>104.28969359331475</v>
      </c>
      <c r="D107" s="52">
        <v>0.38866147417404928</v>
      </c>
      <c r="E107" s="53">
        <v>0.40912021898558898</v>
      </c>
      <c r="F107" s="53">
        <v>0.40912021898558898</v>
      </c>
      <c r="G107" s="50">
        <v>312</v>
      </c>
      <c r="H107" s="1001">
        <v>306</v>
      </c>
      <c r="I107" s="633">
        <v>6.1135462547366703</v>
      </c>
      <c r="J107" s="203">
        <v>0</v>
      </c>
      <c r="K107" s="203">
        <v>0</v>
      </c>
    </row>
    <row r="108" spans="1:11" ht="15.9" customHeight="1">
      <c r="A108" s="50">
        <v>315</v>
      </c>
      <c r="B108" s="52">
        <v>5.9961892104940473</v>
      </c>
      <c r="C108" s="50">
        <v>105.29247910863509</v>
      </c>
      <c r="D108" s="52">
        <v>0.3888132606070227</v>
      </c>
      <c r="E108" s="53">
        <v>0.40912499098074734</v>
      </c>
      <c r="F108" s="53">
        <v>0.40912499098074734</v>
      </c>
      <c r="G108" s="50">
        <v>315</v>
      </c>
      <c r="H108" s="1001">
        <v>309</v>
      </c>
      <c r="I108" s="633">
        <v>6.0596319212473801</v>
      </c>
      <c r="J108" s="203">
        <v>0</v>
      </c>
      <c r="K108" s="203">
        <v>0</v>
      </c>
    </row>
    <row r="109" spans="1:11" ht="15.9" customHeight="1">
      <c r="A109" s="50">
        <v>318</v>
      </c>
      <c r="B109" s="53">
        <v>5.9859590688280404</v>
      </c>
      <c r="C109" s="50">
        <v>106.29526462395543</v>
      </c>
      <c r="D109" s="53">
        <v>0.38894889413055206</v>
      </c>
      <c r="E109" s="53">
        <v>0.40910930960036301</v>
      </c>
      <c r="F109" s="53">
        <v>0.40910930960036301</v>
      </c>
      <c r="G109" s="50">
        <v>318</v>
      </c>
      <c r="H109" s="1001">
        <v>312</v>
      </c>
      <c r="I109" s="633">
        <v>6.0206556706004699</v>
      </c>
      <c r="J109" s="203">
        <v>0</v>
      </c>
      <c r="K109" s="203">
        <v>0</v>
      </c>
    </row>
    <row r="110" spans="1:11" ht="15.9" customHeight="1">
      <c r="A110" s="50">
        <v>321</v>
      </c>
      <c r="B110" s="53">
        <v>5.9898399728101612</v>
      </c>
      <c r="C110" s="50">
        <v>107.29805013927576</v>
      </c>
      <c r="D110" s="53">
        <v>0.38906944644497871</v>
      </c>
      <c r="E110" s="53">
        <v>0.40906994800328927</v>
      </c>
      <c r="F110" s="53">
        <v>0.40906994800328927</v>
      </c>
      <c r="G110" s="50">
        <v>321</v>
      </c>
      <c r="H110" s="1001">
        <v>315</v>
      </c>
      <c r="I110" s="633">
        <v>5.99618921049405</v>
      </c>
      <c r="J110" s="203">
        <v>0</v>
      </c>
      <c r="K110" s="203">
        <v>0</v>
      </c>
    </row>
    <row r="111" spans="1:11" ht="15.9" customHeight="1">
      <c r="A111" s="50">
        <v>324</v>
      </c>
      <c r="B111" s="53">
        <v>6.0078513154200763</v>
      </c>
      <c r="C111" s="50">
        <v>108.3008356545961</v>
      </c>
      <c r="D111" s="53">
        <v>0.38917599070861725</v>
      </c>
      <c r="E111" s="53">
        <v>0.40900359744756049</v>
      </c>
      <c r="F111" s="53">
        <v>0.40900359744756049</v>
      </c>
      <c r="G111" s="50">
        <v>324</v>
      </c>
      <c r="H111" s="1001">
        <v>318</v>
      </c>
      <c r="I111" s="203">
        <v>5.9859590688280404</v>
      </c>
      <c r="J111" s="203">
        <v>0</v>
      </c>
      <c r="K111" s="203">
        <v>0</v>
      </c>
    </row>
    <row r="112" spans="1:11" ht="15.9" customHeight="1">
      <c r="A112" s="50">
        <v>327</v>
      </c>
      <c r="B112" s="53">
        <v>6.0401565362942362</v>
      </c>
      <c r="C112" s="50">
        <v>109.30362116991643</v>
      </c>
      <c r="D112" s="53">
        <v>0.38926959424194807</v>
      </c>
      <c r="E112" s="53">
        <v>0.408906887790073</v>
      </c>
      <c r="F112" s="53">
        <v>0.408906887790073</v>
      </c>
      <c r="G112" s="50">
        <v>327</v>
      </c>
      <c r="H112" s="1001">
        <v>321</v>
      </c>
      <c r="I112" s="203">
        <v>5.9898399728101603</v>
      </c>
      <c r="J112" s="203">
        <v>0</v>
      </c>
      <c r="K112" s="203">
        <v>0</v>
      </c>
    </row>
    <row r="113" spans="1:11" ht="15.9" customHeight="1">
      <c r="A113" s="50">
        <v>330</v>
      </c>
      <c r="B113" s="53">
        <v>6.0870653075392385</v>
      </c>
      <c r="C113" s="50">
        <v>110.30640668523677</v>
      </c>
      <c r="D113" s="53">
        <v>0.38935131135163714</v>
      </c>
      <c r="E113" s="53">
        <v>0.40877640852428893</v>
      </c>
      <c r="F113" s="53">
        <v>0.40877640852428893</v>
      </c>
      <c r="G113" s="50">
        <v>330</v>
      </c>
      <c r="H113" s="1001">
        <v>324</v>
      </c>
      <c r="I113" s="203">
        <v>6.0078513154200799</v>
      </c>
      <c r="J113" s="203">
        <v>0</v>
      </c>
      <c r="K113" s="203">
        <v>0</v>
      </c>
    </row>
    <row r="114" spans="1:11" ht="15.9" customHeight="1">
      <c r="A114" s="50">
        <v>333</v>
      </c>
      <c r="B114" s="53">
        <v>6.1490384625228875</v>
      </c>
      <c r="C114" s="50">
        <v>111.30919220055709</v>
      </c>
      <c r="D114" s="53">
        <v>0.3894221763119286</v>
      </c>
      <c r="E114" s="53">
        <v>0.40860873024734984</v>
      </c>
      <c r="F114" s="53">
        <v>0.40860873024734984</v>
      </c>
      <c r="G114" s="50">
        <v>333</v>
      </c>
      <c r="H114" s="1001">
        <v>327</v>
      </c>
      <c r="I114" s="203">
        <v>6.0401565362942398</v>
      </c>
      <c r="J114" s="203">
        <v>0</v>
      </c>
      <c r="K114" s="203">
        <v>0</v>
      </c>
    </row>
    <row r="115" spans="1:11" ht="15.9" customHeight="1">
      <c r="A115" s="50">
        <v>336</v>
      </c>
      <c r="B115" s="53">
        <v>6.2266956311376829</v>
      </c>
      <c r="C115" s="50">
        <v>112.31197771587743</v>
      </c>
      <c r="D115" s="53">
        <v>0.38948319654006053</v>
      </c>
      <c r="E115" s="53">
        <v>0.40840042644560337</v>
      </c>
      <c r="F115" s="53">
        <v>0.40840042644560337</v>
      </c>
      <c r="G115" s="50">
        <v>336</v>
      </c>
      <c r="H115" s="1001">
        <v>330</v>
      </c>
      <c r="I115" s="203">
        <v>6.0870653075392402</v>
      </c>
      <c r="J115" s="203">
        <v>0</v>
      </c>
      <c r="K115" s="203">
        <v>0</v>
      </c>
    </row>
    <row r="116" spans="1:11" ht="15.9" customHeight="1">
      <c r="A116" s="50">
        <v>339</v>
      </c>
      <c r="B116" s="53">
        <v>6.3208255375638762</v>
      </c>
      <c r="C116" s="50">
        <v>113.31476323119777</v>
      </c>
      <c r="D116" s="53">
        <v>0.38953534600129586</v>
      </c>
      <c r="E116" s="53">
        <v>0.40814809548570596</v>
      </c>
      <c r="F116" s="53">
        <v>0.40814809548570596</v>
      </c>
      <c r="G116" s="50">
        <v>339</v>
      </c>
      <c r="H116" s="1001">
        <v>333</v>
      </c>
      <c r="I116" s="203">
        <v>6.1490384625228902</v>
      </c>
      <c r="J116" s="203">
        <v>0</v>
      </c>
      <c r="K116" s="203">
        <v>0</v>
      </c>
    </row>
    <row r="117" spans="1:11" ht="15.9" customHeight="1">
      <c r="A117" s="50">
        <v>342</v>
      </c>
      <c r="B117" s="53">
        <v>6.4323988577484466</v>
      </c>
      <c r="C117" s="50">
        <v>114.3175487465181</v>
      </c>
      <c r="D117" s="53">
        <v>0.38957955887790752</v>
      </c>
      <c r="E117" s="53">
        <v>0.40784838269719037</v>
      </c>
      <c r="F117" s="53">
        <v>0.40784838269719037</v>
      </c>
      <c r="G117" s="50">
        <v>342</v>
      </c>
      <c r="H117" s="1001">
        <v>336</v>
      </c>
      <c r="I117" s="203">
        <v>6.2266956311376802</v>
      </c>
      <c r="J117" s="203">
        <v>0</v>
      </c>
      <c r="K117" s="203">
        <v>0</v>
      </c>
    </row>
    <row r="118" spans="1:11" ht="15.9" customHeight="1">
      <c r="A118" s="50">
        <v>345</v>
      </c>
      <c r="B118" s="53">
        <v>6.5625833929559017</v>
      </c>
      <c r="C118" s="50">
        <v>115.32033426183844</v>
      </c>
      <c r="D118" s="53">
        <v>0.38961672353504639</v>
      </c>
      <c r="E118" s="53">
        <v>0.40749800243167489</v>
      </c>
      <c r="F118" s="53">
        <v>0.40749800243167489</v>
      </c>
      <c r="G118" s="50">
        <v>345</v>
      </c>
      <c r="H118" s="1001">
        <v>339</v>
      </c>
      <c r="I118" s="203">
        <v>6.3208255375638798</v>
      </c>
      <c r="J118" s="203">
        <v>0</v>
      </c>
      <c r="K118" s="203">
        <v>0</v>
      </c>
    </row>
    <row r="119" spans="1:11" ht="15.9" customHeight="1">
      <c r="A119" s="50">
        <v>348</v>
      </c>
      <c r="B119" s="53">
        <v>6.7127610424737325</v>
      </c>
      <c r="C119" s="50">
        <v>116.32311977715877</v>
      </c>
      <c r="D119" s="53">
        <v>0.38964767681483864</v>
      </c>
      <c r="E119" s="53">
        <v>0.40709375998375691</v>
      </c>
      <c r="F119" s="53">
        <v>0.40709375998375691</v>
      </c>
      <c r="G119" s="50">
        <v>348</v>
      </c>
      <c r="H119" s="1001">
        <v>342</v>
      </c>
      <c r="I119" s="203">
        <v>6.4323988577484501</v>
      </c>
      <c r="J119" s="203">
        <v>0</v>
      </c>
      <c r="K119" s="203">
        <v>0</v>
      </c>
    </row>
    <row r="120" spans="1:11" ht="15.9" customHeight="1">
      <c r="A120" s="50">
        <v>351</v>
      </c>
      <c r="B120" s="53">
        <v>6.8845455711674983</v>
      </c>
      <c r="C120" s="50">
        <v>117.32590529247911</v>
      </c>
      <c r="D120" s="53">
        <v>0.3896731986883249</v>
      </c>
      <c r="E120" s="53">
        <v>0.40663257325906021</v>
      </c>
      <c r="F120" s="53">
        <v>0.40663257325906021</v>
      </c>
      <c r="G120" s="50">
        <v>351</v>
      </c>
      <c r="H120" s="1001">
        <v>345</v>
      </c>
      <c r="I120" s="203">
        <v>6.5625833929558999</v>
      </c>
      <c r="J120" s="203">
        <v>0</v>
      </c>
      <c r="K120" s="203">
        <v>0</v>
      </c>
    </row>
    <row r="121" spans="1:11" ht="15.9" customHeight="1">
      <c r="A121" s="50">
        <v>354</v>
      </c>
      <c r="B121" s="53">
        <v>7.0797993347321144</v>
      </c>
      <c r="C121" s="50">
        <v>118.32869080779943</v>
      </c>
      <c r="D121" s="53">
        <v>0.3896940072929701</v>
      </c>
      <c r="E121" s="53">
        <v>0.40611149407591263</v>
      </c>
      <c r="F121" s="53">
        <v>0.40611149407591263</v>
      </c>
      <c r="G121" s="50">
        <v>354</v>
      </c>
      <c r="H121" s="1001">
        <v>348</v>
      </c>
      <c r="I121" s="203">
        <v>6.7127610424737298</v>
      </c>
      <c r="J121" s="203">
        <v>0</v>
      </c>
      <c r="K121" s="203">
        <v>0</v>
      </c>
    </row>
    <row r="122" spans="1:11" ht="15.9" customHeight="1">
      <c r="A122" s="50">
        <v>357</v>
      </c>
      <c r="B122" s="53">
        <v>7.3006457380678773</v>
      </c>
      <c r="C122" s="50">
        <v>119.33147632311977</v>
      </c>
      <c r="D122" s="53">
        <v>0.38971075438145564</v>
      </c>
      <c r="E122" s="53">
        <v>0.40552772898869716</v>
      </c>
      <c r="F122" s="53">
        <v>0.40552772898869716</v>
      </c>
      <c r="G122" s="50">
        <v>357</v>
      </c>
      <c r="H122" s="1001">
        <v>351</v>
      </c>
      <c r="I122" s="203">
        <v>6.8845455711675001</v>
      </c>
      <c r="J122" s="203">
        <v>0</v>
      </c>
      <c r="K122" s="203">
        <v>0</v>
      </c>
    </row>
    <row r="123" spans="1:11" ht="15.9" customHeight="1">
      <c r="A123" s="50">
        <v>360</v>
      </c>
      <c r="B123" s="53">
        <v>7.5494719316500225</v>
      </c>
      <c r="C123" s="50">
        <v>120.33426183844011</v>
      </c>
      <c r="D123" s="53">
        <v>0.38972402120531491</v>
      </c>
      <c r="E123" s="53">
        <v>0.40487865952304525</v>
      </c>
      <c r="F123" s="53">
        <v>0.40487865952304525</v>
      </c>
      <c r="G123" s="50">
        <v>360</v>
      </c>
      <c r="H123" s="1001">
        <v>354</v>
      </c>
      <c r="I123" s="203">
        <v>7.07979933473211</v>
      </c>
      <c r="J123" s="203">
        <v>0</v>
      </c>
      <c r="K123" s="203">
        <v>0</v>
      </c>
    </row>
    <row r="124" spans="1:11" ht="15.9" customHeight="1">
      <c r="C124" s="50">
        <v>121.33704735376044</v>
      </c>
      <c r="D124" s="53">
        <v>0.38973431485470966</v>
      </c>
      <c r="E124" s="53">
        <v>0.40416186171571222</v>
      </c>
      <c r="F124" s="53">
        <v>0.40416186171571222</v>
      </c>
      <c r="H124" s="1001">
        <v>357</v>
      </c>
      <c r="I124" s="203">
        <v>7.30064573806788</v>
      </c>
      <c r="J124" s="203">
        <v>0</v>
      </c>
      <c r="K124" s="203">
        <v>0</v>
      </c>
    </row>
    <row r="125" spans="1:11" ht="15.9" customHeight="1">
      <c r="C125" s="50">
        <v>122.33983286908078</v>
      </c>
      <c r="D125" s="53">
        <v>0.38974206507327536</v>
      </c>
      <c r="E125" s="53">
        <v>0.40337512485518756</v>
      </c>
      <c r="F125" s="53">
        <v>0.40337512485518756</v>
      </c>
      <c r="H125" s="1001">
        <v>360</v>
      </c>
      <c r="I125" s="203">
        <v>7.5494719316500198</v>
      </c>
      <c r="J125" s="203">
        <v>0</v>
      </c>
      <c r="K125" s="203">
        <v>0</v>
      </c>
    </row>
    <row r="126" spans="1:11" ht="15.9" customHeight="1">
      <c r="C126" s="50">
        <v>123.34261838440111</v>
      </c>
      <c r="D126" s="53">
        <v>0.38974762156449833</v>
      </c>
      <c r="E126" s="53">
        <v>0.40251646932281598</v>
      </c>
      <c r="F126" s="53">
        <v>0.40251646932281598</v>
      </c>
    </row>
    <row r="127" spans="1:11" ht="15.9" customHeight="1">
      <c r="C127" s="50">
        <v>124.34540389972145</v>
      </c>
      <c r="D127" s="53">
        <v>0.38975125180354031</v>
      </c>
      <c r="E127" s="53">
        <v>0.40158416343843395</v>
      </c>
      <c r="F127" s="53">
        <v>0.40158416343843395</v>
      </c>
    </row>
    <row r="128" spans="1:11" ht="15.9" customHeight="1">
      <c r="C128" s="50">
        <v>125.34818941504177</v>
      </c>
      <c r="D128" s="53">
        <v>0.38975313936581468</v>
      </c>
      <c r="E128" s="53">
        <v>0.40057673921923986</v>
      </c>
      <c r="F128" s="53">
        <v>0.40057673921923986</v>
      </c>
    </row>
    <row r="129" spans="3:6" ht="15.9" customHeight="1">
      <c r="C129" s="50">
        <v>126.35097493036211</v>
      </c>
      <c r="D129" s="53">
        <v>0.3897533827809429</v>
      </c>
      <c r="E129" s="53">
        <v>0.39949300696578027</v>
      </c>
      <c r="F129" s="53">
        <v>0.39949300696578027</v>
      </c>
    </row>
    <row r="130" spans="3:6" ht="15.9" customHeight="1">
      <c r="C130" s="50">
        <v>127.35376044568244</v>
      </c>
      <c r="D130" s="53">
        <v>0.3897519949180091</v>
      </c>
      <c r="E130" s="53">
        <v>0.39833206859453268</v>
      </c>
      <c r="F130" s="53">
        <v>0.39833206859453268</v>
      </c>
    </row>
    <row r="131" spans="3:6" ht="15.9" customHeight="1">
      <c r="C131" s="50">
        <v>128.35654596100278</v>
      </c>
      <c r="D131" s="53">
        <v>0.38974890290528619</v>
      </c>
      <c r="E131" s="53">
        <v>0.39709332964257799</v>
      </c>
      <c r="F131" s="53">
        <v>0.39709332964257799</v>
      </c>
    </row>
    <row r="132" spans="3:6" ht="15.9" customHeight="1">
      <c r="C132" s="50">
        <v>129.35933147632312</v>
      </c>
      <c r="D132" s="53">
        <v>0.38974394858484829</v>
      </c>
      <c r="E132" s="53">
        <v>0.39577650987623186</v>
      </c>
      <c r="F132" s="53">
        <v>0.39577650987623186</v>
      </c>
    </row>
    <row r="133" spans="3:6" ht="15.9" customHeight="1">
      <c r="C133" s="50">
        <v>130.36211699164346</v>
      </c>
      <c r="D133" s="53">
        <v>0.38973688949972007</v>
      </c>
      <c r="E133" s="53">
        <v>0.39438165244223211</v>
      </c>
      <c r="F133" s="53">
        <v>0.39438165244223211</v>
      </c>
    </row>
    <row r="134" spans="3:6" ht="15.9" customHeight="1">
      <c r="C134" s="50">
        <v>131.36490250696377</v>
      </c>
      <c r="D134" s="53">
        <v>0.38972740040847159</v>
      </c>
      <c r="E134" s="53">
        <v>0.39290913150712381</v>
      </c>
      <c r="F134" s="53">
        <v>0.39290913150712381</v>
      </c>
    </row>
    <row r="135" spans="3:6" ht="15.9" customHeight="1">
      <c r="C135" s="50">
        <v>132.36768802228411</v>
      </c>
      <c r="D135" s="53">
        <v>0.38971507531943367</v>
      </c>
      <c r="E135" s="53">
        <v>0.39135965833779446</v>
      </c>
      <c r="F135" s="53">
        <v>0.39135965833779446</v>
      </c>
    </row>
    <row r="136" spans="3:6" ht="15.9" customHeight="1">
      <c r="C136" s="50">
        <v>133.37047353760445</v>
      </c>
      <c r="D136" s="53">
        <v>0.38969943003402951</v>
      </c>
      <c r="E136" s="53">
        <v>0.3897342857836773</v>
      </c>
      <c r="F136" s="53">
        <v>0.3897342857836773</v>
      </c>
    </row>
    <row r="137" spans="3:6" ht="15.9" customHeight="1">
      <c r="C137" s="50">
        <v>134.37325905292479</v>
      </c>
      <c r="D137" s="53">
        <v>0.3896799051860852</v>
      </c>
      <c r="E137" s="53">
        <v>0.38803441112890275</v>
      </c>
      <c r="F137" s="53">
        <v>0.3896799051860852</v>
      </c>
    </row>
    <row r="138" spans="3:6" ht="15.9" customHeight="1">
      <c r="C138" s="50">
        <v>135.37604456824511</v>
      </c>
      <c r="D138" s="53">
        <v>0.38965586976140842</v>
      </c>
      <c r="E138" s="53">
        <v>0.38626177729061117</v>
      </c>
      <c r="F138" s="53">
        <v>0.38965586976140842</v>
      </c>
    </row>
    <row r="139" spans="3:6" ht="15.9" customHeight="1">
      <c r="C139" s="50">
        <v>136.37883008356545</v>
      </c>
      <c r="D139" s="53">
        <v>0.38962662507944212</v>
      </c>
      <c r="E139" s="53">
        <v>0.38441847234770332</v>
      </c>
      <c r="F139" s="53">
        <v>0.38962662507944212</v>
      </c>
    </row>
    <row r="140" spans="3:6" ht="15.9" customHeight="1">
      <c r="C140" s="50">
        <v>137.38161559888579</v>
      </c>
      <c r="D140" s="53">
        <v>0.38959140921639185</v>
      </c>
      <c r="E140" s="53">
        <v>0.38250692739245123</v>
      </c>
      <c r="F140" s="53">
        <v>0.38959140921639185</v>
      </c>
    </row>
    <row r="141" spans="3:6" ht="15.9" customHeight="1">
      <c r="C141" s="50">
        <v>138.38440111420613</v>
      </c>
      <c r="D141" s="53">
        <v>0.38954940184693509</v>
      </c>
      <c r="E141" s="53">
        <v>0.38052991270559544</v>
      </c>
      <c r="F141" s="53">
        <v>0.38954940184693509</v>
      </c>
    </row>
    <row r="142" spans="3:6" ht="15.9" customHeight="1">
      <c r="C142" s="50">
        <v>139.38718662952647</v>
      </c>
      <c r="D142" s="53">
        <v>0.38949972947943434</v>
      </c>
      <c r="E142" s="53">
        <v>0.37849053226376178</v>
      </c>
      <c r="F142" s="53">
        <v>0.38949972947943434</v>
      </c>
    </row>
    <row r="143" spans="3:6" ht="15.9" customHeight="1">
      <c r="C143" s="50">
        <v>140.38997214484678</v>
      </c>
      <c r="D143" s="53">
        <v>0.38944147105751198</v>
      </c>
      <c r="E143" s="53">
        <v>0.37639221659620581</v>
      </c>
      <c r="F143" s="53">
        <v>0.38944147105751198</v>
      </c>
    </row>
    <row r="144" spans="3:6" ht="15.9" customHeight="1">
      <c r="C144" s="50">
        <v>141.39275766016712</v>
      </c>
      <c r="D144" s="53">
        <v>0.38937366389893069</v>
      </c>
      <c r="E144" s="53">
        <v>0.37423871401600517</v>
      </c>
      <c r="F144" s="53">
        <v>0.38937366389893069</v>
      </c>
    </row>
    <row r="145" spans="3:6" ht="15.9" customHeight="1">
      <c r="C145" s="50">
        <v>142.39554317548746</v>
      </c>
      <c r="D145" s="53">
        <v>0.38929530994093092</v>
      </c>
      <c r="E145" s="53">
        <v>0.37203408025880774</v>
      </c>
      <c r="F145" s="53">
        <v>0.38929530994093092</v>
      </c>
    </row>
    <row r="146" spans="3:6" ht="15.9" customHeight="1">
      <c r="C146" s="50">
        <v>143.3983286908078</v>
      </c>
      <c r="D146" s="53">
        <v>0.38920538225955881</v>
      </c>
      <c r="E146" s="53">
        <v>0.3697826665700954</v>
      </c>
      <c r="F146" s="53">
        <v>0.38920538225955881</v>
      </c>
    </row>
    <row r="147" spans="3:6" ht="15.9" customHeight="1">
      <c r="C147" s="50">
        <v>144.40111420612811</v>
      </c>
      <c r="D147" s="53">
        <v>0.38910283182904881</v>
      </c>
      <c r="E147" s="53">
        <v>0.36748910628957526</v>
      </c>
      <c r="F147" s="53">
        <v>0.38910283182904881</v>
      </c>
    </row>
    <row r="148" spans="3:6" ht="15.9" customHeight="1">
      <c r="C148" s="50">
        <v>145.40389972144845</v>
      </c>
      <c r="D148" s="53">
        <v>0.38898659448602879</v>
      </c>
      <c r="E148" s="53">
        <v>0.36515829998874166</v>
      </c>
      <c r="F148" s="53">
        <v>0.38898659448602879</v>
      </c>
    </row>
    <row r="149" spans="3:6" ht="15.9" customHeight="1">
      <c r="C149" s="50">
        <v>146.40668523676879</v>
      </c>
      <c r="D149" s="53">
        <v>0.38885559806219283</v>
      </c>
      <c r="E149" s="53">
        <v>0.36279539922482318</v>
      </c>
      <c r="F149" s="53">
        <v>0.38885559806219283</v>
      </c>
    </row>
    <row r="150" spans="3:6" ht="15.9" customHeight="1">
      <c r="C150" s="50">
        <v>147.40947075208913</v>
      </c>
      <c r="D150" s="53">
        <v>0.3887087696481476</v>
      </c>
      <c r="E150" s="53">
        <v>0.3604057889811898</v>
      </c>
      <c r="F150" s="53">
        <v>0.3887087696481476</v>
      </c>
    </row>
    <row r="151" spans="3:6" ht="15.9" customHeight="1">
      <c r="C151" s="50">
        <v>148.41225626740948</v>
      </c>
      <c r="D151" s="53">
        <v>0.38854504295038261</v>
      </c>
      <c r="E151" s="53">
        <v>0.35799506887084392</v>
      </c>
      <c r="F151" s="53">
        <v>0.38854504295038261</v>
      </c>
    </row>
    <row r="152" spans="3:6" ht="15.9" customHeight="1">
      <c r="C152" s="50">
        <v>149.41504178272979</v>
      </c>
      <c r="D152" s="53">
        <v>0.38836336570274715</v>
      </c>
      <c r="E152" s="53">
        <v>0.35556903318578659</v>
      </c>
      <c r="F152" s="53">
        <v>0.38836336570274715</v>
      </c>
    </row>
    <row r="153" spans="3:6" ht="15.9" customHeight="1">
      <c r="C153" s="50">
        <v>150.41782729805013</v>
      </c>
      <c r="D153" s="53">
        <v>0.38816270709344619</v>
      </c>
      <c r="E153" s="53">
        <v>0.3531336498808294</v>
      </c>
      <c r="F153" s="53">
        <v>0.38816270709344619</v>
      </c>
    </row>
    <row r="154" spans="3:6" ht="15.9" customHeight="1">
      <c r="C154" s="50">
        <v>151.42061281337047</v>
      </c>
      <c r="D154" s="53">
        <v>0.38794206516838414</v>
      </c>
      <c r="E154" s="53">
        <v>0.35069503858578649</v>
      </c>
      <c r="F154" s="53">
        <v>0.38794206516838414</v>
      </c>
    </row>
    <row r="155" spans="3:6" ht="15.9" customHeight="1">
      <c r="C155" s="50">
        <v>152.42339832869081</v>
      </c>
      <c r="D155" s="53">
        <v>0.38770047417170661</v>
      </c>
      <c r="E155" s="53">
        <v>0.3482594477448791</v>
      </c>
      <c r="F155" s="53">
        <v>0.38770047417170661</v>
      </c>
    </row>
    <row r="156" spans="3:6" ht="15.9" customHeight="1">
      <c r="C156" s="50">
        <v>153.42618384401115</v>
      </c>
      <c r="D156" s="53">
        <v>0.38743701178459544</v>
      </c>
      <c r="E156" s="53">
        <v>0.34583323098662988</v>
      </c>
      <c r="F156" s="53">
        <v>0.38743701178459544</v>
      </c>
    </row>
    <row r="157" spans="3:6" ht="15.9" customHeight="1">
      <c r="C157" s="50">
        <v>154.42896935933146</v>
      </c>
      <c r="D157" s="53">
        <v>0.38715080622378706</v>
      </c>
      <c r="E157" s="53">
        <v>0.3434228228314582</v>
      </c>
      <c r="F157" s="53">
        <v>0.38715080622378706</v>
      </c>
    </row>
    <row r="158" spans="3:6" ht="15.9" customHeight="1">
      <c r="C158" s="50">
        <v>155.4317548746518</v>
      </c>
      <c r="D158" s="53">
        <v>0.38684104316186968</v>
      </c>
      <c r="E158" s="53">
        <v>0.34103471384760981</v>
      </c>
      <c r="F158" s="53">
        <v>0.38684104316186968</v>
      </c>
    </row>
    <row r="159" spans="3:6" ht="15.9" customHeight="1">
      <c r="C159" s="50">
        <v>156.43454038997214</v>
      </c>
      <c r="D159" s="53">
        <v>0.38650697243221771</v>
      </c>
      <c r="E159" s="53">
        <v>0.33867542536895778</v>
      </c>
      <c r="F159" s="53">
        <v>0.38650697243221771</v>
      </c>
    </row>
    <row r="160" spans="3:6" ht="15.9" customHeight="1">
      <c r="C160" s="50">
        <v>157.43732590529248</v>
      </c>
      <c r="D160" s="53">
        <v>0.38614791448238439</v>
      </c>
      <c r="E160" s="53">
        <v>0.33635148389054431</v>
      </c>
      <c r="F160" s="53">
        <v>0.38614791448238439</v>
      </c>
    </row>
    <row r="161" spans="3:6" ht="15.9" customHeight="1">
      <c r="C161" s="50">
        <v>158.44011142061279</v>
      </c>
      <c r="D161" s="53">
        <v>0.38576326654093313</v>
      </c>
      <c r="E161" s="53">
        <v>0.334069395259533</v>
      </c>
      <c r="F161" s="53">
        <v>0.38576326654093313</v>
      </c>
    </row>
    <row r="162" spans="3:6" ht="15.9" customHeight="1">
      <c r="C162" s="50">
        <v>159.44289693593313</v>
      </c>
      <c r="D162" s="53">
        <v>0.3853525084640233</v>
      </c>
      <c r="E162" s="53">
        <v>0.33183561878045964</v>
      </c>
      <c r="F162" s="53">
        <v>0.3853525084640233</v>
      </c>
    </row>
    <row r="163" spans="3:6" ht="15.9" customHeight="1">
      <c r="C163" s="50">
        <v>160.44568245125348</v>
      </c>
      <c r="D163" s="53">
        <v>0.38491520822955672</v>
      </c>
      <c r="E163" s="53">
        <v>0.32965654135431494</v>
      </c>
      <c r="F163" s="53">
        <v>0.38491520822955672</v>
      </c>
    </row>
    <row r="164" spans="3:6" ht="15.9" customHeight="1">
      <c r="C164" s="50">
        <v>161.44846796657382</v>
      </c>
      <c r="D164" s="53">
        <v>0.38445102704836448</v>
      </c>
      <c r="E164" s="53">
        <v>0.32753845177107133</v>
      </c>
      <c r="F164" s="53">
        <v>0.38445102704836448</v>
      </c>
    </row>
    <row r="165" spans="3:6" ht="15.9" customHeight="1">
      <c r="C165" s="50">
        <v>162.45125348189416</v>
      </c>
      <c r="D165" s="53">
        <v>0.3839597240637227</v>
      </c>
      <c r="E165" s="53">
        <v>0.32548751527475372</v>
      </c>
      <c r="F165" s="53">
        <v>0.3839597240637227</v>
      </c>
    </row>
    <row r="166" spans="3:6" ht="15.9" customHeight="1">
      <c r="C166" s="50">
        <v>163.45403899721447</v>
      </c>
      <c r="D166" s="53">
        <v>0.38344116061245115</v>
      </c>
      <c r="E166" s="53">
        <v>0.32350974851908193</v>
      </c>
      <c r="F166" s="53">
        <v>0.38344116061245115</v>
      </c>
    </row>
    <row r="167" spans="3:6" ht="15.9" customHeight="1">
      <c r="C167" s="50">
        <v>164.45682451253481</v>
      </c>
      <c r="D167" s="53">
        <v>0.38289530402294059</v>
      </c>
      <c r="E167" s="53">
        <v>0.32161099503005031</v>
      </c>
      <c r="F167" s="53">
        <v>0.38289530402294059</v>
      </c>
    </row>
    <row r="168" spans="3:6" ht="15.9" customHeight="1">
      <c r="C168" s="50">
        <v>165.45961002785515</v>
      </c>
      <c r="D168" s="53">
        <v>0.38232223092768897</v>
      </c>
      <c r="E168" s="53">
        <v>0.31979690128961458</v>
      </c>
      <c r="F168" s="53">
        <v>0.38232223092768897</v>
      </c>
    </row>
    <row r="169" spans="3:6" ht="15.9" customHeight="1">
      <c r="C169" s="50">
        <v>166.46239554317549</v>
      </c>
      <c r="D169" s="53">
        <v>0.38172213007024858</v>
      </c>
      <c r="E169" s="53">
        <v>0.31807289355187274</v>
      </c>
      <c r="F169" s="53">
        <v>0.38172213007024858</v>
      </c>
    </row>
    <row r="170" spans="3:6" ht="15.9" customHeight="1">
      <c r="C170" s="50">
        <v>167.4651810584958</v>
      </c>
      <c r="D170" s="53">
        <v>0.38109530458893498</v>
      </c>
      <c r="E170" s="53">
        <v>0.31644415549983368</v>
      </c>
      <c r="F170" s="53">
        <v>0.38109530458893498</v>
      </c>
    </row>
    <row r="171" spans="3:6" ht="15.9" customHeight="1">
      <c r="C171" s="50">
        <v>168.46796657381614</v>
      </c>
      <c r="D171" s="53">
        <v>0.38044217376218414</v>
      </c>
      <c r="E171" s="53">
        <v>0.31491560684704495</v>
      </c>
      <c r="F171" s="53">
        <v>0.38044217376218414</v>
      </c>
    </row>
    <row r="172" spans="3:6" ht="15.9" customHeight="1">
      <c r="C172" s="50">
        <v>169.47075208913648</v>
      </c>
      <c r="D172" s="53">
        <v>0.3797632742030434</v>
      </c>
      <c r="E172" s="53">
        <v>0.31349188298400799</v>
      </c>
      <c r="F172" s="53">
        <v>0.3797632742030434</v>
      </c>
    </row>
    <row r="173" spans="3:6" ht="15.9" customHeight="1">
      <c r="C173" s="50">
        <v>170.47353760445682</v>
      </c>
      <c r="D173" s="53">
        <v>0.37905926049296707</v>
      </c>
      <c r="E173" s="53">
        <v>0.31217731576450625</v>
      </c>
      <c r="F173" s="53">
        <v>0.37905926049296707</v>
      </c>
    </row>
    <row r="174" spans="3:6" ht="15.9" customHeight="1">
      <c r="C174" s="50">
        <v>171.47632311977716</v>
      </c>
      <c r="D174" s="53">
        <v>0.37833090524781482</v>
      </c>
      <c r="E174" s="53">
        <v>0.31097591552169196</v>
      </c>
      <c r="F174" s="53">
        <v>0.37833090524781482</v>
      </c>
    </row>
    <row r="175" spans="3:6" ht="15.9" customHeight="1">
      <c r="C175" s="50">
        <v>172.47910863509748</v>
      </c>
      <c r="D175" s="53">
        <v>0.37757909861171796</v>
      </c>
      <c r="E175" s="53">
        <v>0.30989135439806786</v>
      </c>
      <c r="F175" s="53">
        <v>0.37757909861171796</v>
      </c>
    </row>
    <row r="176" spans="3:6" ht="15.9" customHeight="1">
      <c r="C176" s="50">
        <v>173.48189415041782</v>
      </c>
      <c r="D176" s="53">
        <v>0.37680484717727791</v>
      </c>
      <c r="E176" s="53">
        <v>0.30892695106738566</v>
      </c>
      <c r="F176" s="53">
        <v>0.37680484717727791</v>
      </c>
    </row>
    <row r="177" spans="3:6" ht="15.9" customHeight="1">
      <c r="C177" s="50">
        <v>174.48467966573816</v>
      </c>
      <c r="D177" s="53">
        <v>0.37600927233336717</v>
      </c>
      <c r="E177" s="53">
        <v>0.30808565691998668</v>
      </c>
      <c r="F177" s="53">
        <v>0.37600927233336717</v>
      </c>
    </row>
    <row r="178" spans="3:6" ht="15.9" customHeight="1">
      <c r="C178" s="50">
        <v>175.4874651810585</v>
      </c>
      <c r="D178" s="53">
        <v>0.375193608044606</v>
      </c>
      <c r="E178" s="53">
        <v>0.30737004377626875</v>
      </c>
      <c r="F178" s="53">
        <v>0.375193608044606</v>
      </c>
    </row>
    <row r="179" spans="3:6" ht="15.9" customHeight="1">
      <c r="C179" s="50">
        <v>176.49025069637884</v>
      </c>
      <c r="D179" s="53">
        <v>0.37435919806938944</v>
      </c>
      <c r="E179" s="53">
        <v>0.30678229318581268</v>
      </c>
      <c r="F179" s="53">
        <v>0.37435919806938944</v>
      </c>
    </row>
    <row r="180" spans="3:6" ht="15.9" customHeight="1">
      <c r="C180" s="50">
        <v>177.49303621169915</v>
      </c>
      <c r="D180" s="53">
        <v>0.37350749262608873</v>
      </c>
      <c r="E180" s="53">
        <v>0.30632418736226225</v>
      </c>
      <c r="F180" s="53">
        <v>0.37350749262608873</v>
      </c>
    </row>
    <row r="181" spans="3:6" ht="15.9" customHeight="1">
      <c r="C181" s="50">
        <v>178.49582172701949</v>
      </c>
      <c r="D181" s="53">
        <v>0.37264004451978511</v>
      </c>
      <c r="E181" s="53">
        <v>0.30599710179638634</v>
      </c>
      <c r="F181" s="53">
        <v>0.37264004451978511</v>
      </c>
    </row>
    <row r="182" spans="3:6" ht="15.9" customHeight="1">
      <c r="C182" s="50">
        <v>179.49860724233983</v>
      </c>
      <c r="D182" s="53">
        <v>0.37175850474454691</v>
      </c>
      <c r="E182" s="53">
        <v>0.30580199958185977</v>
      </c>
      <c r="F182" s="53">
        <v>0.37175850474454691</v>
      </c>
    </row>
    <row r="183" spans="3:6" ht="15.9" customHeight="1">
      <c r="C183" s="50">
        <v>180.50139275766017</v>
      </c>
      <c r="D183" s="53">
        <v>0.37086461757886713</v>
      </c>
      <c r="E183" s="53">
        <v>0.30573942748026223</v>
      </c>
      <c r="F183" s="53">
        <v>0.37086461757886713</v>
      </c>
    </row>
    <row r="184" spans="3:6" ht="15.9" customHeight="1">
      <c r="C184" s="50">
        <v>181.50417827298048</v>
      </c>
      <c r="D184" s="53">
        <v>0.36996021519438466</v>
      </c>
      <c r="E184" s="53">
        <v>0.30580951374360826</v>
      </c>
      <c r="F184" s="53">
        <v>0.36996021519438466</v>
      </c>
    </row>
    <row r="185" spans="3:6" ht="15.9" customHeight="1">
      <c r="C185" s="50">
        <v>182.50696378830082</v>
      </c>
      <c r="D185" s="53">
        <v>0.36904721180044059</v>
      </c>
      <c r="E185" s="53">
        <v>0.30601196770446676</v>
      </c>
      <c r="F185" s="53">
        <v>0.36904721180044059</v>
      </c>
    </row>
    <row r="186" spans="3:6" ht="15.9" customHeight="1">
      <c r="C186" s="50">
        <v>183.50974930362116</v>
      </c>
      <c r="D186" s="53">
        <v>0.36812759734933093</v>
      </c>
      <c r="E186" s="53">
        <v>0.30634608113540851</v>
      </c>
      <c r="F186" s="53">
        <v>0.36812759734933093</v>
      </c>
    </row>
    <row r="187" spans="3:6" ht="15.9" customHeight="1">
      <c r="C187" s="50">
        <v>184.5125348189415</v>
      </c>
      <c r="D187" s="53">
        <v>0.36720343082931672</v>
      </c>
      <c r="E187" s="53">
        <v>0.30681073137119858</v>
      </c>
      <c r="F187" s="53">
        <v>0.36720343082931672</v>
      </c>
    </row>
    <row r="188" spans="3:6" ht="15.9" customHeight="1">
      <c r="C188" s="50">
        <v>185.51532033426184</v>
      </c>
      <c r="D188" s="53">
        <v>0.3662768331745242</v>
      </c>
      <c r="E188" s="53">
        <v>0.30740438617886756</v>
      </c>
      <c r="F188" s="53">
        <v>0.3662768331745242</v>
      </c>
    </row>
    <row r="189" spans="3:6" ht="15.9" customHeight="1">
      <c r="C189" s="50">
        <v>186.51810584958216</v>
      </c>
      <c r="D189" s="53">
        <v>0.36534997982279666</v>
      </c>
      <c r="E189" s="53">
        <v>0.3081251103525719</v>
      </c>
      <c r="F189" s="53">
        <v>0.36534997982279666</v>
      </c>
    </row>
    <row r="190" spans="3:6" ht="15.9" customHeight="1">
      <c r="C190" s="50">
        <v>187.5208913649025</v>
      </c>
      <c r="D190" s="53">
        <v>0.36442509295434605</v>
      </c>
      <c r="E190" s="53">
        <v>0.30897057400205175</v>
      </c>
      <c r="F190" s="53">
        <v>0.36442509295434605</v>
      </c>
    </row>
    <row r="191" spans="3:6" ht="15.9" customHeight="1">
      <c r="C191" s="50">
        <v>188.52367688022284</v>
      </c>
      <c r="D191" s="53">
        <v>0.36350443344567962</v>
      </c>
      <c r="E191" s="53">
        <v>0.30993806249554251</v>
      </c>
      <c r="F191" s="53">
        <v>0.36350443344567962</v>
      </c>
    </row>
    <row r="192" spans="3:6" ht="15.9" customHeight="1">
      <c r="C192" s="50">
        <v>189.52646239554318</v>
      </c>
      <c r="D192" s="53">
        <v>0.36259029257473829</v>
      </c>
      <c r="E192" s="53">
        <v>0.31102448801023019</v>
      </c>
      <c r="F192" s="53">
        <v>0.36259029257473829</v>
      </c>
    </row>
    <row r="193" spans="3:6" ht="15.9" customHeight="1">
      <c r="C193" s="50">
        <v>190.52924791086349</v>
      </c>
      <c r="D193" s="53">
        <v>0.36168498351447925</v>
      </c>
      <c r="E193" s="53">
        <v>0.31222640263580842</v>
      </c>
      <c r="F193" s="53">
        <v>0.36168498351447925</v>
      </c>
    </row>
    <row r="194" spans="3:6" ht="15.9" customHeight="1">
      <c r="C194" s="50">
        <v>191.53203342618383</v>
      </c>
      <c r="D194" s="53">
        <v>0.36079083265324163</v>
      </c>
      <c r="E194" s="53">
        <v>0.31354001296941897</v>
      </c>
      <c r="F194" s="53">
        <v>0.36079083265324163</v>
      </c>
    </row>
    <row r="195" spans="3:6" ht="15.9" customHeight="1">
      <c r="C195" s="50">
        <v>192.53481894150417</v>
      </c>
      <c r="D195" s="53">
        <v>0.35991017078117066</v>
      </c>
      <c r="E195" s="53">
        <v>0.3149611961332901</v>
      </c>
      <c r="F195" s="53">
        <v>0.35991017078117066</v>
      </c>
    </row>
    <row r="196" spans="3:6" ht="15.9" customHeight="1">
      <c r="C196" s="50">
        <v>193.53760445682451</v>
      </c>
      <c r="D196" s="53">
        <v>0.35904532418271201</v>
      </c>
      <c r="E196" s="53">
        <v>0.31648551713974515</v>
      </c>
      <c r="F196" s="53">
        <v>0.35904532418271201</v>
      </c>
    </row>
    <row r="197" spans="3:6" ht="15.9" customHeight="1">
      <c r="C197" s="50">
        <v>194.54038997214485</v>
      </c>
      <c r="D197" s="53">
        <v>0.35819860567573786</v>
      </c>
      <c r="E197" s="53">
        <v>0.31810824752197825</v>
      </c>
      <c r="F197" s="53">
        <v>0.35819860567573786</v>
      </c>
    </row>
    <row r="198" spans="3:6" ht="15.9" customHeight="1">
      <c r="C198" s="50">
        <v>195.54317548746516</v>
      </c>
      <c r="D198" s="53">
        <v>0.3573723056382212</v>
      </c>
      <c r="E198" s="53">
        <v>0.31982438514311978</v>
      </c>
      <c r="F198" s="53">
        <v>0.3573723056382212</v>
      </c>
    </row>
    <row r="199" spans="3:6" ht="15.9" customHeight="1">
      <c r="C199" s="50">
        <v>196.5459610027855</v>
      </c>
      <c r="D199" s="53">
        <v>0.3565686830635314</v>
      </c>
      <c r="E199" s="53">
        <v>0.32162867509065746</v>
      </c>
      <c r="F199" s="53">
        <v>0.3565686830635314</v>
      </c>
    </row>
    <row r="200" spans="3:6" ht="15.9" customHeight="1">
      <c r="C200" s="50">
        <v>197.54874651810584</v>
      </c>
      <c r="D200" s="53">
        <v>0.35578995668538205</v>
      </c>
      <c r="E200" s="53">
        <v>0.32351563155827007</v>
      </c>
      <c r="F200" s="53">
        <v>0.35578995668538205</v>
      </c>
    </row>
    <row r="201" spans="3:6" ht="15.9" customHeight="1">
      <c r="C201" s="50">
        <v>198.55153203342618</v>
      </c>
      <c r="D201" s="53">
        <v>0.3550382962132268</v>
      </c>
      <c r="E201" s="53">
        <v>0.32547956061261157</v>
      </c>
      <c r="F201" s="53">
        <v>0.3550382962132268</v>
      </c>
    </row>
    <row r="202" spans="3:6" ht="15.9" customHeight="1">
      <c r="C202" s="50">
        <v>199.5543175487465</v>
      </c>
      <c r="D202" s="53">
        <v>0.3543158137184616</v>
      </c>
      <c r="E202" s="53">
        <v>0.3275145837385382</v>
      </c>
      <c r="F202" s="53">
        <v>0.3543158137184616</v>
      </c>
    </row>
    <row r="203" spans="3:6" ht="15.9" customHeight="1">
      <c r="C203" s="50">
        <v>200.55710306406684</v>
      </c>
      <c r="D203" s="53">
        <v>0.35362455521116271</v>
      </c>
      <c r="E203" s="53">
        <v>0.32961466205275924</v>
      </c>
      <c r="F203" s="53">
        <v>0.35362455521116271</v>
      </c>
    </row>
    <row r="204" spans="3:6" ht="15.9" customHeight="1">
      <c r="C204" s="50">
        <v>201.55988857938718</v>
      </c>
      <c r="D204" s="53">
        <v>0.35296649244627132</v>
      </c>
      <c r="E204" s="53">
        <v>0.33177362107290653</v>
      </c>
      <c r="F204" s="53">
        <v>0.35296649244627132</v>
      </c>
    </row>
    <row r="205" spans="3:6" ht="15.9" customHeight="1">
      <c r="C205" s="50">
        <v>202.56267409470752</v>
      </c>
      <c r="D205" s="53">
        <v>0.35234351499712391</v>
      </c>
      <c r="E205" s="53">
        <v>0.33398517592657595</v>
      </c>
      <c r="F205" s="53">
        <v>0.35234351499712391</v>
      </c>
    </row>
    <row r="206" spans="3:6" ht="15.9" customHeight="1">
      <c r="C206" s="50">
        <v>203.56545961002786</v>
      </c>
      <c r="D206" s="53">
        <v>0.35175742263303611</v>
      </c>
      <c r="E206" s="53">
        <v>0.33624295688301509</v>
      </c>
      <c r="F206" s="53">
        <v>0.35175742263303611</v>
      </c>
    </row>
    <row r="207" spans="3:6" ht="15.9" customHeight="1">
      <c r="C207" s="50">
        <v>204.56824512534817</v>
      </c>
      <c r="D207" s="53">
        <v>0.35120991803628349</v>
      </c>
      <c r="E207" s="53">
        <v>0.33854053508881865</v>
      </c>
      <c r="F207" s="53">
        <v>0.35120991803628349</v>
      </c>
    </row>
    <row r="208" spans="3:6" ht="15.9" customHeight="1">
      <c r="C208" s="50">
        <v>205.57103064066851</v>
      </c>
      <c r="D208" s="53">
        <v>0.35070259989227553</v>
      </c>
      <c r="E208" s="53">
        <v>0.34087144838825223</v>
      </c>
      <c r="F208" s="53">
        <v>0.35070259989227553</v>
      </c>
    </row>
    <row r="209" spans="3:6" ht="15.9" customHeight="1">
      <c r="C209" s="50">
        <v>206.57381615598885</v>
      </c>
      <c r="D209" s="53">
        <v>0.35023695638502328</v>
      </c>
      <c r="E209" s="53">
        <v>0.34322922710865983</v>
      </c>
      <c r="F209" s="53">
        <v>0.35023695638502328</v>
      </c>
    </row>
    <row r="210" spans="3:6" ht="15.9" customHeight="1">
      <c r="C210" s="50">
        <v>207.57660167130919</v>
      </c>
      <c r="D210" s="53">
        <v>0.34981435912813896</v>
      </c>
      <c r="E210" s="53">
        <v>0.34560741969182934</v>
      </c>
      <c r="F210" s="53">
        <v>0.34981435912813896</v>
      </c>
    </row>
    <row r="211" spans="3:6" ht="15.9" customHeight="1">
      <c r="C211" s="50">
        <v>208.5793871866295</v>
      </c>
      <c r="D211" s="53">
        <v>0.34943605755960461</v>
      </c>
      <c r="E211" s="53">
        <v>0.34799961805317187</v>
      </c>
      <c r="F211" s="53">
        <v>0.34943605755960461</v>
      </c>
    </row>
    <row r="212" spans="3:6" ht="15.9" customHeight="1">
      <c r="C212" s="50">
        <v>209.58217270194984</v>
      </c>
      <c r="D212" s="53">
        <v>0.34910317382640299</v>
      </c>
      <c r="E212" s="53">
        <v>0.35039948255213638</v>
      </c>
      <c r="F212" s="53">
        <v>0.35039948255213638</v>
      </c>
    </row>
    <row r="213" spans="3:6" ht="15.9" customHeight="1">
      <c r="C213" s="50">
        <v>210.58495821727018</v>
      </c>
      <c r="D213" s="53">
        <v>0.34881669818284039</v>
      </c>
      <c r="E213" s="53">
        <v>0.35280076645939296</v>
      </c>
      <c r="F213" s="53">
        <v>0.35280076645939296</v>
      </c>
    </row>
    <row r="214" spans="3:6" ht="15.9" customHeight="1">
      <c r="C214" s="50">
        <v>211.58774373259052</v>
      </c>
      <c r="D214" s="53">
        <v>0.34857748492400847</v>
      </c>
      <c r="E214" s="53">
        <v>0.3551973398089977</v>
      </c>
      <c r="F214" s="53">
        <v>0.3551973398089977</v>
      </c>
    </row>
    <row r="215" spans="3:6" ht="15.9" customHeight="1">
      <c r="C215" s="50">
        <v>212.59052924791087</v>
      </c>
      <c r="D215" s="53">
        <v>0.34838624887334357</v>
      </c>
      <c r="E215" s="53">
        <v>0.35758321252695352</v>
      </c>
      <c r="F215" s="53">
        <v>0.35758321252695352</v>
      </c>
    </row>
    <row r="216" spans="3:6" ht="15.9" customHeight="1">
      <c r="C216" s="50">
        <v>213.59331476323118</v>
      </c>
      <c r="D216" s="53">
        <v>0.34824356244066895</v>
      </c>
      <c r="E216" s="53">
        <v>0.3599525567313166</v>
      </c>
      <c r="F216" s="53">
        <v>0.3599525567313166</v>
      </c>
    </row>
    <row r="217" spans="3:6" ht="15.9" customHeight="1">
      <c r="C217" s="50">
        <v>214.59610027855152</v>
      </c>
      <c r="D217" s="53">
        <v>0.34814985326444636</v>
      </c>
      <c r="E217" s="53">
        <v>0.36229972810323074</v>
      </c>
      <c r="F217" s="53">
        <v>0.36229972810323074</v>
      </c>
    </row>
    <row r="218" spans="3:6" ht="15.9" customHeight="1">
      <c r="C218" s="50">
        <v>215.59888579387186</v>
      </c>
      <c r="D218" s="53">
        <v>0.34810540244924065</v>
      </c>
      <c r="E218" s="53">
        <v>0.3646192862329885</v>
      </c>
      <c r="F218" s="53">
        <v>0.3646192862329885</v>
      </c>
    </row>
    <row r="219" spans="3:6" ht="15.9" customHeight="1">
      <c r="C219" s="50">
        <v>216.6016713091922</v>
      </c>
      <c r="D219" s="53">
        <v>0.3481103434066225</v>
      </c>
      <c r="E219" s="53">
        <v>0.36690601385038973</v>
      </c>
      <c r="F219" s="53">
        <v>0.36690601385038973</v>
      </c>
    </row>
    <row r="220" spans="3:6" ht="15.9" customHeight="1">
      <c r="C220" s="50">
        <v>217.60445682451254</v>
      </c>
      <c r="D220" s="53">
        <v>0.34816466130492585</v>
      </c>
      <c r="E220" s="53">
        <v>0.36915493485428724</v>
      </c>
      <c r="F220" s="53">
        <v>0.36915493485428724</v>
      </c>
    </row>
    <row r="221" spans="3:6" ht="15.9" customHeight="1">
      <c r="C221" s="50">
        <v>218.60724233983285</v>
      </c>
      <c r="D221" s="53">
        <v>0.34826819313042273</v>
      </c>
      <c r="E221" s="53">
        <v>0.37136133106220948</v>
      </c>
      <c r="F221" s="53">
        <v>0.37136133106220948</v>
      </c>
    </row>
    <row r="222" spans="3:6" ht="15.9" customHeight="1">
      <c r="C222" s="50">
        <v>219.61002785515319</v>
      </c>
      <c r="D222" s="53">
        <v>0.34842062835963589</v>
      </c>
      <c r="E222" s="53">
        <v>0.37352075760735437</v>
      </c>
      <c r="F222" s="53">
        <v>0.37352075760735437</v>
      </c>
    </row>
    <row r="223" spans="3:6" ht="15.9" customHeight="1">
      <c r="C223" s="50">
        <v>220.61281337047353</v>
      </c>
      <c r="D223" s="53">
        <v>0.34862151023964516</v>
      </c>
      <c r="E223" s="53">
        <v>0.37562905691697651</v>
      </c>
      <c r="F223" s="53">
        <v>0.37562905691697651</v>
      </c>
    </row>
    <row r="224" spans="3:6" ht="15.9" customHeight="1">
      <c r="C224" s="50">
        <v>221.61559888579387</v>
      </c>
      <c r="D224" s="53">
        <v>0.34887023767041409</v>
      </c>
      <c r="E224" s="53">
        <v>0.37768237121323894</v>
      </c>
      <c r="F224" s="53">
        <v>0.37768237121323894</v>
      </c>
    </row>
    <row r="225" spans="3:6" ht="15.9" customHeight="1">
      <c r="C225" s="50">
        <v>222.61838440111418</v>
      </c>
      <c r="D225" s="53">
        <v>0.34916606768034847</v>
      </c>
      <c r="E225" s="53">
        <v>0.37967715348492809</v>
      </c>
      <c r="F225" s="53">
        <v>0.37967715348492809</v>
      </c>
    </row>
    <row r="226" spans="3:6" ht="15.9" customHeight="1">
      <c r="C226" s="50">
        <v>223.62116991643452</v>
      </c>
      <c r="D226" s="53">
        <v>0.34950811848353508</v>
      </c>
      <c r="E226" s="53">
        <v>0.38161017688598969</v>
      </c>
      <c r="F226" s="53">
        <v>0.38161017688598969</v>
      </c>
    </row>
    <row r="227" spans="3:6" ht="15.9" customHeight="1">
      <c r="C227" s="50">
        <v>224.62395543175487</v>
      </c>
      <c r="D227" s="53">
        <v>0.34989537310439561</v>
      </c>
      <c r="E227" s="53">
        <v>0.3834785425246201</v>
      </c>
      <c r="F227" s="53">
        <v>0.3834785425246201</v>
      </c>
    </row>
    <row r="228" spans="3:6" ht="15.9" customHeight="1">
      <c r="C228" s="50">
        <v>225.62674094707521</v>
      </c>
      <c r="D228" s="53">
        <v>0.35032668355285101</v>
      </c>
      <c r="E228" s="53">
        <v>0.38527968561457626</v>
      </c>
      <c r="F228" s="53">
        <v>0.38527968561457626</v>
      </c>
    </row>
    <row r="229" spans="3:6" ht="15.9" customHeight="1">
      <c r="C229" s="50">
        <v>226.62952646239555</v>
      </c>
      <c r="D229" s="53">
        <v>0.35080077553052996</v>
      </c>
      <c r="E229" s="53">
        <v>0.38701137996843227</v>
      </c>
      <c r="F229" s="53">
        <v>0.38701137996843227</v>
      </c>
    </row>
    <row r="230" spans="3:6" ht="15.9" customHeight="1">
      <c r="C230" s="50">
        <v>227.63231197771586</v>
      </c>
      <c r="D230" s="53">
        <v>0.35131625364609181</v>
      </c>
      <c r="E230" s="53">
        <v>0.38867174082066042</v>
      </c>
      <c r="F230" s="53">
        <v>0.38867174082066042</v>
      </c>
    </row>
    <row r="231" spans="3:6" ht="15.9" customHeight="1">
      <c r="C231" s="50">
        <v>228.6350974930362</v>
      </c>
      <c r="D231" s="53">
        <v>0.3518716071153693</v>
      </c>
      <c r="E231" s="53">
        <v>0.39025922597660662</v>
      </c>
      <c r="F231" s="53">
        <v>0.39025922597660662</v>
      </c>
    </row>
    <row r="232" spans="3:6" ht="15.9" customHeight="1">
      <c r="C232" s="50">
        <v>229.63788300835654</v>
      </c>
      <c r="D232" s="53">
        <v>0.35246521591979973</v>
      </c>
      <c r="E232" s="53">
        <v>0.39177263529163769</v>
      </c>
      <c r="F232" s="53">
        <v>0.39177263529163769</v>
      </c>
    </row>
    <row r="233" spans="3:6" ht="15.9" customHeight="1">
      <c r="C233" s="50">
        <v>230.64066852367688</v>
      </c>
      <c r="D233" s="53">
        <v>0.35309535739449804</v>
      </c>
      <c r="E233" s="53">
        <v>0.39321110849290741</v>
      </c>
      <c r="F233" s="53">
        <v>0.39321110849290741</v>
      </c>
    </row>
    <row r="234" spans="3:6" ht="15.9" customHeight="1">
      <c r="C234" s="50">
        <v>231.64345403899719</v>
      </c>
      <c r="D234" s="53">
        <v>0.35376021321534473</v>
      </c>
      <c r="E234" s="53">
        <v>0.3945741213642821</v>
      </c>
      <c r="F234" s="53">
        <v>0.3945741213642821</v>
      </c>
    </row>
    <row r="235" spans="3:6" ht="15.9" customHeight="1">
      <c r="C235" s="50">
        <v>232.64623955431753</v>
      </c>
      <c r="D235" s="53">
        <v>0.35445787675264184</v>
      </c>
      <c r="E235" s="53">
        <v>0.39586148032295693</v>
      </c>
      <c r="F235" s="53">
        <v>0.39586148032295693</v>
      </c>
    </row>
    <row r="236" spans="3:6" ht="15.9" customHeight="1">
      <c r="C236" s="50">
        <v>233.64902506963787</v>
      </c>
      <c r="D236" s="53">
        <v>0.35518636075721172</v>
      </c>
      <c r="E236" s="53">
        <v>0.39707331542411917</v>
      </c>
      <c r="F236" s="53">
        <v>0.39707331542411917</v>
      </c>
    </row>
    <row r="237" spans="3:6" ht="15.9" customHeight="1">
      <c r="C237" s="50">
        <v>234.65181058495821</v>
      </c>
      <c r="D237" s="53">
        <v>0.35594360534331354</v>
      </c>
      <c r="E237" s="53">
        <v>0.39821007183766483</v>
      </c>
      <c r="F237" s="53">
        <v>0.39821007183766483</v>
      </c>
    </row>
    <row r="238" spans="3:6" ht="15.9" customHeight="1">
      <c r="C238" s="50">
        <v>235.65459610027855</v>
      </c>
      <c r="D238" s="53">
        <v>0.35672748623141626</v>
      </c>
      <c r="E238" s="53">
        <v>0.39927249984838509</v>
      </c>
      <c r="F238" s="53">
        <v>0.39927249984838509</v>
      </c>
    </row>
    <row r="239" spans="3:6" ht="15.9" customHeight="1">
      <c r="C239" s="50">
        <v>236.65738161559887</v>
      </c>
      <c r="D239" s="53">
        <v>0.35753582321270766</v>
      </c>
      <c r="E239" s="53">
        <v>0.40026164343819048</v>
      </c>
      <c r="F239" s="53">
        <v>0.40026164343819048</v>
      </c>
    </row>
    <row r="240" spans="3:6" ht="15.9" customHeight="1">
      <c r="C240" s="50">
        <v>237.66016713091921</v>
      </c>
      <c r="D240" s="53">
        <v>0.35836638879625599</v>
      </c>
      <c r="E240" s="53">
        <v>0.40117882751579625</v>
      </c>
      <c r="F240" s="53">
        <v>0.40117882751579625</v>
      </c>
    </row>
    <row r="241" spans="3:6" ht="15.9" customHeight="1">
      <c r="C241" s="50">
        <v>238.66295264623955</v>
      </c>
      <c r="D241" s="53">
        <v>0.35921691699894814</v>
      </c>
      <c r="E241" s="53">
        <v>0.40202564386580869</v>
      </c>
      <c r="F241" s="53">
        <v>0.40202564386580869</v>
      </c>
    </row>
    <row r="242" spans="3:6" ht="15.9" customHeight="1">
      <c r="C242" s="50">
        <v>239.66573816155989</v>
      </c>
      <c r="D242" s="53">
        <v>0.36008511223774764</v>
      </c>
      <c r="E242" s="53">
        <v>0.40280393589531538</v>
      </c>
      <c r="F242" s="53">
        <v>0.40280393589531538</v>
      </c>
    </row>
    <row r="243" spans="3:6" ht="15.9" customHeight="1">
      <c r="C243" s="50">
        <v>240.66852367688023</v>
      </c>
      <c r="D243" s="53">
        <v>0.36096865828340918</v>
      </c>
      <c r="E243" s="53">
        <v>0.40351578226183377</v>
      </c>
      <c r="F243" s="53">
        <v>0.40351578226183377</v>
      </c>
    </row>
    <row r="244" spans="3:6" ht="15.9" customHeight="1">
      <c r="C244" s="50">
        <v>241.67130919220054</v>
      </c>
      <c r="D244" s="53">
        <v>0.36186522723459702</v>
      </c>
      <c r="E244" s="53">
        <v>0.40416347947182624</v>
      </c>
      <c r="F244" s="53">
        <v>0.40416347947182624</v>
      </c>
    </row>
    <row r="245" spans="3:6" ht="15.9" customHeight="1">
      <c r="C245" s="50">
        <v>242.67409470752088</v>
      </c>
      <c r="D245" s="53">
        <v>0.36277248847135202</v>
      </c>
      <c r="E245" s="53">
        <v>0.40474952354387228</v>
      </c>
      <c r="F245" s="53">
        <v>0.40474952354387228</v>
      </c>
    </row>
    <row r="246" spans="3:6" ht="15.9" customHeight="1">
      <c r="C246" s="50">
        <v>243.67688022284122</v>
      </c>
      <c r="D246" s="53">
        <v>0.36368811754703828</v>
      </c>
      <c r="E246" s="53">
        <v>0.40527659083501083</v>
      </c>
      <c r="F246" s="53">
        <v>0.40527659083501083</v>
      </c>
    </row>
    <row r="247" spans="3:6" ht="15.9" customHeight="1">
      <c r="C247" s="50">
        <v>244.67966573816156</v>
      </c>
      <c r="D247" s="53">
        <v>0.36460980497831524</v>
      </c>
      <c r="E247" s="53">
        <v>0.40574751813270388</v>
      </c>
      <c r="F247" s="53">
        <v>0.40574751813270388</v>
      </c>
    </row>
    <row r="248" spans="3:6" ht="15.9" customHeight="1">
      <c r="C248" s="50">
        <v>245.68245125348187</v>
      </c>
      <c r="D248" s="53">
        <v>0.36553526489323834</v>
      </c>
      <c r="E248" s="53">
        <v>0.40616528211826347</v>
      </c>
      <c r="F248" s="53">
        <v>0.40616528211826347</v>
      </c>
    </row>
    <row r="249" spans="3:6" ht="15.9" customHeight="1">
      <c r="C249" s="50">
        <v>246.68523676880221</v>
      </c>
      <c r="D249" s="53">
        <v>0.36646224349840389</v>
      </c>
      <c r="E249" s="53">
        <v>0.4065329783105035</v>
      </c>
      <c r="F249" s="53">
        <v>0.4065329783105035</v>
      </c>
    </row>
    <row r="250" spans="3:6" ht="15.9" customHeight="1">
      <c r="C250" s="50">
        <v>247.68802228412255</v>
      </c>
      <c r="D250" s="53">
        <v>0.36738852732699012</v>
      </c>
      <c r="E250" s="53">
        <v>0.4068537996006884</v>
      </c>
      <c r="F250" s="53">
        <v>0.4068537996006884</v>
      </c>
    </row>
    <row r="251" spans="3:6" ht="15.9" customHeight="1">
      <c r="C251" s="50">
        <v>248.69080779944289</v>
      </c>
      <c r="D251" s="53">
        <v>0.36831195123071703</v>
      </c>
      <c r="E251" s="53">
        <v>0.40713101449166506</v>
      </c>
      <c r="F251" s="53">
        <v>0.40713101449166506</v>
      </c>
    </row>
    <row r="252" spans="3:6" ht="15.9" customHeight="1">
      <c r="C252" s="50">
        <v>249.69359331476323</v>
      </c>
      <c r="D252" s="53">
        <v>0.36923040608006297</v>
      </c>
      <c r="E252" s="53">
        <v>0.40736794515527874</v>
      </c>
      <c r="F252" s="53">
        <v>0.40736794515527874</v>
      </c>
    </row>
    <row r="253" spans="3:6" ht="15.9" customHeight="1">
      <c r="C253" s="50">
        <v>250.69637883008355</v>
      </c>
      <c r="D253" s="53">
        <v>0.37014184613857581</v>
      </c>
      <c r="E253" s="53">
        <v>0.40756794542283681</v>
      </c>
      <c r="F253" s="53">
        <v>0.40756794542283681</v>
      </c>
    </row>
    <row r="254" spans="3:6" ht="15.9" customHeight="1">
      <c r="C254" s="50">
        <v>251.69916434540389</v>
      </c>
      <c r="D254" s="53">
        <v>0.37104429607877665</v>
      </c>
      <c r="E254" s="53">
        <v>0.40773437882347147</v>
      </c>
      <c r="F254" s="53">
        <v>0.40773437882347147</v>
      </c>
    </row>
    <row r="255" spans="3:6" ht="15.9" customHeight="1">
      <c r="C255" s="50">
        <v>252.70194986072423</v>
      </c>
      <c r="D255" s="53">
        <v>0.37193585760896647</v>
      </c>
      <c r="E255" s="53">
        <v>0.40787059678476839</v>
      </c>
      <c r="F255" s="53">
        <v>0.40787059678476839</v>
      </c>
    </row>
    <row r="256" spans="3:6" ht="15.9" customHeight="1">
      <c r="C256" s="50">
        <v>253.70473537604457</v>
      </c>
      <c r="D256" s="53">
        <v>0.37281471568220986</v>
      </c>
      <c r="E256" s="53">
        <v>0.40797991710897924</v>
      </c>
      <c r="F256" s="53">
        <v>0.40797991710897924</v>
      </c>
    </row>
    <row r="257" spans="3:6" ht="15.9" customHeight="1">
      <c r="C257" s="50">
        <v>254.70752089136488</v>
      </c>
      <c r="D257" s="53">
        <v>0.37367914426086118</v>
      </c>
      <c r="E257" s="53">
        <v>0.40806560283651611</v>
      </c>
      <c r="F257" s="53">
        <v>0.40806560283651611</v>
      </c>
    </row>
    <row r="258" spans="3:6" ht="15.9" customHeight="1">
      <c r="C258" s="50">
        <v>255.71030640668522</v>
      </c>
      <c r="D258" s="53">
        <v>0.37452751161222958</v>
      </c>
      <c r="E258" s="53">
        <v>0.40813084160626151</v>
      </c>
      <c r="F258" s="53">
        <v>0.40813084160626151</v>
      </c>
    </row>
    <row r="259" spans="3:6" ht="15.9" customHeight="1">
      <c r="C259" s="50">
        <v>256.71309192200556</v>
      </c>
      <c r="D259" s="53">
        <v>0.37535828511330332</v>
      </c>
      <c r="E259" s="53">
        <v>0.40817872561950874</v>
      </c>
      <c r="F259" s="53">
        <v>0.40817872561950874</v>
      </c>
    </row>
    <row r="260" spans="3:6" ht="15.9" customHeight="1">
      <c r="C260" s="50">
        <v>257.7158774373259</v>
      </c>
      <c r="D260" s="53">
        <v>0.37617003554490858</v>
      </c>
      <c r="E260" s="53">
        <v>0.40821223231110482</v>
      </c>
      <c r="F260" s="53">
        <v>0.40821223231110482</v>
      </c>
    </row>
    <row r="261" spans="3:6" ht="15.9" customHeight="1">
      <c r="C261" s="50">
        <v>258.71866295264624</v>
      </c>
      <c r="D261" s="53">
        <v>0.37696144085819866</v>
      </c>
      <c r="E261" s="53">
        <v>0.40823420582761227</v>
      </c>
      <c r="F261" s="53">
        <v>0.40823420582761227</v>
      </c>
    </row>
    <row r="262" spans="3:6" ht="15.9" customHeight="1">
      <c r="C262" s="50">
        <v>259.72144846796658</v>
      </c>
      <c r="D262" s="53">
        <v>0.3777312893989902</v>
      </c>
      <c r="E262" s="53">
        <v>0.40824733940805014</v>
      </c>
      <c r="F262" s="53">
        <v>0.40824733940805014</v>
      </c>
    </row>
    <row r="263" spans="3:6" ht="15.9" customHeight="1">
      <c r="C263" s="50">
        <v>260.72423398328692</v>
      </c>
      <c r="D263" s="53">
        <v>0.37847848257812838</v>
      </c>
      <c r="E263" s="53">
        <v>0.40825415875804738</v>
      </c>
      <c r="F263" s="53">
        <v>0.40825415875804738</v>
      </c>
    </row>
    <row r="264" spans="3:6" ht="15.9" customHeight="1">
      <c r="C264" s="50">
        <v>261.72701949860721</v>
      </c>
      <c r="D264" s="53">
        <v>0.37920203697880583</v>
      </c>
      <c r="E264" s="53">
        <v>0.40825700650306251</v>
      </c>
      <c r="F264" s="53">
        <v>0.40825700650306251</v>
      </c>
    </row>
    <row r="265" spans="3:6" ht="15.9" customHeight="1">
      <c r="C265" s="50">
        <v>262.72980501392755</v>
      </c>
      <c r="D265" s="53">
        <v>0.37990108589451771</v>
      </c>
      <c r="E265" s="53">
        <v>0.40825802780072229</v>
      </c>
      <c r="F265" s="53">
        <v>0.40825802780072229</v>
      </c>
    </row>
    <row r="266" spans="3:6" ht="15.9" customHeight="1">
      <c r="C266" s="50">
        <v>263.73259052924789</v>
      </c>
      <c r="D266" s="53">
        <v>0.38057488029414333</v>
      </c>
      <c r="E266" s="53">
        <v>0.40825915718633676</v>
      </c>
      <c r="F266" s="53">
        <v>0.40825915718633676</v>
      </c>
    </row>
    <row r="267" spans="3:6" ht="15.9" customHeight="1">
      <c r="C267" s="50">
        <v>264.73537604456823</v>
      </c>
      <c r="D267" s="53">
        <v>0.381222789213439</v>
      </c>
      <c r="E267" s="53">
        <v>0.40826210671926688</v>
      </c>
      <c r="F267" s="53">
        <v>0.40826210671926688</v>
      </c>
    </row>
    <row r="268" spans="3:6" ht="15.9" customHeight="1">
      <c r="C268" s="50">
        <v>265.73816155988857</v>
      </c>
      <c r="D268" s="53">
        <v>0.38184429957504534</v>
      </c>
      <c r="E268" s="53">
        <v>0.40826835549113588</v>
      </c>
      <c r="F268" s="53">
        <v>0.40826835549113588</v>
      </c>
    </row>
    <row r="269" spans="3:6" ht="15.9" customHeight="1">
      <c r="C269" s="50">
        <v>266.74094707520891</v>
      </c>
      <c r="D269" s="53">
        <v>0.38243901544189596</v>
      </c>
      <c r="E269" s="53">
        <v>0.40827914054985881</v>
      </c>
      <c r="F269" s="53">
        <v>0.40827914054985881</v>
      </c>
    </row>
    <row r="270" spans="3:6" ht="15.9" customHeight="1">
      <c r="C270" s="50">
        <v>267.74373259052925</v>
      </c>
      <c r="D270" s="53">
        <v>0.3830066567116811</v>
      </c>
      <c r="E270" s="53">
        <v>0.40829544928619638</v>
      </c>
      <c r="F270" s="53">
        <v>0.40829544928619638</v>
      </c>
    </row>
    <row r="271" spans="3:6" ht="15.9" customHeight="1">
      <c r="C271" s="50">
        <v>268.74651810584959</v>
      </c>
      <c r="D271" s="53">
        <v>0.38354705726273319</v>
      </c>
      <c r="E271" s="53">
        <v>0.4083180133220316</v>
      </c>
      <c r="F271" s="53">
        <v>0.4083180133220316</v>
      </c>
    </row>
    <row r="272" spans="3:6" ht="15.9" customHeight="1">
      <c r="C272" s="50">
        <v>269.74930362116993</v>
      </c>
      <c r="D272" s="53">
        <v>0.38406016256438058</v>
      </c>
      <c r="E272" s="53">
        <v>0.40834730393188173</v>
      </c>
      <c r="F272" s="53">
        <v>0.40834730393188173</v>
      </c>
    </row>
    <row r="273" spans="3:6" ht="15.9" customHeight="1">
      <c r="C273" s="50">
        <v>270.75208913649021</v>
      </c>
      <c r="D273" s="53">
        <v>0.38454602676738953</v>
      </c>
      <c r="E273" s="53">
        <v>0.40838352902128178</v>
      </c>
      <c r="F273" s="53">
        <v>0.40838352902128178</v>
      </c>
    </row>
    <row r="274" spans="3:6" ht="15.9" customHeight="1">
      <c r="C274" s="50">
        <v>271.75487465181055</v>
      </c>
      <c r="D274" s="53">
        <v>0.38500480929264713</v>
      </c>
      <c r="E274" s="53">
        <v>0.4084266316777227</v>
      </c>
      <c r="F274" s="53">
        <v>0.4084266316777227</v>
      </c>
    </row>
    <row r="275" spans="3:6" ht="15.9" customHeight="1">
      <c r="C275" s="50">
        <v>272.75766016713089</v>
      </c>
      <c r="D275" s="53">
        <v>0.38543677093865197</v>
      </c>
      <c r="E275" s="53">
        <v>0.40847629030177229</v>
      </c>
      <c r="F275" s="53">
        <v>0.40847629030177229</v>
      </c>
    </row>
    <row r="276" spans="3:6" ht="15.9" customHeight="1">
      <c r="C276" s="50">
        <v>273.76044568245123</v>
      </c>
      <c r="D276" s="53">
        <v>0.38584226953069145</v>
      </c>
      <c r="E276" s="53">
        <v>0.40853192031791191</v>
      </c>
      <c r="F276" s="53">
        <v>0.40853192031791191</v>
      </c>
    </row>
    <row r="277" spans="3:6" ht="15.9" customHeight="1">
      <c r="C277" s="50">
        <v>274.76323119777157</v>
      </c>
      <c r="D277" s="53">
        <v>0.38622175513678753</v>
      </c>
      <c r="E277" s="53">
        <v>0.40859267745654676</v>
      </c>
      <c r="F277" s="53">
        <v>0.40859267745654676</v>
      </c>
    </row>
    <row r="278" spans="3:6" ht="15.9" customHeight="1">
      <c r="C278" s="50">
        <v>275.76601671309191</v>
      </c>
      <c r="D278" s="53">
        <v>0.38657576487756018</v>
      </c>
      <c r="E278" s="53">
        <v>0.40865746259059477</v>
      </c>
      <c r="F278" s="53">
        <v>0.40865746259059477</v>
      </c>
    </row>
    <row r="279" spans="3:6" ht="15.9" customHeight="1">
      <c r="C279" s="50">
        <v>276.76880222841226</v>
      </c>
      <c r="D279" s="53">
        <v>0.38690491735909605</v>
      </c>
      <c r="E279" s="53">
        <v>0.4087249281021042</v>
      </c>
      <c r="F279" s="53">
        <v>0.4087249281021042</v>
      </c>
    </row>
    <row r="280" spans="3:6" ht="15.9" customHeight="1">
      <c r="C280" s="50">
        <v>277.7715877437326</v>
      </c>
      <c r="D280" s="53">
        <v>0.3872099067596888</v>
      </c>
      <c r="E280" s="53">
        <v>0.40879348574650581</v>
      </c>
      <c r="F280" s="53">
        <v>0.40879348574650581</v>
      </c>
    </row>
    <row r="281" spans="3:6" ht="15.9" customHeight="1">
      <c r="C281" s="50">
        <v>278.77437325905294</v>
      </c>
      <c r="D281" s="53">
        <v>0.3874914966029534</v>
      </c>
      <c r="E281" s="53">
        <v>0.40886131597442205</v>
      </c>
      <c r="F281" s="53">
        <v>0.40886131597442205</v>
      </c>
    </row>
    <row r="282" spans="3:6" ht="15.9" customHeight="1">
      <c r="C282" s="50">
        <v>279.77715877437322</v>
      </c>
      <c r="D282" s="53">
        <v>0.38775051325128623</v>
      </c>
      <c r="E282" s="53">
        <v>0.40892637866348486</v>
      </c>
      <c r="F282" s="53">
        <v>0.40892637866348486</v>
      </c>
    </row>
    <row r="283" spans="3:6" ht="15.9" customHeight="1">
      <c r="C283" s="50">
        <v>280.77994428969356</v>
      </c>
      <c r="D283" s="53">
        <v>0.38798783915492979</v>
      </c>
      <c r="E283" s="53">
        <v>0.40898642520535172</v>
      </c>
      <c r="F283" s="53">
        <v>0.40898642520535172</v>
      </c>
    </row>
    <row r="284" spans="3:6" ht="15.9" customHeight="1">
      <c r="C284" s="50">
        <v>281.7827298050139</v>
      </c>
      <c r="D284" s="53">
        <v>0.38820440589302951</v>
      </c>
      <c r="E284" s="53">
        <v>0.40903901188614356</v>
      </c>
      <c r="F284" s="53">
        <v>0.40903901188614356</v>
      </c>
    </row>
    <row r="285" spans="3:6" ht="15.9" customHeight="1">
      <c r="C285" s="50">
        <v>282.78551532033424</v>
      </c>
      <c r="D285" s="53">
        <v>0.38840118704400606</v>
      </c>
      <c r="E285" s="53">
        <v>0.40908151449186153</v>
      </c>
      <c r="F285" s="53">
        <v>0.40908151449186153</v>
      </c>
    </row>
    <row r="286" spans="3:6" ht="15.9" customHeight="1">
      <c r="C286" s="50">
        <v>283.78830083565458</v>
      </c>
      <c r="D286" s="53">
        <v>0.38857919092331072</v>
      </c>
      <c r="E286" s="53">
        <v>0.40911114406399424</v>
      </c>
      <c r="F286" s="53">
        <v>0.40911114406399424</v>
      </c>
    </row>
    <row r="287" spans="3:6" ht="15.9" customHeight="1">
      <c r="C287" s="50">
        <v>284.79108635097492</v>
      </c>
      <c r="D287" s="53">
        <v>0.38873945322719805</v>
      </c>
      <c r="E287" s="53">
        <v>0.40912496372458157</v>
      </c>
      <c r="F287" s="53">
        <v>0.40912496372458157</v>
      </c>
    </row>
    <row r="288" spans="3:6" ht="15.9" customHeight="1">
      <c r="C288" s="50">
        <v>285.79387186629526</v>
      </c>
      <c r="D288" s="53">
        <v>0.38888302962151738</v>
      </c>
      <c r="E288" s="53">
        <v>0.40911990648443519</v>
      </c>
      <c r="F288" s="53">
        <v>0.40911990648443519</v>
      </c>
    </row>
    <row r="289" spans="3:6" ht="15.9" customHeight="1">
      <c r="C289" s="50">
        <v>286.7966573816156</v>
      </c>
      <c r="D289" s="53">
        <v>0.38901098831468961</v>
      </c>
      <c r="E289" s="53">
        <v>0.40909279394307685</v>
      </c>
      <c r="F289" s="53">
        <v>0.40909279394307685</v>
      </c>
    </row>
    <row r="290" spans="3:6" ht="15.9" customHeight="1">
      <c r="C290" s="50">
        <v>287.79944289693594</v>
      </c>
      <c r="D290" s="53">
        <v>0.3891244026540211</v>
      </c>
      <c r="E290" s="53">
        <v>0.40904035578428244</v>
      </c>
      <c r="F290" s="53">
        <v>0.40904035578428244</v>
      </c>
    </row>
    <row r="291" spans="3:6" ht="15.9" customHeight="1">
      <c r="C291" s="50">
        <v>288.80222841225623</v>
      </c>
      <c r="D291" s="53">
        <v>0.38922434378428505</v>
      </c>
      <c r="E291" s="53">
        <v>0.40895924996691685</v>
      </c>
      <c r="F291" s="53">
        <v>0.40895924996691685</v>
      </c>
    </row>
    <row r="292" spans="3:6" ht="15.9" customHeight="1">
      <c r="C292" s="50">
        <v>289.80501392757657</v>
      </c>
      <c r="D292" s="53">
        <v>0.38931187340708656</v>
      </c>
      <c r="E292" s="53">
        <v>0.40884608350703244</v>
      </c>
      <c r="F292" s="53">
        <v>0.40884608350703244</v>
      </c>
    </row>
    <row r="293" spans="3:6" ht="15.9" customHeight="1">
      <c r="C293" s="50">
        <v>290.80779944289691</v>
      </c>
      <c r="D293" s="53">
        <v>0.38938803667892791</v>
      </c>
      <c r="E293" s="53">
        <v>0.40869743374401479</v>
      </c>
      <c r="F293" s="53">
        <v>0.40869743374401479</v>
      </c>
    </row>
    <row r="294" spans="3:6" ht="15.9" customHeight="1">
      <c r="C294" s="50">
        <v>291.81058495821725</v>
      </c>
      <c r="D294" s="53">
        <v>0.38945385528509252</v>
      </c>
      <c r="E294" s="53">
        <v>0.40850986998090716</v>
      </c>
      <c r="F294" s="53">
        <v>0.40850986998090716</v>
      </c>
    </row>
    <row r="295" spans="3:6" ht="15.9" customHeight="1">
      <c r="C295" s="50">
        <v>292.81337047353759</v>
      </c>
      <c r="D295" s="53">
        <v>0.38951032072549391</v>
      </c>
      <c r="E295" s="53">
        <v>0.40827997538692135</v>
      </c>
      <c r="F295" s="53">
        <v>0.40827997538692135</v>
      </c>
    </row>
    <row r="296" spans="3:6" ht="15.9" customHeight="1">
      <c r="C296" s="50">
        <v>293.81615598885793</v>
      </c>
      <c r="D296" s="53">
        <v>0.3895583878474761</v>
      </c>
      <c r="E296" s="53">
        <v>0.40800436904859577</v>
      </c>
      <c r="F296" s="53">
        <v>0.40800436904859577</v>
      </c>
    </row>
    <row r="297" spans="3:6" ht="15.9" customHeight="1">
      <c r="C297" s="50">
        <v>294.81894150417827</v>
      </c>
      <c r="D297" s="53">
        <v>0.38959896865921756</v>
      </c>
      <c r="E297" s="53">
        <v>0.40767972805505687</v>
      </c>
      <c r="F297" s="53">
        <v>0.40767972805505687</v>
      </c>
    </row>
    <row r="298" spans="3:6" ht="15.9" customHeight="1">
      <c r="C298" s="50">
        <v>295.82172701949861</v>
      </c>
      <c r="D298" s="53">
        <v>0.38963292645590281</v>
      </c>
      <c r="E298" s="53">
        <v>0.40730280950242875</v>
      </c>
      <c r="F298" s="53">
        <v>0.40730280950242875</v>
      </c>
    </row>
    <row r="299" spans="3:6" ht="15.9" customHeight="1">
      <c r="C299" s="50">
        <v>296.82451253481895</v>
      </c>
      <c r="D299" s="53">
        <v>0.38966107028915165</v>
      </c>
      <c r="E299" s="53">
        <v>0.40687047230256956</v>
      </c>
      <c r="F299" s="53">
        <v>0.40687047230256956</v>
      </c>
    </row>
    <row r="300" spans="3:6" ht="15.9" customHeight="1">
      <c r="C300" s="50">
        <v>297.82729805013929</v>
      </c>
      <c r="D300" s="53">
        <v>0.38968414980840016</v>
      </c>
      <c r="E300" s="53">
        <v>0.40637969868203772</v>
      </c>
      <c r="F300" s="53">
        <v>0.40637969868203772</v>
      </c>
    </row>
    <row r="301" spans="3:6" ht="15.9" customHeight="1">
      <c r="C301" s="50">
        <v>298.83008356545957</v>
      </c>
      <c r="D301" s="53">
        <v>0.38970285050097198</v>
      </c>
      <c r="E301" s="53">
        <v>0.40582761525848549</v>
      </c>
      <c r="F301" s="53">
        <v>0.40582761525848549</v>
      </c>
    </row>
    <row r="302" spans="3:6" ht="15.9" customHeight="1">
      <c r="C302" s="50">
        <v>299.83286908077991</v>
      </c>
      <c r="D302" s="53">
        <v>0.38971778935548296</v>
      </c>
      <c r="E302" s="53">
        <v>0.40521151358350149</v>
      </c>
      <c r="F302" s="53">
        <v>0.40521151358350149</v>
      </c>
    </row>
    <row r="303" spans="3:6" ht="15.9" customHeight="1">
      <c r="C303" s="50">
        <v>300.83565459610026</v>
      </c>
      <c r="D303" s="53">
        <v>0.38972951097103103</v>
      </c>
      <c r="E303" s="53">
        <v>0.40452887004335242</v>
      </c>
      <c r="F303" s="53">
        <v>0.40452887004335242</v>
      </c>
    </row>
    <row r="304" spans="3:6" ht="15.9" customHeight="1">
      <c r="C304" s="50">
        <v>301.8384401114206</v>
      </c>
      <c r="D304" s="53">
        <v>0.38973848413229595</v>
      </c>
      <c r="E304" s="53">
        <v>0.40377736501200207</v>
      </c>
      <c r="F304" s="53">
        <v>0.40377736501200207</v>
      </c>
    </row>
    <row r="305" spans="3:6" ht="15.9" customHeight="1">
      <c r="C305" s="50">
        <v>302.84122562674094</v>
      </c>
      <c r="D305" s="53">
        <v>0.38974509886824649</v>
      </c>
      <c r="E305" s="53">
        <v>0.40295490115424792</v>
      </c>
      <c r="F305" s="53">
        <v>0.40295490115424792</v>
      </c>
    </row>
    <row r="306" spans="3:6" ht="15.9" customHeight="1">
      <c r="C306" s="50">
        <v>303.84401114206128</v>
      </c>
      <c r="D306" s="53">
        <v>0.38974966400966549</v>
      </c>
      <c r="E306" s="53">
        <v>0.40205962078081769</v>
      </c>
      <c r="F306" s="53">
        <v>0.40205962078081769</v>
      </c>
    </row>
    <row r="307" spans="3:6" ht="15.9" customHeight="1">
      <c r="C307" s="50">
        <v>304.84679665738162</v>
      </c>
      <c r="D307" s="53">
        <v>0.38975240525810229</v>
      </c>
      <c r="E307" s="53">
        <v>0.4010899221617199</v>
      </c>
      <c r="F307" s="53">
        <v>0.4010899221617199</v>
      </c>
    </row>
    <row r="308" spans="3:6" ht="15.9" customHeight="1">
      <c r="C308" s="50">
        <v>305.84958217270196</v>
      </c>
      <c r="D308" s="53">
        <v>0.38975346377623099</v>
      </c>
      <c r="E308" s="53">
        <v>0.40004447470909876</v>
      </c>
      <c r="F308" s="53">
        <v>0.40004447470909876</v>
      </c>
    </row>
    <row r="309" spans="3:6" ht="15.9" customHeight="1">
      <c r="C309" s="50">
        <v>306.8523676880223</v>
      </c>
      <c r="D309" s="53">
        <v>0.38975289530688512</v>
      </c>
      <c r="E309" s="53">
        <v>0.39892223294621426</v>
      </c>
      <c r="F309" s="53">
        <v>0.39892223294621426</v>
      </c>
    </row>
    <row r="310" spans="3:6" ht="15.9" customHeight="1">
      <c r="C310" s="50">
        <v>307.85515320334258</v>
      </c>
      <c r="D310" s="53">
        <v>0.38975066982532369</v>
      </c>
      <c r="E310" s="53">
        <v>0.397722449184994</v>
      </c>
      <c r="F310" s="53">
        <v>0.397722449184994</v>
      </c>
    </row>
    <row r="311" spans="3:6" ht="15.9" customHeight="1">
      <c r="C311" s="50">
        <v>308.85793871866292</v>
      </c>
      <c r="D311" s="53">
        <v>0.38974667172652344</v>
      </c>
      <c r="E311" s="53">
        <v>0.39644468484078998</v>
      </c>
      <c r="F311" s="53">
        <v>0.39644468484078998</v>
      </c>
    </row>
    <row r="312" spans="3:6" ht="15.9" customHeight="1">
      <c r="C312" s="50">
        <v>309.86072423398326</v>
      </c>
      <c r="D312" s="53">
        <v>0.38974070054652338</v>
      </c>
      <c r="E312" s="53">
        <v>0.39508882031952902</v>
      </c>
      <c r="F312" s="53">
        <v>0.39508882031952902</v>
      </c>
    </row>
    <row r="313" spans="3:6" ht="15.9" customHeight="1">
      <c r="C313" s="50">
        <v>310.8635097493036</v>
      </c>
      <c r="D313" s="53">
        <v>0.38973247221410445</v>
      </c>
      <c r="E313" s="53">
        <v>0.39365506341934131</v>
      </c>
      <c r="F313" s="53">
        <v>0.39365506341934131</v>
      </c>
    </row>
    <row r="314" spans="3:6" ht="15.9" customHeight="1">
      <c r="C314" s="50">
        <v>311.86629526462394</v>
      </c>
      <c r="D314" s="53">
        <v>0.38972162082634387</v>
      </c>
      <c r="E314" s="53">
        <v>0.39214395619593767</v>
      </c>
      <c r="F314" s="53">
        <v>0.39214395619593767</v>
      </c>
    </row>
    <row r="315" spans="3:6" ht="15.9" customHeight="1">
      <c r="C315" s="50">
        <v>312.86908077994428</v>
      </c>
      <c r="D315" s="53">
        <v>0.38970770093886442</v>
      </c>
      <c r="E315" s="53">
        <v>0.39055638024842959</v>
      </c>
      <c r="F315" s="53">
        <v>0.39055638024842959</v>
      </c>
    </row>
    <row r="316" spans="3:6" ht="15.9" customHeight="1">
      <c r="C316" s="50">
        <v>313.87186629526462</v>
      </c>
      <c r="D316" s="53">
        <v>0.38969019035896307</v>
      </c>
      <c r="E316" s="53">
        <v>0.38889356038998163</v>
      </c>
      <c r="F316" s="53">
        <v>0.38969019035896307</v>
      </c>
    </row>
    <row r="317" spans="3:6" ht="15.9" customHeight="1">
      <c r="C317" s="50">
        <v>314.87465181058496</v>
      </c>
      <c r="D317" s="53">
        <v>0.38966849342717413</v>
      </c>
      <c r="E317" s="53">
        <v>0.38715706667551403</v>
      </c>
      <c r="F317" s="53">
        <v>0.38966849342717413</v>
      </c>
    </row>
    <row r="318" spans="3:6" ht="15.9" customHeight="1">
      <c r="C318" s="50">
        <v>315.8774373259053</v>
      </c>
      <c r="D318" s="53">
        <v>0.38964194477031416</v>
      </c>
      <c r="E318" s="53">
        <v>0.38534881476669341</v>
      </c>
      <c r="F318" s="53">
        <v>0.38964194477031416</v>
      </c>
    </row>
    <row r="319" spans="3:6" ht="15.9" customHeight="1">
      <c r="C319" s="50">
        <v>316.88022284122559</v>
      </c>
      <c r="D319" s="53">
        <v>0.38960981350659224</v>
      </c>
      <c r="E319" s="53">
        <v>0.38347106462254793</v>
      </c>
      <c r="F319" s="53">
        <v>0.38960981350659224</v>
      </c>
    </row>
    <row r="320" spans="3:6" ht="15.9" customHeight="1">
      <c r="C320" s="50">
        <v>317.88300835654593</v>
      </c>
      <c r="D320" s="53">
        <v>0.38957130788102967</v>
      </c>
      <c r="E320" s="53">
        <v>0.38152641751222915</v>
      </c>
      <c r="F320" s="53">
        <v>0.38957130788102967</v>
      </c>
    </row>
    <row r="321" spans="3:6" ht="15.9" customHeight="1">
      <c r="C321" s="50">
        <v>318.88579387186627</v>
      </c>
      <c r="D321" s="53">
        <v>0.38952558030718798</v>
      </c>
      <c r="E321" s="53">
        <v>0.37951781135465512</v>
      </c>
      <c r="F321" s="53">
        <v>0.38952558030718798</v>
      </c>
    </row>
    <row r="322" spans="3:6" ht="15.9" customHeight="1">
      <c r="C322" s="50">
        <v>319.88857938718661</v>
      </c>
      <c r="D322" s="53">
        <v>0.38947173278907854</v>
      </c>
      <c r="E322" s="53">
        <v>0.37744851439795324</v>
      </c>
      <c r="F322" s="53">
        <v>0.38947173278907854</v>
      </c>
    </row>
    <row r="323" spans="3:6" ht="15.9" customHeight="1">
      <c r="C323" s="50">
        <v>320.89136490250695</v>
      </c>
      <c r="D323" s="53">
        <v>0.3894088226951371</v>
      </c>
      <c r="E323" s="53">
        <v>0.37532211725978726</v>
      </c>
      <c r="F323" s="53">
        <v>0.3894088226951371</v>
      </c>
    </row>
    <row r="324" spans="3:6" ht="15.9" customHeight="1">
      <c r="C324" s="50">
        <v>321.89415041782729</v>
      </c>
      <c r="D324" s="53">
        <v>0.38933586885429511</v>
      </c>
      <c r="E324" s="53">
        <v>0.37314252335769521</v>
      </c>
      <c r="F324" s="53">
        <v>0.38933586885429511</v>
      </c>
    </row>
    <row r="325" spans="3:6" ht="15.9" customHeight="1">
      <c r="C325" s="50">
        <v>322.89693593314763</v>
      </c>
      <c r="D325" s="53">
        <v>0.38925185794246497</v>
      </c>
      <c r="E325" s="53">
        <v>0.3709139377664914</v>
      </c>
      <c r="F325" s="53">
        <v>0.38925185794246497</v>
      </c>
    </row>
    <row r="326" spans="3:6" ht="15.9" customHeight="1">
      <c r="C326" s="50">
        <v>323.89972144846797</v>
      </c>
      <c r="D326" s="53">
        <v>0.38915575112622275</v>
      </c>
      <c r="E326" s="53">
        <v>0.36864085454754653</v>
      </c>
      <c r="F326" s="53">
        <v>0.38915575112622275</v>
      </c>
    </row>
    <row r="327" spans="3:6" ht="15.9" customHeight="1">
      <c r="C327" s="50">
        <v>324.90250696378831</v>
      </c>
      <c r="D327" s="53">
        <v>0.38904649092908083</v>
      </c>
      <c r="E327" s="53">
        <v>0.36632804260230578</v>
      </c>
      <c r="F327" s="53">
        <v>0.38904649092908083</v>
      </c>
    </row>
    <row r="328" spans="3:6" ht="15.9" customHeight="1">
      <c r="C328" s="50">
        <v>325.9052924791086</v>
      </c>
      <c r="D328" s="53">
        <v>0.38892300828453441</v>
      </c>
      <c r="E328" s="53">
        <v>0.36398053010970516</v>
      </c>
      <c r="F328" s="53">
        <v>0.38892300828453441</v>
      </c>
    </row>
    <row r="329" spans="3:6" ht="15.9" customHeight="1">
      <c r="C329" s="50">
        <v>326.90807799442894</v>
      </c>
      <c r="D329" s="53">
        <v>0.38878422973903276</v>
      </c>
      <c r="E329" s="53">
        <v>0.36160358761416905</v>
      </c>
      <c r="F329" s="53">
        <v>0.38878422973903276</v>
      </c>
    </row>
    <row r="330" spans="3:6" ht="15.9" customHeight="1">
      <c r="C330" s="50">
        <v>327.91086350974928</v>
      </c>
      <c r="D330" s="53">
        <v>0.38862908476718544</v>
      </c>
      <c r="E330" s="53">
        <v>0.35920270983759045</v>
      </c>
      <c r="F330" s="53">
        <v>0.38862908476718544</v>
      </c>
    </row>
    <row r="331" spans="3:6" ht="15.9" customHeight="1">
      <c r="C331" s="50">
        <v>328.91364902506962</v>
      </c>
      <c r="D331" s="53">
        <v>0.38845651316084168</v>
      </c>
      <c r="E331" s="53">
        <v>0.35678359629503914</v>
      </c>
      <c r="F331" s="53">
        <v>0.38845651316084168</v>
      </c>
    </row>
    <row r="332" spans="3:6" ht="15.9" customHeight="1">
      <c r="C332" s="50">
        <v>329.91643454038996</v>
      </c>
      <c r="D332" s="53">
        <v>0.38826547245321236</v>
      </c>
      <c r="E332" s="53">
        <v>0.35435213079993161</v>
      </c>
      <c r="F332" s="53">
        <v>0.38826547245321236</v>
      </c>
    </row>
    <row r="333" spans="3:6" ht="15.9" customHeight="1">
      <c r="C333" s="50">
        <v>330.9192200557103</v>
      </c>
      <c r="D333" s="53">
        <v>0.38805494533894341</v>
      </c>
      <c r="E333" s="53">
        <v>0.35191435994997672</v>
      </c>
      <c r="F333" s="53">
        <v>0.38805494533894341</v>
      </c>
    </row>
    <row r="334" spans="3:6" ht="15.9" customHeight="1">
      <c r="C334" s="50">
        <v>331.92200557103064</v>
      </c>
      <c r="D334" s="53">
        <v>0.38782394705094292</v>
      </c>
      <c r="E334" s="53">
        <v>0.34947647069033078</v>
      </c>
      <c r="F334" s="53">
        <v>0.38782394705094292</v>
      </c>
    </row>
    <row r="335" spans="3:6" ht="15.9" customHeight="1">
      <c r="C335" s="50">
        <v>332.92479108635098</v>
      </c>
      <c r="D335" s="53">
        <v>0.38757153265489541</v>
      </c>
      <c r="E335" s="53">
        <v>0.34704476705507781</v>
      </c>
      <c r="F335" s="53">
        <v>0.38757153265489541</v>
      </c>
    </row>
    <row r="336" spans="3:6" ht="15.9" customHeight="1">
      <c r="C336" s="50">
        <v>333.92757660167132</v>
      </c>
      <c r="D336" s="53">
        <v>0.38729680422270257</v>
      </c>
      <c r="E336" s="53">
        <v>0.34462564619234765</v>
      </c>
      <c r="F336" s="53">
        <v>0.38729680422270257</v>
      </c>
    </row>
    <row r="337" spans="3:6" ht="15.9" customHeight="1">
      <c r="C337" s="50">
        <v>334.9303621169916</v>
      </c>
      <c r="D337" s="53">
        <v>0.38699891784659041</v>
      </c>
      <c r="E337" s="53">
        <v>0.3422255737820567</v>
      </c>
      <c r="F337" s="53">
        <v>0.38699891784659041</v>
      </c>
    </row>
    <row r="338" spans="3:6" ht="15.9" customHeight="1">
      <c r="C338" s="50">
        <v>335.93314763231194</v>
      </c>
      <c r="D338" s="53">
        <v>0.38667709045630905</v>
      </c>
      <c r="E338" s="53">
        <v>0.33985105895841927</v>
      </c>
      <c r="F338" s="53">
        <v>0.38667709045630905</v>
      </c>
    </row>
    <row r="339" spans="3:6" ht="15.9" customHeight="1">
      <c r="C339" s="50">
        <v>336.93593314763228</v>
      </c>
      <c r="D339" s="53">
        <v>0.38633060640275213</v>
      </c>
      <c r="E339" s="53">
        <v>0.33750862885201183</v>
      </c>
      <c r="F339" s="53">
        <v>0.38633060640275213</v>
      </c>
    </row>
    <row r="340" spans="3:6" ht="15.9" customHeight="1">
      <c r="C340" s="50">
        <v>337.93871866295262</v>
      </c>
      <c r="D340" s="53">
        <v>0.38595882377236712</v>
      </c>
      <c r="E340" s="53">
        <v>0.33520480286822191</v>
      </c>
      <c r="F340" s="53">
        <v>0.38595882377236712</v>
      </c>
    </row>
    <row r="341" spans="3:6" ht="15.9" customHeight="1">
      <c r="C341" s="50">
        <v>338.94150417827296</v>
      </c>
      <c r="D341" s="53">
        <v>0.38556118039798404</v>
      </c>
      <c r="E341" s="53">
        <v>0.33294606682043398</v>
      </c>
      <c r="F341" s="53">
        <v>0.38556118039798404</v>
      </c>
    </row>
    <row r="342" spans="3:6" ht="15.9" customHeight="1">
      <c r="C342" s="50">
        <v>339.9442896935933</v>
      </c>
      <c r="D342" s="53">
        <v>0.38513719953310427</v>
      </c>
      <c r="E342" s="53">
        <v>0.33073884703723488</v>
      </c>
      <c r="F342" s="53">
        <v>0.38513719953310427</v>
      </c>
    </row>
    <row r="343" spans="3:6" ht="15.9" customHeight="1">
      <c r="C343" s="50">
        <v>340.94707520891365</v>
      </c>
      <c r="D343" s="53">
        <v>0.38468649515827591</v>
      </c>
      <c r="E343" s="53">
        <v>0.32858948456328879</v>
      </c>
      <c r="F343" s="53">
        <v>0.38468649515827591</v>
      </c>
    </row>
    <row r="344" spans="3:6" ht="15.9" customHeight="1">
      <c r="C344" s="50">
        <v>341.94986072423399</v>
      </c>
      <c r="D344" s="53">
        <v>0.38420877688991101</v>
      </c>
      <c r="E344" s="53">
        <v>0.3265042095732994</v>
      </c>
      <c r="F344" s="53">
        <v>0.38420877688991101</v>
      </c>
    </row>
    <row r="345" spans="3:6" ht="15.9" customHeight="1">
      <c r="C345" s="50">
        <v>342.95264623955433</v>
      </c>
      <c r="D345" s="53">
        <v>0.38370385446380983</v>
      </c>
      <c r="E345" s="53">
        <v>0.32448911611770437</v>
      </c>
      <c r="F345" s="53">
        <v>0.38370385446380983</v>
      </c>
    </row>
    <row r="346" spans="3:6" ht="15.9" customHeight="1">
      <c r="C346" s="50">
        <v>343.95543175487461</v>
      </c>
      <c r="D346" s="53">
        <v>0.3831716417676676</v>
      </c>
      <c r="E346" s="53">
        <v>0.32255013731736421</v>
      </c>
      <c r="F346" s="53">
        <v>0.3831716417676676</v>
      </c>
    </row>
    <row r="347" spans="3:6" ht="15.9" customHeight="1">
      <c r="C347" s="50">
        <v>344.95821727019495</v>
      </c>
      <c r="D347" s="53">
        <v>0.38261216039902013</v>
      </c>
      <c r="E347" s="53">
        <v>0.32069302112258846</v>
      </c>
      <c r="F347" s="53">
        <v>0.38261216039902013</v>
      </c>
    </row>
    <row r="348" spans="3:6" ht="15.9" customHeight="1">
      <c r="C348" s="50">
        <v>345.96100278551529</v>
      </c>
      <c r="D348" s="53">
        <v>0.38202554272734063</v>
      </c>
      <c r="E348" s="53">
        <v>0.31892330674933472</v>
      </c>
      <c r="F348" s="53">
        <v>0.38202554272734063</v>
      </c>
    </row>
    <row r="349" spans="3:6" ht="15.9" customHeight="1">
      <c r="C349" s="50">
        <v>346.96378830083563</v>
      </c>
      <c r="D349" s="53">
        <v>0.3814120344414223</v>
      </c>
      <c r="E349" s="53">
        <v>0.31724630190240177</v>
      </c>
      <c r="F349" s="53">
        <v>0.3814120344414223</v>
      </c>
    </row>
    <row r="350" spans="3:6" ht="15.9" customHeight="1">
      <c r="C350" s="50">
        <v>347.96657381615597</v>
      </c>
      <c r="D350" s="53">
        <v>0.38077199656563898</v>
      </c>
      <c r="E350" s="53">
        <v>0.31566706089185387</v>
      </c>
      <c r="F350" s="53">
        <v>0.38077199656563898</v>
      </c>
    </row>
    <row r="351" spans="3:6" ht="15.9" customHeight="1">
      <c r="C351" s="50">
        <v>348.96935933147631</v>
      </c>
      <c r="D351" s="53">
        <v>0.38010590693126567</v>
      </c>
      <c r="E351" s="53">
        <v>0.31419036374483889</v>
      </c>
      <c r="F351" s="53">
        <v>0.38010590693126567</v>
      </c>
    </row>
    <row r="352" spans="3:6" ht="15.9" customHeight="1">
      <c r="C352" s="50">
        <v>349.97214484679665</v>
      </c>
      <c r="D352" s="53">
        <v>0.37941436109168142</v>
      </c>
      <c r="E352" s="53">
        <v>0.31282069641038873</v>
      </c>
      <c r="F352" s="53">
        <v>0.37941436109168142</v>
      </c>
    </row>
    <row r="353" spans="3:6" ht="15.9" customHeight="1">
      <c r="C353" s="50">
        <v>350.97493036211699</v>
      </c>
      <c r="D353" s="53">
        <v>0.37869807267298322</v>
      </c>
      <c r="E353" s="53">
        <v>0.31156223214974482</v>
      </c>
      <c r="F353" s="53">
        <v>0.37869807267298322</v>
      </c>
    </row>
    <row r="354" spans="3:6" ht="15.9" customHeight="1">
      <c r="C354" s="50">
        <v>351.97771587743733</v>
      </c>
      <c r="D354" s="53">
        <v>0.37795787315428414</v>
      </c>
      <c r="E354" s="53">
        <v>0.31041881419924622</v>
      </c>
      <c r="F354" s="53">
        <v>0.37795787315428414</v>
      </c>
    </row>
    <row r="355" spans="3:6" ht="15.9" customHeight="1">
      <c r="C355" s="50">
        <v>352.98050139275767</v>
      </c>
      <c r="D355" s="53">
        <v>0.37719471107476354</v>
      </c>
      <c r="E355" s="53">
        <v>0.30939393978691532</v>
      </c>
      <c r="F355" s="53">
        <v>0.37719471107476354</v>
      </c>
    </row>
    <row r="356" spans="3:6" ht="15.9" customHeight="1">
      <c r="C356" s="50">
        <v>353.98328690807796</v>
      </c>
      <c r="D356" s="53">
        <v>0.3764096506673314</v>
      </c>
      <c r="E356" s="53">
        <v>0.30849074557755657</v>
      </c>
      <c r="F356" s="53">
        <v>0.3764096506673314</v>
      </c>
    </row>
    <row r="357" spans="3:6" ht="15.9" customHeight="1">
      <c r="C357" s="50">
        <v>354.9860724233983</v>
      </c>
      <c r="D357" s="53">
        <v>0.37560386992158418</v>
      </c>
      <c r="E357" s="53">
        <v>0.30771199461451598</v>
      </c>
      <c r="F357" s="53">
        <v>0.37560386992158418</v>
      </c>
    </row>
    <row r="358" spans="3:6" ht="15.9" customHeight="1">
      <c r="C358" s="50">
        <v>355.98885793871864</v>
      </c>
      <c r="D358" s="53">
        <v>0.37477865808152266</v>
      </c>
      <c r="E358" s="53">
        <v>0.30706006481924158</v>
      </c>
      <c r="F358" s="53">
        <v>0.37477865808152266</v>
      </c>
    </row>
    <row r="359" spans="3:6" ht="15.9" customHeight="1">
      <c r="C359" s="50">
        <v>356.99164345403898</v>
      </c>
      <c r="D359" s="53">
        <v>0.37393541258629281</v>
      </c>
      <c r="E359" s="53">
        <v>0.30653693910250285</v>
      </c>
      <c r="F359" s="53">
        <v>0.37393541258629281</v>
      </c>
    </row>
    <row r="360" spans="3:6" ht="15.9" customHeight="1">
      <c r="C360" s="50">
        <v>357.99442896935932</v>
      </c>
      <c r="D360" s="53">
        <v>0.37307563546494033</v>
      </c>
      <c r="E360" s="53">
        <v>0.30614419713354429</v>
      </c>
      <c r="F360" s="53">
        <v>0.37307563546494033</v>
      </c>
    </row>
    <row r="361" spans="3:6" ht="15.9" customHeight="1">
      <c r="C361" s="50">
        <v>358.99721448467966</v>
      </c>
      <c r="D361" s="53">
        <v>0.37220092919887587</v>
      </c>
      <c r="E361" s="53">
        <v>0.30588300880568997</v>
      </c>
      <c r="F361" s="53">
        <v>0.37220092919887587</v>
      </c>
    </row>
    <row r="362" spans="3:6" ht="15.9" customHeight="1">
      <c r="C362" s="50">
        <v>360</v>
      </c>
      <c r="D362" s="53">
        <v>0.37131299206836987</v>
      </c>
      <c r="E362" s="53">
        <v>0.3057541294289286</v>
      </c>
      <c r="F362" s="53">
        <v>0.37131299206836987</v>
      </c>
    </row>
  </sheetData>
  <phoneticPr fontId="43" type="noConversion"/>
  <pageMargins left="0.75" right="0.75" top="1" bottom="1" header="0.3" footer="0.3"/>
  <pageSetup orientation="portrait" horizontalDpi="0" verticalDpi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9"/>
  <dimension ref="A1"/>
  <sheetViews>
    <sheetView workbookViewId="0"/>
  </sheetViews>
  <sheetFormatPr defaultColWidth="8.6328125" defaultRowHeight="15"/>
  <sheetData/>
  <pageMargins left="0.75" right="0.75" top="1" bottom="1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4"/>
  <dimension ref="A1"/>
  <sheetViews>
    <sheetView workbookViewId="0"/>
  </sheetViews>
  <sheetFormatPr defaultColWidth="11.54296875" defaultRowHeight="15"/>
  <sheetData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5"/>
  <dimension ref="A1:V51"/>
  <sheetViews>
    <sheetView topLeftCell="A16" workbookViewId="0">
      <selection activeCell="K45" sqref="K45"/>
    </sheetView>
  </sheetViews>
  <sheetFormatPr defaultColWidth="11.54296875" defaultRowHeight="15"/>
  <cols>
    <col min="2" max="22" width="5.90625" customWidth="1"/>
  </cols>
  <sheetData>
    <row r="1" spans="1:22" ht="17.399999999999999">
      <c r="A1" s="615" t="s">
        <v>1859</v>
      </c>
      <c r="B1" s="615" t="s">
        <v>86</v>
      </c>
      <c r="C1" s="615"/>
      <c r="D1" s="615" t="s">
        <v>1863</v>
      </c>
      <c r="E1" s="615"/>
      <c r="F1" s="615" t="s">
        <v>1782</v>
      </c>
      <c r="G1" s="615"/>
      <c r="H1" s="615"/>
      <c r="I1" s="615"/>
      <c r="J1" s="615"/>
      <c r="K1" s="615"/>
      <c r="L1" s="615"/>
      <c r="M1" s="615"/>
      <c r="N1" s="615"/>
      <c r="O1" s="615"/>
      <c r="P1" s="615"/>
      <c r="Q1" s="615"/>
      <c r="R1" s="615"/>
      <c r="S1" s="615"/>
      <c r="T1" s="615"/>
      <c r="U1" s="615"/>
      <c r="V1" s="615"/>
    </row>
    <row r="2" spans="1:22">
      <c r="A2" s="616" t="s">
        <v>1860</v>
      </c>
      <c r="B2" s="616">
        <v>100</v>
      </c>
      <c r="C2" s="616"/>
      <c r="D2" s="616">
        <v>50</v>
      </c>
      <c r="E2" s="616"/>
      <c r="F2" s="616">
        <v>25</v>
      </c>
      <c r="G2" s="616"/>
      <c r="H2" s="616">
        <v>10</v>
      </c>
      <c r="I2" s="616"/>
      <c r="J2" s="616">
        <v>50</v>
      </c>
      <c r="K2" s="616"/>
      <c r="L2" s="616">
        <v>9</v>
      </c>
      <c r="M2" s="616"/>
      <c r="N2" s="616">
        <v>55</v>
      </c>
      <c r="O2" s="616"/>
      <c r="P2" s="616">
        <v>40</v>
      </c>
      <c r="Q2" s="616"/>
      <c r="R2" s="616">
        <v>8</v>
      </c>
      <c r="S2" s="616"/>
      <c r="T2" s="616">
        <v>50</v>
      </c>
      <c r="U2" s="616"/>
      <c r="V2" s="616"/>
    </row>
    <row r="3" spans="1:22">
      <c r="A3" s="616" t="s">
        <v>1861</v>
      </c>
      <c r="B3" s="616">
        <v>0</v>
      </c>
      <c r="C3" s="616"/>
      <c r="D3" s="616">
        <v>0</v>
      </c>
      <c r="E3" s="616"/>
      <c r="F3" s="616">
        <v>50</v>
      </c>
      <c r="G3" s="616"/>
      <c r="H3" s="616">
        <v>80</v>
      </c>
      <c r="I3" s="616"/>
      <c r="J3" s="616">
        <v>40</v>
      </c>
      <c r="K3" s="616"/>
      <c r="L3" s="616">
        <v>73</v>
      </c>
      <c r="M3" s="616"/>
      <c r="N3" s="616">
        <v>36</v>
      </c>
      <c r="O3" s="616"/>
      <c r="P3" s="616">
        <v>20</v>
      </c>
      <c r="Q3" s="616"/>
      <c r="R3" s="616">
        <v>84</v>
      </c>
      <c r="S3" s="616"/>
      <c r="T3" s="616">
        <v>43</v>
      </c>
      <c r="U3" s="616"/>
      <c r="V3" s="616"/>
    </row>
    <row r="4" spans="1:22">
      <c r="A4" s="616" t="s">
        <v>1862</v>
      </c>
      <c r="B4" s="15">
        <v>0</v>
      </c>
      <c r="C4" s="15"/>
      <c r="D4" s="15">
        <v>50</v>
      </c>
      <c r="E4" s="15"/>
      <c r="F4" s="15">
        <v>25</v>
      </c>
      <c r="G4" s="15"/>
      <c r="H4" s="15">
        <v>10</v>
      </c>
      <c r="I4" s="15"/>
      <c r="J4" s="15">
        <v>10</v>
      </c>
      <c r="K4" s="15"/>
      <c r="L4" s="15">
        <v>18</v>
      </c>
      <c r="M4" s="15"/>
      <c r="N4" s="3">
        <v>9</v>
      </c>
      <c r="O4" s="3"/>
      <c r="P4" s="3">
        <v>40</v>
      </c>
      <c r="Q4" s="3"/>
      <c r="R4" s="3">
        <v>8</v>
      </c>
      <c r="S4" s="3"/>
      <c r="T4" s="3">
        <v>7</v>
      </c>
      <c r="U4" s="3"/>
      <c r="V4" s="3" t="s">
        <v>1746</v>
      </c>
    </row>
    <row r="5" spans="1:22">
      <c r="A5" s="2" t="s">
        <v>1864</v>
      </c>
      <c r="B5" s="4">
        <v>0.877</v>
      </c>
      <c r="C5" s="4"/>
      <c r="D5" s="4">
        <v>0.47</v>
      </c>
      <c r="E5" s="4"/>
      <c r="F5" s="4">
        <v>0.33600000000000002</v>
      </c>
      <c r="G5" s="4"/>
      <c r="H5" s="4">
        <v>0.215</v>
      </c>
      <c r="I5" s="4"/>
      <c r="J5" s="4">
        <v>0.51500000000000001</v>
      </c>
      <c r="K5" s="4"/>
      <c r="L5" s="4">
        <v>0.219</v>
      </c>
      <c r="M5" s="4"/>
      <c r="N5" s="617">
        <v>0.54800000000000004</v>
      </c>
      <c r="O5" s="617"/>
      <c r="P5" s="4">
        <v>0.42399999999999999</v>
      </c>
      <c r="Q5" s="4"/>
      <c r="R5" s="4">
        <v>0.19800000000000001</v>
      </c>
      <c r="S5" s="4"/>
      <c r="T5" s="4">
        <v>0.51300000000000001</v>
      </c>
      <c r="U5" s="4"/>
      <c r="V5" s="7">
        <v>143.69999999999999</v>
      </c>
    </row>
    <row r="6" spans="1:22">
      <c r="A6" s="3" t="s">
        <v>296</v>
      </c>
      <c r="B6" s="7">
        <v>2172</v>
      </c>
      <c r="C6" s="12">
        <f>B6/(B5*V5)</f>
        <v>17.234689335202805</v>
      </c>
      <c r="D6" s="4"/>
      <c r="E6" s="4"/>
      <c r="F6" s="7">
        <v>656</v>
      </c>
      <c r="G6" s="12">
        <f>F6/(F5*V5)</f>
        <v>13.586506279616927</v>
      </c>
      <c r="H6" s="7">
        <v>366</v>
      </c>
      <c r="I6" s="12">
        <f>H6/H5/V5</f>
        <v>11.846385395931447</v>
      </c>
      <c r="J6" s="7">
        <v>1100</v>
      </c>
      <c r="K6" s="12">
        <f>J6/J5/V5</f>
        <v>14.863760125936588</v>
      </c>
      <c r="L6" s="2"/>
      <c r="M6" s="2"/>
      <c r="N6" s="2"/>
      <c r="O6" s="2"/>
      <c r="P6" s="2"/>
      <c r="Q6" s="2"/>
      <c r="R6" s="4"/>
      <c r="S6" s="4"/>
      <c r="T6" s="4"/>
      <c r="U6" s="4"/>
      <c r="V6" s="7"/>
    </row>
    <row r="7" spans="1:22">
      <c r="A7" s="3" t="s">
        <v>302</v>
      </c>
      <c r="B7" s="7">
        <v>1405</v>
      </c>
      <c r="C7" s="12">
        <f>B7/(B5*V5)</f>
        <v>11.148590476961299</v>
      </c>
      <c r="D7" s="4"/>
      <c r="E7" s="4"/>
      <c r="F7" s="7">
        <v>559</v>
      </c>
      <c r="G7" s="12">
        <f>F7/(F5*V5)</f>
        <v>11.577525930344303</v>
      </c>
      <c r="H7" s="7">
        <v>361</v>
      </c>
      <c r="I7" s="12">
        <f>H7/H5/V5</f>
        <v>11.684549529866811</v>
      </c>
      <c r="J7" s="7">
        <v>803</v>
      </c>
      <c r="K7" s="12">
        <f>J7/J5/V5</f>
        <v>10.850544891933708</v>
      </c>
      <c r="L7" s="2"/>
      <c r="M7" s="2"/>
      <c r="N7" s="2"/>
      <c r="O7" s="2"/>
      <c r="P7" s="2"/>
      <c r="Q7" s="2"/>
      <c r="R7" s="4"/>
      <c r="S7" s="4"/>
      <c r="T7" s="4"/>
      <c r="U7" s="4"/>
      <c r="V7" s="7"/>
    </row>
    <row r="8" spans="1:22">
      <c r="A8" s="3" t="s">
        <v>1869</v>
      </c>
      <c r="B8" s="4"/>
      <c r="C8" s="12"/>
      <c r="D8" s="4"/>
      <c r="E8" s="4"/>
      <c r="F8" s="7">
        <v>341</v>
      </c>
      <c r="G8" s="12">
        <f>F8/(F5*V5)</f>
        <v>7.0624979288862377</v>
      </c>
      <c r="H8" s="7">
        <v>282</v>
      </c>
      <c r="I8" s="12">
        <f>H8/H5/V5</f>
        <v>9.1275428460455412</v>
      </c>
      <c r="J8" s="7"/>
      <c r="K8" s="12"/>
      <c r="L8" s="2"/>
      <c r="M8" s="2"/>
      <c r="N8" s="2"/>
      <c r="O8" s="2"/>
      <c r="P8" s="2"/>
      <c r="Q8" s="2"/>
      <c r="R8" s="4"/>
      <c r="S8" s="4"/>
      <c r="T8" s="4"/>
      <c r="U8" s="4"/>
      <c r="V8" s="7"/>
    </row>
    <row r="9" spans="1:22">
      <c r="A9" s="3" t="s">
        <v>1870</v>
      </c>
      <c r="B9" s="4"/>
      <c r="C9" s="12"/>
      <c r="D9" s="4"/>
      <c r="E9" s="4"/>
      <c r="F9" s="7">
        <v>288</v>
      </c>
      <c r="G9" s="624">
        <f>F9/(F5*V5)</f>
        <v>5.9648076349537726</v>
      </c>
      <c r="H9" s="7">
        <v>244</v>
      </c>
      <c r="I9" s="624">
        <f>H9/H5/V5</f>
        <v>7.8975902639542985</v>
      </c>
      <c r="J9" s="7">
        <v>386</v>
      </c>
      <c r="K9" s="624">
        <f>J9/J5/V5</f>
        <v>5.2158285532832025</v>
      </c>
      <c r="L9" s="2"/>
      <c r="M9" s="2"/>
      <c r="N9" s="2"/>
      <c r="O9" s="2"/>
      <c r="P9" s="2"/>
      <c r="Q9" s="2"/>
      <c r="R9" s="4"/>
      <c r="S9" s="4"/>
      <c r="T9" s="4"/>
      <c r="U9" s="4"/>
      <c r="V9" s="7"/>
    </row>
    <row r="10" spans="1:22">
      <c r="A10" s="2" t="s">
        <v>1866</v>
      </c>
      <c r="B10" s="4">
        <v>0.86599999999999999</v>
      </c>
      <c r="C10" s="12"/>
      <c r="D10" s="4">
        <v>0.46500000000000002</v>
      </c>
      <c r="E10" s="4"/>
      <c r="F10" s="618">
        <v>0.34</v>
      </c>
      <c r="G10" s="620"/>
      <c r="H10" s="618">
        <v>0.22</v>
      </c>
      <c r="I10" s="620"/>
      <c r="J10" s="618">
        <v>0.51</v>
      </c>
      <c r="K10" s="620"/>
      <c r="L10" s="618">
        <v>0.22</v>
      </c>
      <c r="M10" s="618"/>
      <c r="N10" s="618">
        <v>0.55000000000000004</v>
      </c>
      <c r="O10" s="618"/>
      <c r="P10" s="618">
        <v>0.42</v>
      </c>
      <c r="Q10" s="618"/>
      <c r="R10" s="618">
        <v>0.21</v>
      </c>
      <c r="S10" s="618"/>
      <c r="T10" s="618">
        <v>0.51</v>
      </c>
      <c r="U10" s="618"/>
      <c r="V10" s="619">
        <v>160</v>
      </c>
    </row>
    <row r="11" spans="1:22">
      <c r="A11" s="3" t="s">
        <v>296</v>
      </c>
      <c r="B11" s="7">
        <v>2149</v>
      </c>
      <c r="C11" s="12">
        <f>B11/(B10*V10)</f>
        <v>15.509526558891455</v>
      </c>
      <c r="D11" s="4"/>
      <c r="E11" s="4"/>
      <c r="F11" s="7">
        <v>800</v>
      </c>
      <c r="G11" s="12">
        <f>F11/F10/V10</f>
        <v>14.705882352941178</v>
      </c>
      <c r="H11" s="7"/>
      <c r="I11" s="12"/>
      <c r="J11" s="7">
        <v>1298</v>
      </c>
      <c r="K11" s="12">
        <f>J11/J10/V10</f>
        <v>15.906862745098039</v>
      </c>
      <c r="L11" s="2"/>
      <c r="M11" s="2"/>
      <c r="N11" s="2"/>
      <c r="O11" s="2"/>
      <c r="P11" s="2"/>
      <c r="Q11" s="2"/>
      <c r="R11" s="7">
        <v>407</v>
      </c>
      <c r="S11" s="12">
        <f>R11/R10/V10</f>
        <v>12.113095238095237</v>
      </c>
      <c r="T11" s="7">
        <v>1298</v>
      </c>
      <c r="U11" s="12">
        <f>T11/T10/V10</f>
        <v>15.906862745098039</v>
      </c>
      <c r="V11" s="7"/>
    </row>
    <row r="12" spans="1:22">
      <c r="A12" s="3" t="s">
        <v>302</v>
      </c>
      <c r="B12" s="7">
        <v>1653</v>
      </c>
      <c r="C12" s="12">
        <f>B12/(B10*V10)</f>
        <v>11.929849884526559</v>
      </c>
      <c r="D12" s="4"/>
      <c r="E12" s="4"/>
      <c r="F12" s="2"/>
      <c r="G12" s="12"/>
      <c r="H12" s="2"/>
      <c r="I12" s="12"/>
      <c r="J12" s="2">
        <v>882</v>
      </c>
      <c r="K12" s="12">
        <f>J12/J10/V10</f>
        <v>10.808823529411764</v>
      </c>
      <c r="L12" s="2"/>
      <c r="M12" s="2"/>
      <c r="N12" s="2"/>
      <c r="O12" s="2"/>
      <c r="P12" s="2"/>
      <c r="Q12" s="2"/>
      <c r="R12" s="2">
        <v>450</v>
      </c>
      <c r="S12" s="12">
        <f>R12/R10/V10</f>
        <v>13.392857142857144</v>
      </c>
      <c r="T12" s="2">
        <v>883</v>
      </c>
      <c r="U12" s="12">
        <f>T12/T10/V10</f>
        <v>10.821078431372548</v>
      </c>
      <c r="V12" s="2"/>
    </row>
    <row r="13" spans="1:22">
      <c r="A13" s="3" t="s">
        <v>1869</v>
      </c>
      <c r="B13" s="4"/>
      <c r="C13" s="12"/>
      <c r="D13" s="4"/>
      <c r="E13" s="4"/>
      <c r="F13" s="2">
        <v>396</v>
      </c>
      <c r="G13" s="12">
        <f>F13/F10/V10</f>
        <v>7.2794117647058814</v>
      </c>
      <c r="H13" s="2"/>
      <c r="I13" s="12"/>
      <c r="J13" s="2">
        <v>598</v>
      </c>
      <c r="K13" s="12">
        <f>J13/J10/V10</f>
        <v>7.3284313725490193</v>
      </c>
      <c r="L13" s="2"/>
      <c r="M13" s="2"/>
      <c r="N13" s="2"/>
      <c r="O13" s="2"/>
      <c r="P13" s="2"/>
      <c r="Q13" s="2"/>
      <c r="R13" s="2">
        <v>269</v>
      </c>
      <c r="S13" s="12">
        <f>R13/R10/V10</f>
        <v>8.0059523809523814</v>
      </c>
      <c r="T13" s="2">
        <v>459</v>
      </c>
      <c r="U13" s="12">
        <f>T13/T10/V10</f>
        <v>5.625</v>
      </c>
      <c r="V13" s="2"/>
    </row>
    <row r="14" spans="1:22">
      <c r="A14" s="3" t="s">
        <v>1870</v>
      </c>
      <c r="B14" s="4"/>
      <c r="C14" s="12"/>
      <c r="D14" s="4"/>
      <c r="E14" s="4"/>
      <c r="F14" s="2">
        <v>342</v>
      </c>
      <c r="G14" s="624">
        <f>F14/F10/V10</f>
        <v>6.2867647058823524</v>
      </c>
      <c r="H14" s="2"/>
      <c r="I14" s="12"/>
      <c r="J14" s="2">
        <v>459</v>
      </c>
      <c r="K14" s="624">
        <f>J14/J10/V10</f>
        <v>5.625</v>
      </c>
      <c r="L14" s="2"/>
      <c r="M14" s="2"/>
      <c r="N14" s="2"/>
      <c r="O14" s="2"/>
      <c r="P14" s="2"/>
      <c r="Q14" s="2"/>
      <c r="R14" s="2">
        <v>267</v>
      </c>
      <c r="S14" s="624">
        <f>R14/R10/V10</f>
        <v>7.9464285714285721</v>
      </c>
      <c r="T14" s="2"/>
      <c r="U14" s="2"/>
      <c r="V14" s="2"/>
    </row>
    <row r="15" spans="1:22">
      <c r="A15" s="2" t="s">
        <v>1867</v>
      </c>
      <c r="B15" s="4">
        <v>0.88400000000000001</v>
      </c>
      <c r="C15" s="12"/>
      <c r="D15" s="4">
        <v>0.46899999999999997</v>
      </c>
      <c r="E15" s="4"/>
      <c r="F15" s="617">
        <v>0.33600000000000002</v>
      </c>
      <c r="G15" s="621"/>
      <c r="H15" s="617">
        <v>0.217</v>
      </c>
      <c r="I15" s="621"/>
      <c r="J15" s="617">
        <v>0.51900000000000002</v>
      </c>
      <c r="K15" s="621"/>
      <c r="L15" s="4">
        <v>0.22</v>
      </c>
      <c r="M15" s="4"/>
      <c r="N15" s="4">
        <v>0.55200000000000005</v>
      </c>
      <c r="O15" s="4"/>
      <c r="P15" s="4">
        <v>0.42299999999999999</v>
      </c>
      <c r="Q15" s="4"/>
      <c r="R15" s="4">
        <v>0.20100000000000001</v>
      </c>
      <c r="S15" s="4"/>
      <c r="T15" s="4">
        <v>0.51600000000000001</v>
      </c>
      <c r="U15" s="4"/>
      <c r="V15" s="7">
        <v>179.9</v>
      </c>
    </row>
    <row r="16" spans="1:22">
      <c r="A16" s="3" t="s">
        <v>296</v>
      </c>
      <c r="B16" s="7">
        <v>2501</v>
      </c>
      <c r="C16" s="12">
        <f>B16/(B15*V15)</f>
        <v>15.726434243257316</v>
      </c>
      <c r="D16" s="4"/>
      <c r="E16" s="4"/>
      <c r="F16" s="7">
        <v>775</v>
      </c>
      <c r="G16" s="12">
        <f>F16/F15/V15</f>
        <v>12.821276370470365</v>
      </c>
      <c r="H16" s="7">
        <v>373</v>
      </c>
      <c r="I16" s="12">
        <f>H16/H15/V15</f>
        <v>9.5547193397253469</v>
      </c>
      <c r="J16" s="2">
        <v>1292</v>
      </c>
      <c r="K16" s="12">
        <f>J16/J15/V15</f>
        <v>13.837702598639149</v>
      </c>
      <c r="L16" s="2"/>
      <c r="M16" s="2"/>
      <c r="N16" s="2"/>
      <c r="O16" s="2"/>
      <c r="P16" s="4"/>
      <c r="Q16" s="4"/>
      <c r="R16" s="4"/>
      <c r="S16" s="4"/>
      <c r="T16" s="7"/>
      <c r="U16" s="7"/>
      <c r="V16" s="7"/>
    </row>
    <row r="17" spans="1:22">
      <c r="A17" s="3" t="s">
        <v>302</v>
      </c>
      <c r="B17" s="4"/>
      <c r="C17" s="12"/>
      <c r="D17" s="4"/>
      <c r="E17" s="4"/>
      <c r="F17" s="7">
        <v>398</v>
      </c>
      <c r="G17" s="12">
        <f>F17/F15/V15</f>
        <v>6.5843458005770392</v>
      </c>
      <c r="H17" s="7">
        <v>280</v>
      </c>
      <c r="I17" s="12">
        <f>H17/H15/V15</f>
        <v>7.172443472179884</v>
      </c>
      <c r="J17" s="2">
        <v>547</v>
      </c>
      <c r="K17" s="12">
        <f>J17/J15/V15</f>
        <v>5.8585319825507858</v>
      </c>
      <c r="L17" s="2"/>
      <c r="M17" s="2"/>
      <c r="N17" s="2"/>
      <c r="O17" s="2"/>
      <c r="P17" s="4"/>
      <c r="Q17" s="4"/>
      <c r="R17" s="4"/>
      <c r="S17" s="4"/>
      <c r="T17" s="7"/>
      <c r="U17" s="7"/>
      <c r="V17" s="7"/>
    </row>
    <row r="18" spans="1:22">
      <c r="A18" s="3" t="s">
        <v>1869</v>
      </c>
      <c r="B18" s="4"/>
      <c r="C18" s="12"/>
      <c r="D18" s="4"/>
      <c r="E18" s="4"/>
      <c r="F18" s="7">
        <v>462</v>
      </c>
      <c r="G18" s="12">
        <f>F18/F15/V15</f>
        <v>7.6431350750416893</v>
      </c>
      <c r="H18" s="7">
        <v>265</v>
      </c>
      <c r="I18" s="12">
        <f>H18/H15/V15</f>
        <v>6.788205429027391</v>
      </c>
      <c r="J18" s="2">
        <v>792</v>
      </c>
      <c r="K18" s="12">
        <f>J18/J15/V15</f>
        <v>8.4825545341503137</v>
      </c>
      <c r="L18" s="2"/>
      <c r="M18" s="2"/>
      <c r="N18" s="2"/>
      <c r="O18" s="2"/>
      <c r="P18" s="4"/>
      <c r="Q18" s="4"/>
      <c r="R18" s="4"/>
      <c r="S18" s="4"/>
      <c r="T18" s="7"/>
      <c r="U18" s="7"/>
      <c r="V18" s="7"/>
    </row>
    <row r="19" spans="1:22">
      <c r="A19" s="3" t="s">
        <v>1870</v>
      </c>
      <c r="B19" s="4"/>
      <c r="C19" s="12"/>
      <c r="D19" s="4"/>
      <c r="E19" s="4"/>
      <c r="F19" s="7">
        <v>245</v>
      </c>
      <c r="G19" s="624">
        <f>F19/F15/V15</f>
        <v>4.0531776913099868</v>
      </c>
      <c r="H19" s="7">
        <v>178</v>
      </c>
      <c r="I19" s="624">
        <f>H19/H15/V15</f>
        <v>4.5596247787429265</v>
      </c>
      <c r="J19" s="2">
        <v>320</v>
      </c>
      <c r="K19" s="624">
        <f>J19/J15/V15</f>
        <v>3.4272947612728539</v>
      </c>
      <c r="L19" s="2"/>
      <c r="M19" s="2"/>
      <c r="N19" s="2"/>
      <c r="O19" s="2"/>
      <c r="P19" s="4"/>
      <c r="Q19" s="4"/>
      <c r="R19" s="4"/>
      <c r="S19" s="4"/>
      <c r="T19" s="7"/>
      <c r="U19" s="7"/>
      <c r="V19" s="7"/>
    </row>
    <row r="20" spans="1:22">
      <c r="A20" s="2" t="s">
        <v>1865</v>
      </c>
      <c r="B20" s="4">
        <v>0.89700000000000002</v>
      </c>
      <c r="C20" s="12"/>
      <c r="D20" s="4">
        <v>0.47499999999999998</v>
      </c>
      <c r="E20" s="4"/>
      <c r="F20" s="617">
        <v>0.33500000000000002</v>
      </c>
      <c r="G20" s="621"/>
      <c r="H20" s="4">
        <v>0.20599999999999999</v>
      </c>
      <c r="I20" s="12"/>
      <c r="J20" s="4">
        <v>0.52100000000000002</v>
      </c>
      <c r="K20" s="12"/>
      <c r="L20" s="617">
        <v>0.21199999999999999</v>
      </c>
      <c r="M20" s="617"/>
      <c r="N20" s="617">
        <v>0.55500000000000005</v>
      </c>
      <c r="O20" s="617"/>
      <c r="P20" s="4">
        <v>0.42699999999999999</v>
      </c>
      <c r="Q20" s="4"/>
      <c r="R20" s="4">
        <v>0.188</v>
      </c>
      <c r="S20" s="4"/>
      <c r="T20" s="4">
        <v>0.51700000000000002</v>
      </c>
      <c r="U20" s="4"/>
      <c r="V20" s="7">
        <v>158.19999999999999</v>
      </c>
    </row>
    <row r="21" spans="1:22">
      <c r="A21" s="3" t="s">
        <v>296</v>
      </c>
      <c r="B21" s="7">
        <v>2524</v>
      </c>
      <c r="C21" s="12">
        <f>B21/(B20*V20)</f>
        <v>17.786497201656879</v>
      </c>
      <c r="D21" s="4"/>
      <c r="E21" s="4"/>
      <c r="F21" s="7">
        <v>749</v>
      </c>
      <c r="G21" s="12">
        <f>F21/F20/V20</f>
        <v>14.132875445779952</v>
      </c>
      <c r="H21" s="4"/>
      <c r="I21" s="12"/>
      <c r="J21" s="4"/>
      <c r="K21" s="12"/>
      <c r="L21" s="7">
        <v>355</v>
      </c>
      <c r="M21" s="12">
        <f>L21/L20/V20</f>
        <v>10.584881807122583</v>
      </c>
      <c r="N21" s="7">
        <v>1441</v>
      </c>
      <c r="O21" s="12">
        <f>N21/N20/V20</f>
        <v>16.412113757246498</v>
      </c>
      <c r="P21" s="4"/>
      <c r="Q21" s="4"/>
      <c r="R21" s="4"/>
      <c r="S21" s="4"/>
      <c r="T21" s="4"/>
      <c r="U21" s="4"/>
      <c r="V21" s="7"/>
    </row>
    <row r="22" spans="1:22">
      <c r="A22" s="3" t="s">
        <v>302</v>
      </c>
      <c r="B22" s="4"/>
      <c r="C22" s="12"/>
      <c r="D22" s="4"/>
      <c r="E22" s="4"/>
      <c r="F22" s="7">
        <v>479</v>
      </c>
      <c r="G22" s="12">
        <f>F22/F20/V20</f>
        <v>9.0382474479687538</v>
      </c>
      <c r="H22" s="4"/>
      <c r="I22" s="12"/>
      <c r="J22" s="4"/>
      <c r="K22" s="12"/>
      <c r="L22" s="7">
        <v>320</v>
      </c>
      <c r="M22" s="12">
        <f>L22/L20/V20</f>
        <v>9.5413019106457089</v>
      </c>
      <c r="N22" s="7">
        <v>635</v>
      </c>
      <c r="O22" s="12">
        <f>N22/N20/V20</f>
        <v>7.2322638694320114</v>
      </c>
      <c r="P22" s="4"/>
      <c r="Q22" s="4"/>
      <c r="R22" s="4"/>
      <c r="S22" s="4"/>
      <c r="T22" s="4"/>
      <c r="U22" s="4"/>
      <c r="V22" s="7"/>
    </row>
    <row r="23" spans="1:22">
      <c r="A23" s="3" t="s">
        <v>1869</v>
      </c>
      <c r="B23" s="4"/>
      <c r="C23" s="12"/>
      <c r="D23" s="4"/>
      <c r="E23" s="4"/>
      <c r="F23" s="7">
        <v>477</v>
      </c>
      <c r="G23" s="12">
        <f>F23/F20/V20</f>
        <v>9.0005094627997817</v>
      </c>
      <c r="H23" s="4"/>
      <c r="I23" s="12"/>
      <c r="J23" s="4"/>
      <c r="K23" s="12"/>
      <c r="L23" s="7">
        <v>264</v>
      </c>
      <c r="M23" s="12">
        <f>L23/L20/V20</f>
        <v>7.8715740762827089</v>
      </c>
      <c r="N23" s="7">
        <v>966</v>
      </c>
      <c r="O23" s="12">
        <f>N23/N20/V20</f>
        <v>11.00215259507295</v>
      </c>
      <c r="P23" s="4"/>
      <c r="Q23" s="4"/>
      <c r="R23" s="4"/>
      <c r="S23" s="4"/>
      <c r="T23" s="4"/>
      <c r="U23" s="4"/>
      <c r="V23" s="7"/>
    </row>
    <row r="24" spans="1:22">
      <c r="A24" s="3" t="s">
        <v>1870</v>
      </c>
      <c r="B24" s="4"/>
      <c r="C24" s="12"/>
      <c r="D24" s="4"/>
      <c r="E24" s="4"/>
      <c r="F24" s="7">
        <v>263</v>
      </c>
      <c r="G24" s="624">
        <f>F24/F20/V20</f>
        <v>4.9625450497197958</v>
      </c>
      <c r="H24" s="4"/>
      <c r="I24" s="12"/>
      <c r="J24" s="4"/>
      <c r="K24" s="12"/>
      <c r="L24" s="7">
        <v>200</v>
      </c>
      <c r="M24" s="624">
        <f>L24/L20/V20</f>
        <v>5.9633136941535678</v>
      </c>
      <c r="N24" s="7">
        <v>388</v>
      </c>
      <c r="O24" s="624">
        <f>N24/N20/V20</f>
        <v>4.4190840651017638</v>
      </c>
      <c r="P24" s="4"/>
      <c r="Q24" s="4"/>
      <c r="R24" s="4"/>
      <c r="S24" s="4"/>
      <c r="T24" s="4"/>
      <c r="U24" s="4"/>
      <c r="V24" s="7"/>
    </row>
    <row r="25" spans="1:22">
      <c r="A25" s="2" t="s">
        <v>1868</v>
      </c>
      <c r="B25" s="4">
        <v>0.88900000000000001</v>
      </c>
      <c r="C25" s="12"/>
      <c r="D25" s="4">
        <v>0.47399999999999998</v>
      </c>
      <c r="E25" s="4"/>
      <c r="F25" s="617">
        <v>0.33500000000000002</v>
      </c>
      <c r="G25" s="621"/>
      <c r="H25" s="617">
        <v>0.20599999999999999</v>
      </c>
      <c r="I25" s="621"/>
      <c r="J25" s="4">
        <v>0.51800000000000002</v>
      </c>
      <c r="K25" s="12"/>
      <c r="L25" s="4">
        <v>0.214</v>
      </c>
      <c r="M25" s="4"/>
      <c r="N25" s="4">
        <v>0.55200000000000005</v>
      </c>
      <c r="O25" s="4"/>
      <c r="P25" s="617">
        <v>0.42699999999999999</v>
      </c>
      <c r="Q25" s="617"/>
      <c r="R25" s="4">
        <v>0.19</v>
      </c>
      <c r="S25" s="4"/>
      <c r="T25" s="4">
        <v>0.51500000000000001</v>
      </c>
      <c r="U25" s="4"/>
      <c r="V25" s="7">
        <v>142.80000000000001</v>
      </c>
    </row>
    <row r="26" spans="1:22">
      <c r="A26" s="3" t="s">
        <v>296</v>
      </c>
      <c r="B26" s="7">
        <v>1867</v>
      </c>
      <c r="C26" s="12">
        <f>B26/(B25*V25)</f>
        <v>14.706670069602643</v>
      </c>
      <c r="D26" s="4"/>
      <c r="E26" s="4"/>
      <c r="F26" s="7">
        <v>755</v>
      </c>
      <c r="G26" s="12">
        <f>F26/F25/V25</f>
        <v>15.782432375935445</v>
      </c>
      <c r="H26" s="7">
        <v>441</v>
      </c>
      <c r="I26" s="12">
        <f>H26/H25/V25</f>
        <v>14.991433466590518</v>
      </c>
      <c r="J26" s="4"/>
      <c r="K26" s="12"/>
      <c r="L26" s="4"/>
      <c r="M26" s="4"/>
      <c r="N26" s="4"/>
      <c r="O26" s="4"/>
      <c r="P26" s="7">
        <v>1114</v>
      </c>
      <c r="Q26" s="12">
        <f>P26/P25/V25</f>
        <v>18.269602923136468</v>
      </c>
      <c r="R26" s="4"/>
      <c r="S26" s="4"/>
      <c r="T26" s="4"/>
      <c r="U26" s="4"/>
      <c r="V26" s="7"/>
    </row>
    <row r="27" spans="1:22">
      <c r="A27" s="3" t="s">
        <v>302</v>
      </c>
      <c r="B27" s="7">
        <v>1398</v>
      </c>
      <c r="C27" s="12">
        <f>B27/(B25*V25)</f>
        <v>11.012278927318958</v>
      </c>
      <c r="D27" s="4"/>
      <c r="E27" s="4"/>
      <c r="F27" s="7"/>
      <c r="G27" s="12"/>
      <c r="H27" s="7">
        <v>388</v>
      </c>
      <c r="I27" s="12">
        <f>H27/H25/V25</f>
        <v>13.189741916183948</v>
      </c>
      <c r="J27" s="4"/>
      <c r="K27" s="12"/>
      <c r="L27" s="4"/>
      <c r="M27" s="4"/>
      <c r="N27" s="4"/>
      <c r="O27" s="4"/>
      <c r="P27" s="7">
        <v>658</v>
      </c>
      <c r="Q27" s="12">
        <f>P27/P25/V25</f>
        <v>10.791201726592275</v>
      </c>
      <c r="R27" s="4"/>
      <c r="S27" s="4"/>
      <c r="T27" s="4"/>
      <c r="U27" s="4"/>
      <c r="V27" s="7"/>
    </row>
    <row r="28" spans="1:22">
      <c r="A28" s="3" t="s">
        <v>1869</v>
      </c>
      <c r="B28" s="4"/>
      <c r="C28" s="12"/>
      <c r="D28" s="4"/>
      <c r="E28" s="4"/>
      <c r="F28" s="7">
        <v>396</v>
      </c>
      <c r="G28" s="12">
        <f>F28/F25/V25</f>
        <v>8.2779380408879959</v>
      </c>
      <c r="H28" s="7">
        <v>283</v>
      </c>
      <c r="I28" s="12">
        <f>H28/H25/V25</f>
        <v>9.6203529955671581</v>
      </c>
      <c r="J28" s="4"/>
      <c r="K28" s="12"/>
      <c r="L28" s="4"/>
      <c r="M28" s="4"/>
      <c r="N28" s="4"/>
      <c r="O28" s="4"/>
      <c r="P28" s="7">
        <v>645</v>
      </c>
      <c r="Q28" s="12">
        <f>P28/P25/V25</f>
        <v>10.578001692480271</v>
      </c>
      <c r="R28" s="4"/>
      <c r="S28" s="4"/>
      <c r="T28" s="4"/>
      <c r="U28" s="4"/>
      <c r="V28" s="7"/>
    </row>
    <row r="29" spans="1:22">
      <c r="A29" s="3" t="s">
        <v>1870</v>
      </c>
      <c r="B29" s="4"/>
      <c r="C29" s="4"/>
      <c r="D29" s="4"/>
      <c r="E29" s="4"/>
      <c r="F29" s="7">
        <v>302</v>
      </c>
      <c r="G29" s="624">
        <f>F29/F25/V25</f>
        <v>6.3129729503741787</v>
      </c>
      <c r="H29" s="7">
        <v>250</v>
      </c>
      <c r="I29" s="624">
        <f>H29/H25/V25</f>
        <v>8.4985450490875944</v>
      </c>
      <c r="J29" s="4"/>
      <c r="K29" s="12"/>
      <c r="L29" s="4"/>
      <c r="M29" s="4"/>
      <c r="N29" s="4"/>
      <c r="O29" s="4"/>
      <c r="P29" s="7">
        <v>386</v>
      </c>
      <c r="Q29" s="624">
        <f>P29/P25/V25</f>
        <v>6.3304010128641615</v>
      </c>
      <c r="R29" s="4"/>
      <c r="S29" s="4"/>
      <c r="T29" s="4"/>
      <c r="U29" s="4"/>
      <c r="V29" s="7"/>
    </row>
    <row r="30" spans="1:22">
      <c r="A30" s="590" t="s">
        <v>1857</v>
      </c>
      <c r="B30" s="591">
        <v>0.877</v>
      </c>
      <c r="C30" s="591"/>
      <c r="D30" s="591">
        <v>0.46550000000000002</v>
      </c>
      <c r="E30" s="591"/>
      <c r="F30" s="591">
        <v>0.33700000000000002</v>
      </c>
      <c r="G30" s="593"/>
      <c r="H30" s="591">
        <v>0.223</v>
      </c>
      <c r="I30" s="593"/>
      <c r="J30" s="591">
        <v>0.51800000000000002</v>
      </c>
      <c r="K30" s="591"/>
      <c r="L30" s="591">
        <v>0.22450000000000001</v>
      </c>
      <c r="M30" s="591"/>
      <c r="N30" s="591">
        <v>0.55049999999999999</v>
      </c>
      <c r="O30" s="591"/>
      <c r="P30" s="591">
        <v>0.4335</v>
      </c>
      <c r="Q30" s="591"/>
      <c r="R30" s="591">
        <v>0.20699999999999999</v>
      </c>
      <c r="S30" s="591"/>
      <c r="T30" s="591">
        <v>0.51550000000000007</v>
      </c>
      <c r="U30" s="591"/>
      <c r="V30" s="592">
        <v>187.25</v>
      </c>
    </row>
    <row r="31" spans="1:22">
      <c r="A31" s="2" t="s">
        <v>1858</v>
      </c>
      <c r="B31" s="588">
        <v>1.3327081867802548E-2</v>
      </c>
      <c r="C31" s="588"/>
      <c r="D31" s="588">
        <v>5.2546275901447954E-3</v>
      </c>
      <c r="E31" s="588"/>
      <c r="F31" s="588">
        <v>9.660917830792967E-4</v>
      </c>
      <c r="G31" s="622"/>
      <c r="H31" s="588">
        <v>8.6049081601400294E-3</v>
      </c>
      <c r="I31" s="622"/>
      <c r="J31" s="588">
        <v>3.2403703492039329E-3</v>
      </c>
      <c r="K31" s="588"/>
      <c r="L31" s="588">
        <v>6.041522986797292E-3</v>
      </c>
      <c r="M31" s="588"/>
      <c r="N31" s="588">
        <v>4.131182235954582E-3</v>
      </c>
      <c r="O31" s="588"/>
      <c r="P31" s="588">
        <v>3.4140233677518346E-3</v>
      </c>
      <c r="Q31" s="588"/>
      <c r="R31" s="588">
        <v>9.5777519979029137E-3</v>
      </c>
      <c r="S31" s="588"/>
      <c r="T31" s="588">
        <v>2.5495097567963948E-3</v>
      </c>
      <c r="U31" s="588"/>
      <c r="V31" s="7">
        <v>28.467839554291476</v>
      </c>
    </row>
    <row r="32" spans="1:22">
      <c r="G32" s="623"/>
    </row>
    <row r="34" spans="4:7">
      <c r="D34" t="s">
        <v>1872</v>
      </c>
      <c r="G34" t="s">
        <v>1871</v>
      </c>
    </row>
    <row r="35" spans="4:7">
      <c r="D35">
        <v>288</v>
      </c>
      <c r="G35">
        <f>G9/G7</f>
        <v>0.51520572450805002</v>
      </c>
    </row>
    <row r="36" spans="4:7">
      <c r="D36">
        <v>342</v>
      </c>
      <c r="G36">
        <f>G19/G17</f>
        <v>0.61557788944723624</v>
      </c>
    </row>
    <row r="37" spans="4:7">
      <c r="D37">
        <v>245</v>
      </c>
      <c r="G37">
        <f>G24/G22</f>
        <v>0.54906054279749472</v>
      </c>
    </row>
    <row r="38" spans="4:7">
      <c r="D38">
        <v>263</v>
      </c>
      <c r="G38">
        <f>I9/I7</f>
        <v>0.67590027700831024</v>
      </c>
    </row>
    <row r="39" spans="4:7">
      <c r="D39">
        <v>302</v>
      </c>
      <c r="G39">
        <f>I19/I17</f>
        <v>0.63571428571428579</v>
      </c>
    </row>
    <row r="40" spans="4:7">
      <c r="D40">
        <v>244</v>
      </c>
      <c r="G40">
        <f>I29/I27</f>
        <v>0.64432989690721643</v>
      </c>
    </row>
    <row r="41" spans="4:7">
      <c r="D41">
        <v>178</v>
      </c>
      <c r="G41">
        <f>K9/K7</f>
        <v>0.48069738480697388</v>
      </c>
    </row>
    <row r="42" spans="4:7">
      <c r="D42">
        <v>250</v>
      </c>
      <c r="G42" s="131">
        <f>K14/K12</f>
        <v>0.52040816326530615</v>
      </c>
    </row>
    <row r="43" spans="4:7">
      <c r="D43">
        <v>386</v>
      </c>
      <c r="G43">
        <f>K19/K17</f>
        <v>0.5850091407678244</v>
      </c>
    </row>
    <row r="44" spans="4:7">
      <c r="D44">
        <v>459</v>
      </c>
      <c r="G44">
        <f>M24/M22</f>
        <v>0.625</v>
      </c>
    </row>
    <row r="45" spans="4:7">
      <c r="D45">
        <v>320</v>
      </c>
      <c r="G45">
        <f>O24/O22</f>
        <v>0.61102362204724403</v>
      </c>
    </row>
    <row r="46" spans="4:7">
      <c r="D46">
        <v>200</v>
      </c>
      <c r="G46">
        <f>Q29/Q27</f>
        <v>0.58662613981762912</v>
      </c>
    </row>
    <row r="47" spans="4:7">
      <c r="D47">
        <v>388</v>
      </c>
      <c r="G47">
        <f>S14/S12</f>
        <v>0.59333333333333338</v>
      </c>
    </row>
    <row r="48" spans="4:7">
      <c r="D48">
        <v>267</v>
      </c>
      <c r="F48" t="s">
        <v>1728</v>
      </c>
      <c r="G48" s="627">
        <f>MEDIAN(G35:G47)</f>
        <v>0.59333333333333338</v>
      </c>
    </row>
    <row r="49" spans="3:7">
      <c r="C49" t="s">
        <v>1728</v>
      </c>
      <c r="D49" s="629">
        <f>MEDIAN(D35:D48)</f>
        <v>277.5</v>
      </c>
      <c r="F49" t="s">
        <v>1775</v>
      </c>
      <c r="G49" s="628">
        <f>STDEVP(G35:G47)</f>
        <v>5.4610504615113069E-2</v>
      </c>
    </row>
    <row r="50" spans="3:7">
      <c r="C50" t="s">
        <v>1775</v>
      </c>
      <c r="D50" s="630">
        <f>STDEVP(D35:D48)</f>
        <v>74.835874841317292</v>
      </c>
      <c r="F50" t="s">
        <v>1747</v>
      </c>
      <c r="G50" s="626">
        <f>G49/G48</f>
        <v>9.204017631760629E-2</v>
      </c>
    </row>
    <row r="51" spans="3:7">
      <c r="C51" t="s">
        <v>1747</v>
      </c>
      <c r="D51" s="625">
        <f>D50/D49</f>
        <v>0.26967882825699924</v>
      </c>
      <c r="G51" s="625"/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euil6"/>
  <dimension ref="A1"/>
  <sheetViews>
    <sheetView topLeftCell="D51" workbookViewId="0"/>
  </sheetViews>
  <sheetFormatPr defaultColWidth="11.54296875" defaultRowHeight="15"/>
  <sheetData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Worksheets</vt:lpstr>
      </vt:variant>
      <vt:variant>
        <vt:i4>26</vt:i4>
      </vt:variant>
      <vt:variant>
        <vt:lpstr>Excel 4.0 Macros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186</vt:i4>
      </vt:variant>
    </vt:vector>
  </HeadingPairs>
  <TitlesOfParts>
    <vt:vector size="218" baseType="lpstr">
      <vt:lpstr>Materials</vt:lpstr>
      <vt:lpstr>InPlane</vt:lpstr>
      <vt:lpstr>DDequiv</vt:lpstr>
      <vt:lpstr>Chart</vt:lpstr>
      <vt:lpstr>InPlane Strain</vt:lpstr>
      <vt:lpstr>Duplex</vt:lpstr>
      <vt:lpstr>ThinWall</vt:lpstr>
      <vt:lpstr>Flex</vt:lpstr>
      <vt:lpstr>Hybrid</vt:lpstr>
      <vt:lpstr>Shaft</vt:lpstr>
      <vt:lpstr>Beam</vt:lpstr>
      <vt:lpstr>Tube</vt:lpstr>
      <vt:lpstr>Vessel</vt:lpstr>
      <vt:lpstr>Lam3D</vt:lpstr>
      <vt:lpstr>PD_chart</vt:lpstr>
      <vt:lpstr>PD_sub</vt:lpstr>
      <vt:lpstr>PDFlex_chart</vt:lpstr>
      <vt:lpstr>PDFlex_sub</vt:lpstr>
      <vt:lpstr>MAT</vt:lpstr>
      <vt:lpstr>GenLam</vt:lpstr>
      <vt:lpstr>Feuil1</vt:lpstr>
      <vt:lpstr>Table</vt:lpstr>
      <vt:lpstr>TableVal</vt:lpstr>
      <vt:lpstr>Sheet1</vt:lpstr>
      <vt:lpstr>Sheet2</vt:lpstr>
      <vt:lpstr>Sheet3</vt:lpstr>
      <vt:lpstr>Main</vt:lpstr>
      <vt:lpstr>PD</vt:lpstr>
      <vt:lpstr>PDFlex</vt:lpstr>
      <vt:lpstr>ChartQ</vt:lpstr>
      <vt:lpstr>SHEAR</vt:lpstr>
      <vt:lpstr>Chart23</vt:lpstr>
      <vt:lpstr>PDFlex!__MAT12</vt:lpstr>
      <vt:lpstr>PDFlex!__MAT34</vt:lpstr>
      <vt:lpstr>PDFlex!__MAT56</vt:lpstr>
      <vt:lpstr>PDFlex!__MAT78</vt:lpstr>
      <vt:lpstr>PDFlex!__seq1</vt:lpstr>
      <vt:lpstr>__seq1</vt:lpstr>
      <vt:lpstr>_Box2</vt:lpstr>
      <vt:lpstr>_Box3</vt:lpstr>
      <vt:lpstr>SHEAR!_Val1</vt:lpstr>
      <vt:lpstr>PDFlex_sub!alpha</vt:lpstr>
      <vt:lpstr>alpha</vt:lpstr>
      <vt:lpstr>'InPlane Strain'!alpha_1</vt:lpstr>
      <vt:lpstr>alpha_1</vt:lpstr>
      <vt:lpstr>'InPlane Strain'!alpha_2</vt:lpstr>
      <vt:lpstr>alpha_2</vt:lpstr>
      <vt:lpstr>'InPlane Strain'!alpha_6</vt:lpstr>
      <vt:lpstr>alpha_6</vt:lpstr>
      <vt:lpstr>InPlane!angles</vt:lpstr>
      <vt:lpstr>'InPlane Strain'!angles</vt:lpstr>
      <vt:lpstr>PD_sub!BC</vt:lpstr>
      <vt:lpstr>PDFlex!BC</vt:lpstr>
      <vt:lpstr>PDFlex_sub!BC</vt:lpstr>
      <vt:lpstr>Duplex!BOTTOM_DATA__MODULE</vt:lpstr>
      <vt:lpstr>BOTTOM_DATA__MODULE</vt:lpstr>
      <vt:lpstr>Box</vt:lpstr>
      <vt:lpstr>Beam!Chart</vt:lpstr>
      <vt:lpstr>Duplex!Chart</vt:lpstr>
      <vt:lpstr>Flex!Chart</vt:lpstr>
      <vt:lpstr>GenLam!Chart</vt:lpstr>
      <vt:lpstr>Hybrid!Chart</vt:lpstr>
      <vt:lpstr>InPlane!Chart</vt:lpstr>
      <vt:lpstr>'InPlane Strain'!Chart</vt:lpstr>
      <vt:lpstr>PDFlex!chart</vt:lpstr>
      <vt:lpstr>Shaft!Chart</vt:lpstr>
      <vt:lpstr>ThinWall!Chart</vt:lpstr>
      <vt:lpstr>Tube!Chart</vt:lpstr>
      <vt:lpstr>Vessel!Chart</vt:lpstr>
      <vt:lpstr>Beam!CONTROL_MODULE</vt:lpstr>
      <vt:lpstr>Duplex!CONTROL_MODULE</vt:lpstr>
      <vt:lpstr>InPlane!CONTROL_MODULE</vt:lpstr>
      <vt:lpstr>'InPlane Strain'!CONTROL_MODULE</vt:lpstr>
      <vt:lpstr>Shaft!CONTROL_MODULE</vt:lpstr>
      <vt:lpstr>ThinWall!CONTROL_MODULE</vt:lpstr>
      <vt:lpstr>Tube!CONTROL_MODULE</vt:lpstr>
      <vt:lpstr>Vessel!CONTROL_MODULE</vt:lpstr>
      <vt:lpstr>PDFlex_sub!DFf</vt:lpstr>
      <vt:lpstr>DFf</vt:lpstr>
      <vt:lpstr>PDFlex_sub!DFm</vt:lpstr>
      <vt:lpstr>DFm</vt:lpstr>
      <vt:lpstr>'InPlane Strain'!E_1</vt:lpstr>
      <vt:lpstr>E_1</vt:lpstr>
      <vt:lpstr>'InPlane Strain'!E_2</vt:lpstr>
      <vt:lpstr>E_2</vt:lpstr>
      <vt:lpstr>'InPlane Strain'!E_6</vt:lpstr>
      <vt:lpstr>E_6</vt:lpstr>
      <vt:lpstr>Eeff</vt:lpstr>
      <vt:lpstr>PDFlex_sub!Eo</vt:lpstr>
      <vt:lpstr>Eo</vt:lpstr>
      <vt:lpstr>'InPlane Strain'!ep_1</vt:lpstr>
      <vt:lpstr>ep_1</vt:lpstr>
      <vt:lpstr>'InPlane Strain'!ep_2</vt:lpstr>
      <vt:lpstr>ep_2</vt:lpstr>
      <vt:lpstr>'InPlane Strain'!ep_6</vt:lpstr>
      <vt:lpstr>ep_6</vt:lpstr>
      <vt:lpstr>epl_1</vt:lpstr>
      <vt:lpstr>epl_2</vt:lpstr>
      <vt:lpstr>epl_6</vt:lpstr>
      <vt:lpstr>eps</vt:lpstr>
      <vt:lpstr>PDFlex!epsg</vt:lpstr>
      <vt:lpstr>epsg</vt:lpstr>
      <vt:lpstr>PDFlex!epsgG</vt:lpstr>
      <vt:lpstr>epsgG</vt:lpstr>
      <vt:lpstr>PDFlex_sub!epsig</vt:lpstr>
      <vt:lpstr>epsig</vt:lpstr>
      <vt:lpstr>PDFlex_sub!Epsx</vt:lpstr>
      <vt:lpstr>Epsx</vt:lpstr>
      <vt:lpstr>PD_sub!Epsy</vt:lpstr>
      <vt:lpstr>PDFlex_sub!Epsy</vt:lpstr>
      <vt:lpstr>epu_1</vt:lpstr>
      <vt:lpstr>epu_2</vt:lpstr>
      <vt:lpstr>epu_6</vt:lpstr>
      <vt:lpstr>PDFlex_sub!Ex</vt:lpstr>
      <vt:lpstr>Ex</vt:lpstr>
      <vt:lpstr>PDFlex_sub!Ey</vt:lpstr>
      <vt:lpstr>Ey</vt:lpstr>
      <vt:lpstr>G</vt:lpstr>
      <vt:lpstr>Gply</vt:lpstr>
      <vt:lpstr>grp</vt:lpstr>
      <vt:lpstr>Gs</vt:lpstr>
      <vt:lpstr>InPlane!layup</vt:lpstr>
      <vt:lpstr>'InPlane Strain'!layup</vt:lpstr>
      <vt:lpstr>Duplex!LOAD</vt:lpstr>
      <vt:lpstr>Lam3D!Load</vt:lpstr>
      <vt:lpstr>LOAD</vt:lpstr>
      <vt:lpstr>Load2</vt:lpstr>
      <vt:lpstr>Beam!Mat</vt:lpstr>
      <vt:lpstr>Duplex!Mat</vt:lpstr>
      <vt:lpstr>Flex!Mat</vt:lpstr>
      <vt:lpstr>GenLam!Mat</vt:lpstr>
      <vt:lpstr>Hybrid!Mat</vt:lpstr>
      <vt:lpstr>InPlane!Mat</vt:lpstr>
      <vt:lpstr>'InPlane Strain'!Mat</vt:lpstr>
      <vt:lpstr>Lam3D!Mat</vt:lpstr>
      <vt:lpstr>PD_sub!Mat</vt:lpstr>
      <vt:lpstr>PDFlex_sub!Mat</vt:lpstr>
      <vt:lpstr>Shaft!Mat</vt:lpstr>
      <vt:lpstr>ThinWall!Mat</vt:lpstr>
      <vt:lpstr>Tube!Mat</vt:lpstr>
      <vt:lpstr>Vessel!Mat</vt:lpstr>
      <vt:lpstr>Lam3D!Material</vt:lpstr>
      <vt:lpstr>PDFlex_sub!Material</vt:lpstr>
      <vt:lpstr>Material</vt:lpstr>
      <vt:lpstr>PD!MatName</vt:lpstr>
      <vt:lpstr>PDFlex!MatName</vt:lpstr>
      <vt:lpstr>MatName</vt:lpstr>
      <vt:lpstr>Matvle</vt:lpstr>
      <vt:lpstr>InPlane!N_1</vt:lpstr>
      <vt:lpstr>'InPlane Strain'!N_1</vt:lpstr>
      <vt:lpstr>InPlane!N_2</vt:lpstr>
      <vt:lpstr>'InPlane Strain'!N_2</vt:lpstr>
      <vt:lpstr>InPlane!N_6</vt:lpstr>
      <vt:lpstr>'InPlane Strain'!N_6</vt:lpstr>
      <vt:lpstr>Beam!Netting_analysis</vt:lpstr>
      <vt:lpstr>'InPlane Strain'!Netting_analysis</vt:lpstr>
      <vt:lpstr>Shaft!Netting_analysis</vt:lpstr>
      <vt:lpstr>Tube!Netting_analysis</vt:lpstr>
      <vt:lpstr>Vessel!Netting_analysis</vt:lpstr>
      <vt:lpstr>Netting_analysis</vt:lpstr>
      <vt:lpstr>PDFlex!Ply</vt:lpstr>
      <vt:lpstr>Ply_Angle</vt:lpstr>
      <vt:lpstr>'InPlane Strain'!Ply_no_LPT</vt:lpstr>
      <vt:lpstr>Ply_no_LPT</vt:lpstr>
      <vt:lpstr>PD_sub!plydata</vt:lpstr>
      <vt:lpstr>PDFlex_sub!plydata</vt:lpstr>
      <vt:lpstr>plydata</vt:lpstr>
      <vt:lpstr>Print_Area</vt:lpstr>
      <vt:lpstr>InPlane!R_degrade</vt:lpstr>
      <vt:lpstr>'InPlane Strain'!R_degrade</vt:lpstr>
      <vt:lpstr>GenLam!R_FPF</vt:lpstr>
      <vt:lpstr>InPlane!R_FPF</vt:lpstr>
      <vt:lpstr>'InPlane Strain'!R_FPF</vt:lpstr>
      <vt:lpstr>GenLam!R_intact</vt:lpstr>
      <vt:lpstr>InPlane!R_intact</vt:lpstr>
      <vt:lpstr>'InPlane Strain'!R_intact</vt:lpstr>
      <vt:lpstr>InPlane!R_lim</vt:lpstr>
      <vt:lpstr>'InPlane Strain'!R_lim</vt:lpstr>
      <vt:lpstr>InPlane!R_lim_s</vt:lpstr>
      <vt:lpstr>'InPlane Strain'!R_lim_s</vt:lpstr>
      <vt:lpstr>InPlane!R_lim_ss</vt:lpstr>
      <vt:lpstr>'InPlane Strain'!R_lim_ss</vt:lpstr>
      <vt:lpstr>InPlane!R_LPF</vt:lpstr>
      <vt:lpstr>'InPlane Strain'!R_LPF</vt:lpstr>
      <vt:lpstr>InPlane!R_ult</vt:lpstr>
      <vt:lpstr>'InPlane Strain'!R_ult</vt:lpstr>
      <vt:lpstr>repeat</vt:lpstr>
      <vt:lpstr>Rv</vt:lpstr>
      <vt:lpstr>PD_sub!Rvalue</vt:lpstr>
      <vt:lpstr>PDFlex_sub!Rvalue</vt:lpstr>
      <vt:lpstr>Rvalue</vt:lpstr>
      <vt:lpstr>'InPlane Strain'!S_1</vt:lpstr>
      <vt:lpstr>S_1</vt:lpstr>
      <vt:lpstr>'InPlane Strain'!S_2</vt:lpstr>
      <vt:lpstr>S_2</vt:lpstr>
      <vt:lpstr>'InPlane Strain'!S_6</vt:lpstr>
      <vt:lpstr>S_6</vt:lpstr>
      <vt:lpstr>InPlane!safety</vt:lpstr>
      <vt:lpstr>'InPlane Strain'!safety</vt:lpstr>
      <vt:lpstr>PDFlex!seq</vt:lpstr>
      <vt:lpstr>seq</vt:lpstr>
      <vt:lpstr>PDFlex!sequence</vt:lpstr>
      <vt:lpstr>sequence</vt:lpstr>
      <vt:lpstr>SHEAR</vt:lpstr>
      <vt:lpstr>sig</vt:lpstr>
      <vt:lpstr>Sply</vt:lpstr>
      <vt:lpstr>GenLam!Strength_ratios</vt:lpstr>
      <vt:lpstr>Strength_ratios</vt:lpstr>
      <vt:lpstr>Su_1</vt:lpstr>
      <vt:lpstr>Su_2</vt:lpstr>
      <vt:lpstr>Su_6</vt:lpstr>
      <vt:lpstr>subply</vt:lpstr>
      <vt:lpstr>Subrpt</vt:lpstr>
      <vt:lpstr>thick</vt:lpstr>
      <vt:lpstr>Duplex!TOP_PLY_DATA_MODULE_____</vt:lpstr>
      <vt:lpstr>TOP_PLY_DATA_MODULE_____</vt:lpstr>
      <vt:lpstr>WW</vt:lpstr>
      <vt:lpstr>Zeros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pranav</dc:creator>
  <cp:lastModifiedBy>DENİZ IŞIK</cp:lastModifiedBy>
  <cp:lastPrinted>2016-06-06T04:30:22Z</cp:lastPrinted>
  <dcterms:created xsi:type="dcterms:W3CDTF">2008-05-02T04:38:38Z</dcterms:created>
  <dcterms:modified xsi:type="dcterms:W3CDTF">2025-07-05T06:47:14Z</dcterms:modified>
</cp:coreProperties>
</file>