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Laura\Documents\AEROSPACE ENGINEERING\CUARTO CURSO\SEGUNDO CUATRIMESTRE\Space vehicles and orbital dynamics\Orbital dynamics\space-systems\"/>
    </mc:Choice>
  </mc:AlternateContent>
  <xr:revisionPtr revIDLastSave="0" documentId="13_ncr:1_{DC4149D1-D952-49E4-BDEF-FA24D2CEF02B}" xr6:coauthVersionLast="46" xr6:coauthVersionMax="46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Problems " sheetId="2" r:id="rId1"/>
    <sheet name="55. Power subsystem" sheetId="3" r:id="rId2"/>
    <sheet name="56.telecommunication system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" i="1" l="1"/>
  <c r="C42" i="1"/>
  <c r="D42" i="1" s="1"/>
  <c r="C41" i="1"/>
  <c r="C36" i="1"/>
  <c r="C37" i="1" s="1"/>
  <c r="C33" i="1"/>
  <c r="D33" i="1"/>
  <c r="D16" i="1"/>
  <c r="D31" i="1"/>
  <c r="C32" i="1"/>
  <c r="D32" i="1" s="1"/>
  <c r="C31" i="1"/>
  <c r="C29" i="1"/>
  <c r="C28" i="1"/>
  <c r="C26" i="1"/>
  <c r="C24" i="1"/>
  <c r="C21" i="1"/>
  <c r="C19" i="1"/>
  <c r="C25" i="1"/>
  <c r="C14" i="1"/>
  <c r="C11" i="1"/>
  <c r="C29" i="3"/>
  <c r="C32" i="3"/>
  <c r="C33" i="3" s="1"/>
  <c r="C31" i="3"/>
  <c r="C30" i="3"/>
  <c r="C27" i="3"/>
  <c r="C26" i="3"/>
  <c r="C24" i="3"/>
  <c r="C23" i="3"/>
  <c r="C22" i="3"/>
  <c r="C21" i="3"/>
  <c r="C20" i="3"/>
  <c r="D37" i="1" l="1"/>
  <c r="C38" i="1"/>
  <c r="C14" i="3"/>
  <c r="C8" i="3" l="1"/>
  <c r="C2" i="3"/>
  <c r="C3" i="3" s="1"/>
  <c r="C15" i="1" l="1"/>
  <c r="C10" i="1"/>
  <c r="C2" i="1"/>
  <c r="C3" i="1" s="1"/>
  <c r="C9" i="1" s="1"/>
  <c r="C8" i="1"/>
</calcChain>
</file>

<file path=xl/sharedStrings.xml><?xml version="1.0" encoding="utf-8"?>
<sst xmlns="http://schemas.openxmlformats.org/spreadsheetml/2006/main" count="116" uniqueCount="82">
  <si>
    <t>mu</t>
  </si>
  <si>
    <t xml:space="preserve">earth radius </t>
  </si>
  <si>
    <t>km^3/s^2</t>
  </si>
  <si>
    <t xml:space="preserve">km </t>
  </si>
  <si>
    <t>km</t>
  </si>
  <si>
    <t xml:space="preserve">orbital altitude </t>
  </si>
  <si>
    <t>orbital radius</t>
  </si>
  <si>
    <t xml:space="preserve">period </t>
  </si>
  <si>
    <t>min</t>
  </si>
  <si>
    <t xml:space="preserve">data acquisition </t>
  </si>
  <si>
    <t>MB/min</t>
  </si>
  <si>
    <t xml:space="preserve">Total Acquired Data </t>
  </si>
  <si>
    <t xml:space="preserve">Orbital Mean Motion </t>
  </si>
  <si>
    <t>minimum elevetion</t>
  </si>
  <si>
    <t>rad2deg</t>
  </si>
  <si>
    <t>deg2rad</t>
  </si>
  <si>
    <t xml:space="preserve">Passage  Duration </t>
  </si>
  <si>
    <t>rad</t>
  </si>
  <si>
    <t>delta anomaly during passage</t>
  </si>
  <si>
    <t>rad/min</t>
  </si>
  <si>
    <t>K</t>
  </si>
  <si>
    <t xml:space="preserve">Boltzmann Constant </t>
  </si>
  <si>
    <t xml:space="preserve">Noise Temperature </t>
  </si>
  <si>
    <t>Download Data Rate</t>
  </si>
  <si>
    <t xml:space="preserve">Effective Receiver Aperture </t>
  </si>
  <si>
    <t>m^2</t>
  </si>
  <si>
    <t>Sband frequency down link fre.</t>
  </si>
  <si>
    <t xml:space="preserve">Sband Down Link wavelength </t>
  </si>
  <si>
    <t xml:space="preserve">c </t>
  </si>
  <si>
    <t xml:space="preserve">speed of light </t>
  </si>
  <si>
    <t>m</t>
  </si>
  <si>
    <t>Signal-to-noise ratio (Eb/N0)</t>
  </si>
  <si>
    <t>Reception Gain (Gr)</t>
  </si>
  <si>
    <t>Free Space Losses (Ls)</t>
  </si>
  <si>
    <t>EIRP</t>
  </si>
  <si>
    <t>Trasmitting Antenna Radius</t>
  </si>
  <si>
    <t xml:space="preserve">m </t>
  </si>
  <si>
    <t xml:space="preserve">Trasmitting Antenna effective Area </t>
  </si>
  <si>
    <t xml:space="preserve">Trasmitting Gain </t>
  </si>
  <si>
    <t>Trasmitting Power</t>
  </si>
  <si>
    <t>dB</t>
  </si>
  <si>
    <t>mW</t>
  </si>
  <si>
    <t>Range @AOS</t>
  </si>
  <si>
    <t>Worst Case For Free Space Losses</t>
  </si>
  <si>
    <t>2_beta</t>
  </si>
  <si>
    <t xml:space="preserve">rad </t>
  </si>
  <si>
    <t>sec</t>
  </si>
  <si>
    <t>rad/sec</t>
  </si>
  <si>
    <t xml:space="preserve">Eclipse Time </t>
  </si>
  <si>
    <t>solar array EOL eff.</t>
  </si>
  <si>
    <t xml:space="preserve">solar array degradation  </t>
  </si>
  <si>
    <t xml:space="preserve">year </t>
  </si>
  <si>
    <t>solar array BOL eff.</t>
  </si>
  <si>
    <t xml:space="preserve">Power Consumption </t>
  </si>
  <si>
    <t>W</t>
  </si>
  <si>
    <t xml:space="preserve">Required Power Generation </t>
  </si>
  <si>
    <t>The Required Energy (P*t) needs to be generated during time day time (T-Te)</t>
  </si>
  <si>
    <t>Solar Array Area (EOL)</t>
  </si>
  <si>
    <t xml:space="preserve">Solar Irradiance </t>
  </si>
  <si>
    <t>W/m^2</t>
  </si>
  <si>
    <t xml:space="preserve">Cycle Life </t>
  </si>
  <si>
    <t>Number of Cycle/1%(DoD)</t>
  </si>
  <si>
    <t>Number of Orbits during timelife</t>
  </si>
  <si>
    <t xml:space="preserve">Discharge Cycles </t>
  </si>
  <si>
    <t>DOD</t>
  </si>
  <si>
    <t xml:space="preserve">Total Energy Required duirng Eclipse </t>
  </si>
  <si>
    <t>W*h</t>
  </si>
  <si>
    <t xml:space="preserve">Total Energy Stored in the Battery </t>
  </si>
  <si>
    <t xml:space="preserve">Battery Energy Density </t>
  </si>
  <si>
    <t>W*h/kg</t>
  </si>
  <si>
    <t>Battery Mass</t>
  </si>
  <si>
    <t>kg</t>
  </si>
  <si>
    <t xml:space="preserve">Ex1 </t>
  </si>
  <si>
    <t>Ex2</t>
  </si>
  <si>
    <t>b/s</t>
  </si>
  <si>
    <t xml:space="preserve">mission lifetime </t>
  </si>
  <si>
    <t>MB</t>
  </si>
  <si>
    <t>%</t>
  </si>
  <si>
    <t xml:space="preserve">% each year </t>
  </si>
  <si>
    <t>m/s</t>
  </si>
  <si>
    <t>Hz</t>
  </si>
  <si>
    <t>W/dB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</si>
</sst>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0" borderId="0" xfId="0" applyFill="1"/>
    <xf numFmtId="2" fontId="0" fillId="0" borderId="0" xfId="1" applyNumberFormat="1" applyFont="1"/>
    <xf numFmtId="0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561973</xdr:colOff>
      <xdr:row>4</xdr:row>
      <xdr:rowOff>137410</xdr:rowOff>
    </xdr:from>
    <xdr:to>
      <xdr:col>14</xdr:col>
      <xdr:colOff>600074</xdr:colOff>
      <xdr:row>29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152" t="10782" r="21624" b="34691"/>
        <a:stretch/>
      </xdr:blipFill>
      <xdr:spPr>
        <a:xfrm>
          <a:off x="1171573" y="899410"/>
          <a:ext cx="7962901" cy="47679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0</xdr:row>
      <xdr:rowOff>47625</xdr:rowOff>
    </xdr:from>
    <xdr:to>
      <xdr:col>18</xdr:col>
      <xdr:colOff>447675</xdr:colOff>
      <xdr:row>16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16" t="37553" r="18435" b="4362"/>
        <a:stretch/>
      </xdr:blipFill>
      <xdr:spPr>
        <a:xfrm>
          <a:off x="7972425" y="47625"/>
          <a:ext cx="7743825" cy="31527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19049</xdr:colOff>
      <xdr:row>31</xdr:row>
      <xdr:rowOff>19050</xdr:rowOff>
    </xdr:from>
    <xdr:to>
      <xdr:col>10</xdr:col>
      <xdr:colOff>213560</xdr:colOff>
      <xdr:row>36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227" t="42556" r="37109" b="43623"/>
        <a:stretch/>
      </xdr:blipFill>
      <xdr:spPr>
        <a:xfrm>
          <a:off x="9267824" y="5924550"/>
          <a:ext cx="2632911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3019426</xdr:colOff>
      <xdr:row>0</xdr:row>
      <xdr:rowOff>0</xdr:rowOff>
    </xdr:from>
    <xdr:to>
      <xdr:col>17</xdr:col>
      <xdr:colOff>1</xdr:colOff>
      <xdr:row>36</xdr:row>
      <xdr:rowOff>171453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3" r="26231"/>
        <a:stretch/>
      </xdr:blipFill>
      <xdr:spPr>
        <a:xfrm rot="5400000">
          <a:off x="8667749" y="-257173"/>
          <a:ext cx="7029453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workbookViewId="0">
      <selection activeCell="R15" sqref="R15"/>
    </sheetView>
  </sheetViews>
  <sheetFormatPr defaultColWidth="9.179687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33"/>
  <sheetViews>
    <sheetView topLeftCell="A22" zoomScaleNormal="100" workbookViewId="0">
      <selection activeCell="F19" sqref="F19"/>
    </sheetView>
  </sheetViews>
  <sheetFormatPr defaultColWidth="9.1796875" defaultRowHeight="14.5" x14ac:dyDescent="0.35"/>
  <cols>
    <col min="2" max="2" width="37.1796875" customWidth="1"/>
    <col min="3" max="3" width="10" bestFit="1" customWidth="1"/>
    <col min="6" max="6" width="45.54296875" customWidth="1"/>
  </cols>
  <sheetData>
    <row r="2" spans="2:5" x14ac:dyDescent="0.35">
      <c r="B2" t="s">
        <v>14</v>
      </c>
      <c r="C2">
        <f>180/PI()</f>
        <v>57.295779513082323</v>
      </c>
    </row>
    <row r="3" spans="2:5" x14ac:dyDescent="0.35">
      <c r="B3" t="s">
        <v>15</v>
      </c>
      <c r="C3">
        <f>1/C2</f>
        <v>1.7453292519943295E-2</v>
      </c>
    </row>
    <row r="5" spans="2:5" x14ac:dyDescent="0.35">
      <c r="B5" t="s">
        <v>0</v>
      </c>
      <c r="C5">
        <v>398601</v>
      </c>
      <c r="E5" t="s">
        <v>2</v>
      </c>
    </row>
    <row r="6" spans="2:5" x14ac:dyDescent="0.35">
      <c r="B6" t="s">
        <v>1</v>
      </c>
      <c r="C6">
        <v>6378</v>
      </c>
      <c r="E6" t="s">
        <v>3</v>
      </c>
    </row>
    <row r="7" spans="2:5" x14ac:dyDescent="0.35">
      <c r="B7" t="s">
        <v>5</v>
      </c>
      <c r="C7">
        <v>800</v>
      </c>
      <c r="E7" t="s">
        <v>4</v>
      </c>
    </row>
    <row r="8" spans="2:5" x14ac:dyDescent="0.35">
      <c r="B8" t="s">
        <v>6</v>
      </c>
      <c r="C8">
        <f>C6+C7</f>
        <v>7178</v>
      </c>
      <c r="E8" t="s">
        <v>4</v>
      </c>
    </row>
    <row r="9" spans="2:5" x14ac:dyDescent="0.35">
      <c r="B9" t="s">
        <v>52</v>
      </c>
      <c r="C9">
        <v>25</v>
      </c>
      <c r="E9" t="s">
        <v>77</v>
      </c>
    </row>
    <row r="10" spans="2:5" x14ac:dyDescent="0.35">
      <c r="B10" t="s">
        <v>50</v>
      </c>
      <c r="C10" s="9">
        <v>3</v>
      </c>
      <c r="E10" t="s">
        <v>78</v>
      </c>
    </row>
    <row r="11" spans="2:5" x14ac:dyDescent="0.35">
      <c r="B11" t="s">
        <v>75</v>
      </c>
      <c r="C11">
        <v>5</v>
      </c>
      <c r="E11" t="s">
        <v>51</v>
      </c>
    </row>
    <row r="12" spans="2:5" x14ac:dyDescent="0.35">
      <c r="B12" t="s">
        <v>53</v>
      </c>
      <c r="C12">
        <v>400</v>
      </c>
      <c r="E12" t="s">
        <v>54</v>
      </c>
    </row>
    <row r="13" spans="2:5" x14ac:dyDescent="0.35">
      <c r="B13" t="s">
        <v>58</v>
      </c>
      <c r="C13">
        <v>1366</v>
      </c>
      <c r="E13" t="s">
        <v>59</v>
      </c>
    </row>
    <row r="14" spans="2:5" x14ac:dyDescent="0.35">
      <c r="B14" t="s">
        <v>60</v>
      </c>
      <c r="C14">
        <f>2*10^6</f>
        <v>2000000</v>
      </c>
      <c r="E14" t="s">
        <v>61</v>
      </c>
    </row>
    <row r="15" spans="2:5" x14ac:dyDescent="0.35">
      <c r="B15" t="s">
        <v>68</v>
      </c>
      <c r="C15">
        <v>60</v>
      </c>
      <c r="E15" t="s">
        <v>69</v>
      </c>
    </row>
    <row r="19" spans="2:6" x14ac:dyDescent="0.35">
      <c r="C19" s="2"/>
    </row>
    <row r="20" spans="2:6" x14ac:dyDescent="0.35">
      <c r="B20" t="s">
        <v>49</v>
      </c>
      <c r="C20" s="8">
        <f>C9*(1-C10/100)^C11</f>
        <v>21.468350642499999</v>
      </c>
      <c r="E20" t="s">
        <v>77</v>
      </c>
    </row>
    <row r="21" spans="2:6" x14ac:dyDescent="0.35">
      <c r="B21" t="s">
        <v>7</v>
      </c>
      <c r="C21" s="1">
        <f>2*PI()*SQRT(C8^3/C5)</f>
        <v>6052.2360404294741</v>
      </c>
      <c r="E21" t="s">
        <v>46</v>
      </c>
    </row>
    <row r="22" spans="2:6" x14ac:dyDescent="0.35">
      <c r="B22" t="s">
        <v>44</v>
      </c>
      <c r="C22">
        <f>2*ASIN(C6/(C6+C7))</f>
        <v>2.1883425198753756</v>
      </c>
      <c r="E22" t="s">
        <v>45</v>
      </c>
    </row>
    <row r="23" spans="2:6" x14ac:dyDescent="0.35">
      <c r="B23" t="s">
        <v>12</v>
      </c>
      <c r="C23">
        <f>SQRT(C5/C8^3)</f>
        <v>1.0381593290822351E-3</v>
      </c>
      <c r="E23" t="s">
        <v>47</v>
      </c>
    </row>
    <row r="24" spans="2:6" x14ac:dyDescent="0.35">
      <c r="B24" t="s">
        <v>48</v>
      </c>
      <c r="C24">
        <f>C21*C22/(2*PI())</f>
        <v>2107.9062322831874</v>
      </c>
      <c r="E24" t="s">
        <v>46</v>
      </c>
    </row>
    <row r="26" spans="2:6" ht="29" x14ac:dyDescent="0.35">
      <c r="B26" t="s">
        <v>55</v>
      </c>
      <c r="C26" s="4">
        <f>C12*C21/(C21 - C24)</f>
        <v>613.76571785956594</v>
      </c>
      <c r="E26" t="s">
        <v>54</v>
      </c>
      <c r="F26" s="5" t="s">
        <v>56</v>
      </c>
    </row>
    <row r="27" spans="2:6" x14ac:dyDescent="0.35">
      <c r="B27" t="s">
        <v>57</v>
      </c>
      <c r="C27" s="1">
        <f>C26/(C13*C20/100)</f>
        <v>2.0929229858752869</v>
      </c>
      <c r="E27" t="s">
        <v>25</v>
      </c>
    </row>
    <row r="29" spans="2:6" x14ac:dyDescent="0.35">
      <c r="B29" t="s">
        <v>62</v>
      </c>
      <c r="C29">
        <f>C11*365.25*86400/C21</f>
        <v>26071.025476528368</v>
      </c>
      <c r="F29" t="s">
        <v>63</v>
      </c>
    </row>
    <row r="30" spans="2:6" x14ac:dyDescent="0.35">
      <c r="B30" t="s">
        <v>64</v>
      </c>
      <c r="C30" s="10">
        <f>C14/C29</f>
        <v>76.713514848144015</v>
      </c>
    </row>
    <row r="31" spans="2:6" x14ac:dyDescent="0.35">
      <c r="B31" t="s">
        <v>65</v>
      </c>
      <c r="C31" s="3">
        <f>C12*C24/3600</f>
        <v>234.2118035870208</v>
      </c>
      <c r="E31" t="s">
        <v>66</v>
      </c>
    </row>
    <row r="32" spans="2:6" x14ac:dyDescent="0.35">
      <c r="B32" t="s">
        <v>67</v>
      </c>
      <c r="C32" s="3">
        <f>C31/(C30/100)</f>
        <v>305.30709491104386</v>
      </c>
      <c r="E32" t="s">
        <v>66</v>
      </c>
    </row>
    <row r="33" spans="2:5" x14ac:dyDescent="0.35">
      <c r="B33" t="s">
        <v>70</v>
      </c>
      <c r="C33" s="1">
        <f>C32/C15</f>
        <v>5.0884515818507312</v>
      </c>
      <c r="E33" t="s">
        <v>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43"/>
  <sheetViews>
    <sheetView tabSelected="1" topLeftCell="A27" zoomScale="115" zoomScaleNormal="115" workbookViewId="0">
      <selection activeCell="C44" sqref="C44"/>
    </sheetView>
  </sheetViews>
  <sheetFormatPr defaultColWidth="9.1796875" defaultRowHeight="14.5" x14ac:dyDescent="0.35"/>
  <cols>
    <col min="2" max="2" width="35.26953125" customWidth="1"/>
    <col min="3" max="3" width="18.1796875" customWidth="1"/>
    <col min="6" max="6" width="57.81640625" customWidth="1"/>
  </cols>
  <sheetData>
    <row r="2" spans="2:6" x14ac:dyDescent="0.35">
      <c r="B2" t="s">
        <v>14</v>
      </c>
      <c r="C2">
        <f>180/PI()</f>
        <v>57.295779513082323</v>
      </c>
    </row>
    <row r="3" spans="2:6" x14ac:dyDescent="0.35">
      <c r="B3" t="s">
        <v>15</v>
      </c>
      <c r="C3">
        <f>1/C2</f>
        <v>1.7453292519943295E-2</v>
      </c>
    </row>
    <row r="5" spans="2:6" x14ac:dyDescent="0.35">
      <c r="B5" t="s">
        <v>0</v>
      </c>
      <c r="C5">
        <v>398601</v>
      </c>
      <c r="E5" t="s">
        <v>2</v>
      </c>
    </row>
    <row r="6" spans="2:6" x14ac:dyDescent="0.35">
      <c r="B6" t="s">
        <v>1</v>
      </c>
      <c r="C6">
        <v>6378</v>
      </c>
      <c r="E6" t="s">
        <v>3</v>
      </c>
    </row>
    <row r="7" spans="2:6" x14ac:dyDescent="0.35">
      <c r="B7" t="s">
        <v>5</v>
      </c>
      <c r="C7">
        <v>800</v>
      </c>
      <c r="E7" t="s">
        <v>4</v>
      </c>
    </row>
    <row r="8" spans="2:6" x14ac:dyDescent="0.35">
      <c r="B8" t="s">
        <v>6</v>
      </c>
      <c r="C8">
        <f>C6+C7</f>
        <v>7178</v>
      </c>
      <c r="E8" t="s">
        <v>4</v>
      </c>
    </row>
    <row r="9" spans="2:6" x14ac:dyDescent="0.35">
      <c r="B9" t="s">
        <v>13</v>
      </c>
      <c r="C9">
        <f>5*C3</f>
        <v>8.7266462599716474E-2</v>
      </c>
      <c r="E9" t="s">
        <v>17</v>
      </c>
    </row>
    <row r="10" spans="2:6" x14ac:dyDescent="0.35">
      <c r="B10" t="s">
        <v>20</v>
      </c>
      <c r="C10">
        <f>1.38*10^(-23)</f>
        <v>1.3800000000000001E-23</v>
      </c>
      <c r="F10" t="s">
        <v>21</v>
      </c>
    </row>
    <row r="11" spans="2:6" x14ac:dyDescent="0.35">
      <c r="B11" t="s">
        <v>28</v>
      </c>
      <c r="C11">
        <f>3*10^8</f>
        <v>300000000</v>
      </c>
      <c r="E11" t="s">
        <v>79</v>
      </c>
      <c r="F11" t="s">
        <v>29</v>
      </c>
    </row>
    <row r="12" spans="2:6" x14ac:dyDescent="0.35">
      <c r="B12" t="s">
        <v>22</v>
      </c>
      <c r="C12">
        <v>400</v>
      </c>
      <c r="E12" t="s">
        <v>20</v>
      </c>
    </row>
    <row r="13" spans="2:6" x14ac:dyDescent="0.35">
      <c r="B13" t="s">
        <v>24</v>
      </c>
      <c r="C13">
        <v>5</v>
      </c>
      <c r="E13" t="s">
        <v>25</v>
      </c>
    </row>
    <row r="14" spans="2:6" x14ac:dyDescent="0.35">
      <c r="B14" t="s">
        <v>26</v>
      </c>
      <c r="C14">
        <f>3*10^9</f>
        <v>3000000000</v>
      </c>
      <c r="E14" t="s">
        <v>80</v>
      </c>
    </row>
    <row r="15" spans="2:6" x14ac:dyDescent="0.35">
      <c r="B15" t="s">
        <v>27</v>
      </c>
      <c r="C15">
        <f>C11/C14</f>
        <v>0.1</v>
      </c>
      <c r="E15" t="s">
        <v>30</v>
      </c>
    </row>
    <row r="16" spans="2:6" x14ac:dyDescent="0.35">
      <c r="B16" t="s">
        <v>31</v>
      </c>
      <c r="C16">
        <v>10</v>
      </c>
      <c r="D16">
        <f>10*LOG(C16)</f>
        <v>10</v>
      </c>
      <c r="E16" t="s">
        <v>40</v>
      </c>
    </row>
    <row r="19" spans="2:6" x14ac:dyDescent="0.35">
      <c r="B19" t="s">
        <v>7</v>
      </c>
      <c r="C19" s="1">
        <f>2*PI()*SQRT(C8^3/C5)/60</f>
        <v>100.87060067382457</v>
      </c>
      <c r="E19" t="s">
        <v>8</v>
      </c>
    </row>
    <row r="20" spans="2:6" x14ac:dyDescent="0.35">
      <c r="B20" t="s">
        <v>9</v>
      </c>
      <c r="C20">
        <v>10</v>
      </c>
      <c r="E20" t="s">
        <v>10</v>
      </c>
    </row>
    <row r="21" spans="2:6" x14ac:dyDescent="0.35">
      <c r="B21" t="s">
        <v>11</v>
      </c>
      <c r="C21">
        <f>C20*C19</f>
        <v>1008.7060067382457</v>
      </c>
      <c r="E21" t="s">
        <v>76</v>
      </c>
    </row>
    <row r="24" spans="2:6" x14ac:dyDescent="0.35">
      <c r="B24" t="s">
        <v>12</v>
      </c>
      <c r="C24">
        <f>SQRT(C5/C8^3)*60</f>
        <v>6.2289559744934102E-2</v>
      </c>
      <c r="E24" t="s">
        <v>19</v>
      </c>
    </row>
    <row r="25" spans="2:6" x14ac:dyDescent="0.35">
      <c r="B25" t="s">
        <v>18</v>
      </c>
      <c r="C25">
        <f>2*(ACOS(C6*COS(C9)/C8) - C9)</f>
        <v>0.79335345993802231</v>
      </c>
      <c r="E25" t="s">
        <v>17</v>
      </c>
    </row>
    <row r="26" spans="2:6" x14ac:dyDescent="0.35">
      <c r="B26" t="s">
        <v>42</v>
      </c>
      <c r="C26">
        <f>SIN(C25/2 + C9)*C8 - SIN(C9)*C6</f>
        <v>2783.8514742509501</v>
      </c>
      <c r="E26" t="s">
        <v>4</v>
      </c>
      <c r="F26" t="s">
        <v>43</v>
      </c>
    </row>
    <row r="28" spans="2:6" x14ac:dyDescent="0.35">
      <c r="B28" t="s">
        <v>16</v>
      </c>
      <c r="C28">
        <f>C19*C25/(2*PI())</f>
        <v>12.73653985012383</v>
      </c>
      <c r="E28" t="s">
        <v>8</v>
      </c>
    </row>
    <row r="29" spans="2:6" x14ac:dyDescent="0.35">
      <c r="B29" s="7" t="s">
        <v>23</v>
      </c>
      <c r="C29" s="7">
        <f>8*C21*10^6/(C28*60)</f>
        <v>10559707.409894256</v>
      </c>
      <c r="E29" t="s">
        <v>74</v>
      </c>
    </row>
    <row r="31" spans="2:6" x14ac:dyDescent="0.35">
      <c r="B31" t="s">
        <v>32</v>
      </c>
      <c r="C31">
        <f>4*PI()*C13/(C15^2)</f>
        <v>6283.1853071795849</v>
      </c>
      <c r="D31">
        <f>10*LOG(C31)</f>
        <v>37.981798683581147</v>
      </c>
      <c r="E31" t="s">
        <v>40</v>
      </c>
    </row>
    <row r="32" spans="2:6" x14ac:dyDescent="0.35">
      <c r="B32" t="s">
        <v>33</v>
      </c>
      <c r="C32">
        <f>(C15/(4*PI()*C26*1000))^2</f>
        <v>8.1712434591385563E-18</v>
      </c>
      <c r="D32">
        <f>10*LOG(C32)</f>
        <v>-170.87711849666982</v>
      </c>
      <c r="E32" t="s">
        <v>40</v>
      </c>
    </row>
    <row r="33" spans="1:5" x14ac:dyDescent="0.35">
      <c r="B33" t="s">
        <v>34</v>
      </c>
      <c r="C33">
        <f>10^(D33/10)</f>
        <v>11.353321699956027</v>
      </c>
      <c r="D33">
        <f>D16-D32-D31+10*LOG(C10*C12)+10*LOG(C29)</f>
        <v>10.551229438998007</v>
      </c>
      <c r="E33" t="s">
        <v>81</v>
      </c>
    </row>
    <row r="35" spans="1:5" x14ac:dyDescent="0.35">
      <c r="A35" t="s">
        <v>72</v>
      </c>
      <c r="B35" t="s">
        <v>35</v>
      </c>
      <c r="C35">
        <v>0.125</v>
      </c>
      <c r="E35" t="s">
        <v>36</v>
      </c>
    </row>
    <row r="36" spans="1:5" x14ac:dyDescent="0.35">
      <c r="B36" t="s">
        <v>37</v>
      </c>
      <c r="C36">
        <f>PI()*C35^2</f>
        <v>4.9087385212340517E-2</v>
      </c>
      <c r="E36" t="s">
        <v>25</v>
      </c>
    </row>
    <row r="37" spans="1:5" x14ac:dyDescent="0.35">
      <c r="B37" t="s">
        <v>38</v>
      </c>
      <c r="C37">
        <f>(4*PI()*C36)/C15^2</f>
        <v>61.685027506808474</v>
      </c>
      <c r="D37">
        <f>10*LOG(C37)</f>
        <v>17.901797627323429</v>
      </c>
      <c r="E37" t="s">
        <v>40</v>
      </c>
    </row>
    <row r="38" spans="1:5" x14ac:dyDescent="0.35">
      <c r="B38" t="s">
        <v>39</v>
      </c>
      <c r="C38">
        <f>C33/C37 *1000</f>
        <v>184.05311886588532</v>
      </c>
      <c r="E38" t="s">
        <v>41</v>
      </c>
    </row>
    <row r="40" spans="1:5" x14ac:dyDescent="0.35">
      <c r="A40" s="6" t="s">
        <v>73</v>
      </c>
      <c r="B40" s="7" t="s">
        <v>35</v>
      </c>
      <c r="C40" s="7">
        <v>0.02</v>
      </c>
      <c r="D40" s="7"/>
      <c r="E40" s="7" t="s">
        <v>36</v>
      </c>
    </row>
    <row r="41" spans="1:5" x14ac:dyDescent="0.35">
      <c r="A41" s="6"/>
      <c r="B41" s="7" t="s">
        <v>37</v>
      </c>
      <c r="C41" s="7">
        <f>PI()*C40^2</f>
        <v>1.2566370614359172E-3</v>
      </c>
      <c r="D41" s="7"/>
      <c r="E41" s="7" t="s">
        <v>25</v>
      </c>
    </row>
    <row r="42" spans="1:5" x14ac:dyDescent="0.35">
      <c r="A42" s="6"/>
      <c r="B42" s="7" t="s">
        <v>38</v>
      </c>
      <c r="C42" s="7">
        <f>4*PI()*C41/C15^2</f>
        <v>1.5791367041742967</v>
      </c>
      <c r="D42" s="7">
        <f>10*LOG(C42)</f>
        <v>1.984197280441923</v>
      </c>
      <c r="E42" s="7" t="s">
        <v>40</v>
      </c>
    </row>
    <row r="43" spans="1:5" x14ac:dyDescent="0.35">
      <c r="A43" s="6"/>
      <c r="B43" s="7" t="s">
        <v>39</v>
      </c>
      <c r="C43" s="7">
        <f>C33/C42 * 1000</f>
        <v>7189.5749556986466</v>
      </c>
      <c r="D43" s="7"/>
      <c r="E43" s="7" t="s">
        <v>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Problems </vt:lpstr>
      <vt:lpstr>55. Power subsystem</vt:lpstr>
      <vt:lpstr>56.telecommunication system</vt:lpstr>
    </vt:vector>
  </TitlesOfParts>
  <Company>GMV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Emanuele Di Sotto</dc:creator>
  <cp:lastModifiedBy>Laura</cp:lastModifiedBy>
  <dcterms:created xsi:type="dcterms:W3CDTF">2020-04-29T14:01:00Z</dcterms:created>
  <dcterms:modified xsi:type="dcterms:W3CDTF">2021-05-18T19:07:47Z</dcterms:modified>
</cp:coreProperties>
</file>