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0212" firstSheet="1" activeTab="2" xr2:uid="{00000000-000D-0000-FFFF-FFFF00000000}"/>
  </bookViews>
  <sheets>
    <sheet name="Feuil1" sheetId="1" r:id="rId1"/>
    <sheet name="Dependant LCI MC" sheetId="2" r:id="rId2"/>
    <sheet name="Dependant LCA MC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3" l="1"/>
  <c r="D58" i="3" l="1"/>
  <c r="D45" i="2" l="1"/>
  <c r="D57" i="3" l="1"/>
  <c r="E58" i="3" s="1"/>
  <c r="F58" i="3" s="1"/>
  <c r="C52" i="2" l="1"/>
  <c r="E52" i="2" s="1"/>
  <c r="G52" i="2" s="1"/>
  <c r="B52" i="2"/>
  <c r="D52" i="2" s="1"/>
  <c r="F52" i="2" s="1"/>
  <c r="E51" i="2"/>
  <c r="G51" i="2" s="1"/>
  <c r="G53" i="2" s="1"/>
  <c r="D51" i="2"/>
  <c r="D53" i="2" s="1"/>
  <c r="C51" i="2"/>
  <c r="C53" i="2" s="1"/>
  <c r="B51" i="2"/>
  <c r="B53" i="2" s="1"/>
  <c r="C45" i="2"/>
  <c r="B45" i="2"/>
  <c r="C44" i="2"/>
  <c r="B44" i="2"/>
  <c r="K13" i="2"/>
  <c r="K15" i="2" s="1"/>
  <c r="I13" i="2"/>
  <c r="O9" i="2"/>
  <c r="N9" i="2"/>
  <c r="P9" i="2" s="1"/>
  <c r="P7" i="2"/>
  <c r="N7" i="2"/>
  <c r="E53" i="2" l="1"/>
  <c r="F51" i="2"/>
  <c r="F53" i="2" s="1"/>
  <c r="J9" i="2"/>
  <c r="K9" i="2" s="1"/>
  <c r="I9" i="2"/>
  <c r="K7" i="2"/>
  <c r="I7" i="2"/>
  <c r="P39" i="3" l="1"/>
  <c r="L46" i="3"/>
  <c r="M46" i="3" s="1"/>
  <c r="N46" i="3" s="1"/>
  <c r="L47" i="3"/>
  <c r="M47" i="3" s="1"/>
  <c r="N47" i="3" s="1"/>
  <c r="L42" i="3"/>
  <c r="O42" i="3" s="1"/>
  <c r="L43" i="3"/>
  <c r="O43" i="3" s="1"/>
  <c r="L44" i="3"/>
  <c r="F43" i="3"/>
  <c r="F44" i="3"/>
  <c r="G44" i="3" s="1"/>
  <c r="H44" i="3" s="1"/>
  <c r="F45" i="3"/>
  <c r="F46" i="3"/>
  <c r="F47" i="3"/>
  <c r="F42" i="3"/>
  <c r="G42" i="3" s="1"/>
  <c r="H42" i="3" s="1"/>
  <c r="C43" i="3"/>
  <c r="C44" i="3"/>
  <c r="D44" i="3" s="1"/>
  <c r="E44" i="3" s="1"/>
  <c r="C45" i="3"/>
  <c r="C42" i="3"/>
  <c r="B43" i="3"/>
  <c r="B44" i="3"/>
  <c r="B45" i="3"/>
  <c r="B46" i="3"/>
  <c r="B47" i="3"/>
  <c r="I47" i="3" s="1"/>
  <c r="J47" i="3" s="1"/>
  <c r="K47" i="3" s="1"/>
  <c r="B42" i="3"/>
  <c r="C47" i="3"/>
  <c r="D47" i="3" s="1"/>
  <c r="E47" i="3" s="1"/>
  <c r="G43" i="3"/>
  <c r="H43" i="3" s="1"/>
  <c r="D43" i="3"/>
  <c r="E43" i="3" s="1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N5" i="3"/>
  <c r="O5" i="3"/>
  <c r="P5" i="3"/>
  <c r="Q5" i="3"/>
  <c r="M5" i="3"/>
  <c r="H6" i="3"/>
  <c r="I6" i="3"/>
  <c r="J6" i="3"/>
  <c r="K6" i="3"/>
  <c r="L6" i="3"/>
  <c r="H7" i="3"/>
  <c r="I7" i="3"/>
  <c r="J7" i="3"/>
  <c r="K7" i="3"/>
  <c r="L45" i="3" s="1"/>
  <c r="M45" i="3" s="1"/>
  <c r="N45" i="3" s="1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I5" i="3"/>
  <c r="J5" i="3"/>
  <c r="K5" i="3"/>
  <c r="L5" i="3"/>
  <c r="H5" i="3"/>
  <c r="B33" i="3"/>
  <c r="C33" i="3" s="1"/>
  <c r="D33" i="3" s="1"/>
  <c r="E33" i="3" s="1"/>
  <c r="D5" i="3"/>
  <c r="B35" i="3"/>
  <c r="I35" i="3" s="1"/>
  <c r="J35" i="3" s="1"/>
  <c r="K35" i="3" s="1"/>
  <c r="L32" i="3"/>
  <c r="M32" i="3" s="1"/>
  <c r="C32" i="3"/>
  <c r="D32" i="3" s="1"/>
  <c r="E32" i="3" s="1"/>
  <c r="Q31" i="3"/>
  <c r="P31" i="3"/>
  <c r="O31" i="3"/>
  <c r="F31" i="3"/>
  <c r="G31" i="3" s="1"/>
  <c r="H31" i="3" s="1"/>
  <c r="C31" i="3"/>
  <c r="D31" i="3" s="1"/>
  <c r="E31" i="3" s="1"/>
  <c r="Q30" i="3"/>
  <c r="P30" i="3"/>
  <c r="O30" i="3"/>
  <c r="F30" i="3"/>
  <c r="G30" i="3" s="1"/>
  <c r="H30" i="3" s="1"/>
  <c r="C30" i="3"/>
  <c r="D30" i="3" s="1"/>
  <c r="E30" i="3" s="1"/>
  <c r="P27" i="3"/>
  <c r="F32" i="3"/>
  <c r="G32" i="3" s="1"/>
  <c r="H32" i="3" s="1"/>
  <c r="M43" i="3" l="1"/>
  <c r="M42" i="3"/>
  <c r="O45" i="3"/>
  <c r="G45" i="3"/>
  <c r="H45" i="3" s="1"/>
  <c r="D45" i="3"/>
  <c r="E45" i="3" s="1"/>
  <c r="G47" i="3"/>
  <c r="H47" i="3" s="1"/>
  <c r="D42" i="3"/>
  <c r="E42" i="3" s="1"/>
  <c r="M44" i="3"/>
  <c r="O44" i="3"/>
  <c r="L33" i="3"/>
  <c r="O33" i="3" s="1"/>
  <c r="F33" i="3"/>
  <c r="G33" i="3" s="1"/>
  <c r="H33" i="3" s="1"/>
  <c r="P32" i="3"/>
  <c r="N32" i="3"/>
  <c r="F35" i="3"/>
  <c r="G35" i="3" s="1"/>
  <c r="H35" i="3" s="1"/>
  <c r="O32" i="3"/>
  <c r="C35" i="3"/>
  <c r="D35" i="3" s="1"/>
  <c r="E35" i="3" s="1"/>
  <c r="L35" i="3"/>
  <c r="Q25" i="2"/>
  <c r="P25" i="2"/>
  <c r="O25" i="2"/>
  <c r="Q24" i="2"/>
  <c r="P24" i="2"/>
  <c r="O24" i="2"/>
  <c r="P21" i="2"/>
  <c r="D8" i="2"/>
  <c r="D12" i="2"/>
  <c r="N42" i="3" l="1"/>
  <c r="Q42" i="3" s="1"/>
  <c r="P42" i="3"/>
  <c r="P43" i="3"/>
  <c r="N43" i="3"/>
  <c r="Q43" i="3" s="1"/>
  <c r="C48" i="3"/>
  <c r="D48" i="3" s="1"/>
  <c r="E48" i="3" s="1"/>
  <c r="O47" i="3"/>
  <c r="O48" i="3" s="1"/>
  <c r="F48" i="3"/>
  <c r="G48" i="3" s="1"/>
  <c r="H48" i="3" s="1"/>
  <c r="L48" i="3"/>
  <c r="Q45" i="3"/>
  <c r="P45" i="3"/>
  <c r="P44" i="3"/>
  <c r="N44" i="3"/>
  <c r="M48" i="3"/>
  <c r="M33" i="3"/>
  <c r="P33" i="3" s="1"/>
  <c r="Q32" i="3"/>
  <c r="F36" i="3"/>
  <c r="G36" i="3" s="1"/>
  <c r="H36" i="3" s="1"/>
  <c r="M35" i="3"/>
  <c r="O35" i="3"/>
  <c r="O36" i="3" s="1"/>
  <c r="L36" i="3"/>
  <c r="C36" i="3"/>
  <c r="D36" i="3" s="1"/>
  <c r="E36" i="3" s="1"/>
  <c r="L26" i="2"/>
  <c r="D11" i="2"/>
  <c r="B34" i="2"/>
  <c r="C34" i="2" s="1"/>
  <c r="D34" i="2" s="1"/>
  <c r="E34" i="2" s="1"/>
  <c r="B27" i="2"/>
  <c r="C31" i="2" s="1"/>
  <c r="D31" i="2" s="1"/>
  <c r="E31" i="2" s="1"/>
  <c r="F26" i="2"/>
  <c r="G26" i="2" s="1"/>
  <c r="H26" i="2" s="1"/>
  <c r="C26" i="2"/>
  <c r="D26" i="2" s="1"/>
  <c r="E26" i="2" s="1"/>
  <c r="F25" i="2"/>
  <c r="G25" i="2" s="1"/>
  <c r="H25" i="2" s="1"/>
  <c r="C25" i="2"/>
  <c r="D25" i="2" s="1"/>
  <c r="E25" i="2" s="1"/>
  <c r="F24" i="2"/>
  <c r="C24" i="2"/>
  <c r="L27" i="2" l="1"/>
  <c r="L28" i="2" s="1"/>
  <c r="M26" i="2"/>
  <c r="O26" i="2"/>
  <c r="P47" i="3"/>
  <c r="P48" i="3" s="1"/>
  <c r="Q47" i="3"/>
  <c r="Q44" i="3"/>
  <c r="N33" i="3"/>
  <c r="Q33" i="3" s="1"/>
  <c r="P35" i="3"/>
  <c r="P36" i="3" s="1"/>
  <c r="N35" i="3"/>
  <c r="M36" i="3"/>
  <c r="C27" i="2"/>
  <c r="D27" i="2" s="1"/>
  <c r="E27" i="2" s="1"/>
  <c r="I27" i="2"/>
  <c r="J27" i="2" s="1"/>
  <c r="K27" i="2" s="1"/>
  <c r="B35" i="2"/>
  <c r="C35" i="2" s="1"/>
  <c r="D35" i="2" s="1"/>
  <c r="E35" i="2" s="1"/>
  <c r="G24" i="2"/>
  <c r="H24" i="2" s="1"/>
  <c r="D24" i="2"/>
  <c r="E24" i="2" s="1"/>
  <c r="F27" i="2"/>
  <c r="G27" i="2" s="1"/>
  <c r="H27" i="2" s="1"/>
  <c r="B35" i="1"/>
  <c r="C35" i="1" s="1"/>
  <c r="D35" i="1" s="1"/>
  <c r="E35" i="1" s="1"/>
  <c r="N26" i="2" l="1"/>
  <c r="P26" i="2"/>
  <c r="M27" i="2"/>
  <c r="O27" i="2"/>
  <c r="O28" i="2" s="1"/>
  <c r="Q48" i="3"/>
  <c r="N48" i="3"/>
  <c r="Q35" i="3"/>
  <c r="Q36" i="3" s="1"/>
  <c r="N36" i="3"/>
  <c r="C28" i="2"/>
  <c r="D28" i="2" s="1"/>
  <c r="E28" i="2" s="1"/>
  <c r="F28" i="2"/>
  <c r="G28" i="2" s="1"/>
  <c r="H28" i="2" s="1"/>
  <c r="F26" i="1"/>
  <c r="F27" i="1"/>
  <c r="G27" i="1" s="1"/>
  <c r="H27" i="1" s="1"/>
  <c r="F25" i="1"/>
  <c r="G25" i="1" s="1"/>
  <c r="H25" i="1" s="1"/>
  <c r="G26" i="1"/>
  <c r="H26" i="1" s="1"/>
  <c r="C26" i="1"/>
  <c r="C27" i="1"/>
  <c r="C25" i="1"/>
  <c r="N27" i="2" l="1"/>
  <c r="Q27" i="2" s="1"/>
  <c r="P27" i="2"/>
  <c r="P28" i="2" s="1"/>
  <c r="M28" i="2"/>
  <c r="N28" i="2"/>
  <c r="Q26" i="2"/>
  <c r="Q28" i="2" s="1"/>
  <c r="D26" i="1"/>
  <c r="E26" i="1" s="1"/>
  <c r="D25" i="1"/>
  <c r="E25" i="1" s="1"/>
  <c r="D27" i="1"/>
  <c r="E27" i="1" s="1"/>
  <c r="B28" i="1"/>
  <c r="B36" i="1" l="1"/>
  <c r="C36" i="1" s="1"/>
  <c r="D36" i="1" s="1"/>
  <c r="E36" i="1" s="1"/>
  <c r="C32" i="1"/>
  <c r="D32" i="1" s="1"/>
  <c r="E32" i="1" s="1"/>
  <c r="F28" i="1"/>
  <c r="I28" i="1"/>
  <c r="J28" i="1" s="1"/>
  <c r="K28" i="1" s="1"/>
  <c r="C28" i="1"/>
  <c r="C29" i="1" s="1"/>
  <c r="D29" i="1" s="1"/>
  <c r="E29" i="1" s="1"/>
  <c r="G28" i="1" l="1"/>
  <c r="H28" i="1" s="1"/>
  <c r="F29" i="1"/>
  <c r="G29" i="1" s="1"/>
  <c r="H29" i="1" s="1"/>
  <c r="D28" i="1"/>
  <c r="E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F11" authorId="0" shapeId="0" xr:uid="{DB0AE222-00F3-4202-B9BE-89B338D2322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Juste the first activity takes 0.5 sec </t>
        </r>
      </text>
    </comment>
    <comment ref="F12" authorId="0" shapeId="0" xr:uid="{ADCC4501-0FAA-4B31-8FA7-F49CA2BF5F3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Time for A and B --&gt; max of iteration tested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5" authorId="0" shapeId="0" xr:uid="{649FA4CF-E93B-44E5-828B-790509186BBE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results</t>
        </r>
      </text>
    </comment>
    <comment ref="D6" authorId="0" shapeId="0" xr:uid="{DF30E2A0-7499-4942-B952-B68695DDCF3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results
</t>
        </r>
      </text>
    </comment>
    <comment ref="F7" authorId="0" shapeId="0" xr:uid="{98118E98-063D-4DA8-9C75-02C2E573C1BE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0.004 grand max</t>
        </r>
      </text>
    </comment>
    <comment ref="C55" authorId="0" shapeId="0" xr:uid="{3E0D0EFB-8CCB-4BB3-AAF4-5FE7B6F5704F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First iteration --&gt; creation of everything so longer</t>
        </r>
      </text>
    </comment>
  </commentList>
</comments>
</file>

<file path=xl/sharedStrings.xml><?xml version="1.0" encoding="utf-8"?>
<sst xmlns="http://schemas.openxmlformats.org/spreadsheetml/2006/main" count="304" uniqueCount="88">
  <si>
    <t>Storage size in HDF5 [MB]</t>
  </si>
  <si>
    <t>LCA object</t>
  </si>
  <si>
    <t>activity_dict</t>
  </si>
  <si>
    <t>bio_params</t>
  </si>
  <si>
    <t>bio_sample</t>
  </si>
  <si>
    <t>biosphere_dict</t>
  </si>
  <si>
    <t>biosphere_matrix</t>
  </si>
  <si>
    <t>product_dict</t>
  </si>
  <si>
    <t>tech_params</t>
  </si>
  <si>
    <t>tech_sample</t>
  </si>
  <si>
    <t>technosphere_matrix</t>
  </si>
  <si>
    <t>per DB</t>
  </si>
  <si>
    <t>per activity</t>
  </si>
  <si>
    <t>per iteration</t>
  </si>
  <si>
    <t>per iter and act</t>
  </si>
  <si>
    <t>For ecoinvent v3.3 DB</t>
  </si>
  <si>
    <t>Quantity</t>
  </si>
  <si>
    <t>GB</t>
  </si>
  <si>
    <t>TB</t>
  </si>
  <si>
    <t>TOTAL</t>
  </si>
  <si>
    <t>No compression</t>
  </si>
  <si>
    <t>Gzip compression</t>
  </si>
  <si>
    <t>MB</t>
  </si>
  <si>
    <t>Access time [sec]</t>
  </si>
  <si>
    <t>[h]</t>
  </si>
  <si>
    <t>[sec]</t>
  </si>
  <si>
    <t>[j]</t>
  </si>
  <si>
    <t>Creation time [sec]</t>
  </si>
  <si>
    <t>all</t>
  </si>
  <si>
    <t>Matrice G</t>
  </si>
  <si>
    <t>Matrix G</t>
  </si>
  <si>
    <t>Matrix B</t>
  </si>
  <si>
    <t>Vector s</t>
  </si>
  <si>
    <t>Matrix B and vector s</t>
  </si>
  <si>
    <t>Matrix A</t>
  </si>
  <si>
    <t>Benoit Foret</t>
  </si>
  <si>
    <t>4TB</t>
  </si>
  <si>
    <t>Direct object size</t>
  </si>
  <si>
    <t>supply_array</t>
  </si>
  <si>
    <t>Min</t>
  </si>
  <si>
    <t>Max</t>
  </si>
  <si>
    <t>Without multiprocessing</t>
  </si>
  <si>
    <t xml:space="preserve">With </t>
  </si>
  <si>
    <t>processes</t>
  </si>
  <si>
    <t>Object</t>
  </si>
  <si>
    <t>per iter and act and IC</t>
  </si>
  <si>
    <t>per worker</t>
  </si>
  <si>
    <t>aggregated</t>
  </si>
  <si>
    <t>disaggregated</t>
  </si>
  <si>
    <t>Number of IC</t>
  </si>
  <si>
    <t>For aggregated and disaggregated</t>
  </si>
  <si>
    <t>Disaggregated and aggregated</t>
  </si>
  <si>
    <t>For aggregated</t>
  </si>
  <si>
    <t>8h</t>
  </si>
  <si>
    <t>27 iterations</t>
  </si>
  <si>
    <t>4 cpus</t>
  </si>
  <si>
    <t>h/iteration</t>
  </si>
  <si>
    <t>iteration</t>
  </si>
  <si>
    <t>days</t>
  </si>
  <si>
    <t>observed data</t>
  </si>
  <si>
    <t>GB/iteration/cpu</t>
  </si>
  <si>
    <t>My computer</t>
  </si>
  <si>
    <t>Gael computer</t>
  </si>
  <si>
    <t>h of run</t>
  </si>
  <si>
    <t>iteration for one cpu</t>
  </si>
  <si>
    <t>total iteration</t>
  </si>
  <si>
    <t>Gathering function</t>
  </si>
  <si>
    <t>Cleaning</t>
  </si>
  <si>
    <t>min</t>
  </si>
  <si>
    <t>max</t>
  </si>
  <si>
    <t>[sec]/iteration/all DB/worker</t>
  </si>
  <si>
    <t>Gathering</t>
  </si>
  <si>
    <t>calculated</t>
  </si>
  <si>
    <t>[sec]/all DB</t>
  </si>
  <si>
    <t>[h]/all DB</t>
  </si>
  <si>
    <t>[min]/all DB</t>
  </si>
  <si>
    <t>iterations</t>
  </si>
  <si>
    <t>Deterministic LCI</t>
  </si>
  <si>
    <t>For the all DB</t>
  </si>
  <si>
    <t>[sec/DB]</t>
  </si>
  <si>
    <t>Aggregated LCA</t>
  </si>
  <si>
    <t>[sec/DB/iteration]</t>
  </si>
  <si>
    <t>[min/DB/iteration]</t>
  </si>
  <si>
    <t>Processeur</t>
  </si>
  <si>
    <t>[h/DB/iteration]</t>
  </si>
  <si>
    <t>iterations total</t>
  </si>
  <si>
    <t>observed data for 125 iterations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</si>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</sst>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/>
    <xf numFmtId="2" fontId="6" fillId="0" borderId="0" xfId="0" applyNumberFormat="1" applyFont="1"/>
    <xf numFmtId="1" fontId="6" fillId="0" borderId="0" xfId="0" applyNumberFormat="1" applyFont="1"/>
    <xf numFmtId="0" fontId="9" fillId="0" borderId="0" xfId="0" applyFont="1"/>
    <xf numFmtId="2" fontId="9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1" fontId="10" fillId="0" borderId="0" xfId="0" applyNumberFormat="1" applyFont="1"/>
    <xf numFmtId="0" fontId="13" fillId="0" borderId="0" xfId="0" applyFont="1"/>
    <xf numFmtId="2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8"/>
  <sheetViews>
    <sheetView workbookViewId="0">
      <selection activeCell="C16" sqref="C16"/>
    </sheetView>
  </sheetViews>
  <sheetFormatPr baseColWidth="10" defaultColWidth="8.88671875" defaultRowHeight="14.4" x14ac:dyDescent="0.3"/>
  <cols>
    <col min="1" max="1" width="16.33203125" customWidth="1"/>
    <col min="2" max="2" width="18.109375" customWidth="1"/>
    <col min="3" max="3" width="23.44140625" customWidth="1"/>
    <col min="5" max="5" width="10.109375" customWidth="1"/>
  </cols>
  <sheetData>
    <row r="3" spans="1:6" x14ac:dyDescent="0.3">
      <c r="C3" t="s">
        <v>20</v>
      </c>
      <c r="D3" t="s">
        <v>21</v>
      </c>
    </row>
    <row r="4" spans="1:6" x14ac:dyDescent="0.3">
      <c r="B4" t="s">
        <v>1</v>
      </c>
      <c r="C4" t="s">
        <v>0</v>
      </c>
      <c r="D4" t="s">
        <v>22</v>
      </c>
      <c r="E4" t="s">
        <v>23</v>
      </c>
      <c r="F4" t="s">
        <v>27</v>
      </c>
    </row>
    <row r="5" spans="1:6" x14ac:dyDescent="0.3">
      <c r="A5" t="s">
        <v>11</v>
      </c>
      <c r="B5" s="1" t="s">
        <v>2</v>
      </c>
      <c r="C5">
        <v>0.110648</v>
      </c>
      <c r="D5">
        <v>3.8862000000000001E-2</v>
      </c>
      <c r="F5" s="1"/>
    </row>
    <row r="6" spans="1:6" x14ac:dyDescent="0.3">
      <c r="A6" t="s">
        <v>12</v>
      </c>
      <c r="B6" s="1" t="s">
        <v>3</v>
      </c>
      <c r="C6">
        <v>15.194867</v>
      </c>
      <c r="D6">
        <v>4.2926399999999996</v>
      </c>
      <c r="F6" s="1"/>
    </row>
    <row r="7" spans="1:6" x14ac:dyDescent="0.3">
      <c r="A7" t="s">
        <v>13</v>
      </c>
      <c r="B7" s="1" t="s">
        <v>4</v>
      </c>
      <c r="C7">
        <v>2.8269519999999999</v>
      </c>
      <c r="D7">
        <v>2.103532</v>
      </c>
      <c r="F7" s="1"/>
    </row>
    <row r="8" spans="1:6" x14ac:dyDescent="0.3">
      <c r="A8" t="s">
        <v>11</v>
      </c>
      <c r="B8" s="1" t="s">
        <v>5</v>
      </c>
      <c r="C8">
        <v>1.5679999999999999E-2</v>
      </c>
      <c r="D8">
        <v>5.5449999999999996E-3</v>
      </c>
      <c r="F8" s="1"/>
    </row>
    <row r="9" spans="1:6" x14ac:dyDescent="0.3">
      <c r="A9" t="s">
        <v>14</v>
      </c>
      <c r="B9" s="1" t="s">
        <v>6</v>
      </c>
      <c r="C9">
        <v>4.248272</v>
      </c>
      <c r="D9">
        <v>1.8124720000000001</v>
      </c>
      <c r="E9">
        <v>0.05</v>
      </c>
      <c r="F9" s="1"/>
    </row>
    <row r="10" spans="1:6" x14ac:dyDescent="0.3">
      <c r="A10" t="s">
        <v>11</v>
      </c>
      <c r="B10" s="1" t="s">
        <v>7</v>
      </c>
      <c r="C10">
        <v>0.110648</v>
      </c>
      <c r="D10">
        <v>3.8862000000000001E-2</v>
      </c>
      <c r="F10" s="1"/>
    </row>
    <row r="11" spans="1:6" x14ac:dyDescent="0.3">
      <c r="A11" t="s">
        <v>12</v>
      </c>
      <c r="B11" s="1" t="s">
        <v>8</v>
      </c>
      <c r="C11">
        <v>6.3544970000000003</v>
      </c>
      <c r="D11">
        <v>1.946647</v>
      </c>
      <c r="F11" s="1"/>
    </row>
    <row r="12" spans="1:6" x14ac:dyDescent="0.3">
      <c r="A12" t="s">
        <v>13</v>
      </c>
      <c r="B12" s="1" t="s">
        <v>9</v>
      </c>
      <c r="C12">
        <v>1.1822319999999999</v>
      </c>
      <c r="D12">
        <v>0.92901400000000001</v>
      </c>
      <c r="F12" s="1"/>
    </row>
    <row r="13" spans="1:6" x14ac:dyDescent="0.3">
      <c r="A13" t="s">
        <v>14</v>
      </c>
      <c r="B13" s="1" t="s">
        <v>10</v>
      </c>
      <c r="C13">
        <v>1.824452</v>
      </c>
      <c r="D13">
        <v>0.83642700000000003</v>
      </c>
      <c r="E13">
        <v>0.05</v>
      </c>
    </row>
    <row r="14" spans="1:6" x14ac:dyDescent="0.3">
      <c r="B14" s="1" t="s">
        <v>28</v>
      </c>
      <c r="F14">
        <v>0.8</v>
      </c>
    </row>
    <row r="15" spans="1:6" x14ac:dyDescent="0.3">
      <c r="B15" s="1"/>
      <c r="C15" t="s">
        <v>37</v>
      </c>
    </row>
    <row r="16" spans="1:6" x14ac:dyDescent="0.3">
      <c r="A16" t="s">
        <v>14</v>
      </c>
      <c r="B16" s="1" t="s">
        <v>30</v>
      </c>
      <c r="C16">
        <v>2.5</v>
      </c>
    </row>
    <row r="17" spans="1:11" x14ac:dyDescent="0.3">
      <c r="A17" t="s">
        <v>13</v>
      </c>
      <c r="B17" s="1" t="s">
        <v>31</v>
      </c>
      <c r="C17">
        <v>5</v>
      </c>
    </row>
    <row r="18" spans="1:11" x14ac:dyDescent="0.3">
      <c r="A18" t="s">
        <v>14</v>
      </c>
      <c r="B18" s="1" t="s">
        <v>32</v>
      </c>
      <c r="C18">
        <v>0.109</v>
      </c>
    </row>
    <row r="19" spans="1:11" x14ac:dyDescent="0.3">
      <c r="A19" t="s">
        <v>13</v>
      </c>
      <c r="B19" s="1" t="s">
        <v>34</v>
      </c>
      <c r="C19">
        <v>2.5</v>
      </c>
    </row>
    <row r="20" spans="1:11" x14ac:dyDescent="0.3">
      <c r="B20" s="1"/>
    </row>
    <row r="21" spans="1:11" x14ac:dyDescent="0.3">
      <c r="B21" s="1"/>
    </row>
    <row r="23" spans="1:11" x14ac:dyDescent="0.3">
      <c r="A23" s="3" t="s">
        <v>15</v>
      </c>
      <c r="C23" s="14" t="s">
        <v>20</v>
      </c>
      <c r="D23" s="14"/>
      <c r="E23" s="14"/>
      <c r="F23" s="14" t="s">
        <v>21</v>
      </c>
      <c r="G23" s="14"/>
      <c r="H23" s="14"/>
      <c r="I23" t="s">
        <v>23</v>
      </c>
    </row>
    <row r="24" spans="1:11" x14ac:dyDescent="0.3">
      <c r="B24" t="s">
        <v>16</v>
      </c>
      <c r="C24" t="s">
        <v>0</v>
      </c>
      <c r="D24" t="s">
        <v>17</v>
      </c>
      <c r="E24" t="s">
        <v>18</v>
      </c>
      <c r="F24" t="s">
        <v>22</v>
      </c>
      <c r="G24" t="s">
        <v>17</v>
      </c>
      <c r="H24" t="s">
        <v>18</v>
      </c>
      <c r="I24" t="s">
        <v>25</v>
      </c>
      <c r="J24" t="s">
        <v>24</v>
      </c>
      <c r="K24" t="s">
        <v>26</v>
      </c>
    </row>
    <row r="25" spans="1:11" x14ac:dyDescent="0.3">
      <c r="A25" t="s">
        <v>11</v>
      </c>
      <c r="B25">
        <v>1</v>
      </c>
      <c r="C25">
        <f>$B25*SUMIF($A$5:$A$13,$A25,$C$5:$C$13)</f>
        <v>0.23697599999999999</v>
      </c>
      <c r="D25">
        <f>C25/1000</f>
        <v>2.3697599999999999E-4</v>
      </c>
      <c r="E25" s="2">
        <f>D25/1000</f>
        <v>2.3697599999999999E-7</v>
      </c>
      <c r="F25">
        <f>$B25*SUMIF($A$5:$A$13,$A25,$D$5:$D$13)</f>
        <v>8.326900000000001E-2</v>
      </c>
      <c r="G25">
        <f>F25/1000</f>
        <v>8.3269000000000005E-5</v>
      </c>
      <c r="H25" s="2">
        <f>G25/1000</f>
        <v>8.3269000000000003E-8</v>
      </c>
    </row>
    <row r="26" spans="1:11" x14ac:dyDescent="0.3">
      <c r="A26" t="s">
        <v>12</v>
      </c>
      <c r="B26">
        <v>13831</v>
      </c>
      <c r="C26">
        <f t="shared" ref="C26:C28" si="0">$B26*SUMIF($A$5:$A$13,$A26,$C$5:$C$13)</f>
        <v>298049.25348399999</v>
      </c>
      <c r="D26">
        <f t="shared" ref="D26:E29" si="1">C26/1000</f>
        <v>298.04925348399996</v>
      </c>
      <c r="E26" s="2">
        <f t="shared" si="1"/>
        <v>0.29804925348399997</v>
      </c>
      <c r="F26">
        <f t="shared" ref="F26:F28" si="2">$B26*SUMIF($A$5:$A$13,$A26,$D$5:$D$13)</f>
        <v>86295.578496999995</v>
      </c>
      <c r="G26">
        <f t="shared" ref="G26:G29" si="3">F26/1000</f>
        <v>86.295578496999994</v>
      </c>
      <c r="H26" s="2">
        <f t="shared" ref="H26:H29" si="4">G26/1000</f>
        <v>8.6295578496999994E-2</v>
      </c>
    </row>
    <row r="27" spans="1:11" x14ac:dyDescent="0.3">
      <c r="A27" t="s">
        <v>13</v>
      </c>
      <c r="B27">
        <v>1000</v>
      </c>
      <c r="C27">
        <f t="shared" si="0"/>
        <v>4009.1839999999993</v>
      </c>
      <c r="D27">
        <f t="shared" si="1"/>
        <v>4.0091839999999994</v>
      </c>
      <c r="E27" s="2">
        <f t="shared" si="1"/>
        <v>4.0091839999999998E-3</v>
      </c>
      <c r="F27">
        <f t="shared" si="2"/>
        <v>3032.5459999999998</v>
      </c>
      <c r="G27">
        <f t="shared" si="3"/>
        <v>3.032546</v>
      </c>
      <c r="H27" s="2">
        <f t="shared" si="4"/>
        <v>3.0325460000000001E-3</v>
      </c>
    </row>
    <row r="28" spans="1:11" x14ac:dyDescent="0.3">
      <c r="A28" t="s">
        <v>14</v>
      </c>
      <c r="B28">
        <f>B26*B27</f>
        <v>13831000</v>
      </c>
      <c r="C28">
        <f t="shared" si="0"/>
        <v>83991845.643999994</v>
      </c>
      <c r="D28">
        <f t="shared" si="1"/>
        <v>83991.845644000001</v>
      </c>
      <c r="E28" s="2">
        <f t="shared" si="1"/>
        <v>83.991845643999994</v>
      </c>
      <c r="F28">
        <f t="shared" si="2"/>
        <v>36636922.068999998</v>
      </c>
      <c r="G28">
        <f t="shared" si="3"/>
        <v>36636.922069</v>
      </c>
      <c r="H28" s="2">
        <f t="shared" si="4"/>
        <v>36.636922069000001</v>
      </c>
      <c r="I28">
        <f>$B28*SUMIF($A$5:$A$13,$A28,$E$5:$E$13)</f>
        <v>1383100</v>
      </c>
      <c r="J28" s="6">
        <f>I28/3600</f>
        <v>384.19444444444446</v>
      </c>
      <c r="K28" s="6">
        <f>J28/24</f>
        <v>16.008101851851851</v>
      </c>
    </row>
    <row r="29" spans="1:11" x14ac:dyDescent="0.3">
      <c r="A29" s="4" t="s">
        <v>19</v>
      </c>
      <c r="B29" s="4"/>
      <c r="C29" s="4">
        <f>SUM(C25:C28)</f>
        <v>84293904.318459988</v>
      </c>
      <c r="D29" s="4">
        <f t="shared" si="1"/>
        <v>84293.904318459987</v>
      </c>
      <c r="E29" s="5">
        <f t="shared" si="1"/>
        <v>84.293904318459994</v>
      </c>
      <c r="F29" s="4">
        <f>SUM(F25:F28)</f>
        <v>36726250.276765995</v>
      </c>
      <c r="G29" s="4">
        <f t="shared" si="3"/>
        <v>36726.250276765997</v>
      </c>
      <c r="H29" s="5">
        <f t="shared" si="4"/>
        <v>36.726250276765995</v>
      </c>
    </row>
    <row r="30" spans="1:11" x14ac:dyDescent="0.3">
      <c r="H30" s="2"/>
    </row>
    <row r="31" spans="1:11" x14ac:dyDescent="0.3">
      <c r="A31" t="s">
        <v>29</v>
      </c>
    </row>
    <row r="32" spans="1:11" x14ac:dyDescent="0.3">
      <c r="A32" t="s">
        <v>14</v>
      </c>
      <c r="C32">
        <f>B28*C16</f>
        <v>34577500</v>
      </c>
      <c r="D32">
        <f t="shared" ref="D32" si="5">C32/1000</f>
        <v>34577.5</v>
      </c>
      <c r="E32" s="2">
        <f t="shared" ref="E32" si="6">D32/1000</f>
        <v>34.577500000000001</v>
      </c>
    </row>
    <row r="34" spans="1:5" x14ac:dyDescent="0.3">
      <c r="A34" t="s">
        <v>33</v>
      </c>
    </row>
    <row r="35" spans="1:5" x14ac:dyDescent="0.3">
      <c r="A35" t="s">
        <v>13</v>
      </c>
      <c r="B35">
        <f>B27</f>
        <v>1000</v>
      </c>
      <c r="C35">
        <f>B35*(C17+C19)</f>
        <v>7500</v>
      </c>
      <c r="D35">
        <f t="shared" ref="D35:D36" si="7">C35/1000</f>
        <v>7.5</v>
      </c>
      <c r="E35" s="2">
        <f t="shared" ref="E35:E36" si="8">D35/1000</f>
        <v>7.4999999999999997E-3</v>
      </c>
    </row>
    <row r="36" spans="1:5" x14ac:dyDescent="0.3">
      <c r="A36" t="s">
        <v>14</v>
      </c>
      <c r="B36">
        <f>B28</f>
        <v>13831000</v>
      </c>
      <c r="C36">
        <f>B36*C18</f>
        <v>1507579</v>
      </c>
      <c r="D36">
        <f t="shared" si="7"/>
        <v>1507.579</v>
      </c>
      <c r="E36" s="2">
        <f t="shared" si="8"/>
        <v>1.507579</v>
      </c>
    </row>
    <row r="38" spans="1:5" x14ac:dyDescent="0.3">
      <c r="A38" t="s">
        <v>35</v>
      </c>
      <c r="B38" t="s">
        <v>36</v>
      </c>
    </row>
  </sheetData>
  <mergeCells count="2">
    <mergeCell ref="C23:E23"/>
    <mergeCell ref="F23:H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E4FE-D9C4-4A09-8B44-2D595489B0E8}">
  <dimension ref="A2:Q53"/>
  <sheetViews>
    <sheetView topLeftCell="A40" workbookViewId="0">
      <selection activeCell="D42" sqref="D42"/>
    </sheetView>
  </sheetViews>
  <sheetFormatPr baseColWidth="10" defaultColWidth="8.88671875" defaultRowHeight="14.4" x14ac:dyDescent="0.3"/>
  <cols>
    <col min="1" max="1" width="16.33203125" style="7" customWidth="1"/>
    <col min="2" max="2" width="18.109375" style="7" customWidth="1"/>
    <col min="3" max="3" width="23.44140625" style="7" customWidth="1"/>
    <col min="4" max="4" width="8.88671875" style="7"/>
    <col min="5" max="5" width="10.109375" style="7" customWidth="1"/>
    <col min="6" max="16384" width="8.88671875" style="7"/>
  </cols>
  <sheetData>
    <row r="2" spans="1:17" x14ac:dyDescent="0.3">
      <c r="I2" s="7" t="s">
        <v>61</v>
      </c>
      <c r="N2" s="7" t="s">
        <v>62</v>
      </c>
    </row>
    <row r="3" spans="1:17" x14ac:dyDescent="0.3">
      <c r="C3" s="7" t="s">
        <v>20</v>
      </c>
      <c r="D3" s="7" t="s">
        <v>21</v>
      </c>
      <c r="F3" s="7" t="s">
        <v>40</v>
      </c>
      <c r="G3" s="7" t="s">
        <v>39</v>
      </c>
      <c r="I3" s="7" t="s">
        <v>59</v>
      </c>
      <c r="N3" s="7" t="s">
        <v>59</v>
      </c>
    </row>
    <row r="4" spans="1:17" x14ac:dyDescent="0.3">
      <c r="B4" s="7" t="s">
        <v>1</v>
      </c>
      <c r="C4" s="7" t="s">
        <v>0</v>
      </c>
      <c r="D4" s="7" t="s">
        <v>22</v>
      </c>
      <c r="E4" s="7" t="s">
        <v>23</v>
      </c>
      <c r="F4" s="7" t="s">
        <v>27</v>
      </c>
      <c r="I4" s="7" t="s">
        <v>53</v>
      </c>
      <c r="J4" s="7" t="s">
        <v>54</v>
      </c>
      <c r="K4" s="7" t="s">
        <v>55</v>
      </c>
      <c r="L4" s="7" t="s">
        <v>17</v>
      </c>
      <c r="N4" s="7" t="s">
        <v>53</v>
      </c>
      <c r="O4" s="7" t="s">
        <v>54</v>
      </c>
      <c r="P4" s="7" t="s">
        <v>55</v>
      </c>
      <c r="Q4" s="7" t="s">
        <v>17</v>
      </c>
    </row>
    <row r="5" spans="1:17" x14ac:dyDescent="0.3">
      <c r="A5" s="7" t="s">
        <v>11</v>
      </c>
      <c r="B5" s="8" t="s">
        <v>2</v>
      </c>
      <c r="F5" s="8"/>
      <c r="I5" s="7">
        <v>8</v>
      </c>
      <c r="J5" s="7">
        <v>27</v>
      </c>
      <c r="K5" s="7">
        <v>4</v>
      </c>
      <c r="L5" s="7">
        <v>64</v>
      </c>
      <c r="N5" s="7">
        <v>8</v>
      </c>
      <c r="O5" s="7">
        <v>27</v>
      </c>
      <c r="P5" s="7">
        <v>4</v>
      </c>
      <c r="Q5" s="7">
        <v>64</v>
      </c>
    </row>
    <row r="6" spans="1:17" x14ac:dyDescent="0.3">
      <c r="A6" s="7" t="s">
        <v>11</v>
      </c>
      <c r="B6" s="8" t="s">
        <v>3</v>
      </c>
      <c r="F6" s="8"/>
      <c r="I6" s="7" t="s">
        <v>56</v>
      </c>
      <c r="J6" s="7" t="s">
        <v>57</v>
      </c>
      <c r="K6" s="7" t="s">
        <v>58</v>
      </c>
      <c r="N6" s="7" t="s">
        <v>56</v>
      </c>
      <c r="O6" s="7" t="s">
        <v>57</v>
      </c>
      <c r="P6" s="7" t="s">
        <v>58</v>
      </c>
    </row>
    <row r="7" spans="1:17" x14ac:dyDescent="0.3">
      <c r="A7" s="7" t="s">
        <v>11</v>
      </c>
      <c r="B7" s="8" t="s">
        <v>5</v>
      </c>
      <c r="F7" s="8"/>
      <c r="I7" s="7">
        <f>I5/J5</f>
        <v>0.29629629629629628</v>
      </c>
      <c r="J7" s="7">
        <v>63</v>
      </c>
      <c r="K7" s="7">
        <f>I7*J7/24</f>
        <v>0.77777777777777768</v>
      </c>
      <c r="N7" s="7">
        <f>N5/O5</f>
        <v>0.29629629629629628</v>
      </c>
      <c r="O7" s="7">
        <v>1000</v>
      </c>
      <c r="P7" s="7">
        <f>N7*O7/24</f>
        <v>12.345679012345679</v>
      </c>
    </row>
    <row r="8" spans="1:17" x14ac:dyDescent="0.3">
      <c r="A8" s="7" t="s">
        <v>13</v>
      </c>
      <c r="B8" s="8" t="s">
        <v>6</v>
      </c>
      <c r="D8" s="7">
        <f>1.7375</f>
        <v>1.7375</v>
      </c>
      <c r="F8" s="8"/>
      <c r="I8" s="7" t="s">
        <v>60</v>
      </c>
      <c r="K8" s="7" t="s">
        <v>17</v>
      </c>
      <c r="N8" s="7" t="s">
        <v>60</v>
      </c>
      <c r="P8" s="7" t="s">
        <v>17</v>
      </c>
    </row>
    <row r="9" spans="1:17" x14ac:dyDescent="0.3">
      <c r="A9" s="7" t="s">
        <v>11</v>
      </c>
      <c r="B9" s="8" t="s">
        <v>7</v>
      </c>
      <c r="F9" s="8"/>
      <c r="I9" s="7">
        <f>L5/J5/K5</f>
        <v>0.59259259259259256</v>
      </c>
      <c r="J9" s="7">
        <f>J7</f>
        <v>63</v>
      </c>
      <c r="K9" s="7">
        <f>I9*J9</f>
        <v>37.333333333333329</v>
      </c>
      <c r="N9" s="7">
        <f>Q5/O5/P5</f>
        <v>0.59259259259259256</v>
      </c>
      <c r="O9" s="7">
        <f>O7</f>
        <v>1000</v>
      </c>
      <c r="P9" s="7">
        <f>N9*O9</f>
        <v>592.59259259259261</v>
      </c>
    </row>
    <row r="10" spans="1:17" x14ac:dyDescent="0.3">
      <c r="A10" s="7" t="s">
        <v>11</v>
      </c>
      <c r="B10" s="8" t="s">
        <v>8</v>
      </c>
      <c r="F10" s="8"/>
    </row>
    <row r="11" spans="1:17" x14ac:dyDescent="0.3">
      <c r="A11" s="7" t="s">
        <v>14</v>
      </c>
      <c r="B11" s="8" t="s">
        <v>38</v>
      </c>
      <c r="D11" s="7">
        <f>43700/1000000</f>
        <v>4.3700000000000003E-2</v>
      </c>
      <c r="F11" s="8">
        <v>0.01</v>
      </c>
      <c r="G11" s="7">
        <v>8.0000000000000002E-3</v>
      </c>
    </row>
    <row r="12" spans="1:17" x14ac:dyDescent="0.3">
      <c r="A12" s="7" t="s">
        <v>13</v>
      </c>
      <c r="B12" s="8" t="s">
        <v>10</v>
      </c>
      <c r="D12" s="7">
        <f>0.84333</f>
        <v>0.84333000000000002</v>
      </c>
      <c r="F12" s="7">
        <v>0.35</v>
      </c>
      <c r="G12" s="7">
        <v>0.27</v>
      </c>
      <c r="I12" s="7" t="s">
        <v>56</v>
      </c>
      <c r="J12" s="7" t="s">
        <v>63</v>
      </c>
      <c r="K12" s="7" t="s">
        <v>64</v>
      </c>
    </row>
    <row r="13" spans="1:17" x14ac:dyDescent="0.3">
      <c r="B13" s="8" t="s">
        <v>28</v>
      </c>
      <c r="I13" s="7">
        <f>I7</f>
        <v>0.29629629629629628</v>
      </c>
      <c r="J13" s="7">
        <v>8</v>
      </c>
      <c r="K13" s="7">
        <f>J13/I13</f>
        <v>27</v>
      </c>
    </row>
    <row r="14" spans="1:17" x14ac:dyDescent="0.3">
      <c r="B14" s="8"/>
      <c r="C14" s="7" t="s">
        <v>37</v>
      </c>
      <c r="K14" s="7" t="s">
        <v>65</v>
      </c>
    </row>
    <row r="15" spans="1:17" x14ac:dyDescent="0.3">
      <c r="A15" s="7" t="s">
        <v>14</v>
      </c>
      <c r="B15" s="8" t="s">
        <v>30</v>
      </c>
      <c r="K15" s="7">
        <f>K13*K5</f>
        <v>108</v>
      </c>
    </row>
    <row r="16" spans="1:17" x14ac:dyDescent="0.3">
      <c r="A16" s="7" t="s">
        <v>13</v>
      </c>
      <c r="B16" s="8" t="s">
        <v>31</v>
      </c>
    </row>
    <row r="17" spans="1:17" x14ac:dyDescent="0.3">
      <c r="A17" s="7" t="s">
        <v>14</v>
      </c>
      <c r="B17" s="8" t="s">
        <v>32</v>
      </c>
    </row>
    <row r="18" spans="1:17" x14ac:dyDescent="0.3">
      <c r="A18" s="7" t="s">
        <v>13</v>
      </c>
      <c r="B18" s="8" t="s">
        <v>34</v>
      </c>
    </row>
    <row r="19" spans="1:17" x14ac:dyDescent="0.3">
      <c r="B19" s="8"/>
    </row>
    <row r="20" spans="1:17" x14ac:dyDescent="0.3">
      <c r="B20" s="8"/>
      <c r="P20" s="7">
        <v>4</v>
      </c>
    </row>
    <row r="21" spans="1:17" x14ac:dyDescent="0.3">
      <c r="L21" s="7" t="s">
        <v>41</v>
      </c>
      <c r="O21" s="7" t="s">
        <v>42</v>
      </c>
      <c r="P21" s="7">
        <f>$P$20</f>
        <v>4</v>
      </c>
      <c r="Q21" s="7" t="s">
        <v>43</v>
      </c>
    </row>
    <row r="22" spans="1:17" x14ac:dyDescent="0.3">
      <c r="A22" s="9" t="s">
        <v>15</v>
      </c>
      <c r="C22" s="15" t="s">
        <v>20</v>
      </c>
      <c r="D22" s="15"/>
      <c r="E22" s="15"/>
      <c r="F22" s="15" t="s">
        <v>21</v>
      </c>
      <c r="G22" s="15"/>
      <c r="H22" s="15"/>
      <c r="I22" s="7" t="s">
        <v>23</v>
      </c>
      <c r="L22" s="7" t="s">
        <v>27</v>
      </c>
      <c r="O22" s="7" t="s">
        <v>27</v>
      </c>
    </row>
    <row r="23" spans="1:17" x14ac:dyDescent="0.3">
      <c r="B23" s="7" t="s">
        <v>16</v>
      </c>
      <c r="C23" s="7" t="s">
        <v>0</v>
      </c>
      <c r="D23" s="7" t="s">
        <v>17</v>
      </c>
      <c r="E23" s="7" t="s">
        <v>18</v>
      </c>
      <c r="F23" s="7" t="s">
        <v>22</v>
      </c>
      <c r="G23" s="7" t="s">
        <v>17</v>
      </c>
      <c r="H23" s="7" t="s">
        <v>18</v>
      </c>
      <c r="I23" s="7" t="s">
        <v>25</v>
      </c>
      <c r="J23" s="7" t="s">
        <v>24</v>
      </c>
      <c r="K23" s="7" t="s">
        <v>26</v>
      </c>
      <c r="L23" s="7" t="s">
        <v>25</v>
      </c>
      <c r="M23" s="7" t="s">
        <v>24</v>
      </c>
      <c r="N23" s="7" t="s">
        <v>26</v>
      </c>
      <c r="O23" s="7" t="s">
        <v>25</v>
      </c>
      <c r="P23" s="7" t="s">
        <v>24</v>
      </c>
      <c r="Q23" s="7" t="s">
        <v>26</v>
      </c>
    </row>
    <row r="24" spans="1:17" x14ac:dyDescent="0.3">
      <c r="A24" s="7" t="s">
        <v>11</v>
      </c>
      <c r="B24" s="7">
        <v>1</v>
      </c>
      <c r="C24" s="7">
        <f>$B24*SUMIF($A$5:$A$12,$A24,$C$5:$C$12)</f>
        <v>0</v>
      </c>
      <c r="D24" s="7">
        <f>C24/1000</f>
        <v>0</v>
      </c>
      <c r="E24" s="10">
        <f>D24/1000</f>
        <v>0</v>
      </c>
      <c r="F24" s="7">
        <f>$B24*SUMIF($A$5:$A$12,$A24,$D$5:$D$12)</f>
        <v>0</v>
      </c>
      <c r="G24" s="7">
        <f>F24/1000</f>
        <v>0</v>
      </c>
      <c r="H24" s="10">
        <f>G24/1000</f>
        <v>0</v>
      </c>
      <c r="O24" s="7">
        <f t="shared" ref="O24:Q27" si="0">(L24)/($P$20)</f>
        <v>0</v>
      </c>
      <c r="P24" s="7">
        <f t="shared" si="0"/>
        <v>0</v>
      </c>
      <c r="Q24" s="7">
        <f t="shared" si="0"/>
        <v>0</v>
      </c>
    </row>
    <row r="25" spans="1:17" x14ac:dyDescent="0.3">
      <c r="A25" s="7" t="s">
        <v>12</v>
      </c>
      <c r="B25" s="7">
        <v>13831</v>
      </c>
      <c r="C25" s="7">
        <f>$B25*SUMIF($A$5:$A$12,$A25,$C$5:$C$12)</f>
        <v>0</v>
      </c>
      <c r="D25" s="7">
        <f t="shared" ref="D25:E28" si="1">C25/1000</f>
        <v>0</v>
      </c>
      <c r="E25" s="10">
        <f t="shared" si="1"/>
        <v>0</v>
      </c>
      <c r="F25" s="7">
        <f>$B25*SUMIF($A$5:$A$12,$A25,$D$5:$D$12)</f>
        <v>0</v>
      </c>
      <c r="G25" s="7">
        <f t="shared" ref="G25:H28" si="2">F25/1000</f>
        <v>0</v>
      </c>
      <c r="H25" s="10">
        <f t="shared" si="2"/>
        <v>0</v>
      </c>
      <c r="O25" s="7">
        <f t="shared" si="0"/>
        <v>0</v>
      </c>
      <c r="P25" s="7">
        <f t="shared" si="0"/>
        <v>0</v>
      </c>
      <c r="Q25" s="7">
        <f t="shared" si="0"/>
        <v>0</v>
      </c>
    </row>
    <row r="26" spans="1:17" x14ac:dyDescent="0.3">
      <c r="A26" s="7" t="s">
        <v>13</v>
      </c>
      <c r="B26" s="7">
        <v>1000</v>
      </c>
      <c r="C26" s="7">
        <f>$B26*SUMIF($A$5:$A$12,$A26,$C$5:$C$12)</f>
        <v>0</v>
      </c>
      <c r="D26" s="7">
        <f t="shared" si="1"/>
        <v>0</v>
      </c>
      <c r="E26" s="10">
        <f t="shared" si="1"/>
        <v>0</v>
      </c>
      <c r="F26" s="7">
        <f>$B26*SUMIF($A$5:$A$12,$A26,$D$5:$D$12)</f>
        <v>2580.8300000000004</v>
      </c>
      <c r="G26" s="7">
        <f t="shared" si="2"/>
        <v>2.5808300000000002</v>
      </c>
      <c r="H26" s="10">
        <f t="shared" si="2"/>
        <v>2.5808300000000001E-3</v>
      </c>
      <c r="L26" s="7">
        <f>$B26*SUMIF($A$5:$A$12,$A26,$F$5:$F$12)</f>
        <v>350</v>
      </c>
      <c r="M26" s="11">
        <f>L26/3600</f>
        <v>9.7222222222222224E-2</v>
      </c>
      <c r="N26" s="11">
        <f>M26/24</f>
        <v>4.0509259259259257E-3</v>
      </c>
      <c r="O26" s="7">
        <f t="shared" si="0"/>
        <v>87.5</v>
      </c>
      <c r="P26" s="7">
        <f t="shared" si="0"/>
        <v>2.4305555555555556E-2</v>
      </c>
      <c r="Q26" s="7">
        <f t="shared" si="0"/>
        <v>1.0127314814814814E-3</v>
      </c>
    </row>
    <row r="27" spans="1:17" x14ac:dyDescent="0.3">
      <c r="A27" s="7" t="s">
        <v>14</v>
      </c>
      <c r="B27" s="7">
        <f>B25*B26</f>
        <v>13831000</v>
      </c>
      <c r="C27" s="7">
        <f>$B27*SUMIF($A$5:$A$12,$A27,$C$5:$C$12)</f>
        <v>0</v>
      </c>
      <c r="D27" s="7">
        <f t="shared" si="1"/>
        <v>0</v>
      </c>
      <c r="E27" s="10">
        <f t="shared" si="1"/>
        <v>0</v>
      </c>
      <c r="F27" s="7">
        <f>$B27*SUMIF($A$5:$A$12,$A27,$D$5:$D$12)</f>
        <v>604414.70000000007</v>
      </c>
      <c r="G27" s="7">
        <f t="shared" si="2"/>
        <v>604.41470000000004</v>
      </c>
      <c r="H27" s="10">
        <f t="shared" si="2"/>
        <v>0.60441470000000008</v>
      </c>
      <c r="I27" s="7">
        <f>$B27*SUMIF($A$5:$A$12,$A27,$E$5:$E$12)</f>
        <v>0</v>
      </c>
      <c r="J27" s="11">
        <f>I27/3600</f>
        <v>0</v>
      </c>
      <c r="K27" s="11">
        <f>J27/24</f>
        <v>0</v>
      </c>
      <c r="L27" s="7">
        <f>$B27*SUMIF($A$5:$A$12,$A27,$F$5:$F$12)</f>
        <v>138310</v>
      </c>
      <c r="M27" s="11">
        <f>L27/3600</f>
        <v>38.419444444444444</v>
      </c>
      <c r="N27" s="11">
        <f>M27/24</f>
        <v>1.6008101851851853</v>
      </c>
      <c r="O27" s="7">
        <f t="shared" si="0"/>
        <v>34577.5</v>
      </c>
      <c r="P27" s="7">
        <f t="shared" si="0"/>
        <v>9.6048611111111111</v>
      </c>
      <c r="Q27" s="7">
        <f t="shared" si="0"/>
        <v>0.40020254629629631</v>
      </c>
    </row>
    <row r="28" spans="1:17" x14ac:dyDescent="0.3">
      <c r="A28" s="12" t="s">
        <v>19</v>
      </c>
      <c r="B28" s="12"/>
      <c r="C28" s="12">
        <f>SUM(C24:C27)</f>
        <v>0</v>
      </c>
      <c r="D28" s="12">
        <f t="shared" si="1"/>
        <v>0</v>
      </c>
      <c r="E28" s="13">
        <f t="shared" si="1"/>
        <v>0</v>
      </c>
      <c r="F28" s="12">
        <f>SUM(F24:F27)</f>
        <v>606995.53</v>
      </c>
      <c r="G28" s="12">
        <f t="shared" si="2"/>
        <v>606.99553000000003</v>
      </c>
      <c r="H28" s="13">
        <f t="shared" si="2"/>
        <v>0.60699553000000006</v>
      </c>
      <c r="L28" s="12">
        <f>SUM(L24:L27)</f>
        <v>138660</v>
      </c>
      <c r="M28" s="13">
        <f t="shared" ref="M28:N28" si="3">SUM(M24:M27)</f>
        <v>38.516666666666666</v>
      </c>
      <c r="N28" s="13">
        <f t="shared" si="3"/>
        <v>1.6048611111111111</v>
      </c>
      <c r="O28" s="12">
        <f>SUM(O24:O27)</f>
        <v>34665</v>
      </c>
      <c r="P28" s="13">
        <f t="shared" ref="P28:Q28" si="4">SUM(P24:P27)</f>
        <v>9.6291666666666664</v>
      </c>
      <c r="Q28" s="13">
        <f t="shared" si="4"/>
        <v>0.40121527777777777</v>
      </c>
    </row>
    <row r="29" spans="1:17" x14ac:dyDescent="0.3">
      <c r="H29" s="10"/>
    </row>
    <row r="30" spans="1:17" x14ac:dyDescent="0.3">
      <c r="A30" s="7" t="s">
        <v>29</v>
      </c>
    </row>
    <row r="31" spans="1:17" x14ac:dyDescent="0.3">
      <c r="A31" s="7" t="s">
        <v>14</v>
      </c>
      <c r="C31" s="7">
        <f>B27*C15</f>
        <v>0</v>
      </c>
      <c r="D31" s="7">
        <f t="shared" ref="D31:E31" si="5">C31/1000</f>
        <v>0</v>
      </c>
      <c r="E31" s="10">
        <f t="shared" si="5"/>
        <v>0</v>
      </c>
    </row>
    <row r="33" spans="1:5" x14ac:dyDescent="0.3">
      <c r="A33" s="7" t="s">
        <v>33</v>
      </c>
    </row>
    <row r="34" spans="1:5" x14ac:dyDescent="0.3">
      <c r="A34" s="7" t="s">
        <v>13</v>
      </c>
      <c r="B34" s="7">
        <f>B26</f>
        <v>1000</v>
      </c>
      <c r="C34" s="7">
        <f>B34*(C16+C18)</f>
        <v>0</v>
      </c>
      <c r="D34" s="7">
        <f t="shared" ref="D34:E35" si="6">C34/1000</f>
        <v>0</v>
      </c>
      <c r="E34" s="10">
        <f t="shared" si="6"/>
        <v>0</v>
      </c>
    </row>
    <row r="35" spans="1:5" x14ac:dyDescent="0.3">
      <c r="A35" s="7" t="s">
        <v>14</v>
      </c>
      <c r="B35" s="7">
        <f>B27</f>
        <v>13831000</v>
      </c>
      <c r="C35" s="7">
        <f>B35*C17</f>
        <v>0</v>
      </c>
      <c r="D35" s="7">
        <f t="shared" si="6"/>
        <v>0</v>
      </c>
      <c r="E35" s="10">
        <f t="shared" si="6"/>
        <v>0</v>
      </c>
    </row>
    <row r="37" spans="1:5" x14ac:dyDescent="0.3">
      <c r="A37" s="7" t="s">
        <v>35</v>
      </c>
      <c r="B37" s="7" t="s">
        <v>36</v>
      </c>
    </row>
    <row r="41" spans="1:5" x14ac:dyDescent="0.3">
      <c r="B41" s="7" t="s">
        <v>59</v>
      </c>
      <c r="C41" s="7" t="s">
        <v>59</v>
      </c>
      <c r="D41" s="7" t="s">
        <v>86</v>
      </c>
    </row>
    <row r="42" spans="1:5" x14ac:dyDescent="0.3">
      <c r="A42" s="9" t="s">
        <v>66</v>
      </c>
      <c r="B42" s="7" t="s">
        <v>68</v>
      </c>
      <c r="C42" s="7" t="s">
        <v>69</v>
      </c>
    </row>
    <row r="43" spans="1:5" x14ac:dyDescent="0.3">
      <c r="B43" s="7" t="s">
        <v>70</v>
      </c>
      <c r="D43" s="7" t="s">
        <v>70</v>
      </c>
    </row>
    <row r="44" spans="1:5" x14ac:dyDescent="0.3">
      <c r="A44" s="7" t="s">
        <v>67</v>
      </c>
      <c r="B44" s="7">
        <f>0.86/2</f>
        <v>0.43</v>
      </c>
      <c r="C44" s="7">
        <f>110/2</f>
        <v>55</v>
      </c>
    </row>
    <row r="45" spans="1:5" x14ac:dyDescent="0.3">
      <c r="A45" s="7" t="s">
        <v>71</v>
      </c>
      <c r="B45" s="7">
        <f>78/2</f>
        <v>39</v>
      </c>
      <c r="C45" s="7">
        <f>137/2</f>
        <v>68.5</v>
      </c>
      <c r="D45" s="7">
        <f>16000/125</f>
        <v>128</v>
      </c>
    </row>
    <row r="47" spans="1:5" x14ac:dyDescent="0.3">
      <c r="A47" s="7" t="s">
        <v>76</v>
      </c>
      <c r="B47" s="7">
        <v>1000</v>
      </c>
    </row>
    <row r="48" spans="1:5" x14ac:dyDescent="0.3">
      <c r="B48" s="7" t="s">
        <v>72</v>
      </c>
    </row>
    <row r="49" spans="1:7" x14ac:dyDescent="0.3">
      <c r="B49" s="7" t="s">
        <v>68</v>
      </c>
      <c r="C49" s="7" t="s">
        <v>69</v>
      </c>
    </row>
    <row r="50" spans="1:7" x14ac:dyDescent="0.3">
      <c r="B50" s="7" t="s">
        <v>73</v>
      </c>
      <c r="D50" s="7" t="s">
        <v>75</v>
      </c>
      <c r="F50" s="7" t="s">
        <v>74</v>
      </c>
    </row>
    <row r="51" spans="1:7" x14ac:dyDescent="0.3">
      <c r="A51" s="7" t="s">
        <v>67</v>
      </c>
      <c r="B51" s="7">
        <f>B44*$B$47</f>
        <v>430</v>
      </c>
      <c r="C51" s="7">
        <f>C44*$B$47</f>
        <v>55000</v>
      </c>
      <c r="D51" s="11">
        <f t="shared" ref="D51:G52" si="7">B51/60</f>
        <v>7.166666666666667</v>
      </c>
      <c r="E51" s="11">
        <f t="shared" si="7"/>
        <v>916.66666666666663</v>
      </c>
      <c r="F51" s="11">
        <f t="shared" si="7"/>
        <v>0.11944444444444445</v>
      </c>
      <c r="G51" s="11">
        <f t="shared" si="7"/>
        <v>15.277777777777777</v>
      </c>
    </row>
    <row r="52" spans="1:7" x14ac:dyDescent="0.3">
      <c r="A52" s="7" t="s">
        <v>71</v>
      </c>
      <c r="B52" s="7">
        <f>B45*$B$47</f>
        <v>39000</v>
      </c>
      <c r="C52" s="7">
        <f>C45*$B$47</f>
        <v>68500</v>
      </c>
      <c r="D52" s="11">
        <f t="shared" si="7"/>
        <v>650</v>
      </c>
      <c r="E52" s="11">
        <f t="shared" si="7"/>
        <v>1141.6666666666667</v>
      </c>
      <c r="F52" s="11">
        <f t="shared" si="7"/>
        <v>10.833333333333334</v>
      </c>
      <c r="G52" s="11">
        <f t="shared" si="7"/>
        <v>19.027777777777779</v>
      </c>
    </row>
    <row r="53" spans="1:7" x14ac:dyDescent="0.3">
      <c r="B53" s="11">
        <f t="shared" ref="B53:G53" si="8">SUM(B51:B52)</f>
        <v>39430</v>
      </c>
      <c r="C53" s="11">
        <f t="shared" si="8"/>
        <v>123500</v>
      </c>
      <c r="D53" s="11">
        <f t="shared" si="8"/>
        <v>657.16666666666663</v>
      </c>
      <c r="E53" s="11">
        <f t="shared" si="8"/>
        <v>2058.3333333333335</v>
      </c>
      <c r="F53" s="11">
        <f t="shared" si="8"/>
        <v>10.952777777777778</v>
      </c>
      <c r="G53" s="11">
        <f t="shared" si="8"/>
        <v>34.305555555555557</v>
      </c>
    </row>
  </sheetData>
  <mergeCells count="2">
    <mergeCell ref="C22:E22"/>
    <mergeCell ref="F22:H2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F285-D1A0-4C54-AEAA-B385B9C89DCE}">
  <dimension ref="A2:Q58"/>
  <sheetViews>
    <sheetView tabSelected="1" topLeftCell="A31" workbookViewId="0">
      <selection activeCell="A58" sqref="A58"/>
    </sheetView>
  </sheetViews>
  <sheetFormatPr baseColWidth="10" defaultRowHeight="14.4" x14ac:dyDescent="0.3"/>
  <cols>
    <col min="1" max="1" width="22" style="16" customWidth="1"/>
    <col min="2" max="2" width="26.77734375" style="16" customWidth="1"/>
    <col min="3" max="3" width="11.5546875" style="16"/>
    <col min="4" max="4" width="11.6640625" style="16" bestFit="1" customWidth="1"/>
    <col min="5" max="5" width="12.5546875" style="16" bestFit="1" customWidth="1"/>
    <col min="6" max="16384" width="11.5546875" style="16"/>
  </cols>
  <sheetData>
    <row r="2" spans="1:17" x14ac:dyDescent="0.3">
      <c r="C2" s="16" t="s">
        <v>51</v>
      </c>
      <c r="H2" s="17" t="s">
        <v>47</v>
      </c>
      <c r="M2" s="17" t="s">
        <v>48</v>
      </c>
    </row>
    <row r="3" spans="1:17" x14ac:dyDescent="0.3">
      <c r="C3" s="16" t="s">
        <v>20</v>
      </c>
      <c r="D3" s="16" t="s">
        <v>21</v>
      </c>
      <c r="F3" s="16" t="s">
        <v>40</v>
      </c>
      <c r="G3" s="16" t="s">
        <v>39</v>
      </c>
      <c r="H3" s="16" t="s">
        <v>20</v>
      </c>
      <c r="I3" s="16" t="s">
        <v>21</v>
      </c>
      <c r="K3" s="16" t="s">
        <v>40</v>
      </c>
      <c r="L3" s="16" t="s">
        <v>39</v>
      </c>
      <c r="M3" s="16" t="s">
        <v>20</v>
      </c>
      <c r="N3" s="16" t="s">
        <v>21</v>
      </c>
      <c r="P3" s="16" t="s">
        <v>40</v>
      </c>
      <c r="Q3" s="16" t="s">
        <v>39</v>
      </c>
    </row>
    <row r="4" spans="1:17" x14ac:dyDescent="0.3">
      <c r="B4" s="16" t="s">
        <v>44</v>
      </c>
      <c r="C4" s="16" t="s">
        <v>0</v>
      </c>
      <c r="D4" s="16" t="s">
        <v>22</v>
      </c>
      <c r="E4" s="16" t="s">
        <v>23</v>
      </c>
      <c r="F4" s="16" t="s">
        <v>27</v>
      </c>
      <c r="H4" s="16" t="s">
        <v>0</v>
      </c>
      <c r="I4" s="16" t="s">
        <v>22</v>
      </c>
      <c r="J4" s="16" t="s">
        <v>23</v>
      </c>
      <c r="K4" s="16" t="s">
        <v>27</v>
      </c>
      <c r="M4" s="16" t="s">
        <v>0</v>
      </c>
      <c r="N4" s="16" t="s">
        <v>22</v>
      </c>
      <c r="O4" s="16" t="s">
        <v>23</v>
      </c>
      <c r="P4" s="16" t="s">
        <v>27</v>
      </c>
    </row>
    <row r="5" spans="1:17" x14ac:dyDescent="0.3">
      <c r="A5" s="16" t="s">
        <v>45</v>
      </c>
      <c r="B5" s="17" t="s">
        <v>47</v>
      </c>
      <c r="D5" s="16">
        <f>0.00002/5</f>
        <v>4.0000000000000007E-6</v>
      </c>
      <c r="F5" s="17"/>
      <c r="H5" s="16">
        <f>IF($B5=$H$2,C5,"")</f>
        <v>0</v>
      </c>
      <c r="I5" s="16">
        <f t="shared" ref="I5:L5" si="0">IF($B5=$H$2,D5,"")</f>
        <v>4.0000000000000007E-6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 t="str">
        <f>IF($B5=$M$2,C5,"")</f>
        <v/>
      </c>
      <c r="N5" s="16" t="str">
        <f t="shared" ref="N5:Q5" si="1">IF($B5=$M$2,D5,"")</f>
        <v/>
      </c>
      <c r="O5" s="16" t="str">
        <f t="shared" si="1"/>
        <v/>
      </c>
      <c r="P5" s="16" t="str">
        <f t="shared" si="1"/>
        <v/>
      </c>
      <c r="Q5" s="16" t="str">
        <f t="shared" si="1"/>
        <v/>
      </c>
    </row>
    <row r="6" spans="1:17" x14ac:dyDescent="0.3">
      <c r="A6" s="16" t="s">
        <v>45</v>
      </c>
      <c r="B6" s="17" t="s">
        <v>48</v>
      </c>
      <c r="D6" s="16">
        <v>7.9015000000000002E-2</v>
      </c>
      <c r="F6" s="17"/>
      <c r="H6" s="16" t="str">
        <f t="shared" ref="H6:H14" si="2">IF($B6=$H$2,C6,"")</f>
        <v/>
      </c>
      <c r="I6" s="16" t="str">
        <f t="shared" ref="I6:I14" si="3">IF($B6=$H$2,D6,"")</f>
        <v/>
      </c>
      <c r="J6" s="16" t="str">
        <f t="shared" ref="J6:J14" si="4">IF($B6=$H$2,E6,"")</f>
        <v/>
      </c>
      <c r="K6" s="16" t="str">
        <f t="shared" ref="K6:K14" si="5">IF($B6=$H$2,F6,"")</f>
        <v/>
      </c>
      <c r="L6" s="16" t="str">
        <f t="shared" ref="L6:L14" si="6">IF($B6=$H$2,G6,"")</f>
        <v/>
      </c>
      <c r="M6" s="16">
        <f t="shared" ref="M6:M14" si="7">IF($B6=$M$2,C6,"")</f>
        <v>0</v>
      </c>
      <c r="N6" s="16">
        <f t="shared" ref="N6:N14" si="8">IF($B6=$M$2,D6,"")</f>
        <v>7.9015000000000002E-2</v>
      </c>
      <c r="O6" s="16">
        <f t="shared" ref="O6:O14" si="9">IF($B6=$M$2,E6,"")</f>
        <v>0</v>
      </c>
      <c r="P6" s="16">
        <f t="shared" ref="P6:P14" si="10">IF($B6=$M$2,F6,"")</f>
        <v>0</v>
      </c>
      <c r="Q6" s="16">
        <f t="shared" ref="Q6:Q14" si="11">IF($B6=$M$2,G6,"")</f>
        <v>0</v>
      </c>
    </row>
    <row r="7" spans="1:17" x14ac:dyDescent="0.3">
      <c r="A7" s="16" t="s">
        <v>45</v>
      </c>
      <c r="B7" s="17" t="s">
        <v>47</v>
      </c>
      <c r="F7" s="17">
        <v>2E-3</v>
      </c>
      <c r="G7" s="16">
        <v>1E-3</v>
      </c>
      <c r="H7" s="16">
        <f t="shared" si="2"/>
        <v>0</v>
      </c>
      <c r="I7" s="16">
        <f t="shared" si="3"/>
        <v>0</v>
      </c>
      <c r="J7" s="16">
        <f t="shared" si="4"/>
        <v>0</v>
      </c>
      <c r="K7" s="16">
        <f t="shared" si="5"/>
        <v>2E-3</v>
      </c>
      <c r="L7" s="16">
        <f t="shared" si="6"/>
        <v>1E-3</v>
      </c>
      <c r="M7" s="16" t="str">
        <f t="shared" si="7"/>
        <v/>
      </c>
      <c r="N7" s="16" t="str">
        <f t="shared" si="8"/>
        <v/>
      </c>
      <c r="O7" s="16" t="str">
        <f t="shared" si="9"/>
        <v/>
      </c>
      <c r="P7" s="16" t="str">
        <f t="shared" si="10"/>
        <v/>
      </c>
      <c r="Q7" s="16" t="str">
        <f t="shared" si="11"/>
        <v/>
      </c>
    </row>
    <row r="8" spans="1:17" x14ac:dyDescent="0.3">
      <c r="A8" s="16" t="s">
        <v>45</v>
      </c>
      <c r="B8" s="17" t="s">
        <v>48</v>
      </c>
      <c r="F8" s="17">
        <v>2.5000000000000001E-2</v>
      </c>
      <c r="H8" s="16" t="str">
        <f t="shared" si="2"/>
        <v/>
      </c>
      <c r="I8" s="16" t="str">
        <f t="shared" si="3"/>
        <v/>
      </c>
      <c r="J8" s="16" t="str">
        <f t="shared" si="4"/>
        <v/>
      </c>
      <c r="K8" s="16" t="str">
        <f t="shared" si="5"/>
        <v/>
      </c>
      <c r="L8" s="16" t="str">
        <f t="shared" si="6"/>
        <v/>
      </c>
      <c r="M8" s="16">
        <f t="shared" si="7"/>
        <v>0</v>
      </c>
      <c r="N8" s="16">
        <f t="shared" si="8"/>
        <v>0</v>
      </c>
      <c r="O8" s="16">
        <f t="shared" si="9"/>
        <v>0</v>
      </c>
      <c r="P8" s="16">
        <f t="shared" si="10"/>
        <v>2.5000000000000001E-2</v>
      </c>
      <c r="Q8" s="16">
        <f t="shared" si="11"/>
        <v>0</v>
      </c>
    </row>
    <row r="9" spans="1:17" x14ac:dyDescent="0.3">
      <c r="A9" s="16" t="s">
        <v>14</v>
      </c>
      <c r="B9" s="17" t="s">
        <v>47</v>
      </c>
      <c r="F9" s="17">
        <v>2E-3</v>
      </c>
      <c r="H9" s="16">
        <f t="shared" si="2"/>
        <v>0</v>
      </c>
      <c r="I9" s="16">
        <f t="shared" si="3"/>
        <v>0</v>
      </c>
      <c r="J9" s="16">
        <f t="shared" si="4"/>
        <v>0</v>
      </c>
      <c r="K9" s="16">
        <f t="shared" si="5"/>
        <v>2E-3</v>
      </c>
      <c r="L9" s="16">
        <f t="shared" si="6"/>
        <v>0</v>
      </c>
      <c r="M9" s="16" t="str">
        <f t="shared" si="7"/>
        <v/>
      </c>
      <c r="N9" s="16" t="str">
        <f t="shared" si="8"/>
        <v/>
      </c>
      <c r="O9" s="16" t="str">
        <f t="shared" si="9"/>
        <v/>
      </c>
      <c r="P9" s="16" t="str">
        <f t="shared" si="10"/>
        <v/>
      </c>
      <c r="Q9" s="16" t="str">
        <f t="shared" si="11"/>
        <v/>
      </c>
    </row>
    <row r="10" spans="1:17" x14ac:dyDescent="0.3">
      <c r="A10" s="16" t="s">
        <v>14</v>
      </c>
      <c r="B10" s="17" t="s">
        <v>48</v>
      </c>
      <c r="F10" s="17">
        <v>2.8000000000000001E-2</v>
      </c>
      <c r="H10" s="16" t="str">
        <f t="shared" si="2"/>
        <v/>
      </c>
      <c r="I10" s="16" t="str">
        <f t="shared" si="3"/>
        <v/>
      </c>
      <c r="J10" s="16" t="str">
        <f t="shared" si="4"/>
        <v/>
      </c>
      <c r="K10" s="16" t="str">
        <f t="shared" si="5"/>
        <v/>
      </c>
      <c r="L10" s="16" t="str">
        <f t="shared" si="6"/>
        <v/>
      </c>
      <c r="M10" s="16">
        <f t="shared" si="7"/>
        <v>0</v>
      </c>
      <c r="N10" s="16">
        <f t="shared" si="8"/>
        <v>0</v>
      </c>
      <c r="O10" s="16">
        <f t="shared" si="9"/>
        <v>0</v>
      </c>
      <c r="P10" s="16">
        <f t="shared" si="10"/>
        <v>2.8000000000000001E-2</v>
      </c>
      <c r="Q10" s="16">
        <f t="shared" si="11"/>
        <v>0</v>
      </c>
    </row>
    <row r="11" spans="1:17" x14ac:dyDescent="0.3">
      <c r="A11" s="16" t="s">
        <v>46</v>
      </c>
      <c r="B11" s="17" t="s">
        <v>47</v>
      </c>
      <c r="F11" s="17">
        <v>4.403E-2</v>
      </c>
      <c r="H11" s="16">
        <f t="shared" si="2"/>
        <v>0</v>
      </c>
      <c r="I11" s="16">
        <f t="shared" si="3"/>
        <v>0</v>
      </c>
      <c r="J11" s="16">
        <f t="shared" si="4"/>
        <v>0</v>
      </c>
      <c r="K11" s="16">
        <f t="shared" si="5"/>
        <v>4.403E-2</v>
      </c>
      <c r="L11" s="16">
        <f t="shared" si="6"/>
        <v>0</v>
      </c>
      <c r="M11" s="16" t="str">
        <f t="shared" si="7"/>
        <v/>
      </c>
      <c r="N11" s="16" t="str">
        <f t="shared" si="8"/>
        <v/>
      </c>
      <c r="O11" s="16" t="str">
        <f t="shared" si="9"/>
        <v/>
      </c>
      <c r="P11" s="16" t="str">
        <f t="shared" si="10"/>
        <v/>
      </c>
      <c r="Q11" s="16" t="str">
        <f t="shared" si="11"/>
        <v/>
      </c>
    </row>
    <row r="12" spans="1:17" x14ac:dyDescent="0.3">
      <c r="A12" s="16" t="s">
        <v>46</v>
      </c>
      <c r="B12" s="17" t="s">
        <v>48</v>
      </c>
      <c r="F12" s="17">
        <v>5.8040000000000001E-2</v>
      </c>
      <c r="H12" s="16" t="str">
        <f t="shared" si="2"/>
        <v/>
      </c>
      <c r="I12" s="16" t="str">
        <f t="shared" si="3"/>
        <v/>
      </c>
      <c r="J12" s="16" t="str">
        <f t="shared" si="4"/>
        <v/>
      </c>
      <c r="K12" s="16" t="str">
        <f t="shared" si="5"/>
        <v/>
      </c>
      <c r="L12" s="16" t="str">
        <f t="shared" si="6"/>
        <v/>
      </c>
      <c r="M12" s="16">
        <f t="shared" si="7"/>
        <v>0</v>
      </c>
      <c r="N12" s="16">
        <f t="shared" si="8"/>
        <v>0</v>
      </c>
      <c r="O12" s="16">
        <f t="shared" si="9"/>
        <v>0</v>
      </c>
      <c r="P12" s="16">
        <f t="shared" si="10"/>
        <v>5.8040000000000001E-2</v>
      </c>
      <c r="Q12" s="16">
        <f t="shared" si="11"/>
        <v>0</v>
      </c>
    </row>
    <row r="13" spans="1:17" x14ac:dyDescent="0.3">
      <c r="A13" s="16" t="s">
        <v>13</v>
      </c>
      <c r="B13" s="17" t="s">
        <v>47</v>
      </c>
      <c r="F13" s="17">
        <v>2.452E-2</v>
      </c>
      <c r="H13" s="16">
        <f t="shared" si="2"/>
        <v>0</v>
      </c>
      <c r="I13" s="16">
        <f t="shared" si="3"/>
        <v>0</v>
      </c>
      <c r="J13" s="16">
        <f t="shared" si="4"/>
        <v>0</v>
      </c>
      <c r="K13" s="16">
        <f t="shared" si="5"/>
        <v>2.452E-2</v>
      </c>
      <c r="L13" s="16">
        <f t="shared" si="6"/>
        <v>0</v>
      </c>
      <c r="M13" s="16" t="str">
        <f t="shared" si="7"/>
        <v/>
      </c>
      <c r="N13" s="16" t="str">
        <f t="shared" si="8"/>
        <v/>
      </c>
      <c r="O13" s="16" t="str">
        <f t="shared" si="9"/>
        <v/>
      </c>
      <c r="P13" s="16" t="str">
        <f t="shared" si="10"/>
        <v/>
      </c>
      <c r="Q13" s="16" t="str">
        <f t="shared" si="11"/>
        <v/>
      </c>
    </row>
    <row r="14" spans="1:17" x14ac:dyDescent="0.3">
      <c r="A14" s="16" t="s">
        <v>13</v>
      </c>
      <c r="B14" s="17" t="s">
        <v>48</v>
      </c>
      <c r="F14" s="17">
        <v>2.852E-2</v>
      </c>
      <c r="H14" s="16" t="str">
        <f t="shared" si="2"/>
        <v/>
      </c>
      <c r="I14" s="16" t="str">
        <f t="shared" si="3"/>
        <v/>
      </c>
      <c r="J14" s="16" t="str">
        <f t="shared" si="4"/>
        <v/>
      </c>
      <c r="K14" s="16" t="str">
        <f t="shared" si="5"/>
        <v/>
      </c>
      <c r="L14" s="16" t="str">
        <f t="shared" si="6"/>
        <v/>
      </c>
      <c r="M14" s="16">
        <f t="shared" si="7"/>
        <v>0</v>
      </c>
      <c r="N14" s="16">
        <f t="shared" si="8"/>
        <v>0</v>
      </c>
      <c r="O14" s="16">
        <f t="shared" si="9"/>
        <v>0</v>
      </c>
      <c r="P14" s="16">
        <f t="shared" si="10"/>
        <v>2.852E-2</v>
      </c>
      <c r="Q14" s="16">
        <f t="shared" si="11"/>
        <v>0</v>
      </c>
    </row>
    <row r="15" spans="1:17" x14ac:dyDescent="0.3">
      <c r="B15" s="17"/>
      <c r="F15" s="17"/>
    </row>
    <row r="16" spans="1:17" x14ac:dyDescent="0.3">
      <c r="B16" s="17"/>
      <c r="F16" s="17"/>
    </row>
    <row r="17" spans="1:17" x14ac:dyDescent="0.3">
      <c r="B17" s="17"/>
      <c r="F17" s="17"/>
    </row>
    <row r="18" spans="1:17" x14ac:dyDescent="0.3">
      <c r="A18" s="16" t="s">
        <v>13</v>
      </c>
      <c r="B18" s="17"/>
    </row>
    <row r="19" spans="1:17" x14ac:dyDescent="0.3">
      <c r="B19" s="17" t="s">
        <v>28</v>
      </c>
    </row>
    <row r="20" spans="1:17" x14ac:dyDescent="0.3">
      <c r="B20" s="17"/>
    </row>
    <row r="21" spans="1:17" x14ac:dyDescent="0.3">
      <c r="B21" s="17"/>
    </row>
    <row r="22" spans="1:17" x14ac:dyDescent="0.3">
      <c r="B22" s="17"/>
    </row>
    <row r="23" spans="1:17" x14ac:dyDescent="0.3">
      <c r="B23" s="17"/>
    </row>
    <row r="24" spans="1:17" x14ac:dyDescent="0.3">
      <c r="B24" s="17"/>
    </row>
    <row r="25" spans="1:17" x14ac:dyDescent="0.3">
      <c r="B25" s="17"/>
    </row>
    <row r="26" spans="1:17" x14ac:dyDescent="0.3">
      <c r="A26" s="16" t="s">
        <v>49</v>
      </c>
      <c r="B26" s="17">
        <v>10</v>
      </c>
      <c r="P26" s="16">
        <v>4</v>
      </c>
    </row>
    <row r="27" spans="1:17" x14ac:dyDescent="0.3">
      <c r="C27" s="16" t="s">
        <v>50</v>
      </c>
      <c r="L27" s="16" t="s">
        <v>41</v>
      </c>
      <c r="O27" s="16" t="s">
        <v>42</v>
      </c>
      <c r="P27" s="16">
        <f>$P$26</f>
        <v>4</v>
      </c>
      <c r="Q27" s="16" t="s">
        <v>43</v>
      </c>
    </row>
    <row r="28" spans="1:17" x14ac:dyDescent="0.3">
      <c r="A28" s="18" t="s">
        <v>15</v>
      </c>
      <c r="C28" s="19" t="s">
        <v>20</v>
      </c>
      <c r="D28" s="19"/>
      <c r="E28" s="19"/>
      <c r="F28" s="19" t="s">
        <v>21</v>
      </c>
      <c r="G28" s="19"/>
      <c r="H28" s="19"/>
      <c r="I28" s="16" t="s">
        <v>23</v>
      </c>
      <c r="L28" s="16" t="s">
        <v>27</v>
      </c>
      <c r="O28" s="16" t="s">
        <v>27</v>
      </c>
    </row>
    <row r="29" spans="1:17" x14ac:dyDescent="0.3">
      <c r="B29" s="16" t="s">
        <v>16</v>
      </c>
      <c r="C29" s="16" t="s">
        <v>0</v>
      </c>
      <c r="D29" s="16" t="s">
        <v>17</v>
      </c>
      <c r="E29" s="16" t="s">
        <v>18</v>
      </c>
      <c r="F29" s="16" t="s">
        <v>22</v>
      </c>
      <c r="G29" s="16" t="s">
        <v>17</v>
      </c>
      <c r="H29" s="16" t="s">
        <v>18</v>
      </c>
      <c r="I29" s="16" t="s">
        <v>25</v>
      </c>
      <c r="J29" s="16" t="s">
        <v>24</v>
      </c>
      <c r="K29" s="16" t="s">
        <v>26</v>
      </c>
      <c r="L29" s="16" t="s">
        <v>25</v>
      </c>
      <c r="M29" s="16" t="s">
        <v>24</v>
      </c>
      <c r="N29" s="16" t="s">
        <v>26</v>
      </c>
      <c r="O29" s="16" t="s">
        <v>25</v>
      </c>
      <c r="P29" s="16" t="s">
        <v>24</v>
      </c>
      <c r="Q29" s="16" t="s">
        <v>26</v>
      </c>
    </row>
    <row r="30" spans="1:17" x14ac:dyDescent="0.3">
      <c r="A30" s="16" t="s">
        <v>11</v>
      </c>
      <c r="B30" s="16">
        <v>1</v>
      </c>
      <c r="C30" s="16">
        <f>$B30*SUMIF($A$5:$A$18,$A30,$C$5:$C$18)</f>
        <v>0</v>
      </c>
      <c r="D30" s="16">
        <f>C30/1000</f>
        <v>0</v>
      </c>
      <c r="E30" s="20">
        <f>D30/1000</f>
        <v>0</v>
      </c>
      <c r="F30" s="16">
        <f>$B30*SUMIF($A$5:$A$18,$A30,$D$5:$D$18)</f>
        <v>0</v>
      </c>
      <c r="G30" s="16">
        <f>F30/1000</f>
        <v>0</v>
      </c>
      <c r="H30" s="20">
        <f>G30/1000</f>
        <v>0</v>
      </c>
      <c r="O30" s="16">
        <f t="shared" ref="O30:Q35" si="12">(L30)/($P$26)</f>
        <v>0</v>
      </c>
      <c r="P30" s="16">
        <f t="shared" si="12"/>
        <v>0</v>
      </c>
      <c r="Q30" s="16">
        <f t="shared" si="12"/>
        <v>0</v>
      </c>
    </row>
    <row r="31" spans="1:17" x14ac:dyDescent="0.3">
      <c r="A31" s="16" t="s">
        <v>12</v>
      </c>
      <c r="B31" s="16">
        <v>13831</v>
      </c>
      <c r="C31" s="16">
        <f>$B31*SUMIF($A$5:$A$18,$A31,$C$5:$C$18)</f>
        <v>0</v>
      </c>
      <c r="D31" s="16">
        <f t="shared" ref="D31:E36" si="13">C31/1000</f>
        <v>0</v>
      </c>
      <c r="E31" s="20">
        <f t="shared" si="13"/>
        <v>0</v>
      </c>
      <c r="F31" s="16">
        <f>$B31*SUMIF($A$5:$A$18,$A31,$D$5:$D$18)</f>
        <v>0</v>
      </c>
      <c r="G31" s="16">
        <f t="shared" ref="G31:H36" si="14">F31/1000</f>
        <v>0</v>
      </c>
      <c r="H31" s="20">
        <f t="shared" si="14"/>
        <v>0</v>
      </c>
      <c r="O31" s="16">
        <f t="shared" si="12"/>
        <v>0</v>
      </c>
      <c r="P31" s="16">
        <f t="shared" si="12"/>
        <v>0</v>
      </c>
      <c r="Q31" s="16">
        <f t="shared" si="12"/>
        <v>0</v>
      </c>
    </row>
    <row r="32" spans="1:17" x14ac:dyDescent="0.3">
      <c r="A32" s="16" t="s">
        <v>13</v>
      </c>
      <c r="B32" s="16">
        <v>1000</v>
      </c>
      <c r="C32" s="16">
        <f>$B32*SUMIF($A$5:$A$18,$A32,$C$5:$C$18)</f>
        <v>0</v>
      </c>
      <c r="D32" s="16">
        <f t="shared" si="13"/>
        <v>0</v>
      </c>
      <c r="E32" s="20">
        <f t="shared" si="13"/>
        <v>0</v>
      </c>
      <c r="F32" s="16">
        <f>$B32*SUMIF($A$5:$A$18,$A32,$D$5:$D$18)</f>
        <v>0</v>
      </c>
      <c r="G32" s="16">
        <f t="shared" si="14"/>
        <v>0</v>
      </c>
      <c r="H32" s="20">
        <f t="shared" si="14"/>
        <v>0</v>
      </c>
      <c r="L32" s="16">
        <f>$B32*SUMIF($A$5:$A$18,$A32,$F$5:$F$18)</f>
        <v>53.040000000000006</v>
      </c>
      <c r="M32" s="21">
        <f>L32/3600</f>
        <v>1.4733333333333334E-2</v>
      </c>
      <c r="N32" s="21">
        <f>M32/24</f>
        <v>6.1388888888888897E-4</v>
      </c>
      <c r="O32" s="16">
        <f t="shared" si="12"/>
        <v>13.260000000000002</v>
      </c>
      <c r="P32" s="16">
        <f t="shared" si="12"/>
        <v>3.6833333333333336E-3</v>
      </c>
      <c r="Q32" s="16">
        <f t="shared" si="12"/>
        <v>1.5347222222222224E-4</v>
      </c>
    </row>
    <row r="33" spans="1:17" x14ac:dyDescent="0.3">
      <c r="A33" s="16" t="s">
        <v>45</v>
      </c>
      <c r="B33" s="16">
        <f>B35*$B$26</f>
        <v>138310000</v>
      </c>
      <c r="C33" s="16">
        <f>$B33*SUMIF($A$5:$A$18,$A33,$C$5:$C$18)</f>
        <v>0</v>
      </c>
      <c r="D33" s="16">
        <f t="shared" ref="D33" si="15">C33/1000</f>
        <v>0</v>
      </c>
      <c r="E33" s="20">
        <f t="shared" ref="E33" si="16">D33/1000</f>
        <v>0</v>
      </c>
      <c r="F33" s="16">
        <f>$B33*SUMIF($A$5:$A$18,$A33,$D$5:$D$18)</f>
        <v>10929117.890000001</v>
      </c>
      <c r="G33" s="16">
        <f t="shared" ref="G33" si="17">F33/1000</f>
        <v>10929.117890000001</v>
      </c>
      <c r="H33" s="20">
        <f t="shared" ref="H33" si="18">G33/1000</f>
        <v>10.929117890000001</v>
      </c>
      <c r="L33" s="16">
        <f>$B33*SUMIF($A$5:$A$18,$A33,$F$5:$F$18)</f>
        <v>3734370.0000000005</v>
      </c>
      <c r="M33" s="21">
        <f>L33/3600</f>
        <v>1037.325</v>
      </c>
      <c r="N33" s="21">
        <f>M33/24</f>
        <v>43.221875000000004</v>
      </c>
      <c r="O33" s="16">
        <f t="shared" ref="O33" si="19">(L33)/($P$26)</f>
        <v>933592.50000000012</v>
      </c>
      <c r="P33" s="16">
        <f t="shared" ref="P33" si="20">(M33)/($P$26)</f>
        <v>259.33125000000001</v>
      </c>
      <c r="Q33" s="16">
        <f t="shared" ref="Q33" si="21">(N33)/($P$26)</f>
        <v>10.805468750000001</v>
      </c>
    </row>
    <row r="34" spans="1:17" x14ac:dyDescent="0.3">
      <c r="A34" s="16" t="s">
        <v>46</v>
      </c>
      <c r="B34" s="16">
        <v>1</v>
      </c>
      <c r="E34" s="20"/>
      <c r="H34" s="20"/>
      <c r="M34" s="21"/>
      <c r="N34" s="21"/>
    </row>
    <row r="35" spans="1:17" x14ac:dyDescent="0.3">
      <c r="A35" s="16" t="s">
        <v>14</v>
      </c>
      <c r="B35" s="16">
        <f>B31*B32</f>
        <v>13831000</v>
      </c>
      <c r="C35" s="16">
        <f>$B35*SUMIF($A$5:$A$18,$A35,$C$5:$C$18)</f>
        <v>0</v>
      </c>
      <c r="D35" s="16">
        <f t="shared" si="13"/>
        <v>0</v>
      </c>
      <c r="E35" s="20">
        <f t="shared" si="13"/>
        <v>0</v>
      </c>
      <c r="F35" s="16">
        <f>$B35*SUMIF($A$5:$A$18,$A35,$D$5:$D$18)</f>
        <v>0</v>
      </c>
      <c r="G35" s="16">
        <f t="shared" si="14"/>
        <v>0</v>
      </c>
      <c r="H35" s="20">
        <f t="shared" si="14"/>
        <v>0</v>
      </c>
      <c r="I35" s="16">
        <f>$B35*SUMIF($A$5:$A$18,$A35,$E$5:$E$18)</f>
        <v>0</v>
      </c>
      <c r="J35" s="21">
        <f>I35/3600</f>
        <v>0</v>
      </c>
      <c r="K35" s="21">
        <f>J35/24</f>
        <v>0</v>
      </c>
      <c r="L35" s="16">
        <f>$B35*SUMIF($A$5:$A$18,$A35,$F$5:$F$18)</f>
        <v>414930</v>
      </c>
      <c r="M35" s="21">
        <f>L35/3600</f>
        <v>115.25833333333334</v>
      </c>
      <c r="N35" s="21">
        <f>M35/24</f>
        <v>4.8024305555555555</v>
      </c>
      <c r="O35" s="16">
        <f t="shared" si="12"/>
        <v>103732.5</v>
      </c>
      <c r="P35" s="16">
        <f t="shared" si="12"/>
        <v>28.814583333333335</v>
      </c>
      <c r="Q35" s="16">
        <f t="shared" si="12"/>
        <v>1.2006076388888889</v>
      </c>
    </row>
    <row r="36" spans="1:17" x14ac:dyDescent="0.3">
      <c r="A36" s="22" t="s">
        <v>19</v>
      </c>
      <c r="B36" s="22"/>
      <c r="C36" s="22">
        <f>SUM(C30:C35)</f>
        <v>0</v>
      </c>
      <c r="D36" s="22">
        <f t="shared" si="13"/>
        <v>0</v>
      </c>
      <c r="E36" s="23">
        <f t="shared" si="13"/>
        <v>0</v>
      </c>
      <c r="F36" s="22">
        <f>SUM(F30:F35)</f>
        <v>10929117.890000001</v>
      </c>
      <c r="G36" s="22">
        <f t="shared" si="14"/>
        <v>10929.117890000001</v>
      </c>
      <c r="H36" s="23">
        <f t="shared" si="14"/>
        <v>10.929117890000001</v>
      </c>
      <c r="L36" s="22">
        <f>SUM(L30:L35)</f>
        <v>4149353.0400000005</v>
      </c>
      <c r="M36" s="23">
        <f t="shared" ref="M36:N36" si="22">SUM(M30:M35)</f>
        <v>1152.5980666666669</v>
      </c>
      <c r="N36" s="23">
        <f t="shared" si="22"/>
        <v>48.024919444444443</v>
      </c>
      <c r="O36" s="22">
        <f>SUM(O30:O35)</f>
        <v>1037338.2600000001</v>
      </c>
      <c r="P36" s="23">
        <f t="shared" ref="P36:Q36" si="23">SUM(P30:P35)</f>
        <v>288.14951666666673</v>
      </c>
      <c r="Q36" s="23">
        <f t="shared" si="23"/>
        <v>12.006229861111111</v>
      </c>
    </row>
    <row r="39" spans="1:17" x14ac:dyDescent="0.3">
      <c r="C39" s="16" t="s">
        <v>52</v>
      </c>
      <c r="L39" s="16" t="s">
        <v>41</v>
      </c>
      <c r="O39" s="16" t="s">
        <v>42</v>
      </c>
      <c r="P39" s="16">
        <f>P27</f>
        <v>4</v>
      </c>
      <c r="Q39" s="16" t="s">
        <v>43</v>
      </c>
    </row>
    <row r="40" spans="1:17" x14ac:dyDescent="0.3">
      <c r="C40" s="19" t="s">
        <v>20</v>
      </c>
      <c r="D40" s="19"/>
      <c r="E40" s="19"/>
      <c r="F40" s="19" t="s">
        <v>21</v>
      </c>
      <c r="G40" s="19"/>
      <c r="H40" s="19"/>
      <c r="I40" s="16" t="s">
        <v>23</v>
      </c>
      <c r="L40" s="16" t="s">
        <v>27</v>
      </c>
      <c r="O40" s="16" t="s">
        <v>27</v>
      </c>
    </row>
    <row r="41" spans="1:17" x14ac:dyDescent="0.3">
      <c r="B41" s="16" t="s">
        <v>16</v>
      </c>
      <c r="C41" s="16" t="s">
        <v>0</v>
      </c>
      <c r="D41" s="16" t="s">
        <v>17</v>
      </c>
      <c r="E41" s="16" t="s">
        <v>18</v>
      </c>
      <c r="F41" s="16" t="s">
        <v>22</v>
      </c>
      <c r="G41" s="16" t="s">
        <v>17</v>
      </c>
      <c r="H41" s="16" t="s">
        <v>18</v>
      </c>
      <c r="I41" s="16" t="s">
        <v>25</v>
      </c>
      <c r="J41" s="16" t="s">
        <v>24</v>
      </c>
      <c r="K41" s="16" t="s">
        <v>26</v>
      </c>
      <c r="L41" s="16" t="s">
        <v>25</v>
      </c>
      <c r="M41" s="16" t="s">
        <v>24</v>
      </c>
      <c r="N41" s="16" t="s">
        <v>26</v>
      </c>
      <c r="O41" s="16" t="s">
        <v>25</v>
      </c>
      <c r="P41" s="16" t="s">
        <v>24</v>
      </c>
      <c r="Q41" s="16" t="s">
        <v>26</v>
      </c>
    </row>
    <row r="42" spans="1:17" x14ac:dyDescent="0.3">
      <c r="A42" s="16" t="s">
        <v>11</v>
      </c>
      <c r="B42" s="16">
        <f>B30</f>
        <v>1</v>
      </c>
      <c r="C42" s="16">
        <f>$B42*SUMIF($A$5:$A$18,$A42,$H$5:$H$18)</f>
        <v>0</v>
      </c>
      <c r="D42" s="16">
        <f>C42/1000</f>
        <v>0</v>
      </c>
      <c r="E42" s="20">
        <f>D42/1000</f>
        <v>0</v>
      </c>
      <c r="F42" s="16">
        <f>$B42*SUMIF($A$5:$A$18,$A42,$I$5:$I$18)</f>
        <v>0</v>
      </c>
      <c r="G42" s="16">
        <f>F42/1000</f>
        <v>0</v>
      </c>
      <c r="H42" s="20">
        <f>G42/1000</f>
        <v>0</v>
      </c>
      <c r="L42" s="16">
        <f t="shared" ref="L42:L43" si="24">$B42*SUMIF($A$5:$A$18,$A42,$K$5:$K$18)</f>
        <v>0</v>
      </c>
      <c r="M42" s="21">
        <f t="shared" ref="M42:M43" si="25">L42/3600</f>
        <v>0</v>
      </c>
      <c r="N42" s="21">
        <f t="shared" ref="N42:N43" si="26">M42/24</f>
        <v>0</v>
      </c>
      <c r="O42" s="16">
        <f t="shared" ref="O42:O45" si="27">(L42)/($P$26)</f>
        <v>0</v>
      </c>
      <c r="P42" s="16">
        <f t="shared" ref="P42:P45" si="28">(M42)/($P$26)</f>
        <v>0</v>
      </c>
      <c r="Q42" s="16">
        <f t="shared" ref="Q42:Q45" si="29">(N42)/($P$26)</f>
        <v>0</v>
      </c>
    </row>
    <row r="43" spans="1:17" x14ac:dyDescent="0.3">
      <c r="A43" s="16" t="s">
        <v>12</v>
      </c>
      <c r="B43" s="16">
        <f t="shared" ref="B43:B47" si="30">B31</f>
        <v>13831</v>
      </c>
      <c r="C43" s="16">
        <f t="shared" ref="C43:C45" si="31">$B43*SUMIF($A$5:$A$18,$A43,$H$5:$H$18)</f>
        <v>0</v>
      </c>
      <c r="D43" s="16">
        <f t="shared" ref="D43:D45" si="32">C43/1000</f>
        <v>0</v>
      </c>
      <c r="E43" s="20">
        <f t="shared" ref="E43:E45" si="33">D43/1000</f>
        <v>0</v>
      </c>
      <c r="F43" s="16">
        <f t="shared" ref="F43:F47" si="34">$B43*SUMIF($A$5:$A$18,$A43,$I$5:$I$18)</f>
        <v>0</v>
      </c>
      <c r="G43" s="16">
        <f t="shared" ref="G43:G45" si="35">F43/1000</f>
        <v>0</v>
      </c>
      <c r="H43" s="20">
        <f t="shared" ref="H43:H45" si="36">G43/1000</f>
        <v>0</v>
      </c>
      <c r="L43" s="16">
        <f t="shared" si="24"/>
        <v>0</v>
      </c>
      <c r="M43" s="21">
        <f t="shared" si="25"/>
        <v>0</v>
      </c>
      <c r="N43" s="21">
        <f t="shared" si="26"/>
        <v>0</v>
      </c>
      <c r="O43" s="16">
        <f t="shared" si="27"/>
        <v>0</v>
      </c>
      <c r="P43" s="16">
        <f t="shared" si="28"/>
        <v>0</v>
      </c>
      <c r="Q43" s="16">
        <f t="shared" si="29"/>
        <v>0</v>
      </c>
    </row>
    <row r="44" spans="1:17" x14ac:dyDescent="0.3">
      <c r="A44" s="16" t="s">
        <v>13</v>
      </c>
      <c r="B44" s="16">
        <f t="shared" si="30"/>
        <v>1000</v>
      </c>
      <c r="C44" s="16">
        <f t="shared" si="31"/>
        <v>0</v>
      </c>
      <c r="D44" s="16">
        <f t="shared" si="32"/>
        <v>0</v>
      </c>
      <c r="E44" s="20">
        <f t="shared" si="33"/>
        <v>0</v>
      </c>
      <c r="F44" s="16">
        <f t="shared" si="34"/>
        <v>0</v>
      </c>
      <c r="G44" s="16">
        <f t="shared" si="35"/>
        <v>0</v>
      </c>
      <c r="H44" s="20">
        <f t="shared" si="36"/>
        <v>0</v>
      </c>
      <c r="L44" s="16">
        <f>$B44*SUMIF($A$5:$A$18,$A44,$K$5:$K$18)</f>
        <v>24.52</v>
      </c>
      <c r="M44" s="21">
        <f>L44/3600</f>
        <v>6.8111111111111107E-3</v>
      </c>
      <c r="N44" s="21">
        <f>M44/24</f>
        <v>2.8379629629629626E-4</v>
      </c>
      <c r="O44" s="16">
        <f t="shared" si="27"/>
        <v>6.13</v>
      </c>
      <c r="P44" s="16">
        <f t="shared" si="28"/>
        <v>1.7027777777777777E-3</v>
      </c>
      <c r="Q44" s="16">
        <f t="shared" si="29"/>
        <v>7.0949074074074065E-5</v>
      </c>
    </row>
    <row r="45" spans="1:17" x14ac:dyDescent="0.3">
      <c r="A45" s="16" t="s">
        <v>45</v>
      </c>
      <c r="B45" s="16">
        <f t="shared" si="30"/>
        <v>138310000</v>
      </c>
      <c r="C45" s="16">
        <f t="shared" si="31"/>
        <v>0</v>
      </c>
      <c r="D45" s="16">
        <f t="shared" si="32"/>
        <v>0</v>
      </c>
      <c r="E45" s="20">
        <f t="shared" si="33"/>
        <v>0</v>
      </c>
      <c r="F45" s="16">
        <f t="shared" si="34"/>
        <v>553.24000000000012</v>
      </c>
      <c r="G45" s="16">
        <f t="shared" si="35"/>
        <v>0.55324000000000018</v>
      </c>
      <c r="H45" s="20">
        <f t="shared" si="36"/>
        <v>5.532400000000002E-4</v>
      </c>
      <c r="L45" s="16">
        <f t="shared" ref="L45:L47" si="37">$B45*SUMIF($A$5:$A$18,$A45,$K$5:$K$18)</f>
        <v>276620</v>
      </c>
      <c r="M45" s="21">
        <f t="shared" ref="M45:M47" si="38">L45/3600</f>
        <v>76.838888888888889</v>
      </c>
      <c r="N45" s="21">
        <f t="shared" ref="N45:N47" si="39">M45/24</f>
        <v>3.2016203703703705</v>
      </c>
      <c r="O45" s="16">
        <f t="shared" si="27"/>
        <v>69155</v>
      </c>
      <c r="P45" s="16">
        <f t="shared" si="28"/>
        <v>19.209722222222222</v>
      </c>
      <c r="Q45" s="16">
        <f t="shared" si="29"/>
        <v>0.80040509259259263</v>
      </c>
    </row>
    <row r="46" spans="1:17" x14ac:dyDescent="0.3">
      <c r="A46" s="16" t="s">
        <v>46</v>
      </c>
      <c r="B46" s="16">
        <f t="shared" si="30"/>
        <v>1</v>
      </c>
      <c r="E46" s="20"/>
      <c r="F46" s="16">
        <f t="shared" si="34"/>
        <v>0</v>
      </c>
      <c r="H46" s="20"/>
      <c r="L46" s="16">
        <f t="shared" si="37"/>
        <v>4.403E-2</v>
      </c>
      <c r="M46" s="21">
        <f t="shared" si="38"/>
        <v>1.2230555555555555E-5</v>
      </c>
      <c r="N46" s="21">
        <f t="shared" si="39"/>
        <v>5.0960648148148144E-7</v>
      </c>
    </row>
    <row r="47" spans="1:17" x14ac:dyDescent="0.3">
      <c r="A47" s="16" t="s">
        <v>14</v>
      </c>
      <c r="B47" s="16">
        <f t="shared" si="30"/>
        <v>13831000</v>
      </c>
      <c r="C47" s="16">
        <f>$B47*SUMIF($A$5:$A$18,$A47,$C$5:$C$18)</f>
        <v>0</v>
      </c>
      <c r="D47" s="16">
        <f t="shared" ref="D47:D48" si="40">C47/1000</f>
        <v>0</v>
      </c>
      <c r="E47" s="20">
        <f t="shared" ref="E47:E48" si="41">D47/1000</f>
        <v>0</v>
      </c>
      <c r="F47" s="16">
        <f t="shared" si="34"/>
        <v>0</v>
      </c>
      <c r="G47" s="16">
        <f t="shared" ref="G47:G48" si="42">F47/1000</f>
        <v>0</v>
      </c>
      <c r="H47" s="20">
        <f t="shared" ref="H47:H48" si="43">G47/1000</f>
        <v>0</v>
      </c>
      <c r="I47" s="16">
        <f>$B47*SUMIF($A$5:$A$18,$A47,$E$5:$E$18)</f>
        <v>0</v>
      </c>
      <c r="J47" s="21">
        <f>I47/3600</f>
        <v>0</v>
      </c>
      <c r="K47" s="21">
        <f>J47/24</f>
        <v>0</v>
      </c>
      <c r="L47" s="16">
        <f t="shared" si="37"/>
        <v>27662</v>
      </c>
      <c r="M47" s="21">
        <f t="shared" si="38"/>
        <v>7.6838888888888892</v>
      </c>
      <c r="N47" s="21">
        <f t="shared" si="39"/>
        <v>0.32016203703703705</v>
      </c>
      <c r="O47" s="16">
        <f t="shared" ref="O47" si="44">(L47)/($P$26)</f>
        <v>6915.5</v>
      </c>
      <c r="P47" s="16">
        <f t="shared" ref="P47" si="45">(M47)/($P$26)</f>
        <v>1.9209722222222223</v>
      </c>
      <c r="Q47" s="16">
        <f t="shared" ref="Q47" si="46">(N47)/($P$26)</f>
        <v>8.0040509259259263E-2</v>
      </c>
    </row>
    <row r="48" spans="1:17" x14ac:dyDescent="0.3">
      <c r="A48" s="22" t="s">
        <v>19</v>
      </c>
      <c r="B48" s="22"/>
      <c r="C48" s="22">
        <f>SUM(C42:C47)</f>
        <v>0</v>
      </c>
      <c r="D48" s="22">
        <f t="shared" si="40"/>
        <v>0</v>
      </c>
      <c r="E48" s="23">
        <f t="shared" si="41"/>
        <v>0</v>
      </c>
      <c r="F48" s="22">
        <f>SUM(F42:F47)</f>
        <v>553.24000000000012</v>
      </c>
      <c r="G48" s="22">
        <f t="shared" si="42"/>
        <v>0.55324000000000018</v>
      </c>
      <c r="H48" s="23">
        <f t="shared" si="43"/>
        <v>5.532400000000002E-4</v>
      </c>
      <c r="L48" s="22">
        <f>SUM(L42:L47)</f>
        <v>304306.56403000001</v>
      </c>
      <c r="M48" s="23">
        <f t="shared" ref="M48:N48" si="47">SUM(M42:M47)</f>
        <v>84.529601119444436</v>
      </c>
      <c r="N48" s="23">
        <f t="shared" si="47"/>
        <v>3.5220667133101857</v>
      </c>
      <c r="O48" s="22">
        <f>SUM(O42:O47)</f>
        <v>76076.63</v>
      </c>
      <c r="P48" s="23">
        <f t="shared" ref="P48:Q48" si="48">SUM(P42:P47)</f>
        <v>21.13239722222222</v>
      </c>
      <c r="Q48" s="23">
        <f t="shared" si="48"/>
        <v>0.88051655092592607</v>
      </c>
    </row>
    <row r="53" spans="1:6" x14ac:dyDescent="0.3">
      <c r="A53" s="16" t="s">
        <v>77</v>
      </c>
      <c r="B53" s="16" t="s">
        <v>79</v>
      </c>
    </row>
    <row r="54" spans="1:6" x14ac:dyDescent="0.3">
      <c r="A54" s="16" t="s">
        <v>78</v>
      </c>
      <c r="B54" s="16">
        <v>5576</v>
      </c>
    </row>
    <row r="55" spans="1:6" x14ac:dyDescent="0.3">
      <c r="A55" s="16" t="s">
        <v>80</v>
      </c>
      <c r="C55" s="16">
        <v>1423</v>
      </c>
    </row>
    <row r="56" spans="1:6" x14ac:dyDescent="0.3">
      <c r="A56" s="16" t="s">
        <v>85</v>
      </c>
      <c r="B56" s="16" t="s">
        <v>83</v>
      </c>
      <c r="C56" s="16" t="s">
        <v>81</v>
      </c>
      <c r="D56" s="16" t="s">
        <v>82</v>
      </c>
      <c r="E56" s="16" t="s">
        <v>84</v>
      </c>
      <c r="F56" s="16" t="s">
        <v>87</v>
      </c>
    </row>
    <row r="57" spans="1:6" x14ac:dyDescent="0.3">
      <c r="A57" s="16">
        <v>1</v>
      </c>
      <c r="B57" s="16">
        <v>1</v>
      </c>
      <c r="C57" s="16">
        <v>5000</v>
      </c>
      <c r="D57" s="16">
        <f>C57/60</f>
        <v>83.333333333333329</v>
      </c>
    </row>
    <row r="58" spans="1:6" x14ac:dyDescent="0.3">
      <c r="A58" s="16">
        <f>4*125</f>
        <v>500</v>
      </c>
      <c r="B58" s="16">
        <v>4</v>
      </c>
      <c r="D58" s="16">
        <f>D57/B58*A58/B58</f>
        <v>2604.1666666666665</v>
      </c>
      <c r="E58" s="20">
        <f>D58/60</f>
        <v>43.402777777777779</v>
      </c>
      <c r="F58" s="16">
        <f>E58/24</f>
        <v>1.8084490740740742</v>
      </c>
    </row>
  </sheetData>
  <mergeCells count="4">
    <mergeCell ref="C40:E40"/>
    <mergeCell ref="F40:H40"/>
    <mergeCell ref="C28:E28"/>
    <mergeCell ref="F28:H2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Dependant LCI MC</vt:lpstr>
      <vt:lpstr>Dependant LCA 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2017-10-06T16:52:06Z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491253077983856</vt:r8>
  </property>
</Properties>
</file>