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wej\Documents\CVI\SACEMA\"/>
    </mc:Choice>
  </mc:AlternateContent>
  <bookViews>
    <workbookView xWindow="0" yWindow="0" windowWidth="28800" windowHeight="12336" activeTab="4"/>
  </bookViews>
  <sheets>
    <sheet name="Hypotheses" sheetId="42" r:id="rId1"/>
    <sheet name="Datapairs_allplants_A" sheetId="45" r:id="rId2"/>
    <sheet name="Hypothesis A" sheetId="46" r:id="rId3"/>
    <sheet name="AUC_A" sheetId="48" r:id="rId4"/>
    <sheet name="Datapairs_allplants_C" sheetId="49" r:id="rId5"/>
    <sheet name="Borcheds Citycp WC" sheetId="17" state="hidden" r:id="rId6"/>
    <sheet name="Mdantsane Buf EC" sheetId="19" state="hidden" r:id="rId7"/>
    <sheet name="Greenhill Ethekwini KZN" sheetId="22" state="hidden" r:id="rId8"/>
    <sheet name="Lumegen Mangaung" sheetId="24" state="hidden" r:id="rId9"/>
  </sheets>
  <externalReferences>
    <externalReference r:id="rId10"/>
  </externalReferences>
  <definedNames>
    <definedName name="_xlnm._FilterDatabase" localSheetId="1" hidden="1">Datapairs_allplants_A!$A$1:$Q$69</definedName>
    <definedName name="_xlnm._FilterDatabase" localSheetId="4" hidden="1">Datapairs_allplants_C!$A$1:$M$54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76" i="49" l="1"/>
  <c r="L878" i="49"/>
  <c r="L879" i="49"/>
  <c r="L882" i="49"/>
  <c r="L874" i="49"/>
  <c r="L871" i="49"/>
  <c r="L866" i="49"/>
  <c r="L864" i="49"/>
  <c r="L862" i="49"/>
  <c r="L860" i="49"/>
  <c r="L832" i="49"/>
  <c r="L804" i="49"/>
  <c r="L805" i="49"/>
  <c r="L806" i="49"/>
  <c r="L807" i="49"/>
  <c r="L808" i="49"/>
  <c r="L809" i="49"/>
  <c r="L810" i="49"/>
  <c r="L811" i="49"/>
  <c r="L812" i="49"/>
  <c r="L813" i="49"/>
  <c r="L814" i="49"/>
  <c r="L815" i="49"/>
  <c r="L816" i="49"/>
  <c r="L817" i="49"/>
  <c r="L818" i="49"/>
  <c r="L819" i="49"/>
  <c r="L820" i="49"/>
  <c r="L821" i="49"/>
  <c r="L822" i="49"/>
  <c r="L823" i="49"/>
  <c r="L824" i="49"/>
  <c r="L825" i="49"/>
  <c r="L826" i="49"/>
  <c r="L827" i="49"/>
  <c r="L828" i="49"/>
  <c r="L829" i="49"/>
  <c r="L830" i="49"/>
  <c r="L803" i="49"/>
  <c r="L780" i="49"/>
  <c r="L773" i="49"/>
  <c r="L774" i="49"/>
  <c r="L775" i="49"/>
  <c r="L776" i="49"/>
  <c r="L777" i="49"/>
  <c r="L778" i="49"/>
  <c r="L752" i="49"/>
  <c r="L753" i="49"/>
  <c r="L754" i="49"/>
  <c r="L755" i="49"/>
  <c r="L756" i="49"/>
  <c r="L757" i="49"/>
  <c r="L758" i="49"/>
  <c r="L759" i="49"/>
  <c r="L760" i="49"/>
  <c r="L761" i="49"/>
  <c r="L762" i="49"/>
  <c r="L763" i="49"/>
  <c r="L764" i="49"/>
  <c r="L765" i="49"/>
  <c r="L766" i="49"/>
  <c r="L767" i="49"/>
  <c r="L768" i="49"/>
  <c r="L769" i="49"/>
  <c r="L770" i="49"/>
  <c r="L771" i="49"/>
  <c r="L772" i="49"/>
  <c r="L751" i="49"/>
  <c r="L744" i="49"/>
  <c r="L727" i="49"/>
  <c r="L722" i="49"/>
  <c r="L718" i="49"/>
  <c r="L714" i="49"/>
  <c r="L709" i="49"/>
  <c r="L705" i="49"/>
  <c r="L700" i="49"/>
  <c r="L692" i="49"/>
  <c r="L675" i="49"/>
  <c r="L666" i="49"/>
  <c r="L662" i="49"/>
  <c r="L657" i="49"/>
  <c r="L653" i="49"/>
  <c r="L648" i="49"/>
  <c r="L643" i="49"/>
  <c r="L640" i="49"/>
  <c r="L635" i="49"/>
  <c r="L622" i="49"/>
  <c r="L623" i="49"/>
  <c r="L621" i="49"/>
  <c r="L603" i="49"/>
  <c r="L604" i="49"/>
  <c r="L605" i="49"/>
  <c r="L606" i="49"/>
  <c r="L607" i="49"/>
  <c r="L608" i="49"/>
  <c r="L609" i="49"/>
  <c r="L610" i="49"/>
  <c r="L611" i="49"/>
  <c r="L612" i="49"/>
  <c r="L613" i="49"/>
  <c r="L614" i="49"/>
  <c r="L615" i="49"/>
  <c r="L616" i="49"/>
  <c r="L617" i="49"/>
  <c r="L618" i="49"/>
  <c r="L619" i="49"/>
  <c r="L602" i="49"/>
  <c r="L595" i="49"/>
  <c r="L596" i="49"/>
  <c r="L597" i="49"/>
  <c r="L598" i="49"/>
  <c r="L599" i="49"/>
  <c r="L600" i="49"/>
  <c r="L594" i="49"/>
  <c r="L591" i="49"/>
  <c r="L590" i="49"/>
  <c r="L585" i="49"/>
  <c r="L581" i="49"/>
  <c r="L564" i="49"/>
  <c r="L565" i="49"/>
  <c r="L566" i="49"/>
  <c r="L567" i="49"/>
  <c r="L568" i="49"/>
  <c r="L569" i="49"/>
  <c r="L570" i="49"/>
  <c r="L571" i="49"/>
  <c r="L551" i="49"/>
  <c r="L552" i="49"/>
  <c r="L553" i="49"/>
  <c r="L554" i="49"/>
  <c r="L555" i="49"/>
  <c r="L556" i="49"/>
  <c r="L557" i="49"/>
  <c r="L558" i="49"/>
  <c r="L559" i="49"/>
  <c r="L560" i="49"/>
  <c r="L561" i="49"/>
  <c r="L562" i="49"/>
  <c r="L563" i="49"/>
  <c r="L550" i="49"/>
  <c r="L543" i="49"/>
  <c r="L544" i="49"/>
  <c r="L545" i="49"/>
  <c r="L546" i="49"/>
  <c r="L547" i="49"/>
  <c r="L548" i="49"/>
  <c r="L542" i="49"/>
  <c r="L538" i="49"/>
  <c r="L533" i="49"/>
  <c r="L529" i="49"/>
  <c r="L491" i="49"/>
  <c r="L492" i="49"/>
  <c r="L493" i="49"/>
  <c r="L494" i="49"/>
  <c r="L495" i="49"/>
  <c r="L496" i="49"/>
  <c r="L497" i="49"/>
  <c r="L498" i="49"/>
  <c r="L499" i="49"/>
  <c r="L500" i="49"/>
  <c r="L501" i="49"/>
  <c r="L502" i="49"/>
  <c r="L503" i="49"/>
  <c r="L504" i="49"/>
  <c r="L505" i="49"/>
  <c r="L506" i="49"/>
  <c r="L507" i="49"/>
  <c r="L508" i="49"/>
  <c r="L509" i="49"/>
  <c r="L510" i="49"/>
  <c r="L511" i="49"/>
  <c r="L512" i="49"/>
  <c r="L513" i="49"/>
  <c r="L514" i="49"/>
  <c r="L515" i="49"/>
  <c r="L516" i="49"/>
  <c r="L517" i="49"/>
  <c r="L518" i="49"/>
  <c r="L519" i="49"/>
  <c r="L520" i="49"/>
  <c r="L490" i="49"/>
  <c r="L485" i="49"/>
  <c r="L480" i="49"/>
  <c r="L439" i="49"/>
  <c r="L440" i="49"/>
  <c r="L441" i="49"/>
  <c r="L442" i="49"/>
  <c r="L443" i="49"/>
  <c r="L444" i="49"/>
  <c r="L445" i="49"/>
  <c r="L446" i="49"/>
  <c r="L447" i="49"/>
  <c r="L448" i="49"/>
  <c r="L449" i="49"/>
  <c r="L450" i="49"/>
  <c r="L451" i="49"/>
  <c r="L452" i="49"/>
  <c r="L453" i="49"/>
  <c r="L454" i="49"/>
  <c r="L455" i="49"/>
  <c r="L456" i="49"/>
  <c r="L457" i="49"/>
  <c r="L458" i="49"/>
  <c r="L459" i="49"/>
  <c r="L460" i="49"/>
  <c r="L461" i="49"/>
  <c r="L462" i="49"/>
  <c r="L463" i="49"/>
  <c r="L464" i="49"/>
  <c r="L465" i="49"/>
  <c r="L466" i="49"/>
  <c r="L467" i="49"/>
  <c r="L468" i="49"/>
  <c r="L438" i="49"/>
  <c r="L433" i="49"/>
  <c r="L428" i="49"/>
  <c r="L415" i="49"/>
  <c r="L388" i="49"/>
  <c r="L389" i="49"/>
  <c r="L390" i="49"/>
  <c r="L391" i="49"/>
  <c r="L392" i="49"/>
  <c r="L393" i="49"/>
  <c r="L394" i="49"/>
  <c r="L395" i="49"/>
  <c r="L396" i="49"/>
  <c r="L397" i="49"/>
  <c r="L398" i="49"/>
  <c r="L399" i="49"/>
  <c r="L400" i="49"/>
  <c r="L401" i="49"/>
  <c r="L402" i="49"/>
  <c r="L403" i="49"/>
  <c r="L404" i="49"/>
  <c r="L405" i="49"/>
  <c r="L406" i="49"/>
  <c r="L407" i="49"/>
  <c r="L408" i="49"/>
  <c r="L409" i="49"/>
  <c r="L410" i="49"/>
  <c r="L411" i="49"/>
  <c r="L412" i="49"/>
  <c r="L413" i="49"/>
  <c r="L387" i="49"/>
  <c r="L380" i="49"/>
  <c r="L375" i="49"/>
  <c r="L363" i="49"/>
  <c r="L358" i="49"/>
  <c r="L354" i="49"/>
  <c r="L350" i="49"/>
  <c r="L345" i="49"/>
  <c r="L342" i="49"/>
  <c r="L336" i="49"/>
  <c r="L328" i="49"/>
  <c r="L323" i="49"/>
  <c r="L312" i="49"/>
  <c r="L299" i="49"/>
  <c r="L300" i="49"/>
  <c r="L301" i="49"/>
  <c r="L302" i="49"/>
  <c r="L304" i="49"/>
  <c r="L305" i="49"/>
  <c r="L306" i="49"/>
  <c r="L307" i="49"/>
  <c r="L308" i="49"/>
  <c r="L309" i="49"/>
  <c r="L310" i="49"/>
  <c r="L295" i="49"/>
  <c r="L296" i="49"/>
  <c r="L297" i="49"/>
  <c r="L284" i="49"/>
  <c r="L285" i="49"/>
  <c r="L286" i="49"/>
  <c r="L288" i="49"/>
  <c r="L290" i="49"/>
  <c r="L291" i="49"/>
  <c r="L282" i="49"/>
  <c r="L269" i="49"/>
  <c r="L235" i="49"/>
  <c r="L238" i="49"/>
  <c r="L241" i="49"/>
  <c r="L229" i="49"/>
  <c r="L231" i="49"/>
  <c r="L218" i="49"/>
  <c r="L220" i="49"/>
  <c r="L224" i="49"/>
  <c r="L205" i="49"/>
  <c r="L206" i="49"/>
  <c r="L208" i="49"/>
  <c r="L192" i="49"/>
  <c r="L193" i="49"/>
  <c r="L194" i="49"/>
  <c r="L195" i="49"/>
  <c r="L196" i="49"/>
  <c r="L197" i="49"/>
  <c r="L198" i="49"/>
  <c r="L199" i="49"/>
  <c r="L200" i="49"/>
  <c r="L201" i="49"/>
  <c r="L202" i="49"/>
  <c r="L203" i="49"/>
  <c r="L181" i="49"/>
  <c r="L182" i="49"/>
  <c r="L183" i="49"/>
  <c r="L184" i="49"/>
  <c r="L185" i="49"/>
  <c r="L186" i="49"/>
  <c r="L187" i="49"/>
  <c r="L188" i="49"/>
  <c r="L189" i="49"/>
  <c r="L190" i="49"/>
  <c r="L191" i="49"/>
  <c r="L178" i="49"/>
  <c r="L145" i="49"/>
  <c r="L149" i="49"/>
  <c r="L154" i="49"/>
  <c r="L141" i="49"/>
  <c r="L136" i="49"/>
  <c r="L123" i="49"/>
  <c r="L127" i="49"/>
  <c r="L110" i="49"/>
  <c r="L114" i="49"/>
  <c r="L119" i="49"/>
  <c r="L86" i="49"/>
  <c r="L87" i="49"/>
  <c r="L88" i="49"/>
  <c r="L89" i="49"/>
  <c r="L90" i="49"/>
  <c r="L91" i="49"/>
  <c r="L92" i="49"/>
  <c r="L93" i="49"/>
  <c r="L94" i="49"/>
  <c r="L95" i="49"/>
  <c r="L96" i="49"/>
  <c r="L97" i="49"/>
  <c r="L98" i="49"/>
  <c r="L99" i="49"/>
  <c r="L100" i="49"/>
  <c r="L101" i="49"/>
  <c r="L102" i="49"/>
  <c r="L103" i="49"/>
  <c r="L104" i="49"/>
  <c r="L75" i="49"/>
  <c r="L76" i="49"/>
  <c r="L77" i="49"/>
  <c r="L78" i="49"/>
  <c r="L79" i="49"/>
  <c r="L80" i="49"/>
  <c r="L81" i="49"/>
  <c r="L82" i="49"/>
  <c r="L83" i="49"/>
  <c r="L84" i="49"/>
  <c r="L85" i="49"/>
  <c r="L71" i="49"/>
  <c r="L67" i="49"/>
  <c r="L62" i="49"/>
  <c r="L52" i="49"/>
  <c r="L22" i="49"/>
  <c r="L23" i="49"/>
  <c r="L24" i="49"/>
  <c r="L25" i="49"/>
  <c r="L26" i="49"/>
  <c r="L27" i="49"/>
  <c r="L28" i="49"/>
  <c r="L29" i="49"/>
  <c r="L30" i="49"/>
  <c r="L31" i="49"/>
  <c r="L32" i="49"/>
  <c r="L33" i="49"/>
  <c r="L34" i="49"/>
  <c r="L35" i="49"/>
  <c r="L36" i="49"/>
  <c r="L37" i="49"/>
  <c r="L38" i="49"/>
  <c r="L39" i="49"/>
  <c r="L40" i="49"/>
  <c r="L41" i="49"/>
  <c r="L42" i="49"/>
  <c r="L43" i="49"/>
  <c r="L44" i="49"/>
  <c r="L45" i="49"/>
  <c r="L46" i="49"/>
  <c r="L47" i="49"/>
  <c r="L48" i="49"/>
  <c r="L49" i="49"/>
  <c r="L50" i="49"/>
  <c r="L51" i="49"/>
  <c r="L18" i="49"/>
  <c r="L13" i="49"/>
  <c r="G16" i="48" l="1"/>
  <c r="G15" i="48"/>
  <c r="G14" i="48"/>
  <c r="G13" i="48"/>
  <c r="G12" i="48"/>
  <c r="G11" i="48"/>
  <c r="G17" i="48" s="1"/>
  <c r="G10" i="48"/>
  <c r="G9" i="48"/>
  <c r="G8" i="48"/>
  <c r="G7" i="48"/>
  <c r="G6" i="48"/>
  <c r="G5" i="48"/>
  <c r="G4" i="48"/>
  <c r="S226" i="46"/>
  <c r="S227" i="46" s="1"/>
  <c r="S225" i="46"/>
  <c r="S210" i="46"/>
  <c r="S211" i="46" s="1"/>
  <c r="S209" i="46"/>
  <c r="K216" i="46"/>
  <c r="L216" i="46"/>
  <c r="L217" i="46"/>
  <c r="L218" i="46"/>
  <c r="C217" i="46"/>
  <c r="K217" i="46" s="1"/>
  <c r="C218" i="46"/>
  <c r="K218" i="46" s="1"/>
  <c r="C219" i="46"/>
  <c r="K219" i="46" s="1"/>
  <c r="D219" i="46"/>
  <c r="L219" i="46" s="1"/>
  <c r="C220" i="46"/>
  <c r="K220" i="46" s="1"/>
  <c r="D220" i="46"/>
  <c r="L220" i="46" s="1"/>
  <c r="H220" i="46"/>
  <c r="H219" i="46"/>
  <c r="H218" i="46"/>
  <c r="H217" i="46"/>
  <c r="H216" i="46"/>
  <c r="I216" i="46" s="1"/>
  <c r="M216" i="46" s="1"/>
  <c r="S200" i="46"/>
  <c r="S201" i="46" s="1"/>
  <c r="S199" i="46"/>
  <c r="G222" i="46"/>
  <c r="H222" i="46" s="1"/>
  <c r="S190" i="46"/>
  <c r="S191" i="46" s="1"/>
  <c r="S189" i="46"/>
  <c r="S170" i="46"/>
  <c r="S171" i="46" s="1"/>
  <c r="S169" i="46"/>
  <c r="C171" i="46"/>
  <c r="K171" i="46" s="1"/>
  <c r="D171" i="46"/>
  <c r="L171" i="46" s="1"/>
  <c r="C172" i="46"/>
  <c r="K172" i="46" s="1"/>
  <c r="D172" i="46"/>
  <c r="L172" i="46" s="1"/>
  <c r="C173" i="46"/>
  <c r="K173" i="46" s="1"/>
  <c r="D173" i="46"/>
  <c r="L173" i="46" s="1"/>
  <c r="C174" i="46"/>
  <c r="K174" i="46" s="1"/>
  <c r="D174" i="46"/>
  <c r="L174" i="46" s="1"/>
  <c r="C175" i="46"/>
  <c r="K175" i="46" s="1"/>
  <c r="D175" i="46"/>
  <c r="L175" i="46" s="1"/>
  <c r="C176" i="46"/>
  <c r="K176" i="46" s="1"/>
  <c r="D176" i="46"/>
  <c r="L176" i="46" s="1"/>
  <c r="C177" i="46"/>
  <c r="K177" i="46" s="1"/>
  <c r="D177" i="46"/>
  <c r="L177" i="46" s="1"/>
  <c r="C178" i="46"/>
  <c r="K178" i="46" s="1"/>
  <c r="D178" i="46"/>
  <c r="L178" i="46" s="1"/>
  <c r="C179" i="46"/>
  <c r="K179" i="46" s="1"/>
  <c r="D179" i="46"/>
  <c r="L179" i="46" s="1"/>
  <c r="C180" i="46"/>
  <c r="K180" i="46" s="1"/>
  <c r="D180" i="46"/>
  <c r="L180" i="46" s="1"/>
  <c r="C181" i="46"/>
  <c r="K181" i="46" s="1"/>
  <c r="D181" i="46"/>
  <c r="L181" i="46" s="1"/>
  <c r="H181" i="46"/>
  <c r="H180" i="46"/>
  <c r="H179" i="46"/>
  <c r="H178" i="46"/>
  <c r="H177" i="46"/>
  <c r="H176" i="46"/>
  <c r="H175" i="46"/>
  <c r="H174" i="46"/>
  <c r="H173" i="46"/>
  <c r="H172" i="46"/>
  <c r="H171" i="46"/>
  <c r="C158" i="46"/>
  <c r="K158" i="46" s="1"/>
  <c r="D158" i="46"/>
  <c r="L158" i="46" s="1"/>
  <c r="H158" i="46"/>
  <c r="S151" i="46"/>
  <c r="S152" i="46" s="1"/>
  <c r="S150" i="46"/>
  <c r="C154" i="46"/>
  <c r="K154" i="46" s="1"/>
  <c r="D154" i="46"/>
  <c r="L154" i="46" s="1"/>
  <c r="C155" i="46"/>
  <c r="K155" i="46" s="1"/>
  <c r="D155" i="46"/>
  <c r="L155" i="46" s="1"/>
  <c r="C156" i="46"/>
  <c r="K156" i="46" s="1"/>
  <c r="D156" i="46"/>
  <c r="L156" i="46" s="1"/>
  <c r="C157" i="46"/>
  <c r="K157" i="46" s="1"/>
  <c r="D157" i="46"/>
  <c r="L157" i="46" s="1"/>
  <c r="H157" i="46"/>
  <c r="H156" i="46"/>
  <c r="H155" i="46"/>
  <c r="H154" i="46"/>
  <c r="S135" i="46"/>
  <c r="S136" i="46" s="1"/>
  <c r="S134" i="46"/>
  <c r="C138" i="46"/>
  <c r="K138" i="46" s="1"/>
  <c r="D138" i="46"/>
  <c r="L138" i="46" s="1"/>
  <c r="C139" i="46"/>
  <c r="K139" i="46" s="1"/>
  <c r="D139" i="46"/>
  <c r="L139" i="46" s="1"/>
  <c r="C140" i="46"/>
  <c r="K140" i="46" s="1"/>
  <c r="D140" i="46"/>
  <c r="L140" i="46" s="1"/>
  <c r="C141" i="46"/>
  <c r="K141" i="46" s="1"/>
  <c r="D141" i="46"/>
  <c r="L141" i="46" s="1"/>
  <c r="C142" i="46"/>
  <c r="K142" i="46" s="1"/>
  <c r="D142" i="46"/>
  <c r="L142" i="46" s="1"/>
  <c r="H142" i="46"/>
  <c r="H141" i="46"/>
  <c r="H140" i="46"/>
  <c r="H139" i="46"/>
  <c r="H138" i="46"/>
  <c r="S115" i="46"/>
  <c r="S116" i="46" s="1"/>
  <c r="S114" i="46"/>
  <c r="D122" i="46"/>
  <c r="L122" i="46" s="1"/>
  <c r="D123" i="46"/>
  <c r="L123" i="46" s="1"/>
  <c r="D124" i="46"/>
  <c r="L124" i="46" s="1"/>
  <c r="D125" i="46"/>
  <c r="L125" i="46" s="1"/>
  <c r="D126" i="46"/>
  <c r="L126" i="46" s="1"/>
  <c r="C122" i="46"/>
  <c r="K122" i="46" s="1"/>
  <c r="C123" i="46"/>
  <c r="K123" i="46" s="1"/>
  <c r="C124" i="46"/>
  <c r="K124" i="46" s="1"/>
  <c r="C125" i="46"/>
  <c r="K125" i="46" s="1"/>
  <c r="C126" i="46"/>
  <c r="K126" i="46" s="1"/>
  <c r="H126" i="46"/>
  <c r="H125" i="46"/>
  <c r="H124" i="46"/>
  <c r="H123" i="46"/>
  <c r="H122" i="46"/>
  <c r="S96" i="46"/>
  <c r="S97" i="46" s="1"/>
  <c r="S95" i="46"/>
  <c r="D103" i="46"/>
  <c r="L103" i="46" s="1"/>
  <c r="D104" i="46"/>
  <c r="L104" i="46" s="1"/>
  <c r="D105" i="46"/>
  <c r="L105" i="46" s="1"/>
  <c r="D106" i="46"/>
  <c r="L106" i="46" s="1"/>
  <c r="C103" i="46"/>
  <c r="K103" i="46" s="1"/>
  <c r="C104" i="46"/>
  <c r="K104" i="46" s="1"/>
  <c r="C105" i="46"/>
  <c r="K105" i="46" s="1"/>
  <c r="C106" i="46"/>
  <c r="K106" i="46" s="1"/>
  <c r="H106" i="46"/>
  <c r="H105" i="46"/>
  <c r="H104" i="46"/>
  <c r="H103" i="46"/>
  <c r="S80" i="46"/>
  <c r="Y80" i="46"/>
  <c r="H78" i="46"/>
  <c r="D83" i="46"/>
  <c r="L83" i="46" s="1"/>
  <c r="D84" i="46"/>
  <c r="L84" i="46" s="1"/>
  <c r="D85" i="46"/>
  <c r="L85" i="46" s="1"/>
  <c r="D86" i="46"/>
  <c r="L86" i="46" s="1"/>
  <c r="D87" i="46"/>
  <c r="L87" i="46" s="1"/>
  <c r="C83" i="46"/>
  <c r="K83" i="46" s="1"/>
  <c r="C84" i="46"/>
  <c r="K84" i="46" s="1"/>
  <c r="C85" i="46"/>
  <c r="K85" i="46" s="1"/>
  <c r="C86" i="46"/>
  <c r="K86" i="46" s="1"/>
  <c r="C87" i="46"/>
  <c r="K87" i="46" s="1"/>
  <c r="H87" i="46"/>
  <c r="H86" i="46"/>
  <c r="H85" i="46"/>
  <c r="H84" i="46"/>
  <c r="H83" i="46"/>
  <c r="Y81" i="46"/>
  <c r="S51" i="46"/>
  <c r="S49" i="46"/>
  <c r="S81" i="46"/>
  <c r="S82" i="46" s="1"/>
  <c r="C75" i="46"/>
  <c r="K75" i="46" s="1"/>
  <c r="C76" i="46"/>
  <c r="K76" i="46" s="1"/>
  <c r="C74" i="46"/>
  <c r="K74" i="46" s="1"/>
  <c r="C73" i="46"/>
  <c r="K73" i="46" s="1"/>
  <c r="S70" i="46"/>
  <c r="S71" i="46" s="1"/>
  <c r="L232" i="46"/>
  <c r="L234" i="46"/>
  <c r="L235" i="46"/>
  <c r="K232" i="46"/>
  <c r="K67" i="46"/>
  <c r="D68" i="46"/>
  <c r="L68" i="46" s="1"/>
  <c r="D69" i="46"/>
  <c r="L69" i="46" s="1"/>
  <c r="D70" i="46"/>
  <c r="L70" i="46" s="1"/>
  <c r="C68" i="46"/>
  <c r="K68" i="46" s="1"/>
  <c r="C69" i="46"/>
  <c r="K69" i="46" s="1"/>
  <c r="C70" i="46"/>
  <c r="K70" i="46" s="1"/>
  <c r="H70" i="46"/>
  <c r="H69" i="46"/>
  <c r="H68" i="46"/>
  <c r="I68" i="46" s="1"/>
  <c r="M68" i="46" s="1"/>
  <c r="S60" i="46"/>
  <c r="S61" i="46" s="1"/>
  <c r="M48" i="46"/>
  <c r="L48" i="46"/>
  <c r="L49" i="46"/>
  <c r="L50" i="46"/>
  <c r="K48" i="46"/>
  <c r="H41" i="46"/>
  <c r="H40" i="46"/>
  <c r="H39" i="46"/>
  <c r="D39" i="46"/>
  <c r="L39" i="46" s="1"/>
  <c r="D40" i="46"/>
  <c r="L40" i="46" s="1"/>
  <c r="D41" i="46"/>
  <c r="L41" i="46" s="1"/>
  <c r="C39" i="46"/>
  <c r="K39" i="46" s="1"/>
  <c r="C40" i="46"/>
  <c r="K40" i="46" s="1"/>
  <c r="C41" i="46"/>
  <c r="K41" i="46" s="1"/>
  <c r="D35" i="46"/>
  <c r="C33" i="46"/>
  <c r="C49" i="46"/>
  <c r="K49" i="46" s="1"/>
  <c r="C50" i="46"/>
  <c r="K50" i="46" s="1"/>
  <c r="C51" i="46"/>
  <c r="K51" i="46" s="1"/>
  <c r="L55" i="46"/>
  <c r="H60" i="46"/>
  <c r="I60" i="46" s="1"/>
  <c r="M60" i="46" s="1"/>
  <c r="D60" i="46"/>
  <c r="L60" i="46" s="1"/>
  <c r="C59" i="46"/>
  <c r="K59" i="46" s="1"/>
  <c r="C60" i="46"/>
  <c r="K60" i="46" s="1"/>
  <c r="D56" i="46"/>
  <c r="L56" i="46" s="1"/>
  <c r="D57" i="46"/>
  <c r="L57" i="46" s="1"/>
  <c r="D58" i="46"/>
  <c r="L58" i="46" s="1"/>
  <c r="D59" i="46"/>
  <c r="L59" i="46" s="1"/>
  <c r="D51" i="46"/>
  <c r="L51" i="46" s="1"/>
  <c r="I49" i="46"/>
  <c r="M49" i="46" s="1"/>
  <c r="I50" i="46"/>
  <c r="M50" i="46" s="1"/>
  <c r="I51" i="46"/>
  <c r="M51" i="46" s="1"/>
  <c r="D43" i="46"/>
  <c r="L43" i="46" s="1"/>
  <c r="D44" i="46"/>
  <c r="L44" i="46" s="1"/>
  <c r="D45" i="46"/>
  <c r="L45" i="46" s="1"/>
  <c r="D46" i="46"/>
  <c r="L46" i="46" s="1"/>
  <c r="D47" i="46"/>
  <c r="L47" i="46" s="1"/>
  <c r="D38" i="46"/>
  <c r="L38" i="46" s="1"/>
  <c r="D37" i="46"/>
  <c r="L37" i="46" s="1"/>
  <c r="D36" i="46"/>
  <c r="L36" i="46" s="1"/>
  <c r="C34" i="46"/>
  <c r="S59" i="46"/>
  <c r="C19" i="46"/>
  <c r="S41" i="46"/>
  <c r="S39" i="46"/>
  <c r="I219" i="46" l="1"/>
  <c r="M219" i="46" s="1"/>
  <c r="I217" i="46"/>
  <c r="M217" i="46" s="1"/>
  <c r="I218" i="46"/>
  <c r="M218" i="46" s="1"/>
  <c r="I220" i="46"/>
  <c r="M220" i="46" s="1"/>
  <c r="I178" i="46"/>
  <c r="M178" i="46" s="1"/>
  <c r="I180" i="46"/>
  <c r="M180" i="46" s="1"/>
  <c r="I176" i="46"/>
  <c r="M176" i="46" s="1"/>
  <c r="I175" i="46"/>
  <c r="M175" i="46" s="1"/>
  <c r="I177" i="46"/>
  <c r="M177" i="46" s="1"/>
  <c r="I179" i="46"/>
  <c r="M179" i="46" s="1"/>
  <c r="I172" i="46"/>
  <c r="M172" i="46" s="1"/>
  <c r="I174" i="46"/>
  <c r="M174" i="46" s="1"/>
  <c r="I173" i="46"/>
  <c r="M173" i="46" s="1"/>
  <c r="I181" i="46"/>
  <c r="M181" i="46" s="1"/>
  <c r="I155" i="46"/>
  <c r="M155" i="46" s="1"/>
  <c r="I157" i="46"/>
  <c r="M157" i="46" s="1"/>
  <c r="I156" i="46"/>
  <c r="M156" i="46" s="1"/>
  <c r="I158" i="46"/>
  <c r="M158" i="46" s="1"/>
  <c r="I142" i="46"/>
  <c r="M142" i="46" s="1"/>
  <c r="I140" i="46"/>
  <c r="M140" i="46" s="1"/>
  <c r="I141" i="46"/>
  <c r="M141" i="46" s="1"/>
  <c r="I139" i="46"/>
  <c r="M139" i="46" s="1"/>
  <c r="I125" i="46"/>
  <c r="M125" i="46" s="1"/>
  <c r="I124" i="46"/>
  <c r="M124" i="46" s="1"/>
  <c r="I123" i="46"/>
  <c r="M123" i="46" s="1"/>
  <c r="I105" i="46"/>
  <c r="M105" i="46" s="1"/>
  <c r="I126" i="46"/>
  <c r="M126" i="46" s="1"/>
  <c r="I106" i="46"/>
  <c r="M106" i="46" s="1"/>
  <c r="I104" i="46"/>
  <c r="M104" i="46" s="1"/>
  <c r="I87" i="46"/>
  <c r="M87" i="46" s="1"/>
  <c r="I86" i="46"/>
  <c r="M86" i="46" s="1"/>
  <c r="I84" i="46"/>
  <c r="M84" i="46" s="1"/>
  <c r="I85" i="46"/>
  <c r="M85" i="46" s="1"/>
  <c r="I70" i="46"/>
  <c r="M70" i="46" s="1"/>
  <c r="I69" i="46"/>
  <c r="M69" i="46" s="1"/>
  <c r="I41" i="46"/>
  <c r="M41" i="46" s="1"/>
  <c r="I40" i="46"/>
  <c r="M40" i="46" s="1"/>
  <c r="S25" i="46"/>
  <c r="S23" i="46"/>
  <c r="S11" i="46"/>
  <c r="S9" i="46"/>
  <c r="C13" i="46"/>
  <c r="C14" i="46"/>
  <c r="C4" i="46"/>
  <c r="C5" i="46"/>
  <c r="C6" i="46"/>
  <c r="C7" i="46"/>
  <c r="C8" i="46"/>
  <c r="C9" i="46"/>
  <c r="C10" i="46"/>
  <c r="C16" i="46"/>
  <c r="C20" i="46"/>
  <c r="C21" i="46"/>
  <c r="C22" i="46"/>
  <c r="C23" i="46"/>
  <c r="C24" i="46"/>
  <c r="C27" i="46"/>
  <c r="C28" i="46"/>
  <c r="C29" i="46"/>
  <c r="C30" i="46"/>
  <c r="H12" i="46"/>
  <c r="K12" i="46" l="1"/>
  <c r="C26" i="45"/>
  <c r="I26" i="45" s="1"/>
  <c r="C27" i="45"/>
  <c r="I27" i="45" s="1"/>
  <c r="C28" i="45"/>
  <c r="I28" i="45" s="1"/>
  <c r="C29" i="45"/>
  <c r="I29" i="45" s="1"/>
  <c r="C30" i="45"/>
  <c r="I30" i="45" s="1"/>
  <c r="I383" i="45"/>
  <c r="I384" i="45"/>
  <c r="I385" i="45"/>
  <c r="C383" i="45"/>
  <c r="C384" i="45"/>
  <c r="C385" i="45"/>
  <c r="I376" i="45"/>
  <c r="C376" i="45"/>
  <c r="C369" i="45"/>
  <c r="I369" i="45" s="1"/>
  <c r="I356" i="45"/>
  <c r="I357" i="45"/>
  <c r="I358" i="45"/>
  <c r="I359" i="45"/>
  <c r="I360" i="45"/>
  <c r="C356" i="45"/>
  <c r="C357" i="45"/>
  <c r="C358" i="45"/>
  <c r="C359" i="45"/>
  <c r="C360" i="45"/>
  <c r="I330" i="45"/>
  <c r="I331" i="45"/>
  <c r="I332" i="45"/>
  <c r="I333" i="45"/>
  <c r="I334" i="45"/>
  <c r="C330" i="45"/>
  <c r="C331" i="45"/>
  <c r="C332" i="45"/>
  <c r="C333" i="45"/>
  <c r="C334" i="45"/>
  <c r="I272" i="45"/>
  <c r="I273" i="45"/>
  <c r="I274" i="45"/>
  <c r="I275" i="45"/>
  <c r="I276" i="45"/>
  <c r="C272" i="45"/>
  <c r="C273" i="45"/>
  <c r="C274" i="45"/>
  <c r="C275" i="45"/>
  <c r="C276" i="45"/>
  <c r="I243" i="45"/>
  <c r="I244" i="45"/>
  <c r="I245" i="45"/>
  <c r="I246" i="45"/>
  <c r="I247" i="45"/>
  <c r="C243" i="45"/>
  <c r="C244" i="45"/>
  <c r="C245" i="45"/>
  <c r="C246" i="45"/>
  <c r="C247" i="45"/>
  <c r="I214" i="45"/>
  <c r="I215" i="45"/>
  <c r="I216" i="45"/>
  <c r="I217" i="45"/>
  <c r="I218" i="45"/>
  <c r="C214" i="45"/>
  <c r="C215" i="45"/>
  <c r="C216" i="45"/>
  <c r="C217" i="45"/>
  <c r="C218" i="45"/>
  <c r="I186" i="45"/>
  <c r="I187" i="45"/>
  <c r="I188" i="45"/>
  <c r="I189" i="45"/>
  <c r="C186" i="45"/>
  <c r="C187" i="45"/>
  <c r="C188" i="45"/>
  <c r="C189" i="45"/>
  <c r="I156" i="45"/>
  <c r="I157" i="45"/>
  <c r="I158" i="45"/>
  <c r="I159" i="45"/>
  <c r="I160" i="45"/>
  <c r="C156" i="45"/>
  <c r="C157" i="45"/>
  <c r="C158" i="45"/>
  <c r="C159" i="45"/>
  <c r="C160" i="45"/>
  <c r="I121" i="45"/>
  <c r="I122" i="45"/>
  <c r="I123" i="45"/>
  <c r="I124" i="45"/>
  <c r="I125" i="45"/>
  <c r="C121" i="45"/>
  <c r="C122" i="45"/>
  <c r="C123" i="45"/>
  <c r="C124" i="45"/>
  <c r="C125" i="45"/>
  <c r="I92" i="45"/>
  <c r="I93" i="45"/>
  <c r="I94" i="45"/>
  <c r="I95" i="45"/>
  <c r="C92" i="45"/>
  <c r="C93" i="45"/>
  <c r="C94" i="45"/>
  <c r="C95" i="45"/>
  <c r="I69" i="45"/>
  <c r="G69" i="45"/>
  <c r="H30" i="46"/>
  <c r="H26" i="46"/>
  <c r="H27" i="46"/>
  <c r="H28" i="46"/>
  <c r="H29" i="46"/>
  <c r="H13" i="46"/>
  <c r="I13" i="46" s="1"/>
  <c r="M13" i="46" s="1"/>
  <c r="H14" i="46"/>
  <c r="H15" i="46"/>
  <c r="D29" i="46"/>
  <c r="L29" i="46" s="1"/>
  <c r="D30" i="46"/>
  <c r="L30" i="46" s="1"/>
  <c r="K27" i="46"/>
  <c r="K28" i="46"/>
  <c r="K29" i="46"/>
  <c r="K30" i="46"/>
  <c r="D20" i="46"/>
  <c r="L20" i="46" s="1"/>
  <c r="D21" i="46"/>
  <c r="L21" i="46" s="1"/>
  <c r="D22" i="46"/>
  <c r="L22" i="46" s="1"/>
  <c r="D23" i="46"/>
  <c r="L23" i="46" s="1"/>
  <c r="D24" i="46"/>
  <c r="L24" i="46" s="1"/>
  <c r="D15" i="46"/>
  <c r="L15" i="46" s="1"/>
  <c r="D16" i="46"/>
  <c r="L16" i="46" s="1"/>
  <c r="K13" i="46"/>
  <c r="K14" i="46"/>
  <c r="C15" i="46"/>
  <c r="K15" i="46" s="1"/>
  <c r="G383" i="45"/>
  <c r="G384" i="45"/>
  <c r="G385" i="45"/>
  <c r="G376" i="45"/>
  <c r="G369" i="45"/>
  <c r="G356" i="45"/>
  <c r="G357" i="45"/>
  <c r="G358" i="45"/>
  <c r="G359" i="45"/>
  <c r="G360" i="45"/>
  <c r="G330" i="45"/>
  <c r="G331" i="45"/>
  <c r="G332" i="45"/>
  <c r="G333" i="45"/>
  <c r="G334" i="45"/>
  <c r="G272" i="45"/>
  <c r="G273" i="45"/>
  <c r="G274" i="45"/>
  <c r="G275" i="45"/>
  <c r="G276" i="45"/>
  <c r="G243" i="45"/>
  <c r="G244" i="45"/>
  <c r="G245" i="45"/>
  <c r="G246" i="45"/>
  <c r="G247" i="45"/>
  <c r="G215" i="45"/>
  <c r="G216" i="45"/>
  <c r="G217" i="45"/>
  <c r="G218" i="45"/>
  <c r="G214" i="45"/>
  <c r="G187" i="45"/>
  <c r="G188" i="45"/>
  <c r="G189" i="45"/>
  <c r="G186" i="45"/>
  <c r="G157" i="45"/>
  <c r="G158" i="45"/>
  <c r="G159" i="45"/>
  <c r="G160" i="45"/>
  <c r="G156" i="45"/>
  <c r="G122" i="45"/>
  <c r="G123" i="45"/>
  <c r="G124" i="45"/>
  <c r="G125" i="45"/>
  <c r="G121" i="45"/>
  <c r="G93" i="45"/>
  <c r="G94" i="45"/>
  <c r="G95" i="45"/>
  <c r="G92" i="45"/>
  <c r="G57" i="45"/>
  <c r="G58" i="45"/>
  <c r="G59" i="45"/>
  <c r="G56" i="45"/>
  <c r="G55" i="45"/>
  <c r="I27" i="46" l="1"/>
  <c r="M27" i="46" s="1"/>
  <c r="I29" i="46"/>
  <c r="M29" i="46" s="1"/>
  <c r="I14" i="46"/>
  <c r="M14" i="46" s="1"/>
  <c r="I28" i="46"/>
  <c r="M28" i="46" s="1"/>
  <c r="I30" i="46"/>
  <c r="M30" i="46" s="1"/>
  <c r="I15" i="46"/>
  <c r="M15" i="46" s="1"/>
  <c r="G28" i="45"/>
  <c r="G29" i="45"/>
  <c r="G30" i="45"/>
  <c r="G27" i="45"/>
  <c r="G26" i="45"/>
  <c r="N153" i="46" l="1"/>
  <c r="D7" i="46"/>
  <c r="L7" i="46" s="1"/>
  <c r="D8" i="46"/>
  <c r="L8" i="46" s="1"/>
  <c r="D9" i="46"/>
  <c r="L9" i="46" s="1"/>
  <c r="D10" i="46"/>
  <c r="L10" i="46" s="1"/>
  <c r="D238" i="46"/>
  <c r="L238" i="46" s="1"/>
  <c r="D65" i="46"/>
  <c r="L65" i="46" s="1"/>
  <c r="D66" i="46"/>
  <c r="L66" i="46" s="1"/>
  <c r="D75" i="46"/>
  <c r="L75" i="46" s="1"/>
  <c r="D76" i="46"/>
  <c r="L76" i="46" s="1"/>
  <c r="D81" i="46"/>
  <c r="L81" i="46" s="1"/>
  <c r="D82" i="46"/>
  <c r="L82" i="46" s="1"/>
  <c r="D92" i="46"/>
  <c r="L92" i="46" s="1"/>
  <c r="D93" i="46"/>
  <c r="L93" i="46" s="1"/>
  <c r="D94" i="46"/>
  <c r="L94" i="46" s="1"/>
  <c r="D95" i="46"/>
  <c r="L95" i="46" s="1"/>
  <c r="D96" i="46"/>
  <c r="L96" i="46" s="1"/>
  <c r="D97" i="46"/>
  <c r="L97" i="46" s="1"/>
  <c r="D98" i="46"/>
  <c r="L98" i="46" s="1"/>
  <c r="D99" i="46"/>
  <c r="L99" i="46" s="1"/>
  <c r="D100" i="46"/>
  <c r="L100" i="46" s="1"/>
  <c r="D101" i="46"/>
  <c r="L101" i="46" s="1"/>
  <c r="D102" i="46"/>
  <c r="L102" i="46" s="1"/>
  <c r="D112" i="46"/>
  <c r="L112" i="46" s="1"/>
  <c r="D113" i="46"/>
  <c r="L113" i="46" s="1"/>
  <c r="D114" i="46"/>
  <c r="L114" i="46" s="1"/>
  <c r="D115" i="46"/>
  <c r="L115" i="46" s="1"/>
  <c r="D116" i="46"/>
  <c r="L116" i="46" s="1"/>
  <c r="D117" i="46"/>
  <c r="L117" i="46" s="1"/>
  <c r="D118" i="46"/>
  <c r="L118" i="46" s="1"/>
  <c r="D119" i="46"/>
  <c r="L119" i="46" s="1"/>
  <c r="D120" i="46"/>
  <c r="L120" i="46" s="1"/>
  <c r="D121" i="46"/>
  <c r="L121" i="46" s="1"/>
  <c r="D131" i="46"/>
  <c r="L131" i="46" s="1"/>
  <c r="D132" i="46"/>
  <c r="L132" i="46" s="1"/>
  <c r="D133" i="46"/>
  <c r="L133" i="46" s="1"/>
  <c r="D134" i="46"/>
  <c r="L134" i="46" s="1"/>
  <c r="D135" i="46"/>
  <c r="L135" i="46" s="1"/>
  <c r="D136" i="46"/>
  <c r="L136" i="46" s="1"/>
  <c r="D137" i="46"/>
  <c r="L137" i="46" s="1"/>
  <c r="D147" i="46"/>
  <c r="L147" i="46" s="1"/>
  <c r="D148" i="46"/>
  <c r="L148" i="46" s="1"/>
  <c r="D149" i="46"/>
  <c r="L149" i="46" s="1"/>
  <c r="D150" i="46"/>
  <c r="L150" i="46" s="1"/>
  <c r="D151" i="46"/>
  <c r="L151" i="46" s="1"/>
  <c r="D152" i="46"/>
  <c r="L152" i="46" s="1"/>
  <c r="D153" i="46"/>
  <c r="L153" i="46" s="1"/>
  <c r="D163" i="46"/>
  <c r="L163" i="46" s="1"/>
  <c r="D164" i="46"/>
  <c r="L164" i="46" s="1"/>
  <c r="D165" i="46"/>
  <c r="L165" i="46" s="1"/>
  <c r="D166" i="46"/>
  <c r="L166" i="46" s="1"/>
  <c r="D167" i="46"/>
  <c r="L167" i="46" s="1"/>
  <c r="D168" i="46"/>
  <c r="L168" i="46" s="1"/>
  <c r="D169" i="46"/>
  <c r="L169" i="46" s="1"/>
  <c r="D170" i="46"/>
  <c r="L170" i="46" s="1"/>
  <c r="D185" i="46"/>
  <c r="D186" i="46"/>
  <c r="L186" i="46" s="1"/>
  <c r="D187" i="46"/>
  <c r="L187" i="46" s="1"/>
  <c r="D192" i="46"/>
  <c r="L192" i="46" s="1"/>
  <c r="D193" i="46"/>
  <c r="L193" i="46" s="1"/>
  <c r="D194" i="46"/>
  <c r="L194" i="46" s="1"/>
  <c r="D195" i="46"/>
  <c r="L195" i="46" s="1"/>
  <c r="D196" i="46"/>
  <c r="L196" i="46" s="1"/>
  <c r="D197" i="46"/>
  <c r="L197" i="46" s="1"/>
  <c r="D198" i="46"/>
  <c r="L198" i="46" s="1"/>
  <c r="D199" i="46"/>
  <c r="L199" i="46" s="1"/>
  <c r="D200" i="46"/>
  <c r="L200" i="46" s="1"/>
  <c r="D204" i="46"/>
  <c r="D205" i="46"/>
  <c r="L205" i="46" s="1"/>
  <c r="D206" i="46"/>
  <c r="L206" i="46" s="1"/>
  <c r="D207" i="46"/>
  <c r="L207" i="46" s="1"/>
  <c r="D208" i="46"/>
  <c r="L208" i="46" s="1"/>
  <c r="D209" i="46"/>
  <c r="L209" i="46" s="1"/>
  <c r="D210" i="46"/>
  <c r="L210" i="46" s="1"/>
  <c r="D211" i="46"/>
  <c r="L211" i="46" s="1"/>
  <c r="D212" i="46"/>
  <c r="L212" i="46" s="1"/>
  <c r="D213" i="46"/>
  <c r="L213" i="46" s="1"/>
  <c r="D214" i="46"/>
  <c r="L214" i="46" s="1"/>
  <c r="D225" i="46"/>
  <c r="L225" i="46" s="1"/>
  <c r="D226" i="46"/>
  <c r="L226" i="46" s="1"/>
  <c r="D227" i="46"/>
  <c r="L227" i="46" s="1"/>
  <c r="D229" i="46"/>
  <c r="L229" i="46" s="1"/>
  <c r="D230" i="46"/>
  <c r="L230" i="46" s="1"/>
  <c r="D231" i="46"/>
  <c r="L231" i="46" s="1"/>
  <c r="D236" i="46"/>
  <c r="L236" i="46" s="1"/>
  <c r="D237" i="46"/>
  <c r="L237" i="46" s="1"/>
  <c r="D6" i="46"/>
  <c r="L6" i="46" s="1"/>
  <c r="H237" i="46"/>
  <c r="C237" i="46"/>
  <c r="K237" i="46" s="1"/>
  <c r="H236" i="46"/>
  <c r="C236" i="46"/>
  <c r="K236" i="46" s="1"/>
  <c r="H235" i="46"/>
  <c r="C235" i="46"/>
  <c r="K235" i="46" s="1"/>
  <c r="H234" i="46"/>
  <c r="I234" i="46" s="1"/>
  <c r="M234" i="46" s="1"/>
  <c r="C234" i="46"/>
  <c r="K234" i="46" s="1"/>
  <c r="H231" i="46"/>
  <c r="C231" i="46"/>
  <c r="K231" i="46" s="1"/>
  <c r="G230" i="46"/>
  <c r="H230" i="46" s="1"/>
  <c r="C230" i="46"/>
  <c r="K230" i="46" s="1"/>
  <c r="G229" i="46"/>
  <c r="H229" i="46" s="1"/>
  <c r="I229" i="46" s="1"/>
  <c r="M229" i="46" s="1"/>
  <c r="C229" i="46"/>
  <c r="K229" i="46" s="1"/>
  <c r="H227" i="46"/>
  <c r="C227" i="46"/>
  <c r="K227" i="46" s="1"/>
  <c r="G226" i="46"/>
  <c r="H226" i="46" s="1"/>
  <c r="C226" i="46"/>
  <c r="K226" i="46" s="1"/>
  <c r="G225" i="46"/>
  <c r="H225" i="46" s="1"/>
  <c r="C225" i="46"/>
  <c r="K225" i="46" s="1"/>
  <c r="G224" i="46"/>
  <c r="H224" i="46" s="1"/>
  <c r="C224" i="46"/>
  <c r="K224" i="46" s="1"/>
  <c r="G223" i="46"/>
  <c r="H223" i="46" s="1"/>
  <c r="C223" i="46"/>
  <c r="K223" i="46" s="1"/>
  <c r="H214" i="46"/>
  <c r="C214" i="46"/>
  <c r="K214" i="46" s="1"/>
  <c r="H213" i="46"/>
  <c r="C213" i="46"/>
  <c r="K213" i="46" s="1"/>
  <c r="H212" i="46"/>
  <c r="C212" i="46"/>
  <c r="K212" i="46" s="1"/>
  <c r="H211" i="46"/>
  <c r="C211" i="46"/>
  <c r="K211" i="46" s="1"/>
  <c r="H210" i="46"/>
  <c r="C210" i="46"/>
  <c r="K210" i="46" s="1"/>
  <c r="G209" i="46"/>
  <c r="H209" i="46" s="1"/>
  <c r="C209" i="46"/>
  <c r="K209" i="46" s="1"/>
  <c r="G208" i="46"/>
  <c r="H208" i="46" s="1"/>
  <c r="C208" i="46"/>
  <c r="K208" i="46" s="1"/>
  <c r="G207" i="46"/>
  <c r="H207" i="46" s="1"/>
  <c r="C207" i="46"/>
  <c r="K207" i="46" s="1"/>
  <c r="G206" i="46"/>
  <c r="H206" i="46" s="1"/>
  <c r="C206" i="46"/>
  <c r="K206" i="46" s="1"/>
  <c r="G205" i="46"/>
  <c r="H205" i="46" s="1"/>
  <c r="C205" i="46"/>
  <c r="K205" i="46" s="1"/>
  <c r="H204" i="46"/>
  <c r="C204" i="46"/>
  <c r="K204" i="46" s="1"/>
  <c r="H203" i="46"/>
  <c r="C203" i="46"/>
  <c r="K203" i="46" s="1"/>
  <c r="G202" i="46"/>
  <c r="H202" i="46" s="1"/>
  <c r="I202" i="46" s="1"/>
  <c r="H200" i="46"/>
  <c r="C200" i="46"/>
  <c r="K200" i="46" s="1"/>
  <c r="H199" i="46"/>
  <c r="C199" i="46"/>
  <c r="K199" i="46" s="1"/>
  <c r="H198" i="46"/>
  <c r="C198" i="46"/>
  <c r="K198" i="46" s="1"/>
  <c r="H197" i="46"/>
  <c r="C197" i="46"/>
  <c r="K197" i="46" s="1"/>
  <c r="H196" i="46"/>
  <c r="C196" i="46"/>
  <c r="K196" i="46" s="1"/>
  <c r="G195" i="46"/>
  <c r="H195" i="46" s="1"/>
  <c r="C195" i="46"/>
  <c r="K195" i="46" s="1"/>
  <c r="H194" i="46"/>
  <c r="C194" i="46"/>
  <c r="K194" i="46" s="1"/>
  <c r="G193" i="46"/>
  <c r="H193" i="46" s="1"/>
  <c r="C193" i="46"/>
  <c r="K193" i="46" s="1"/>
  <c r="G192" i="46"/>
  <c r="H192" i="46" s="1"/>
  <c r="C192" i="46"/>
  <c r="K192" i="46" s="1"/>
  <c r="G191" i="46"/>
  <c r="H191" i="46" s="1"/>
  <c r="C191" i="46"/>
  <c r="K191" i="46" s="1"/>
  <c r="G190" i="46"/>
  <c r="H190" i="46" s="1"/>
  <c r="C190" i="46"/>
  <c r="K190" i="46" s="1"/>
  <c r="G189" i="46"/>
  <c r="H189" i="46" s="1"/>
  <c r="H187" i="46"/>
  <c r="C187" i="46"/>
  <c r="K187" i="46" s="1"/>
  <c r="G186" i="46"/>
  <c r="H186" i="46" s="1"/>
  <c r="C186" i="46"/>
  <c r="K186" i="46" s="1"/>
  <c r="G185" i="46"/>
  <c r="H185" i="46" s="1"/>
  <c r="C185" i="46"/>
  <c r="K185" i="46" s="1"/>
  <c r="G184" i="46"/>
  <c r="H184" i="46" s="1"/>
  <c r="C184" i="46"/>
  <c r="K184" i="46" s="1"/>
  <c r="G183" i="46"/>
  <c r="H183" i="46" s="1"/>
  <c r="I183" i="46" s="1"/>
  <c r="K183" i="46"/>
  <c r="H170" i="46"/>
  <c r="I171" i="46" s="1"/>
  <c r="M171" i="46" s="1"/>
  <c r="C170" i="46"/>
  <c r="K170" i="46" s="1"/>
  <c r="H169" i="46"/>
  <c r="C169" i="46"/>
  <c r="K169" i="46" s="1"/>
  <c r="G168" i="46"/>
  <c r="H168" i="46" s="1"/>
  <c r="C168" i="46"/>
  <c r="K168" i="46" s="1"/>
  <c r="G167" i="46"/>
  <c r="H167" i="46" s="1"/>
  <c r="C167" i="46"/>
  <c r="K167" i="46" s="1"/>
  <c r="G166" i="46"/>
  <c r="H166" i="46" s="1"/>
  <c r="C166" i="46"/>
  <c r="K166" i="46" s="1"/>
  <c r="G165" i="46"/>
  <c r="H165" i="46" s="1"/>
  <c r="C165" i="46"/>
  <c r="K165" i="46" s="1"/>
  <c r="G164" i="46"/>
  <c r="H164" i="46" s="1"/>
  <c r="C164" i="46"/>
  <c r="K164" i="46" s="1"/>
  <c r="G163" i="46"/>
  <c r="H163" i="46" s="1"/>
  <c r="C163" i="46"/>
  <c r="K163" i="46" s="1"/>
  <c r="G162" i="46"/>
  <c r="H162" i="46" s="1"/>
  <c r="C162" i="46"/>
  <c r="K162" i="46" s="1"/>
  <c r="G161" i="46"/>
  <c r="H161" i="46" s="1"/>
  <c r="C161" i="46"/>
  <c r="K161" i="46" s="1"/>
  <c r="G160" i="46"/>
  <c r="H160" i="46" s="1"/>
  <c r="K160" i="46"/>
  <c r="H153" i="46"/>
  <c r="I154" i="46" s="1"/>
  <c r="M154" i="46" s="1"/>
  <c r="C153" i="46"/>
  <c r="K153" i="46" s="1"/>
  <c r="H152" i="46"/>
  <c r="C152" i="46"/>
  <c r="K152" i="46" s="1"/>
  <c r="H151" i="46"/>
  <c r="C151" i="46"/>
  <c r="K151" i="46" s="1"/>
  <c r="H150" i="46"/>
  <c r="C150" i="46"/>
  <c r="K150" i="46" s="1"/>
  <c r="H149" i="46"/>
  <c r="C149" i="46"/>
  <c r="K149" i="46" s="1"/>
  <c r="G148" i="46"/>
  <c r="H148" i="46" s="1"/>
  <c r="C148" i="46"/>
  <c r="K148" i="46" s="1"/>
  <c r="G147" i="46"/>
  <c r="H147" i="46" s="1"/>
  <c r="C147" i="46"/>
  <c r="K147" i="46" s="1"/>
  <c r="G146" i="46"/>
  <c r="H146" i="46" s="1"/>
  <c r="C146" i="46"/>
  <c r="K146" i="46" s="1"/>
  <c r="G145" i="46"/>
  <c r="H145" i="46" s="1"/>
  <c r="C145" i="46"/>
  <c r="K145" i="46" s="1"/>
  <c r="G144" i="46"/>
  <c r="H144" i="46" s="1"/>
  <c r="C144" i="46"/>
  <c r="K144" i="46" s="1"/>
  <c r="H137" i="46"/>
  <c r="I138" i="46" s="1"/>
  <c r="M138" i="46" s="1"/>
  <c r="C137" i="46"/>
  <c r="K137" i="46" s="1"/>
  <c r="H136" i="46"/>
  <c r="C136" i="46"/>
  <c r="K136" i="46" s="1"/>
  <c r="H135" i="46"/>
  <c r="C135" i="46"/>
  <c r="K135" i="46" s="1"/>
  <c r="H134" i="46"/>
  <c r="C134" i="46"/>
  <c r="K134" i="46" s="1"/>
  <c r="H133" i="46"/>
  <c r="C133" i="46"/>
  <c r="K133" i="46" s="1"/>
  <c r="G132" i="46"/>
  <c r="H132" i="46" s="1"/>
  <c r="C132" i="46"/>
  <c r="K132" i="46" s="1"/>
  <c r="G131" i="46"/>
  <c r="H131" i="46" s="1"/>
  <c r="C131" i="46"/>
  <c r="K131" i="46" s="1"/>
  <c r="G130" i="46"/>
  <c r="H130" i="46" s="1"/>
  <c r="C130" i="46"/>
  <c r="K130" i="46" s="1"/>
  <c r="G129" i="46"/>
  <c r="H129" i="46" s="1"/>
  <c r="C129" i="46"/>
  <c r="K129" i="46" s="1"/>
  <c r="G128" i="46"/>
  <c r="H128" i="46" s="1"/>
  <c r="H121" i="46"/>
  <c r="I122" i="46" s="1"/>
  <c r="M122" i="46" s="1"/>
  <c r="C121" i="46"/>
  <c r="K121" i="46" s="1"/>
  <c r="H120" i="46"/>
  <c r="C120" i="46"/>
  <c r="K120" i="46" s="1"/>
  <c r="H119" i="46"/>
  <c r="C119" i="46"/>
  <c r="K119" i="46" s="1"/>
  <c r="H118" i="46"/>
  <c r="C118" i="46"/>
  <c r="K118" i="46" s="1"/>
  <c r="G117" i="46"/>
  <c r="H117" i="46" s="1"/>
  <c r="C117" i="46"/>
  <c r="K117" i="46" s="1"/>
  <c r="G116" i="46"/>
  <c r="H116" i="46" s="1"/>
  <c r="C116" i="46"/>
  <c r="K116" i="46" s="1"/>
  <c r="G115" i="46"/>
  <c r="H115" i="46" s="1"/>
  <c r="C115" i="46"/>
  <c r="K115" i="46" s="1"/>
  <c r="G114" i="46"/>
  <c r="H114" i="46" s="1"/>
  <c r="C114" i="46"/>
  <c r="K114" i="46" s="1"/>
  <c r="G113" i="46"/>
  <c r="H113" i="46" s="1"/>
  <c r="C113" i="46"/>
  <c r="K113" i="46" s="1"/>
  <c r="G112" i="46"/>
  <c r="H112" i="46" s="1"/>
  <c r="C112" i="46"/>
  <c r="K112" i="46" s="1"/>
  <c r="G111" i="46"/>
  <c r="H111" i="46" s="1"/>
  <c r="C111" i="46"/>
  <c r="K111" i="46" s="1"/>
  <c r="G110" i="46"/>
  <c r="H110" i="46" s="1"/>
  <c r="C110" i="46"/>
  <c r="K110" i="46" s="1"/>
  <c r="G109" i="46"/>
  <c r="H109" i="46" s="1"/>
  <c r="H102" i="46"/>
  <c r="I103" i="46" s="1"/>
  <c r="M103" i="46" s="1"/>
  <c r="C102" i="46"/>
  <c r="K102" i="46" s="1"/>
  <c r="H101" i="46"/>
  <c r="C101" i="46"/>
  <c r="K101" i="46" s="1"/>
  <c r="H100" i="46"/>
  <c r="C100" i="46"/>
  <c r="K100" i="46" s="1"/>
  <c r="H99" i="46"/>
  <c r="C99" i="46"/>
  <c r="K99" i="46" s="1"/>
  <c r="G98" i="46"/>
  <c r="H98" i="46" s="1"/>
  <c r="C98" i="46"/>
  <c r="K98" i="46" s="1"/>
  <c r="G97" i="46"/>
  <c r="H97" i="46" s="1"/>
  <c r="C97" i="46"/>
  <c r="K97" i="46" s="1"/>
  <c r="G96" i="46"/>
  <c r="H96" i="46" s="1"/>
  <c r="C96" i="46"/>
  <c r="K96" i="46" s="1"/>
  <c r="G95" i="46"/>
  <c r="H95" i="46" s="1"/>
  <c r="C95" i="46"/>
  <c r="K95" i="46" s="1"/>
  <c r="G94" i="46"/>
  <c r="H94" i="46" s="1"/>
  <c r="C94" i="46"/>
  <c r="K94" i="46" s="1"/>
  <c r="G93" i="46"/>
  <c r="H93" i="46" s="1"/>
  <c r="C93" i="46"/>
  <c r="K93" i="46" s="1"/>
  <c r="G92" i="46"/>
  <c r="H92" i="46" s="1"/>
  <c r="C92" i="46"/>
  <c r="K92" i="46" s="1"/>
  <c r="G91" i="46"/>
  <c r="H91" i="46" s="1"/>
  <c r="C91" i="46"/>
  <c r="K91" i="46" s="1"/>
  <c r="G90" i="46"/>
  <c r="H90" i="46" s="1"/>
  <c r="C90" i="46"/>
  <c r="K90" i="46" s="1"/>
  <c r="G89" i="46"/>
  <c r="H89" i="46" s="1"/>
  <c r="H82" i="46"/>
  <c r="I83" i="46" s="1"/>
  <c r="M83" i="46" s="1"/>
  <c r="C82" i="46"/>
  <c r="K82" i="46" s="1"/>
  <c r="H81" i="46"/>
  <c r="C81" i="46"/>
  <c r="K81" i="46" s="1"/>
  <c r="H80" i="46"/>
  <c r="C80" i="46"/>
  <c r="K80" i="46" s="1"/>
  <c r="H79" i="46"/>
  <c r="C79" i="46"/>
  <c r="K79" i="46" s="1"/>
  <c r="H76" i="46"/>
  <c r="H75" i="46"/>
  <c r="H74" i="46"/>
  <c r="H73" i="46"/>
  <c r="H72" i="46"/>
  <c r="H66" i="46"/>
  <c r="C66" i="46"/>
  <c r="G65" i="46"/>
  <c r="H65" i="46" s="1"/>
  <c r="C65" i="46"/>
  <c r="G64" i="46"/>
  <c r="H64" i="46" s="1"/>
  <c r="C64" i="46"/>
  <c r="G63" i="46"/>
  <c r="H63" i="46" s="1"/>
  <c r="C63" i="46"/>
  <c r="G62" i="46"/>
  <c r="H62" i="46" s="1"/>
  <c r="G58" i="46"/>
  <c r="H58" i="46" s="1"/>
  <c r="C58" i="46"/>
  <c r="G57" i="46"/>
  <c r="H57" i="46" s="1"/>
  <c r="C57" i="46"/>
  <c r="G56" i="46"/>
  <c r="H56" i="46" s="1"/>
  <c r="C56" i="46"/>
  <c r="G55" i="46"/>
  <c r="H55" i="46" s="1"/>
  <c r="C55" i="46"/>
  <c r="G54" i="46"/>
  <c r="H54" i="46" s="1"/>
  <c r="C54" i="46"/>
  <c r="G53" i="46"/>
  <c r="H53" i="46" s="1"/>
  <c r="G47" i="46"/>
  <c r="H47" i="46" s="1"/>
  <c r="C47" i="46"/>
  <c r="G46" i="46"/>
  <c r="H46" i="46" s="1"/>
  <c r="C46" i="46"/>
  <c r="K46" i="46" s="1"/>
  <c r="G45" i="46"/>
  <c r="H45" i="46" s="1"/>
  <c r="C45" i="46"/>
  <c r="H44" i="46"/>
  <c r="C44" i="46"/>
  <c r="K44" i="46" s="1"/>
  <c r="G43" i="46"/>
  <c r="H43" i="46" s="1"/>
  <c r="C43" i="46"/>
  <c r="K43" i="46" s="1"/>
  <c r="H38" i="46"/>
  <c r="I39" i="46" s="1"/>
  <c r="M39" i="46" s="1"/>
  <c r="C38" i="46"/>
  <c r="K38" i="46" s="1"/>
  <c r="G37" i="46"/>
  <c r="H37" i="46" s="1"/>
  <c r="C37" i="46"/>
  <c r="H36" i="46"/>
  <c r="C36" i="46"/>
  <c r="K36" i="46" s="1"/>
  <c r="G35" i="46"/>
  <c r="H35" i="46" s="1"/>
  <c r="C35" i="46"/>
  <c r="G34" i="46"/>
  <c r="H34" i="46" s="1"/>
  <c r="G33" i="46"/>
  <c r="H33" i="46" s="1"/>
  <c r="I33" i="46" s="1"/>
  <c r="G24" i="46"/>
  <c r="H24" i="46" s="1"/>
  <c r="K24" i="46"/>
  <c r="G23" i="46"/>
  <c r="H23" i="46" s="1"/>
  <c r="G22" i="46"/>
  <c r="H22" i="46" s="1"/>
  <c r="G21" i="46"/>
  <c r="H21" i="46" s="1"/>
  <c r="K21" i="46"/>
  <c r="G20" i="46"/>
  <c r="H20" i="46" s="1"/>
  <c r="G19" i="46"/>
  <c r="H19" i="46" s="1"/>
  <c r="H18" i="46"/>
  <c r="H16" i="46"/>
  <c r="I16" i="46" s="1"/>
  <c r="M16" i="46" s="1"/>
  <c r="K16" i="46"/>
  <c r="G238" i="46"/>
  <c r="H238" i="46" s="1"/>
  <c r="C238" i="46"/>
  <c r="K238" i="46" s="1"/>
  <c r="G10" i="46"/>
  <c r="H10" i="46" s="1"/>
  <c r="K10" i="46"/>
  <c r="G9" i="46"/>
  <c r="H9" i="46" s="1"/>
  <c r="K9" i="46"/>
  <c r="G8" i="46"/>
  <c r="H8" i="46" s="1"/>
  <c r="K8" i="46"/>
  <c r="G7" i="46"/>
  <c r="H7" i="46" s="1"/>
  <c r="K7" i="46"/>
  <c r="G6" i="46"/>
  <c r="H6" i="46" s="1"/>
  <c r="G5" i="46"/>
  <c r="H5" i="46" s="1"/>
  <c r="K5" i="46"/>
  <c r="G4" i="46"/>
  <c r="H4" i="46" s="1"/>
  <c r="K4" i="46"/>
  <c r="G3" i="46"/>
  <c r="H3" i="46" s="1"/>
  <c r="C4" i="45"/>
  <c r="I4" i="45" s="1"/>
  <c r="C5" i="45"/>
  <c r="I5" i="45" s="1"/>
  <c r="C6" i="45"/>
  <c r="I6" i="45" s="1"/>
  <c r="C7" i="45"/>
  <c r="I7" i="45" s="1"/>
  <c r="C8" i="45"/>
  <c r="I8" i="45" s="1"/>
  <c r="C9" i="45"/>
  <c r="I9" i="45" s="1"/>
  <c r="C10" i="45"/>
  <c r="I10" i="45" s="1"/>
  <c r="C11" i="45"/>
  <c r="I11" i="45" s="1"/>
  <c r="C12" i="45"/>
  <c r="I12" i="45" s="1"/>
  <c r="C13" i="45"/>
  <c r="I13" i="45" s="1"/>
  <c r="C14" i="45"/>
  <c r="I14" i="45" s="1"/>
  <c r="C15" i="45"/>
  <c r="I15" i="45" s="1"/>
  <c r="C16" i="45"/>
  <c r="I16" i="45" s="1"/>
  <c r="C17" i="45"/>
  <c r="I17" i="45" s="1"/>
  <c r="C18" i="45"/>
  <c r="I18" i="45" s="1"/>
  <c r="C19" i="45"/>
  <c r="I19" i="45" s="1"/>
  <c r="C20" i="45"/>
  <c r="I20" i="45" s="1"/>
  <c r="C21" i="45"/>
  <c r="I21" i="45" s="1"/>
  <c r="C22" i="45"/>
  <c r="I22" i="45" s="1"/>
  <c r="C23" i="45"/>
  <c r="I23" i="45" s="1"/>
  <c r="C24" i="45"/>
  <c r="I24" i="45" s="1"/>
  <c r="C25" i="45"/>
  <c r="I25" i="45" s="1"/>
  <c r="C31" i="45"/>
  <c r="C32" i="45"/>
  <c r="I32" i="45" s="1"/>
  <c r="C33" i="45"/>
  <c r="I33" i="45" s="1"/>
  <c r="C34" i="45"/>
  <c r="I34" i="45" s="1"/>
  <c r="C35" i="45"/>
  <c r="I35" i="45" s="1"/>
  <c r="C36" i="45"/>
  <c r="I36" i="45" s="1"/>
  <c r="C37" i="45"/>
  <c r="I37" i="45" s="1"/>
  <c r="C38" i="45"/>
  <c r="I38" i="45" s="1"/>
  <c r="C39" i="45"/>
  <c r="I39" i="45" s="1"/>
  <c r="C40" i="45"/>
  <c r="I40" i="45" s="1"/>
  <c r="C41" i="45"/>
  <c r="I41" i="45" s="1"/>
  <c r="C42" i="45"/>
  <c r="I42" i="45" s="1"/>
  <c r="C43" i="45"/>
  <c r="I43" i="45" s="1"/>
  <c r="C44" i="45"/>
  <c r="I44" i="45" s="1"/>
  <c r="C45" i="45"/>
  <c r="I45" i="45" s="1"/>
  <c r="C46" i="45"/>
  <c r="I46" i="45" s="1"/>
  <c r="C47" i="45"/>
  <c r="I47" i="45" s="1"/>
  <c r="C48" i="45"/>
  <c r="I48" i="45" s="1"/>
  <c r="C49" i="45"/>
  <c r="I49" i="45" s="1"/>
  <c r="C50" i="45"/>
  <c r="I50" i="45" s="1"/>
  <c r="C51" i="45"/>
  <c r="I51" i="45" s="1"/>
  <c r="C52" i="45"/>
  <c r="I52" i="45" s="1"/>
  <c r="C53" i="45"/>
  <c r="I53" i="45" s="1"/>
  <c r="C54" i="45"/>
  <c r="I54" i="45" s="1"/>
  <c r="C60" i="45"/>
  <c r="I60" i="45" s="1"/>
  <c r="C61" i="45"/>
  <c r="I61" i="45" s="1"/>
  <c r="C62" i="45"/>
  <c r="I62" i="45" s="1"/>
  <c r="C63" i="45"/>
  <c r="I63" i="45" s="1"/>
  <c r="C64" i="45"/>
  <c r="I64" i="45" s="1"/>
  <c r="C65" i="45"/>
  <c r="I65" i="45" s="1"/>
  <c r="C66" i="45"/>
  <c r="I66" i="45" s="1"/>
  <c r="C67" i="45"/>
  <c r="I67" i="45" s="1"/>
  <c r="C68" i="45"/>
  <c r="I68" i="45" s="1"/>
  <c r="C71" i="45"/>
  <c r="C72" i="45"/>
  <c r="I72" i="45" s="1"/>
  <c r="C73" i="45"/>
  <c r="I73" i="45" s="1"/>
  <c r="C74" i="45"/>
  <c r="I74" i="45" s="1"/>
  <c r="C75" i="45"/>
  <c r="I75" i="45" s="1"/>
  <c r="C76" i="45"/>
  <c r="I76" i="45" s="1"/>
  <c r="C77" i="45"/>
  <c r="I77" i="45" s="1"/>
  <c r="C78" i="45"/>
  <c r="I78" i="45" s="1"/>
  <c r="C79" i="45"/>
  <c r="I79" i="45" s="1"/>
  <c r="C80" i="45"/>
  <c r="I80" i="45" s="1"/>
  <c r="C81" i="45"/>
  <c r="I81" i="45" s="1"/>
  <c r="C82" i="45"/>
  <c r="I82" i="45" s="1"/>
  <c r="C83" i="45"/>
  <c r="I83" i="45" s="1"/>
  <c r="C84" i="45"/>
  <c r="I84" i="45" s="1"/>
  <c r="C85" i="45"/>
  <c r="I85" i="45" s="1"/>
  <c r="C86" i="45"/>
  <c r="I86" i="45" s="1"/>
  <c r="C87" i="45"/>
  <c r="I87" i="45" s="1"/>
  <c r="C88" i="45"/>
  <c r="I88" i="45" s="1"/>
  <c r="C89" i="45"/>
  <c r="I89" i="45" s="1"/>
  <c r="C90" i="45"/>
  <c r="I90" i="45" s="1"/>
  <c r="C91" i="45"/>
  <c r="I91" i="45" s="1"/>
  <c r="C97" i="45"/>
  <c r="I97" i="45" s="1"/>
  <c r="C98" i="45"/>
  <c r="I98" i="45" s="1"/>
  <c r="C99" i="45"/>
  <c r="I99" i="45" s="1"/>
  <c r="C100" i="45"/>
  <c r="I100" i="45" s="1"/>
  <c r="C101" i="45"/>
  <c r="I101" i="45" s="1"/>
  <c r="C102" i="45"/>
  <c r="I102" i="45" s="1"/>
  <c r="C103" i="45"/>
  <c r="I103" i="45" s="1"/>
  <c r="C104" i="45"/>
  <c r="I104" i="45" s="1"/>
  <c r="C105" i="45"/>
  <c r="I105" i="45" s="1"/>
  <c r="C106" i="45"/>
  <c r="I106" i="45" s="1"/>
  <c r="C107" i="45"/>
  <c r="I107" i="45" s="1"/>
  <c r="C108" i="45"/>
  <c r="I108" i="45" s="1"/>
  <c r="C109" i="45"/>
  <c r="I109" i="45" s="1"/>
  <c r="C110" i="45"/>
  <c r="I110" i="45" s="1"/>
  <c r="C111" i="45"/>
  <c r="I111" i="45" s="1"/>
  <c r="C112" i="45"/>
  <c r="I112" i="45" s="1"/>
  <c r="C113" i="45"/>
  <c r="I113" i="45" s="1"/>
  <c r="C114" i="45"/>
  <c r="I114" i="45" s="1"/>
  <c r="C115" i="45"/>
  <c r="I115" i="45" s="1"/>
  <c r="C116" i="45"/>
  <c r="I116" i="45" s="1"/>
  <c r="C117" i="45"/>
  <c r="I117" i="45" s="1"/>
  <c r="C118" i="45"/>
  <c r="I118" i="45" s="1"/>
  <c r="C119" i="45"/>
  <c r="I119" i="45" s="1"/>
  <c r="C120" i="45"/>
  <c r="I120" i="45" s="1"/>
  <c r="C126" i="45"/>
  <c r="I126" i="45" s="1"/>
  <c r="C127" i="45"/>
  <c r="I127" i="45" s="1"/>
  <c r="C128" i="45"/>
  <c r="I128" i="45" s="1"/>
  <c r="C129" i="45"/>
  <c r="I129" i="45" s="1"/>
  <c r="C130" i="45"/>
  <c r="I130" i="45" s="1"/>
  <c r="C131" i="45"/>
  <c r="I131" i="45" s="1"/>
  <c r="C132" i="45"/>
  <c r="I132" i="45" s="1"/>
  <c r="C133" i="45"/>
  <c r="I133" i="45" s="1"/>
  <c r="C134" i="45"/>
  <c r="I134" i="45" s="1"/>
  <c r="C135" i="45"/>
  <c r="I135" i="45" s="1"/>
  <c r="C136" i="45"/>
  <c r="I136" i="45" s="1"/>
  <c r="C137" i="45"/>
  <c r="I137" i="45" s="1"/>
  <c r="C138" i="45"/>
  <c r="I138" i="45" s="1"/>
  <c r="C139" i="45"/>
  <c r="I139" i="45" s="1"/>
  <c r="C140" i="45"/>
  <c r="I140" i="45" s="1"/>
  <c r="C141" i="45"/>
  <c r="I141" i="45" s="1"/>
  <c r="C142" i="45"/>
  <c r="I142" i="45" s="1"/>
  <c r="C143" i="45"/>
  <c r="I143" i="45" s="1"/>
  <c r="C144" i="45"/>
  <c r="I144" i="45" s="1"/>
  <c r="C145" i="45"/>
  <c r="I145" i="45" s="1"/>
  <c r="C146" i="45"/>
  <c r="I146" i="45" s="1"/>
  <c r="C147" i="45"/>
  <c r="I147" i="45" s="1"/>
  <c r="C148" i="45"/>
  <c r="I148" i="45" s="1"/>
  <c r="C149" i="45"/>
  <c r="I149" i="45" s="1"/>
  <c r="C150" i="45"/>
  <c r="I150" i="45" s="1"/>
  <c r="C151" i="45"/>
  <c r="I151" i="45" s="1"/>
  <c r="C152" i="45"/>
  <c r="I152" i="45" s="1"/>
  <c r="C153" i="45"/>
  <c r="I153" i="45" s="1"/>
  <c r="C154" i="45"/>
  <c r="I154" i="45" s="1"/>
  <c r="C155" i="45"/>
  <c r="I155" i="45" s="1"/>
  <c r="C161" i="45"/>
  <c r="I161" i="45" s="1"/>
  <c r="C162" i="45"/>
  <c r="I162" i="45" s="1"/>
  <c r="C163" i="45"/>
  <c r="I163" i="45" s="1"/>
  <c r="C164" i="45"/>
  <c r="I164" i="45" s="1"/>
  <c r="C165" i="45"/>
  <c r="I165" i="45" s="1"/>
  <c r="C166" i="45"/>
  <c r="I166" i="45" s="1"/>
  <c r="C167" i="45"/>
  <c r="I167" i="45" s="1"/>
  <c r="C168" i="45"/>
  <c r="I168" i="45" s="1"/>
  <c r="C169" i="45"/>
  <c r="I169" i="45" s="1"/>
  <c r="C170" i="45"/>
  <c r="I170" i="45" s="1"/>
  <c r="C171" i="45"/>
  <c r="I171" i="45" s="1"/>
  <c r="C172" i="45"/>
  <c r="I172" i="45" s="1"/>
  <c r="C173" i="45"/>
  <c r="I173" i="45" s="1"/>
  <c r="C174" i="45"/>
  <c r="I174" i="45" s="1"/>
  <c r="C175" i="45"/>
  <c r="I175" i="45" s="1"/>
  <c r="C176" i="45"/>
  <c r="I176" i="45" s="1"/>
  <c r="C177" i="45"/>
  <c r="I177" i="45" s="1"/>
  <c r="C178" i="45"/>
  <c r="I178" i="45" s="1"/>
  <c r="C179" i="45"/>
  <c r="I179" i="45" s="1"/>
  <c r="C180" i="45"/>
  <c r="I180" i="45" s="1"/>
  <c r="C181" i="45"/>
  <c r="I181" i="45" s="1"/>
  <c r="C182" i="45"/>
  <c r="I182" i="45" s="1"/>
  <c r="C183" i="45"/>
  <c r="I183" i="45" s="1"/>
  <c r="C184" i="45"/>
  <c r="I184" i="45" s="1"/>
  <c r="C185" i="45"/>
  <c r="I185" i="45" s="1"/>
  <c r="C190" i="45"/>
  <c r="I190" i="45" s="1"/>
  <c r="C191" i="45"/>
  <c r="I191" i="45" s="1"/>
  <c r="C192" i="45"/>
  <c r="I192" i="45" s="1"/>
  <c r="C193" i="45"/>
  <c r="I193" i="45" s="1"/>
  <c r="C194" i="45"/>
  <c r="I194" i="45" s="1"/>
  <c r="C195" i="45"/>
  <c r="I195" i="45" s="1"/>
  <c r="C196" i="45"/>
  <c r="I196" i="45" s="1"/>
  <c r="C197" i="45"/>
  <c r="I197" i="45" s="1"/>
  <c r="C198" i="45"/>
  <c r="I198" i="45" s="1"/>
  <c r="C199" i="45"/>
  <c r="I199" i="45" s="1"/>
  <c r="C200" i="45"/>
  <c r="I200" i="45" s="1"/>
  <c r="C201" i="45"/>
  <c r="I201" i="45" s="1"/>
  <c r="C202" i="45"/>
  <c r="I202" i="45" s="1"/>
  <c r="C203" i="45"/>
  <c r="I203" i="45" s="1"/>
  <c r="C204" i="45"/>
  <c r="I204" i="45" s="1"/>
  <c r="C205" i="45"/>
  <c r="I205" i="45" s="1"/>
  <c r="C206" i="45"/>
  <c r="I206" i="45" s="1"/>
  <c r="C207" i="45"/>
  <c r="I207" i="45" s="1"/>
  <c r="C208" i="45"/>
  <c r="I208" i="45" s="1"/>
  <c r="C209" i="45"/>
  <c r="I209" i="45" s="1"/>
  <c r="C210" i="45"/>
  <c r="I210" i="45" s="1"/>
  <c r="C211" i="45"/>
  <c r="I211" i="45" s="1"/>
  <c r="C212" i="45"/>
  <c r="I212" i="45" s="1"/>
  <c r="C213" i="45"/>
  <c r="I213" i="45" s="1"/>
  <c r="C219" i="45"/>
  <c r="I219" i="45" s="1"/>
  <c r="C220" i="45"/>
  <c r="I220" i="45" s="1"/>
  <c r="C221" i="45"/>
  <c r="I221" i="45" s="1"/>
  <c r="C222" i="45"/>
  <c r="I222" i="45" s="1"/>
  <c r="C223" i="45"/>
  <c r="I223" i="45" s="1"/>
  <c r="C224" i="45"/>
  <c r="I224" i="45" s="1"/>
  <c r="C225" i="45"/>
  <c r="I225" i="45" s="1"/>
  <c r="C226" i="45"/>
  <c r="I226" i="45" s="1"/>
  <c r="C227" i="45"/>
  <c r="I227" i="45" s="1"/>
  <c r="C228" i="45"/>
  <c r="I228" i="45" s="1"/>
  <c r="C229" i="45"/>
  <c r="I229" i="45" s="1"/>
  <c r="C230" i="45"/>
  <c r="I230" i="45" s="1"/>
  <c r="C231" i="45"/>
  <c r="I231" i="45" s="1"/>
  <c r="C232" i="45"/>
  <c r="I232" i="45" s="1"/>
  <c r="C233" i="45"/>
  <c r="I233" i="45" s="1"/>
  <c r="C234" i="45"/>
  <c r="I234" i="45" s="1"/>
  <c r="C235" i="45"/>
  <c r="I235" i="45" s="1"/>
  <c r="C236" i="45"/>
  <c r="I236" i="45" s="1"/>
  <c r="C237" i="45"/>
  <c r="I237" i="45" s="1"/>
  <c r="C238" i="45"/>
  <c r="I238" i="45" s="1"/>
  <c r="C239" i="45"/>
  <c r="I239" i="45" s="1"/>
  <c r="C240" i="45"/>
  <c r="I240" i="45" s="1"/>
  <c r="C241" i="45"/>
  <c r="I241" i="45" s="1"/>
  <c r="C242" i="45"/>
  <c r="I242" i="45" s="1"/>
  <c r="C248" i="45"/>
  <c r="I248" i="45" s="1"/>
  <c r="C249" i="45"/>
  <c r="I249" i="45" s="1"/>
  <c r="C250" i="45"/>
  <c r="I250" i="45" s="1"/>
  <c r="C251" i="45"/>
  <c r="I251" i="45" s="1"/>
  <c r="C252" i="45"/>
  <c r="I252" i="45" s="1"/>
  <c r="C253" i="45"/>
  <c r="I253" i="45" s="1"/>
  <c r="C254" i="45"/>
  <c r="I254" i="45" s="1"/>
  <c r="C255" i="45"/>
  <c r="I255" i="45" s="1"/>
  <c r="C256" i="45"/>
  <c r="I256" i="45" s="1"/>
  <c r="C257" i="45"/>
  <c r="I257" i="45" s="1"/>
  <c r="C258" i="45"/>
  <c r="I258" i="45" s="1"/>
  <c r="C259" i="45"/>
  <c r="I259" i="45" s="1"/>
  <c r="C260" i="45"/>
  <c r="I260" i="45" s="1"/>
  <c r="C261" i="45"/>
  <c r="I261" i="45" s="1"/>
  <c r="C262" i="45"/>
  <c r="I262" i="45" s="1"/>
  <c r="C263" i="45"/>
  <c r="I263" i="45" s="1"/>
  <c r="C264" i="45"/>
  <c r="I264" i="45" s="1"/>
  <c r="C265" i="45"/>
  <c r="I265" i="45" s="1"/>
  <c r="C266" i="45"/>
  <c r="I266" i="45" s="1"/>
  <c r="C267" i="45"/>
  <c r="I267" i="45" s="1"/>
  <c r="C268" i="45"/>
  <c r="I268" i="45" s="1"/>
  <c r="C269" i="45"/>
  <c r="I269" i="45" s="1"/>
  <c r="C270" i="45"/>
  <c r="I270" i="45" s="1"/>
  <c r="C271" i="45"/>
  <c r="I271" i="45" s="1"/>
  <c r="C277" i="45"/>
  <c r="I277" i="45" s="1"/>
  <c r="C278" i="45"/>
  <c r="I278" i="45" s="1"/>
  <c r="C279" i="45"/>
  <c r="I279" i="45" s="1"/>
  <c r="C280" i="45"/>
  <c r="I280" i="45" s="1"/>
  <c r="C281" i="45"/>
  <c r="I281" i="45" s="1"/>
  <c r="C282" i="45"/>
  <c r="I282" i="45" s="1"/>
  <c r="C283" i="45"/>
  <c r="I283" i="45" s="1"/>
  <c r="C284" i="45"/>
  <c r="I284" i="45" s="1"/>
  <c r="C285" i="45"/>
  <c r="I285" i="45" s="1"/>
  <c r="C286" i="45"/>
  <c r="I286" i="45" s="1"/>
  <c r="C287" i="45"/>
  <c r="I287" i="45" s="1"/>
  <c r="C288" i="45"/>
  <c r="I288" i="45" s="1"/>
  <c r="C289" i="45"/>
  <c r="I289" i="45" s="1"/>
  <c r="C290" i="45"/>
  <c r="I290" i="45" s="1"/>
  <c r="C291" i="45"/>
  <c r="I291" i="45" s="1"/>
  <c r="C292" i="45"/>
  <c r="I292" i="45" s="1"/>
  <c r="C293" i="45"/>
  <c r="I293" i="45" s="1"/>
  <c r="C294" i="45"/>
  <c r="I294" i="45" s="1"/>
  <c r="C295" i="45"/>
  <c r="I295" i="45" s="1"/>
  <c r="C296" i="45"/>
  <c r="I296" i="45" s="1"/>
  <c r="C297" i="45"/>
  <c r="I297" i="45" s="1"/>
  <c r="C298" i="45"/>
  <c r="I298" i="45" s="1"/>
  <c r="C299" i="45"/>
  <c r="I299" i="45" s="1"/>
  <c r="C300" i="45"/>
  <c r="I300" i="45" s="1"/>
  <c r="C301" i="45"/>
  <c r="I301" i="45" s="1"/>
  <c r="C302" i="45"/>
  <c r="I302" i="45" s="1"/>
  <c r="C303" i="45"/>
  <c r="I303" i="45" s="1"/>
  <c r="C304" i="45"/>
  <c r="I304" i="45" s="1"/>
  <c r="C305" i="45"/>
  <c r="I305" i="45" s="1"/>
  <c r="C306" i="45"/>
  <c r="I306" i="45" s="1"/>
  <c r="C307" i="45"/>
  <c r="I307" i="45" s="1"/>
  <c r="C309" i="45"/>
  <c r="I309" i="45" s="1"/>
  <c r="C310" i="45"/>
  <c r="I310" i="45" s="1"/>
  <c r="C311" i="45"/>
  <c r="I311" i="45" s="1"/>
  <c r="C312" i="45"/>
  <c r="I312" i="45" s="1"/>
  <c r="C313" i="45"/>
  <c r="I313" i="45" s="1"/>
  <c r="C314" i="45"/>
  <c r="I314" i="45" s="1"/>
  <c r="C315" i="45"/>
  <c r="I315" i="45" s="1"/>
  <c r="C316" i="45"/>
  <c r="I316" i="45" s="1"/>
  <c r="C317" i="45"/>
  <c r="I317" i="45" s="1"/>
  <c r="C318" i="45"/>
  <c r="I318" i="45" s="1"/>
  <c r="C319" i="45"/>
  <c r="I319" i="45" s="1"/>
  <c r="C320" i="45"/>
  <c r="I320" i="45" s="1"/>
  <c r="C321" i="45"/>
  <c r="I321" i="45" s="1"/>
  <c r="C322" i="45"/>
  <c r="I322" i="45" s="1"/>
  <c r="C323" i="45"/>
  <c r="I323" i="45" s="1"/>
  <c r="C324" i="45"/>
  <c r="I324" i="45" s="1"/>
  <c r="C325" i="45"/>
  <c r="I325" i="45" s="1"/>
  <c r="C326" i="45"/>
  <c r="I326" i="45" s="1"/>
  <c r="C327" i="45"/>
  <c r="I327" i="45" s="1"/>
  <c r="C328" i="45"/>
  <c r="I328" i="45" s="1"/>
  <c r="C329" i="45"/>
  <c r="I329" i="45" s="1"/>
  <c r="C335" i="45"/>
  <c r="I335" i="45" s="1"/>
  <c r="C336" i="45"/>
  <c r="I336" i="45" s="1"/>
  <c r="C337" i="45"/>
  <c r="I337" i="45" s="1"/>
  <c r="C338" i="45"/>
  <c r="I338" i="45" s="1"/>
  <c r="C339" i="45"/>
  <c r="I339" i="45" s="1"/>
  <c r="C340" i="45"/>
  <c r="I340" i="45" s="1"/>
  <c r="C341" i="45"/>
  <c r="I341" i="45" s="1"/>
  <c r="C342" i="45"/>
  <c r="I342" i="45" s="1"/>
  <c r="C343" i="45"/>
  <c r="I343" i="45" s="1"/>
  <c r="C344" i="45"/>
  <c r="I344" i="45" s="1"/>
  <c r="C345" i="45"/>
  <c r="I345" i="45" s="1"/>
  <c r="C346" i="45"/>
  <c r="I346" i="45" s="1"/>
  <c r="C347" i="45"/>
  <c r="I347" i="45" s="1"/>
  <c r="C348" i="45"/>
  <c r="I348" i="45" s="1"/>
  <c r="C349" i="45"/>
  <c r="I349" i="45" s="1"/>
  <c r="C350" i="45"/>
  <c r="I350" i="45" s="1"/>
  <c r="C351" i="45"/>
  <c r="I351" i="45" s="1"/>
  <c r="C352" i="45"/>
  <c r="I352" i="45" s="1"/>
  <c r="C353" i="45"/>
  <c r="I353" i="45" s="1"/>
  <c r="C354" i="45"/>
  <c r="I354" i="45" s="1"/>
  <c r="C355" i="45"/>
  <c r="I355" i="45" s="1"/>
  <c r="C361" i="45"/>
  <c r="I361" i="45" s="1"/>
  <c r="C362" i="45"/>
  <c r="I362" i="45" s="1"/>
  <c r="C363" i="45"/>
  <c r="I363" i="45" s="1"/>
  <c r="C364" i="45"/>
  <c r="I364" i="45" s="1"/>
  <c r="C365" i="45"/>
  <c r="I365" i="45" s="1"/>
  <c r="C366" i="45"/>
  <c r="I366" i="45" s="1"/>
  <c r="C367" i="45"/>
  <c r="I367" i="45" s="1"/>
  <c r="C368" i="45"/>
  <c r="I368" i="45" s="1"/>
  <c r="C370" i="45"/>
  <c r="I370" i="45" s="1"/>
  <c r="C371" i="45"/>
  <c r="I371" i="45" s="1"/>
  <c r="C372" i="45"/>
  <c r="I372" i="45" s="1"/>
  <c r="C373" i="45"/>
  <c r="I373" i="45" s="1"/>
  <c r="C374" i="45"/>
  <c r="I374" i="45" s="1"/>
  <c r="C375" i="45"/>
  <c r="I375" i="45" s="1"/>
  <c r="C377" i="45"/>
  <c r="I377" i="45" s="1"/>
  <c r="C378" i="45"/>
  <c r="I378" i="45" s="1"/>
  <c r="C379" i="45"/>
  <c r="I379" i="45" s="1"/>
  <c r="C380" i="45"/>
  <c r="I380" i="45" s="1"/>
  <c r="C381" i="45"/>
  <c r="I381" i="45" s="1"/>
  <c r="C382" i="45"/>
  <c r="I382" i="45" s="1"/>
  <c r="C3" i="45"/>
  <c r="I3" i="45" s="1"/>
  <c r="I81" i="46" l="1"/>
  <c r="M81" i="46" s="1"/>
  <c r="I120" i="46"/>
  <c r="M120" i="46" s="1"/>
  <c r="I129" i="46"/>
  <c r="M129" i="46" s="1"/>
  <c r="I94" i="46"/>
  <c r="M94" i="46" s="1"/>
  <c r="I98" i="46"/>
  <c r="M98" i="46" s="1"/>
  <c r="I101" i="46"/>
  <c r="M101" i="46" s="1"/>
  <c r="I135" i="46"/>
  <c r="M135" i="46" s="1"/>
  <c r="I236" i="46"/>
  <c r="M236" i="46" s="1"/>
  <c r="I145" i="46"/>
  <c r="M145" i="46" s="1"/>
  <c r="I151" i="46"/>
  <c r="M151" i="46" s="1"/>
  <c r="I161" i="46"/>
  <c r="M161" i="46" s="1"/>
  <c r="I168" i="46"/>
  <c r="M168" i="46" s="1"/>
  <c r="I184" i="46"/>
  <c r="M184" i="46" s="1"/>
  <c r="I190" i="46"/>
  <c r="M190" i="46" s="1"/>
  <c r="I194" i="46"/>
  <c r="M194" i="46" s="1"/>
  <c r="I198" i="46"/>
  <c r="M198" i="46" s="1"/>
  <c r="I203" i="46"/>
  <c r="M203" i="46" s="1"/>
  <c r="I207" i="46"/>
  <c r="M207" i="46" s="1"/>
  <c r="I211" i="46"/>
  <c r="M211" i="46" s="1"/>
  <c r="I226" i="46"/>
  <c r="M226" i="46" s="1"/>
  <c r="I75" i="46"/>
  <c r="M75" i="46" s="1"/>
  <c r="I165" i="46"/>
  <c r="M165" i="46" s="1"/>
  <c r="I193" i="46"/>
  <c r="M193" i="46" s="1"/>
  <c r="I197" i="46"/>
  <c r="M197" i="46" s="1"/>
  <c r="I206" i="46"/>
  <c r="M206" i="46" s="1"/>
  <c r="I96" i="46"/>
  <c r="M96" i="46" s="1"/>
  <c r="I90" i="46"/>
  <c r="M90" i="46" s="1"/>
  <c r="I230" i="46"/>
  <c r="M230" i="46" s="1"/>
  <c r="I79" i="46"/>
  <c r="M79" i="46" s="1"/>
  <c r="I92" i="46"/>
  <c r="M92" i="46" s="1"/>
  <c r="I74" i="46"/>
  <c r="M74" i="46" s="1"/>
  <c r="I80" i="46"/>
  <c r="M80" i="46" s="1"/>
  <c r="I93" i="46"/>
  <c r="M93" i="46" s="1"/>
  <c r="I97" i="46"/>
  <c r="M97" i="46" s="1"/>
  <c r="I100" i="46"/>
  <c r="M100" i="46" s="1"/>
  <c r="I112" i="46"/>
  <c r="M112" i="46" s="1"/>
  <c r="I116" i="46"/>
  <c r="M116" i="46" s="1"/>
  <c r="I119" i="46"/>
  <c r="M119" i="46" s="1"/>
  <c r="I134" i="46"/>
  <c r="M134" i="46" s="1"/>
  <c r="I150" i="46"/>
  <c r="M150" i="46" s="1"/>
  <c r="I164" i="46"/>
  <c r="M164" i="46" s="1"/>
  <c r="I167" i="46"/>
  <c r="M167" i="46" s="1"/>
  <c r="I210" i="46"/>
  <c r="M210" i="46" s="1"/>
  <c r="I82" i="46"/>
  <c r="M82" i="46" s="1"/>
  <c r="I91" i="46"/>
  <c r="M91" i="46" s="1"/>
  <c r="I95" i="46"/>
  <c r="M95" i="46" s="1"/>
  <c r="I102" i="46"/>
  <c r="M102" i="46" s="1"/>
  <c r="I110" i="46"/>
  <c r="M110" i="46" s="1"/>
  <c r="I114" i="46"/>
  <c r="M114" i="46" s="1"/>
  <c r="I121" i="46"/>
  <c r="M121" i="46" s="1"/>
  <c r="I130" i="46"/>
  <c r="M130" i="46" s="1"/>
  <c r="I136" i="46"/>
  <c r="M136" i="46" s="1"/>
  <c r="I146" i="46"/>
  <c r="M146" i="46" s="1"/>
  <c r="I152" i="46"/>
  <c r="M152" i="46" s="1"/>
  <c r="I162" i="46"/>
  <c r="M162" i="46" s="1"/>
  <c r="I185" i="46"/>
  <c r="M185" i="46" s="1"/>
  <c r="I191" i="46"/>
  <c r="M191" i="46" s="1"/>
  <c r="I195" i="46"/>
  <c r="M195" i="46" s="1"/>
  <c r="I199" i="46"/>
  <c r="M199" i="46" s="1"/>
  <c r="I204" i="46"/>
  <c r="M204" i="46" s="1"/>
  <c r="I208" i="46"/>
  <c r="M208" i="46" s="1"/>
  <c r="I212" i="46"/>
  <c r="M212" i="46" s="1"/>
  <c r="I223" i="46"/>
  <c r="M223" i="46" s="1"/>
  <c r="I227" i="46"/>
  <c r="M227" i="46" s="1"/>
  <c r="I237" i="46"/>
  <c r="M237" i="46" s="1"/>
  <c r="I111" i="46"/>
  <c r="M111" i="46" s="1"/>
  <c r="I115" i="46"/>
  <c r="M115" i="46" s="1"/>
  <c r="I118" i="46"/>
  <c r="M118" i="46" s="1"/>
  <c r="I132" i="46"/>
  <c r="M132" i="46" s="1"/>
  <c r="I133" i="46"/>
  <c r="M133" i="46" s="1"/>
  <c r="I137" i="46"/>
  <c r="M137" i="46" s="1"/>
  <c r="I148" i="46"/>
  <c r="M148" i="46" s="1"/>
  <c r="I149" i="46"/>
  <c r="M149" i="46" s="1"/>
  <c r="I153" i="46"/>
  <c r="M153" i="46" s="1"/>
  <c r="I163" i="46"/>
  <c r="M163" i="46" s="1"/>
  <c r="I166" i="46"/>
  <c r="M166" i="46" s="1"/>
  <c r="I169" i="46"/>
  <c r="M169" i="46" s="1"/>
  <c r="I186" i="46"/>
  <c r="M186" i="46" s="1"/>
  <c r="I192" i="46"/>
  <c r="M192" i="46" s="1"/>
  <c r="I196" i="46"/>
  <c r="M196" i="46" s="1"/>
  <c r="I200" i="46"/>
  <c r="M200" i="46" s="1"/>
  <c r="I205" i="46"/>
  <c r="M205" i="46" s="1"/>
  <c r="I209" i="46"/>
  <c r="M209" i="46" s="1"/>
  <c r="I213" i="46"/>
  <c r="M213" i="46" s="1"/>
  <c r="I224" i="46"/>
  <c r="M224" i="46" s="1"/>
  <c r="I76" i="46"/>
  <c r="M76" i="46" s="1"/>
  <c r="I113" i="46"/>
  <c r="M113" i="46" s="1"/>
  <c r="I117" i="46"/>
  <c r="M117" i="46" s="1"/>
  <c r="I63" i="46"/>
  <c r="M63" i="46" s="1"/>
  <c r="I238" i="46"/>
  <c r="M238" i="46" s="1"/>
  <c r="I64" i="46"/>
  <c r="M64" i="46" s="1"/>
  <c r="I99" i="46"/>
  <c r="M99" i="46" s="1"/>
  <c r="I65" i="46"/>
  <c r="M65" i="46" s="1"/>
  <c r="I73" i="46"/>
  <c r="M73" i="46" s="1"/>
  <c r="I66" i="46"/>
  <c r="M66" i="46" s="1"/>
  <c r="I67" i="46"/>
  <c r="I131" i="46"/>
  <c r="M131" i="46" s="1"/>
  <c r="I147" i="46"/>
  <c r="M147" i="46" s="1"/>
  <c r="I170" i="46"/>
  <c r="M170" i="46" s="1"/>
  <c r="I187" i="46"/>
  <c r="M187" i="46" s="1"/>
  <c r="I214" i="46"/>
  <c r="M214" i="46" s="1"/>
  <c r="I225" i="46"/>
  <c r="M225" i="46" s="1"/>
  <c r="I231" i="46"/>
  <c r="M231" i="46" s="1"/>
  <c r="I232" i="46"/>
  <c r="M232" i="46" s="1"/>
  <c r="I235" i="46"/>
  <c r="M235" i="46" s="1"/>
  <c r="I35" i="46"/>
  <c r="M35" i="46" s="1"/>
  <c r="I44" i="46"/>
  <c r="M44" i="46" s="1"/>
  <c r="I57" i="46"/>
  <c r="M57" i="46" s="1"/>
  <c r="I55" i="46"/>
  <c r="M55" i="46" s="1"/>
  <c r="I59" i="46"/>
  <c r="M59" i="46" s="1"/>
  <c r="I58" i="46"/>
  <c r="M58" i="46" s="1"/>
  <c r="I56" i="46"/>
  <c r="M56" i="46" s="1"/>
  <c r="I54" i="46"/>
  <c r="M54" i="46" s="1"/>
  <c r="I34" i="46"/>
  <c r="I38" i="46"/>
  <c r="M38" i="46" s="1"/>
  <c r="I43" i="46"/>
  <c r="M43" i="46" s="1"/>
  <c r="I45" i="46"/>
  <c r="M45" i="46" s="1"/>
  <c r="I36" i="46"/>
  <c r="M36" i="46" s="1"/>
  <c r="I46" i="46"/>
  <c r="M46" i="46" s="1"/>
  <c r="I37" i="46"/>
  <c r="M37" i="46" s="1"/>
  <c r="I47" i="46"/>
  <c r="M47" i="46" s="1"/>
  <c r="I4" i="46"/>
  <c r="M4" i="46" s="1"/>
  <c r="I19" i="46"/>
  <c r="M19" i="46" s="1"/>
  <c r="I21" i="46"/>
  <c r="M21" i="46" s="1"/>
  <c r="I10" i="46"/>
  <c r="M10" i="46" s="1"/>
  <c r="I6" i="46"/>
  <c r="M6" i="46" s="1"/>
  <c r="I8" i="46"/>
  <c r="M8" i="46" s="1"/>
  <c r="I7" i="46"/>
  <c r="M7" i="46" s="1"/>
  <c r="I23" i="46"/>
  <c r="M23" i="46" s="1"/>
  <c r="I22" i="46"/>
  <c r="M22" i="46" s="1"/>
  <c r="I5" i="46"/>
  <c r="M5" i="46" s="1"/>
  <c r="I9" i="46"/>
  <c r="M9" i="46" s="1"/>
  <c r="I24" i="46"/>
  <c r="M24" i="46" s="1"/>
  <c r="I20" i="46"/>
  <c r="M20" i="46" s="1"/>
  <c r="K47" i="46"/>
  <c r="K56" i="46"/>
  <c r="K6" i="46"/>
  <c r="K65" i="46"/>
  <c r="K54" i="46"/>
  <c r="K20" i="46"/>
  <c r="K22" i="46"/>
  <c r="K57" i="46"/>
  <c r="K66" i="46"/>
  <c r="K23" i="46"/>
  <c r="K55" i="46"/>
  <c r="K58" i="46"/>
  <c r="K45" i="46"/>
  <c r="K37" i="46"/>
  <c r="K35" i="46"/>
  <c r="K34" i="46"/>
  <c r="G382" i="45"/>
  <c r="G381" i="45"/>
  <c r="G380" i="45"/>
  <c r="G379" i="45"/>
  <c r="G378" i="45"/>
  <c r="G377" i="45"/>
  <c r="G375" i="45"/>
  <c r="G374" i="45"/>
  <c r="G373" i="45"/>
  <c r="F372" i="45"/>
  <c r="G372" i="45" s="1"/>
  <c r="F371" i="45"/>
  <c r="G371" i="45" s="1"/>
  <c r="F370" i="45"/>
  <c r="G370" i="45" s="1"/>
  <c r="G368" i="45"/>
  <c r="G367" i="45"/>
  <c r="G366" i="45"/>
  <c r="F365" i="45"/>
  <c r="G365" i="45" s="1"/>
  <c r="F364" i="45"/>
  <c r="G364" i="45" s="1"/>
  <c r="F363" i="45"/>
  <c r="G363" i="45" s="1"/>
  <c r="F362" i="45"/>
  <c r="G362" i="45" s="1"/>
  <c r="F361" i="45"/>
  <c r="G361" i="45" s="1"/>
  <c r="G355" i="45"/>
  <c r="G354" i="45"/>
  <c r="G353" i="45"/>
  <c r="G352" i="45"/>
  <c r="G351" i="45"/>
  <c r="G350" i="45"/>
  <c r="G349" i="45"/>
  <c r="G348" i="45"/>
  <c r="G347" i="45"/>
  <c r="G346" i="45"/>
  <c r="G345" i="45"/>
  <c r="G344" i="45"/>
  <c r="G343" i="45"/>
  <c r="F342" i="45"/>
  <c r="G342" i="45" s="1"/>
  <c r="F341" i="45"/>
  <c r="G341" i="45" s="1"/>
  <c r="F340" i="45"/>
  <c r="G340" i="45" s="1"/>
  <c r="F339" i="45"/>
  <c r="G339" i="45" s="1"/>
  <c r="F338" i="45"/>
  <c r="G338" i="45" s="1"/>
  <c r="G337" i="45"/>
  <c r="G336" i="45"/>
  <c r="F335" i="45"/>
  <c r="G335" i="45" s="1"/>
  <c r="G329" i="45"/>
  <c r="G328" i="45"/>
  <c r="G327" i="45"/>
  <c r="G326" i="45"/>
  <c r="G325" i="45"/>
  <c r="G324" i="45"/>
  <c r="G323" i="45"/>
  <c r="G322" i="45"/>
  <c r="G321" i="45"/>
  <c r="G320" i="45"/>
  <c r="G319" i="45"/>
  <c r="G318" i="45"/>
  <c r="G317" i="45"/>
  <c r="F316" i="45"/>
  <c r="G316" i="45" s="1"/>
  <c r="G315" i="45"/>
  <c r="F314" i="45"/>
  <c r="G314" i="45" s="1"/>
  <c r="F313" i="45"/>
  <c r="G313" i="45" s="1"/>
  <c r="F312" i="45"/>
  <c r="G312" i="45" s="1"/>
  <c r="F311" i="45"/>
  <c r="G311" i="45" s="1"/>
  <c r="F310" i="45"/>
  <c r="G310" i="45" s="1"/>
  <c r="F309" i="45"/>
  <c r="G309" i="45" s="1"/>
  <c r="G307" i="45"/>
  <c r="G306" i="45"/>
  <c r="G305" i="45"/>
  <c r="F304" i="45"/>
  <c r="G304" i="45" s="1"/>
  <c r="F303" i="45"/>
  <c r="G303" i="45" s="1"/>
  <c r="F302" i="45"/>
  <c r="G302" i="45" s="1"/>
  <c r="F301" i="45"/>
  <c r="G301" i="45" s="1"/>
  <c r="G300" i="45"/>
  <c r="G299" i="45"/>
  <c r="G298" i="45"/>
  <c r="G297" i="45"/>
  <c r="G296" i="45"/>
  <c r="G295" i="45"/>
  <c r="G294" i="45"/>
  <c r="G293" i="45"/>
  <c r="G292" i="45"/>
  <c r="G291" i="45"/>
  <c r="G290" i="45"/>
  <c r="G289" i="45"/>
  <c r="G288" i="45"/>
  <c r="F287" i="45"/>
  <c r="G287" i="45" s="1"/>
  <c r="F286" i="45"/>
  <c r="G286" i="45" s="1"/>
  <c r="F285" i="45"/>
  <c r="G285" i="45" s="1"/>
  <c r="F284" i="45"/>
  <c r="G284" i="45" s="1"/>
  <c r="F283" i="45"/>
  <c r="G283" i="45" s="1"/>
  <c r="F282" i="45"/>
  <c r="G282" i="45" s="1"/>
  <c r="F281" i="45"/>
  <c r="G281" i="45" s="1"/>
  <c r="F280" i="45"/>
  <c r="G280" i="45" s="1"/>
  <c r="F279" i="45"/>
  <c r="G279" i="45" s="1"/>
  <c r="F278" i="45"/>
  <c r="G278" i="45" s="1"/>
  <c r="F277" i="45"/>
  <c r="G277" i="45" s="1"/>
  <c r="G271" i="45"/>
  <c r="G270" i="45"/>
  <c r="G269" i="45"/>
  <c r="G268" i="45"/>
  <c r="G267" i="45"/>
  <c r="G266" i="45"/>
  <c r="G265" i="45"/>
  <c r="G264" i="45"/>
  <c r="G263" i="45"/>
  <c r="G262" i="45"/>
  <c r="G261" i="45"/>
  <c r="G260" i="45"/>
  <c r="G259" i="45"/>
  <c r="F258" i="45"/>
  <c r="G258" i="45" s="1"/>
  <c r="F257" i="45"/>
  <c r="G257" i="45" s="1"/>
  <c r="F256" i="45"/>
  <c r="G256" i="45" s="1"/>
  <c r="F255" i="45"/>
  <c r="G255" i="45" s="1"/>
  <c r="F254" i="45"/>
  <c r="G254" i="45" s="1"/>
  <c r="F253" i="45"/>
  <c r="G253" i="45" s="1"/>
  <c r="F252" i="45"/>
  <c r="G252" i="45" s="1"/>
  <c r="F251" i="45"/>
  <c r="G251" i="45" s="1"/>
  <c r="F250" i="45"/>
  <c r="G250" i="45" s="1"/>
  <c r="F249" i="45"/>
  <c r="G249" i="45" s="1"/>
  <c r="F248" i="45"/>
  <c r="G248" i="45" s="1"/>
  <c r="G242" i="45"/>
  <c r="G241" i="45"/>
  <c r="G240" i="45"/>
  <c r="G239" i="45"/>
  <c r="G238" i="45"/>
  <c r="G237" i="45"/>
  <c r="G236" i="45"/>
  <c r="G235" i="45"/>
  <c r="G234" i="45"/>
  <c r="G233" i="45"/>
  <c r="G232" i="45"/>
  <c r="G231" i="45"/>
  <c r="G230" i="45"/>
  <c r="F229" i="45"/>
  <c r="G229" i="45" s="1"/>
  <c r="F228" i="45"/>
  <c r="G228" i="45" s="1"/>
  <c r="F227" i="45"/>
  <c r="G227" i="45" s="1"/>
  <c r="F226" i="45"/>
  <c r="G226" i="45" s="1"/>
  <c r="F225" i="45"/>
  <c r="G225" i="45" s="1"/>
  <c r="F224" i="45"/>
  <c r="G224" i="45" s="1"/>
  <c r="F223" i="45"/>
  <c r="G223" i="45" s="1"/>
  <c r="F222" i="45"/>
  <c r="G222" i="45" s="1"/>
  <c r="F221" i="45"/>
  <c r="G221" i="45" s="1"/>
  <c r="F220" i="45"/>
  <c r="G220" i="45" s="1"/>
  <c r="F219" i="45"/>
  <c r="G219" i="45" s="1"/>
  <c r="G213" i="45"/>
  <c r="G212" i="45"/>
  <c r="G211" i="45"/>
  <c r="G210" i="45"/>
  <c r="G209" i="45"/>
  <c r="G208" i="45"/>
  <c r="G207" i="45"/>
  <c r="G206" i="45"/>
  <c r="G205" i="45"/>
  <c r="G204" i="45"/>
  <c r="G203" i="45"/>
  <c r="G202" i="45"/>
  <c r="G201" i="45"/>
  <c r="F200" i="45"/>
  <c r="G200" i="45" s="1"/>
  <c r="F199" i="45"/>
  <c r="G199" i="45" s="1"/>
  <c r="F198" i="45"/>
  <c r="G198" i="45" s="1"/>
  <c r="F197" i="45"/>
  <c r="G197" i="45" s="1"/>
  <c r="F196" i="45"/>
  <c r="G196" i="45" s="1"/>
  <c r="F195" i="45"/>
  <c r="G195" i="45" s="1"/>
  <c r="F194" i="45"/>
  <c r="G194" i="45" s="1"/>
  <c r="F193" i="45"/>
  <c r="G193" i="45" s="1"/>
  <c r="F192" i="45"/>
  <c r="G192" i="45" s="1"/>
  <c r="F191" i="45"/>
  <c r="G191" i="45" s="1"/>
  <c r="F190" i="45"/>
  <c r="G190" i="45" s="1"/>
  <c r="G185" i="45"/>
  <c r="G184" i="45"/>
  <c r="G183" i="45"/>
  <c r="G182" i="45"/>
  <c r="G181" i="45"/>
  <c r="G180" i="45"/>
  <c r="G179" i="45"/>
  <c r="G178" i="45"/>
  <c r="G177" i="45"/>
  <c r="G176" i="45"/>
  <c r="G175" i="45"/>
  <c r="G174" i="45"/>
  <c r="G173" i="45"/>
  <c r="F172" i="45"/>
  <c r="G172" i="45" s="1"/>
  <c r="F171" i="45"/>
  <c r="G171" i="45" s="1"/>
  <c r="F170" i="45"/>
  <c r="G170" i="45" s="1"/>
  <c r="F169" i="45"/>
  <c r="G169" i="45" s="1"/>
  <c r="F168" i="45"/>
  <c r="G168" i="45" s="1"/>
  <c r="F167" i="45"/>
  <c r="G167" i="45" s="1"/>
  <c r="F166" i="45"/>
  <c r="G166" i="45" s="1"/>
  <c r="F165" i="45"/>
  <c r="G165" i="45" s="1"/>
  <c r="F164" i="45"/>
  <c r="G164" i="45" s="1"/>
  <c r="F163" i="45"/>
  <c r="G163" i="45" s="1"/>
  <c r="F162" i="45"/>
  <c r="G162" i="45" s="1"/>
  <c r="F161" i="45"/>
  <c r="G161" i="45" s="1"/>
  <c r="G155" i="45"/>
  <c r="G154" i="45"/>
  <c r="G153" i="45"/>
  <c r="G152" i="45"/>
  <c r="G151" i="45"/>
  <c r="G150" i="45"/>
  <c r="G149" i="45"/>
  <c r="G148" i="45"/>
  <c r="G147" i="45"/>
  <c r="G146" i="45"/>
  <c r="G145" i="45"/>
  <c r="G144" i="45"/>
  <c r="G143" i="45"/>
  <c r="G142" i="45"/>
  <c r="G141" i="45"/>
  <c r="G140" i="45"/>
  <c r="G139" i="45"/>
  <c r="G138" i="45"/>
  <c r="G137" i="45"/>
  <c r="G136" i="45"/>
  <c r="G135" i="45"/>
  <c r="G134" i="45"/>
  <c r="G133" i="45"/>
  <c r="G132" i="45"/>
  <c r="G131" i="45"/>
  <c r="G130" i="45"/>
  <c r="G129" i="45"/>
  <c r="G128" i="45"/>
  <c r="G127" i="45"/>
  <c r="G126" i="45"/>
  <c r="G120" i="45"/>
  <c r="G119" i="45"/>
  <c r="G118" i="45"/>
  <c r="G117" i="45"/>
  <c r="G116" i="45"/>
  <c r="G115" i="45"/>
  <c r="G114" i="45"/>
  <c r="G113" i="45"/>
  <c r="F112" i="45"/>
  <c r="G112" i="45" s="1"/>
  <c r="F111" i="45"/>
  <c r="G111" i="45" s="1"/>
  <c r="G110" i="45"/>
  <c r="F109" i="45"/>
  <c r="G109" i="45" s="1"/>
  <c r="F108" i="45"/>
  <c r="G108" i="45" s="1"/>
  <c r="F107" i="45"/>
  <c r="G107" i="45" s="1"/>
  <c r="F106" i="45"/>
  <c r="G106" i="45" s="1"/>
  <c r="F105" i="45"/>
  <c r="G105" i="45" s="1"/>
  <c r="G104" i="45"/>
  <c r="F103" i="45"/>
  <c r="G103" i="45" s="1"/>
  <c r="F102" i="45"/>
  <c r="G102" i="45" s="1"/>
  <c r="F101" i="45"/>
  <c r="G101" i="45" s="1"/>
  <c r="F100" i="45"/>
  <c r="G100" i="45" s="1"/>
  <c r="F99" i="45"/>
  <c r="G99" i="45" s="1"/>
  <c r="F98" i="45"/>
  <c r="G98" i="45" s="1"/>
  <c r="F97" i="45"/>
  <c r="G97" i="45" s="1"/>
  <c r="G91" i="45"/>
  <c r="G90" i="45"/>
  <c r="G89" i="45"/>
  <c r="G88" i="45"/>
  <c r="G87" i="45"/>
  <c r="G86" i="45"/>
  <c r="G85" i="45"/>
  <c r="G84" i="45"/>
  <c r="G83" i="45"/>
  <c r="G82" i="45"/>
  <c r="G81" i="45"/>
  <c r="G80" i="45"/>
  <c r="G79" i="45"/>
  <c r="F78" i="45"/>
  <c r="G78" i="45" s="1"/>
  <c r="F77" i="45"/>
  <c r="G77" i="45" s="1"/>
  <c r="F76" i="45"/>
  <c r="G76" i="45" s="1"/>
  <c r="F75" i="45"/>
  <c r="G75" i="45" s="1"/>
  <c r="F74" i="45"/>
  <c r="G74" i="45" s="1"/>
  <c r="G73" i="45"/>
  <c r="F72" i="45"/>
  <c r="G72" i="45" s="1"/>
  <c r="F71" i="45"/>
  <c r="G71" i="45" s="1"/>
  <c r="G68" i="45"/>
  <c r="G67" i="45"/>
  <c r="G66" i="45"/>
  <c r="F65" i="45"/>
  <c r="G65" i="45" s="1"/>
  <c r="G64" i="45"/>
  <c r="F63" i="45"/>
  <c r="G63" i="45" s="1"/>
  <c r="F62" i="45"/>
  <c r="G62" i="45" s="1"/>
  <c r="F61" i="45"/>
  <c r="G61" i="45" s="1"/>
  <c r="F60" i="45"/>
  <c r="G60" i="45" s="1"/>
  <c r="G54" i="45"/>
  <c r="G53" i="45"/>
  <c r="G52" i="45"/>
  <c r="G51" i="45"/>
  <c r="G50" i="45"/>
  <c r="G49" i="45"/>
  <c r="G48" i="45"/>
  <c r="G47" i="45"/>
  <c r="G46" i="45"/>
  <c r="G45" i="45"/>
  <c r="G44" i="45"/>
  <c r="G43" i="45"/>
  <c r="G42" i="45"/>
  <c r="F41" i="45"/>
  <c r="G41" i="45" s="1"/>
  <c r="F40" i="45"/>
  <c r="G40" i="45" s="1"/>
  <c r="F39" i="45"/>
  <c r="G39" i="45" s="1"/>
  <c r="F38" i="45"/>
  <c r="G38" i="45" s="1"/>
  <c r="F37" i="45"/>
  <c r="G37" i="45" s="1"/>
  <c r="F36" i="45"/>
  <c r="G36" i="45" s="1"/>
  <c r="F35" i="45"/>
  <c r="G35" i="45" s="1"/>
  <c r="F34" i="45"/>
  <c r="G34" i="45" s="1"/>
  <c r="F33" i="45"/>
  <c r="G33" i="45" s="1"/>
  <c r="G32" i="45"/>
  <c r="F31" i="45"/>
  <c r="G31" i="45" s="1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F12" i="45"/>
  <c r="G12" i="45" s="1"/>
  <c r="F11" i="45"/>
  <c r="G11" i="45" s="1"/>
  <c r="F10" i="45"/>
  <c r="G10" i="45" s="1"/>
  <c r="F9" i="45"/>
  <c r="G9" i="45" s="1"/>
  <c r="F8" i="45"/>
  <c r="G8" i="45" s="1"/>
  <c r="F7" i="45"/>
  <c r="G7" i="45" s="1"/>
  <c r="F6" i="45"/>
  <c r="G6" i="45" s="1"/>
  <c r="F5" i="45"/>
  <c r="G5" i="45" s="1"/>
  <c r="F4" i="45"/>
  <c r="G4" i="45" s="1"/>
  <c r="F3" i="45"/>
  <c r="G3" i="45" s="1"/>
  <c r="F2" i="45"/>
  <c r="G2" i="45" s="1"/>
  <c r="N66" i="46" l="1"/>
  <c r="N82" i="46"/>
  <c r="N58" i="46"/>
  <c r="N102" i="46"/>
  <c r="AB38" i="24"/>
  <c r="AB37" i="24"/>
  <c r="X38" i="24"/>
  <c r="X37" i="24"/>
  <c r="X36" i="24"/>
  <c r="T38" i="24"/>
  <c r="T36" i="24"/>
  <c r="L38" i="24"/>
  <c r="P37" i="24"/>
  <c r="P36" i="24"/>
  <c r="L36" i="24" l="1"/>
  <c r="H36" i="24"/>
  <c r="S38" i="22" l="1"/>
  <c r="S37" i="22"/>
  <c r="S36" i="22"/>
  <c r="R38" i="22"/>
  <c r="R37" i="22"/>
  <c r="R36" i="22"/>
  <c r="N38" i="22"/>
  <c r="N37" i="22"/>
  <c r="N36" i="22"/>
  <c r="M38" i="22"/>
  <c r="M37" i="22"/>
  <c r="M36" i="22"/>
  <c r="H38" i="22"/>
</calcChain>
</file>

<file path=xl/sharedStrings.xml><?xml version="1.0" encoding="utf-8"?>
<sst xmlns="http://schemas.openxmlformats.org/spreadsheetml/2006/main" count="4774" uniqueCount="261">
  <si>
    <t>ENV-COV-21-064</t>
  </si>
  <si>
    <t>BUFFALO CITY MM</t>
  </si>
  <si>
    <t>Eastern Cape</t>
  </si>
  <si>
    <t>Mdantsane waterwaste</t>
  </si>
  <si>
    <t>MANGAUNG</t>
  </si>
  <si>
    <t>Free State</t>
  </si>
  <si>
    <t>City of Cape Town MM</t>
  </si>
  <si>
    <t>Western Cape</t>
  </si>
  <si>
    <t>ETHEKWINI</t>
  </si>
  <si>
    <t>Kwa-Zulu Natal</t>
  </si>
  <si>
    <t>ENV-COV-21-051</t>
  </si>
  <si>
    <t>ENV-COV-21-045</t>
  </si>
  <si>
    <t>ENV-NIC-21-0228</t>
  </si>
  <si>
    <t>Borcheds Quarry Wastewater</t>
  </si>
  <si>
    <t>ENV-NIC-21-0223</t>
  </si>
  <si>
    <t>ENV-COV-21-023</t>
  </si>
  <si>
    <t>ENV-NIC-21-0147</t>
  </si>
  <si>
    <t>ENV-NIC-21-0094</t>
  </si>
  <si>
    <t>Genome copies/mL (RdRP gene)</t>
  </si>
  <si>
    <t>Genome copies/mL (N gene)</t>
  </si>
  <si>
    <t>Genome copies/mL (E gene)</t>
  </si>
  <si>
    <t>Lab Number</t>
  </si>
  <si>
    <t>Date sample collected</t>
  </si>
  <si>
    <t>District_Name</t>
  </si>
  <si>
    <t>Province_Name</t>
  </si>
  <si>
    <t>Site Name</t>
  </si>
  <si>
    <t>Epid week</t>
  </si>
  <si>
    <t>Epidweek</t>
  </si>
  <si>
    <t>Lab confirmed cases</t>
  </si>
  <si>
    <t>1</t>
  </si>
  <si>
    <t xml:space="preserve"> Cato Ridge KZN</t>
  </si>
  <si>
    <t>Cato Ridge date sample collected</t>
  </si>
  <si>
    <t>Cato Ridge Lab Number</t>
  </si>
  <si>
    <t>Cato Ridge WWTW gene copies/mL (N1 gene)</t>
  </si>
  <si>
    <t>Cato Ridge WWTW gene copies/mL (N2 gene)</t>
  </si>
  <si>
    <t>Hammarsdale KZN</t>
  </si>
  <si>
    <t xml:space="preserve"> Hammarsdale date sample collected</t>
  </si>
  <si>
    <t>Hammarsdale Lab Number</t>
  </si>
  <si>
    <t>Hammarsdale WWTW gene copies/mL (N1 gene)</t>
  </si>
  <si>
    <t>Hammarsdale WWTW gene copies/mL (N2 gene)</t>
  </si>
  <si>
    <t>Hillcrest KZN</t>
  </si>
  <si>
    <t>Hillcrest date sample collected</t>
  </si>
  <si>
    <t>Hillcrest Lab Number</t>
  </si>
  <si>
    <t>Hillcrest WWTW gene copies/mL (N1 gene)</t>
  </si>
  <si>
    <t>Hillcrest WWTW gene copies/mL (N2 gene)</t>
  </si>
  <si>
    <t>Cato Ridge</t>
  </si>
  <si>
    <t>02-09-2021</t>
  </si>
  <si>
    <t>210902L-004</t>
  </si>
  <si>
    <t>09-09-2021</t>
  </si>
  <si>
    <t>210909F-004</t>
  </si>
  <si>
    <t>16-09-2021</t>
  </si>
  <si>
    <t>210916A-004</t>
  </si>
  <si>
    <t>Hammarsdale</t>
  </si>
  <si>
    <t>210902L-005</t>
  </si>
  <si>
    <t>210909F-005</t>
  </si>
  <si>
    <t>210916A-005</t>
  </si>
  <si>
    <t>Hillcrest</t>
  </si>
  <si>
    <t>210902L-006</t>
  </si>
  <si>
    <t>210909F-006</t>
  </si>
  <si>
    <t>210916A-006</t>
  </si>
  <si>
    <t xml:space="preserve"> Dewetsdorp</t>
  </si>
  <si>
    <t>Dewetsdorp date sample collected</t>
  </si>
  <si>
    <t>Dewetsdorp Lab Number</t>
  </si>
  <si>
    <t>Dewetsdorp WWTW gene copies/mL (N gene)</t>
  </si>
  <si>
    <t>1/09/2021</t>
  </si>
  <si>
    <t>WWP028</t>
  </si>
  <si>
    <t>Dewetsdorp</t>
  </si>
  <si>
    <t>Bainsvlei</t>
  </si>
  <si>
    <t>Bainvlei date sample collected</t>
  </si>
  <si>
    <t>Bainvlei Lab Number</t>
  </si>
  <si>
    <t>Bainvlei WWTW gene copies/mL (N gene)</t>
  </si>
  <si>
    <t xml:space="preserve"> Bainsvlei </t>
  </si>
  <si>
    <t>WWP029</t>
  </si>
  <si>
    <t>North Eastern</t>
  </si>
  <si>
    <t>North Eastern date sample collected</t>
  </si>
  <si>
    <t>North Eastern Lab Number</t>
  </si>
  <si>
    <t>North Eastern WWTW gene copies/mL (N gene)</t>
  </si>
  <si>
    <t>9/9/2021</t>
  </si>
  <si>
    <t>WWP041</t>
  </si>
  <si>
    <t>15/09/2021</t>
  </si>
  <si>
    <t>WWP051</t>
  </si>
  <si>
    <t>WWP031</t>
  </si>
  <si>
    <t>WWP043</t>
  </si>
  <si>
    <t>WWP050</t>
  </si>
  <si>
    <t xml:space="preserve">North </t>
  </si>
  <si>
    <t>North  date sample collected</t>
  </si>
  <si>
    <t>North  Lab Number</t>
  </si>
  <si>
    <t>North WWTW gene copies/mL (N gene)</t>
  </si>
  <si>
    <t>WWP032</t>
  </si>
  <si>
    <t>WWP042</t>
  </si>
  <si>
    <t>WWP049</t>
  </si>
  <si>
    <t>Thaba Nchu</t>
  </si>
  <si>
    <t>Thaba Nchu date sample collected</t>
  </si>
  <si>
    <t>Thaba Nchu  Lab Number</t>
  </si>
  <si>
    <t>Thaba Nchu WWTW gene copies/mL (N gene)</t>
  </si>
  <si>
    <t>WWP033</t>
  </si>
  <si>
    <t>WWP039</t>
  </si>
  <si>
    <t>WWP052</t>
  </si>
  <si>
    <t xml:space="preserve">Welvaart </t>
  </si>
  <si>
    <t>Welvaart date sample collected</t>
  </si>
  <si>
    <t>Welvaart Lab Number</t>
  </si>
  <si>
    <t>Welvaart WWTW gene copies/mL (N gene)</t>
  </si>
  <si>
    <t>WWP040</t>
  </si>
  <si>
    <t>WWP053</t>
  </si>
  <si>
    <t>Admissions</t>
  </si>
  <si>
    <t>Deaths</t>
  </si>
  <si>
    <t>Logcopies_ml</t>
  </si>
  <si>
    <t>Epiweek</t>
  </si>
  <si>
    <t>Cases</t>
  </si>
  <si>
    <t>Copies_ml</t>
  </si>
  <si>
    <t>Plant</t>
  </si>
  <si>
    <t>BCM_Mdantsane</t>
  </si>
  <si>
    <t>NMM_Brickfield</t>
  </si>
  <si>
    <t>NMM_Kwanobuhle</t>
  </si>
  <si>
    <t>NC_Calvinia</t>
  </si>
  <si>
    <t>BCM_Eastbank</t>
  </si>
  <si>
    <t>CoCT_Borcherds</t>
  </si>
  <si>
    <t>CoCT_Zandvliet</t>
  </si>
  <si>
    <t>FS_Sterkwater</t>
  </si>
  <si>
    <t>FS_Bloemspruit</t>
  </si>
  <si>
    <t>Eth_Central</t>
  </si>
  <si>
    <t>Eth_North</t>
  </si>
  <si>
    <t>Ek_Hartebees</t>
  </si>
  <si>
    <t>Ek_Daveyton</t>
  </si>
  <si>
    <t>Ek_Vlakplaats</t>
  </si>
  <si>
    <t>Ek_Olifants</t>
  </si>
  <si>
    <t>JHB_Goud</t>
  </si>
  <si>
    <t>JHB_North</t>
  </si>
  <si>
    <t>Tsh_Daspoort</t>
  </si>
  <si>
    <t>Tsh_Rooiwal</t>
  </si>
  <si>
    <t>Sensitivity</t>
  </si>
  <si>
    <t>a</t>
  </si>
  <si>
    <t>b</t>
  </si>
  <si>
    <t>c</t>
  </si>
  <si>
    <t>d</t>
  </si>
  <si>
    <t>Specificity</t>
  </si>
  <si>
    <t>Test result</t>
  </si>
  <si>
    <t>Positive</t>
  </si>
  <si>
    <t>Negative</t>
  </si>
  <si>
    <t>Gold standard result</t>
  </si>
  <si>
    <t>Total</t>
  </si>
  <si>
    <t>(a+b)</t>
  </si>
  <si>
    <t>(c+d)</t>
  </si>
  <si>
    <t>(a+c)</t>
  </si>
  <si>
    <t>(b+d)</t>
  </si>
  <si>
    <t>a/(a+b)</t>
  </si>
  <si>
    <t>ROC curve</t>
  </si>
  <si>
    <t>y axis: sensitivity</t>
  </si>
  <si>
    <t>x axis: (1-specificity)</t>
  </si>
  <si>
    <t>Application</t>
  </si>
  <si>
    <t>Metrics and stats</t>
  </si>
  <si>
    <t>Hypothesis: Changes in levels of SARS-CoV-2 in wastewater predict a rise in clinical cases and a new wave</t>
  </si>
  <si>
    <t xml:space="preserve">Case definitions for hypothesis B: changes in levels of SARS-coV-2 in wastewater predict a new wave </t>
  </si>
  <si>
    <t>Gold standard: the new wave starts in the period (epiweek x+3)</t>
  </si>
  <si>
    <t>[use a separate sheet for each hypothesis]</t>
  </si>
  <si>
    <t>Case definition 1: Any increase in SARS-CoV-2 levels in wastewater from week to week will predict a a new wave 3 weeks later</t>
  </si>
  <si>
    <t>Case definition 2: An increase of 0.5log in SARS-CoV-2 levels in wastewater from week to week will predict a new wave 3 weeks later</t>
  </si>
  <si>
    <t>Case definition 3: An increase of 1log in SARS-CoV-2 levels in wastewater from week to week will predict a new wave 3 weeks later</t>
  </si>
  <si>
    <t>Gold standard: a 30% increase in clinical cases over the period (epiweek x+4) - (epiweek x)</t>
  </si>
  <si>
    <t>Case definition 3: Any increase in SARS-CoV-2 levels in wastewater from one week to the next will predict a 30% increase in cases 4 weeks later</t>
  </si>
  <si>
    <t>Case definition 4: Two successive increases in SARS-CoV-2 levels will predict a 30% increase in cases 4 weeks later</t>
  </si>
  <si>
    <t>Gold standard: the new wave starts in the period (epiweek x+4)</t>
  </si>
  <si>
    <t>Case definition 4: Any increase in SARS-CoV-2 levels in wastewater from 1 week to the next will predict a a new wave 4 weeks later</t>
  </si>
  <si>
    <t>Case definition 5: Atwo successive increases in SARS-CoV-2 levels will predice a new wave 4 weeks later</t>
  </si>
  <si>
    <t>Case difference by week</t>
  </si>
  <si>
    <t>Period of interest (ie Case increase from previous week)</t>
  </si>
  <si>
    <t>1. Identify period of interest for each province (=all data pairs before peak of third wave in that province; peak defined by increasing case load; therefore eliminate first data point IF case load was evidently on the downward slope of the 2nd wave) (update data)</t>
  </si>
  <si>
    <t>2. Create case definitions and a gold standard</t>
  </si>
  <si>
    <t>3. Populate a separate 2x2 table for each of the case definitions below and gold standard for each wasteater treatment plant</t>
  </si>
  <si>
    <t>4. create ROC curve for each case definition, with a separate data point for each wastewater treatment plant</t>
  </si>
  <si>
    <t xml:space="preserve">Case definitions for hypothesis A: changes in levels of SARS-coV-2 in wastewater predict a x% rise in clinical cases </t>
  </si>
  <si>
    <t>Gold standard: a 20% increase in clinical cases over the period (epiweek x+4) - (epiweek x)</t>
  </si>
  <si>
    <t>Case definition 5: Any increase in SARS-CoV-2 levels in wastewater from one week to the next will predict a 30% increase in cases 4 weeks later</t>
  </si>
  <si>
    <t>Case definition 6: Two successive increases in SARS-CoV-2 levels will predict a 30% increase in cases 4 weeks later</t>
  </si>
  <si>
    <t>Case difference after 3 weeks</t>
  </si>
  <si>
    <t>Sensitivity for each data plant (=test positive over gold standard positive)</t>
  </si>
  <si>
    <t>d/(c+d)</t>
  </si>
  <si>
    <t>can't calculate</t>
  </si>
  <si>
    <t>1-specificity</t>
  </si>
  <si>
    <t>Gold standard: any increase in clinical cases over 3 reading points</t>
  </si>
  <si>
    <t>Case definition 1: Any increase in SARS-CoV-2 levels in wastewater over 2 reading points will predict an increase in cases 3 weeks later</t>
  </si>
  <si>
    <t>Case definition 2: An increase of 0.5log in SARS-CoV-2 levels in wastewater over 2 reading points will predict an increase in cases 3 weeks later</t>
  </si>
  <si>
    <t>Case definition 3: An increase of 1log in SARS-CoV-2 levels in wastewater over 2 reading points will predict an increase in cases 3 weeks later</t>
  </si>
  <si>
    <t>Test (any increase in wastewater over 2 reading points)</t>
  </si>
  <si>
    <t>Gold standard (any increases in cases over 3 reading points)</t>
  </si>
  <si>
    <t>Change in SARS-CoV-2 levels</t>
  </si>
  <si>
    <t xml:space="preserve">Wastewater test </t>
  </si>
  <si>
    <t>Rooiwal WWTP</t>
  </si>
  <si>
    <t>Daspoort WWTP</t>
  </si>
  <si>
    <t>JHB_North WWTP</t>
  </si>
  <si>
    <t xml:space="preserve"> </t>
  </si>
  <si>
    <t>senstivity vs 1-specificity</t>
  </si>
  <si>
    <t>senstivity</t>
  </si>
  <si>
    <t>Ek_Olifants WWTP</t>
  </si>
  <si>
    <t>Ek_Vlakplaats WWTP</t>
  </si>
  <si>
    <t>Ek_Daveyton WWTP</t>
  </si>
  <si>
    <t>JHB_Goud WWTP</t>
  </si>
  <si>
    <t>Ek_Hartebees WWTP</t>
  </si>
  <si>
    <t xml:space="preserve"> Eth_North WWTP</t>
  </si>
  <si>
    <t>Eth_Central WWTP</t>
  </si>
  <si>
    <t>FS_Bloemspruit WWTP</t>
  </si>
  <si>
    <t>FS_Sterkwater WWTP</t>
  </si>
  <si>
    <t>CoCT_Zandvliet WWTP</t>
  </si>
  <si>
    <t>CoCT_Borcherds WWTP</t>
  </si>
  <si>
    <t>not possible to calculate</t>
  </si>
  <si>
    <t>BCM_Eastbank WWTP</t>
  </si>
  <si>
    <t>BCM_Mdantsane WWTP</t>
  </si>
  <si>
    <t>NMM_Brickfield WWTP</t>
  </si>
  <si>
    <t>AUC 1</t>
  </si>
  <si>
    <t>X axis= 1-specificity</t>
  </si>
  <si>
    <t>Y axis = senstivity</t>
  </si>
  <si>
    <t>AUC</t>
  </si>
  <si>
    <t>Area</t>
  </si>
  <si>
    <t>Epi week</t>
  </si>
  <si>
    <t xml:space="preserve">Province </t>
  </si>
  <si>
    <t>District</t>
  </si>
  <si>
    <t>Gauteng</t>
  </si>
  <si>
    <t>Tshwane</t>
  </si>
  <si>
    <t>Log gene copies/mL</t>
  </si>
  <si>
    <t>Gene copies/mL</t>
  </si>
  <si>
    <t>NICD Plant</t>
  </si>
  <si>
    <t xml:space="preserve">Sustained increase </t>
  </si>
  <si>
    <t>CoJ</t>
  </si>
  <si>
    <t>Goudkoppies</t>
  </si>
  <si>
    <t>Ekurhuleni</t>
  </si>
  <si>
    <t>Olifantsfontein</t>
  </si>
  <si>
    <t>Vlakplaats</t>
  </si>
  <si>
    <t>CoCT</t>
  </si>
  <si>
    <t>Borcherd's Quarry</t>
  </si>
  <si>
    <t>Zandvliet</t>
  </si>
  <si>
    <t>Mangaung</t>
  </si>
  <si>
    <t>Bloemspruit</t>
  </si>
  <si>
    <t>Sterkwater</t>
  </si>
  <si>
    <t>KwazuluNatal</t>
  </si>
  <si>
    <t>eThekwini</t>
  </si>
  <si>
    <t>Central</t>
  </si>
  <si>
    <t>Northern</t>
  </si>
  <si>
    <t xml:space="preserve">Eastern Cape </t>
  </si>
  <si>
    <t xml:space="preserve">Nelson Mandela </t>
  </si>
  <si>
    <t>Brickfield</t>
  </si>
  <si>
    <t>KwaNobuhle</t>
  </si>
  <si>
    <t>Buffalo city</t>
  </si>
  <si>
    <t>East Bank</t>
  </si>
  <si>
    <t>Mdantsane</t>
  </si>
  <si>
    <t>Calvinia</t>
  </si>
  <si>
    <t>Northern Cape</t>
  </si>
  <si>
    <t>Rooiwal</t>
  </si>
  <si>
    <t>Daspoort</t>
  </si>
  <si>
    <t>Namakwa</t>
  </si>
  <si>
    <t xml:space="preserve">Case definitions for hypothesis C: </t>
  </si>
  <si>
    <t>Hypothesis - wastewater levels[ &gt;1.5 log] will predict a new wave within the next 6 weeks</t>
  </si>
  <si>
    <t>Gold standard: find the epi week in which the 4th wave was officially declared in each province</t>
  </si>
  <si>
    <r>
      <t>Case definitions 1: Wastewater levels indicate a new wave when levels exceed</t>
    </r>
    <r>
      <rPr>
        <b/>
        <sz val="11"/>
        <color theme="1"/>
        <rFont val="Calibri"/>
        <family val="2"/>
        <scheme val="minor"/>
      </rPr>
      <t xml:space="preserve"> 1.5 </t>
    </r>
    <r>
      <rPr>
        <sz val="11"/>
        <color theme="1"/>
        <rFont val="Calibri"/>
        <family val="2"/>
        <scheme val="minor"/>
      </rPr>
      <t>log for that week</t>
    </r>
  </si>
  <si>
    <r>
      <t xml:space="preserve">Case definition 2: Wastewater levels indicate a new wave when levels exceed </t>
    </r>
    <r>
      <rPr>
        <b/>
        <sz val="11"/>
        <color theme="1"/>
        <rFont val="Calibri"/>
        <family val="2"/>
        <scheme val="minor"/>
      </rPr>
      <t>2 log</t>
    </r>
    <r>
      <rPr>
        <sz val="11"/>
        <color theme="1"/>
        <rFont val="Calibri"/>
        <family val="2"/>
        <scheme val="minor"/>
      </rPr>
      <t xml:space="preserve"> for that week</t>
    </r>
  </si>
  <si>
    <t>Use all data points from WWTP tested by NICD only</t>
  </si>
  <si>
    <t>In wave</t>
  </si>
  <si>
    <t>MuniName</t>
  </si>
  <si>
    <t>Hantam</t>
  </si>
  <si>
    <t>Johannesburg</t>
  </si>
  <si>
    <t>CT</t>
  </si>
  <si>
    <t>Nelson Mandela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</si>
</sst>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1DD4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BC76BC"/>
        <bgColor indexed="64"/>
      </patternFill>
    </fill>
    <fill>
      <patternFill patternType="solid">
        <fgColor rgb="FFFF676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7EE0E8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9BDAB"/>
        <bgColor indexed="64"/>
      </patternFill>
    </fill>
    <fill>
      <patternFill patternType="solid">
        <fgColor rgb="FFAEC1E6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25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0" fontId="0" fillId="4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left"/>
    </xf>
    <xf numFmtId="0" fontId="0" fillId="0" borderId="1" xfId="0" applyFont="1" applyFill="1" applyBorder="1"/>
    <xf numFmtId="2" fontId="0" fillId="4" borderId="1" xfId="1" applyNumberFormat="1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4" borderId="1" xfId="2" applyFont="1" applyFill="1" applyBorder="1"/>
    <xf numFmtId="0" fontId="5" fillId="4" borderId="0" xfId="0" applyFont="1" applyFill="1"/>
    <xf numFmtId="0" fontId="0" fillId="0" borderId="0" xfId="0" applyFill="1" applyBorder="1" applyAlignment="1" applyProtection="1">
      <protection locked="0"/>
    </xf>
    <xf numFmtId="49" fontId="0" fillId="0" borderId="0" xfId="0" applyNumberFormat="1" applyFill="1" applyBorder="1" applyAlignment="1" applyProtection="1">
      <alignment horizontal="right"/>
      <protection locked="0"/>
    </xf>
    <xf numFmtId="0" fontId="0" fillId="0" borderId="0" xfId="0" applyNumberFormat="1" applyFill="1" applyBorder="1" applyAlignment="1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165" fontId="0" fillId="0" borderId="1" xfId="0" applyNumberFormat="1" applyBorder="1" applyAlignment="1">
      <alignment horizontal="right"/>
    </xf>
    <xf numFmtId="165" fontId="0" fillId="4" borderId="1" xfId="0" applyNumberFormat="1" applyFont="1" applyFill="1" applyBorder="1" applyAlignment="1">
      <alignment horizontal="left"/>
    </xf>
    <xf numFmtId="165" fontId="0" fillId="4" borderId="1" xfId="0" applyNumberFormat="1" applyFill="1" applyBorder="1"/>
    <xf numFmtId="165" fontId="0" fillId="4" borderId="1" xfId="0" applyNumberFormat="1" applyFill="1" applyBorder="1" applyAlignment="1">
      <alignment horizontal="left"/>
    </xf>
    <xf numFmtId="165" fontId="0" fillId="4" borderId="1" xfId="1" applyNumberFormat="1" applyFont="1" applyFill="1" applyBorder="1" applyAlignment="1">
      <alignment horizontal="right"/>
    </xf>
    <xf numFmtId="165" fontId="0" fillId="0" borderId="1" xfId="0" applyNumberFormat="1" applyFill="1" applyBorder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0" fillId="0" borderId="1" xfId="0" applyNumberFormat="1" applyFill="1" applyBorder="1" applyAlignment="1">
      <alignment horizontal="right"/>
    </xf>
    <xf numFmtId="0" fontId="0" fillId="4" borderId="0" xfId="0" applyFill="1"/>
    <xf numFmtId="0" fontId="0" fillId="4" borderId="0" xfId="0" applyNumberFormat="1" applyFill="1"/>
    <xf numFmtId="0" fontId="0" fillId="4" borderId="0" xfId="0" applyFill="1" applyBorder="1" applyAlignment="1" applyProtection="1">
      <protection locked="0"/>
    </xf>
    <xf numFmtId="0" fontId="0" fillId="4" borderId="0" xfId="0" applyNumberFormat="1" applyFill="1" applyAlignment="1">
      <alignment horizontal="right"/>
    </xf>
    <xf numFmtId="164" fontId="3" fillId="6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6" fillId="0" borderId="1" xfId="0" applyFont="1" applyBorder="1" applyProtection="1">
      <protection locked="0"/>
    </xf>
    <xf numFmtId="0" fontId="0" fillId="0" borderId="1" xfId="0" applyNumberFormat="1" applyBorder="1" applyAlignment="1">
      <alignment horizontal="right"/>
    </xf>
    <xf numFmtId="0" fontId="6" fillId="8" borderId="1" xfId="0" applyFont="1" applyFill="1" applyBorder="1" applyProtection="1">
      <protection locked="0"/>
    </xf>
    <xf numFmtId="0" fontId="0" fillId="4" borderId="1" xfId="0" applyNumberFormat="1" applyFill="1" applyBorder="1" applyAlignment="1">
      <alignment horizontal="right"/>
    </xf>
    <xf numFmtId="0" fontId="0" fillId="4" borderId="1" xfId="0" applyNumberFormat="1" applyFill="1" applyBorder="1"/>
    <xf numFmtId="0" fontId="6" fillId="8" borderId="1" xfId="0" applyFont="1" applyFill="1" applyBorder="1"/>
    <xf numFmtId="164" fontId="3" fillId="10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wrapText="1"/>
    </xf>
    <xf numFmtId="0" fontId="3" fillId="10" borderId="0" xfId="0" applyFont="1" applyFill="1"/>
    <xf numFmtId="2" fontId="3" fillId="10" borderId="1" xfId="0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wrapText="1"/>
    </xf>
    <xf numFmtId="164" fontId="3" fillId="11" borderId="1" xfId="0" applyNumberFormat="1" applyFont="1" applyFill="1" applyBorder="1" applyAlignment="1">
      <alignment horizontal="left" vertical="center"/>
    </xf>
    <xf numFmtId="0" fontId="3" fillId="11" borderId="0" xfId="0" applyFont="1" applyFill="1"/>
    <xf numFmtId="2" fontId="3" fillId="11" borderId="1" xfId="0" applyNumberFormat="1" applyFont="1" applyFill="1" applyBorder="1" applyAlignment="1">
      <alignment horizontal="right" vertical="center"/>
    </xf>
    <xf numFmtId="0" fontId="0" fillId="4" borderId="1" xfId="0" applyFill="1" applyBorder="1" applyAlignment="1" applyProtection="1">
      <alignment horizontal="right"/>
      <protection locked="0"/>
    </xf>
    <xf numFmtId="0" fontId="0" fillId="4" borderId="3" xfId="0" applyFont="1" applyFill="1" applyBorder="1" applyAlignment="1">
      <alignment horizontal="center"/>
    </xf>
    <xf numFmtId="0" fontId="0" fillId="4" borderId="0" xfId="0" applyFill="1" applyBorder="1" applyAlignment="1">
      <alignment wrapText="1"/>
    </xf>
    <xf numFmtId="14" fontId="0" fillId="4" borderId="0" xfId="0" applyNumberFormat="1" applyFill="1" applyBorder="1" applyAlignment="1">
      <alignment horizontal="right" wrapText="1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2" fontId="3" fillId="12" borderId="1" xfId="0" applyNumberFormat="1" applyFont="1" applyFill="1" applyBorder="1" applyAlignment="1">
      <alignment horizontal="right" vertical="center"/>
    </xf>
    <xf numFmtId="0" fontId="3" fillId="13" borderId="1" xfId="0" applyFont="1" applyFill="1" applyBorder="1" applyAlignment="1">
      <alignment horizontal="center"/>
    </xf>
    <xf numFmtId="164" fontId="3" fillId="13" borderId="1" xfId="0" applyNumberFormat="1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wrapText="1"/>
    </xf>
    <xf numFmtId="165" fontId="0" fillId="4" borderId="1" xfId="0" applyNumberFormat="1" applyFill="1" applyBorder="1" applyAlignment="1">
      <alignment horizontal="center" wrapText="1"/>
    </xf>
    <xf numFmtId="16" fontId="0" fillId="4" borderId="1" xfId="0" applyNumberFormat="1" applyFill="1" applyBorder="1" applyAlignment="1">
      <alignment wrapText="1"/>
    </xf>
    <xf numFmtId="14" fontId="0" fillId="4" borderId="1" xfId="0" applyNumberFormat="1" applyFill="1" applyBorder="1" applyAlignment="1">
      <alignment horizontal="right" wrapText="1"/>
    </xf>
    <xf numFmtId="165" fontId="0" fillId="4" borderId="1" xfId="0" applyNumberFormat="1" applyFill="1" applyBorder="1" applyAlignment="1">
      <alignment wrapText="1"/>
    </xf>
    <xf numFmtId="0" fontId="6" fillId="9" borderId="1" xfId="0" applyFont="1" applyFill="1" applyBorder="1"/>
    <xf numFmtId="0" fontId="0" fillId="4" borderId="2" xfId="0" applyFill="1" applyBorder="1" applyAlignment="1" applyProtection="1">
      <alignment horizontal="right"/>
      <protection locked="0"/>
    </xf>
    <xf numFmtId="0" fontId="0" fillId="0" borderId="0" xfId="0" applyBorder="1"/>
    <xf numFmtId="165" fontId="0" fillId="0" borderId="0" xfId="0" applyNumberFormat="1" applyBorder="1"/>
    <xf numFmtId="0" fontId="0" fillId="0" borderId="0" xfId="0" applyNumberFormat="1" applyFill="1" applyBorder="1" applyAlignment="1" applyProtection="1">
      <alignment horizontal="right"/>
      <protection locked="0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 applyProtection="1">
      <alignment wrapText="1"/>
      <protection locked="0"/>
    </xf>
    <xf numFmtId="165" fontId="0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 wrapText="1"/>
    </xf>
    <xf numFmtId="0" fontId="0" fillId="0" borderId="0" xfId="0" applyNumberFormat="1" applyFill="1" applyBorder="1" applyAlignment="1" applyProtection="1">
      <alignment wrapText="1"/>
      <protection locked="0"/>
    </xf>
    <xf numFmtId="0" fontId="0" fillId="0" borderId="0" xfId="0" applyNumberForma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NumberFormat="1" applyFont="1" applyFill="1" applyBorder="1" applyAlignment="1">
      <alignment wrapText="1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on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165" fontId="0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Protection="1">
      <protection locked="0"/>
    </xf>
    <xf numFmtId="0" fontId="0" fillId="0" borderId="0" xfId="0" applyNumberFormat="1" applyFill="1" applyBorder="1" applyProtection="1">
      <protection locked="0"/>
    </xf>
    <xf numFmtId="0" fontId="6" fillId="0" borderId="0" xfId="0" applyFont="1" applyFill="1" applyBorder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0" xfId="0" applyFont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7" fillId="0" borderId="0" xfId="0" applyFont="1" applyBorder="1"/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3" fillId="0" borderId="0" xfId="0" applyFont="1" applyBorder="1" applyAlignment="1">
      <alignment wrapText="1"/>
    </xf>
    <xf numFmtId="0" fontId="0" fillId="14" borderId="0" xfId="0" applyFill="1" applyAlignment="1"/>
    <xf numFmtId="0" fontId="0" fillId="14" borderId="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0" xfId="0" applyFill="1" applyAlignment="1"/>
    <xf numFmtId="0" fontId="0" fillId="16" borderId="1" xfId="0" applyFill="1" applyBorder="1" applyAlignment="1">
      <alignment horizontal="center"/>
    </xf>
    <xf numFmtId="0" fontId="0" fillId="17" borderId="0" xfId="0" applyFill="1" applyBorder="1"/>
    <xf numFmtId="0" fontId="0" fillId="17" borderId="0" xfId="0" applyFill="1" applyBorder="1" applyAlignment="1" applyProtection="1">
      <protection locked="0"/>
    </xf>
    <xf numFmtId="165" fontId="0" fillId="17" borderId="0" xfId="0" applyNumberFormat="1" applyFont="1" applyFill="1" applyBorder="1" applyAlignment="1">
      <alignment horizontal="right"/>
    </xf>
    <xf numFmtId="165" fontId="0" fillId="17" borderId="0" xfId="0" applyNumberFormat="1" applyFill="1" applyBorder="1"/>
    <xf numFmtId="0" fontId="0" fillId="17" borderId="0" xfId="0" applyFill="1"/>
    <xf numFmtId="0" fontId="0" fillId="17" borderId="0" xfId="0" applyNumberFormat="1" applyFill="1" applyBorder="1" applyAlignment="1" applyProtection="1">
      <protection locked="0"/>
    </xf>
    <xf numFmtId="0" fontId="0" fillId="17" borderId="0" xfId="0" applyNumberFormat="1" applyFill="1" applyBorder="1" applyAlignment="1" applyProtection="1">
      <alignment horizontal="right"/>
      <protection locked="0"/>
    </xf>
    <xf numFmtId="0" fontId="0" fillId="17" borderId="0" xfId="0" applyFill="1" applyBorder="1" applyAlignment="1">
      <alignment horizontal="right"/>
    </xf>
    <xf numFmtId="0" fontId="0" fillId="17" borderId="0" xfId="0" applyFill="1" applyBorder="1" applyProtection="1">
      <protection locked="0"/>
    </xf>
    <xf numFmtId="0" fontId="0" fillId="17" borderId="0" xfId="0" applyFill="1" applyBorder="1" applyAlignment="1">
      <alignment wrapText="1"/>
    </xf>
    <xf numFmtId="0" fontId="0" fillId="0" borderId="0" xfId="0" applyFill="1"/>
    <xf numFmtId="165" fontId="0" fillId="17" borderId="0" xfId="0" applyNumberFormat="1" applyFill="1"/>
    <xf numFmtId="0" fontId="0" fillId="17" borderId="0" xfId="0" applyFill="1" applyBorder="1" applyAlignment="1"/>
    <xf numFmtId="165" fontId="0" fillId="17" borderId="0" xfId="0" applyNumberFormat="1" applyFill="1" applyBorder="1" applyAlignment="1">
      <alignment horizontal="righ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3" fillId="0" borderId="0" xfId="0" applyFont="1" applyFill="1"/>
    <xf numFmtId="0" fontId="3" fillId="0" borderId="0" xfId="0" applyFont="1" applyFill="1" applyBorder="1"/>
    <xf numFmtId="165" fontId="0" fillId="0" borderId="0" xfId="0" applyNumberFormat="1"/>
    <xf numFmtId="0" fontId="0" fillId="20" borderId="1" xfId="0" applyFill="1" applyBorder="1" applyAlignment="1" applyProtection="1">
      <protection locked="0"/>
    </xf>
    <xf numFmtId="165" fontId="0" fillId="20" borderId="1" xfId="0" applyNumberFormat="1" applyFill="1" applyBorder="1" applyAlignment="1">
      <alignment horizontal="right"/>
    </xf>
    <xf numFmtId="165" fontId="0" fillId="20" borderId="1" xfId="0" applyNumberFormat="1" applyFill="1" applyBorder="1"/>
    <xf numFmtId="0" fontId="0" fillId="20" borderId="1" xfId="0" applyFill="1" applyBorder="1"/>
    <xf numFmtId="0" fontId="0" fillId="20" borderId="1" xfId="0" applyNumberFormat="1" applyFill="1" applyBorder="1" applyAlignment="1" applyProtection="1">
      <protection locked="0"/>
    </xf>
    <xf numFmtId="0" fontId="0" fillId="20" borderId="1" xfId="0" applyNumberFormat="1" applyFill="1" applyBorder="1"/>
    <xf numFmtId="0" fontId="0" fillId="22" borderId="1" xfId="0" applyFill="1" applyBorder="1" applyAlignment="1" applyProtection="1">
      <alignment horizontal="right"/>
      <protection locked="0"/>
    </xf>
    <xf numFmtId="0" fontId="0" fillId="22" borderId="1" xfId="0" applyFill="1" applyBorder="1" applyProtection="1">
      <protection locked="0"/>
    </xf>
    <xf numFmtId="0" fontId="0" fillId="22" borderId="1" xfId="0" applyFill="1" applyBorder="1" applyAlignment="1" applyProtection="1">
      <protection locked="0"/>
    </xf>
    <xf numFmtId="165" fontId="0" fillId="22" borderId="1" xfId="0" applyNumberFormat="1" applyFont="1" applyFill="1" applyBorder="1" applyAlignment="1">
      <alignment horizontal="right"/>
    </xf>
    <xf numFmtId="165" fontId="0" fillId="22" borderId="1" xfId="0" applyNumberFormat="1" applyFill="1" applyBorder="1"/>
    <xf numFmtId="0" fontId="0" fillId="22" borderId="1" xfId="0" applyFill="1" applyBorder="1"/>
    <xf numFmtId="165" fontId="0" fillId="22" borderId="1" xfId="0" applyNumberFormat="1" applyFill="1" applyBorder="1" applyAlignment="1">
      <alignment horizontal="right"/>
    </xf>
    <xf numFmtId="0" fontId="0" fillId="22" borderId="1" xfId="0" applyNumberFormat="1" applyFill="1" applyBorder="1" applyAlignment="1">
      <alignment horizontal="right"/>
    </xf>
    <xf numFmtId="0" fontId="0" fillId="22" borderId="1" xfId="0" applyNumberFormat="1" applyFill="1" applyBorder="1"/>
    <xf numFmtId="0" fontId="0" fillId="23" borderId="1" xfId="0" applyFill="1" applyBorder="1" applyAlignment="1" applyProtection="1">
      <alignment horizontal="right"/>
      <protection locked="0"/>
    </xf>
    <xf numFmtId="0" fontId="0" fillId="23" borderId="1" xfId="0" applyFill="1" applyBorder="1" applyProtection="1">
      <protection locked="0"/>
    </xf>
    <xf numFmtId="0" fontId="0" fillId="23" borderId="1" xfId="0" applyFill="1" applyBorder="1" applyAlignment="1" applyProtection="1">
      <protection locked="0"/>
    </xf>
    <xf numFmtId="165" fontId="0" fillId="23" borderId="1" xfId="0" applyNumberFormat="1" applyFont="1" applyFill="1" applyBorder="1" applyAlignment="1">
      <alignment horizontal="right"/>
    </xf>
    <xf numFmtId="165" fontId="0" fillId="23" borderId="1" xfId="0" applyNumberFormat="1" applyFill="1" applyBorder="1"/>
    <xf numFmtId="0" fontId="0" fillId="23" borderId="1" xfId="0" applyFill="1" applyBorder="1"/>
    <xf numFmtId="165" fontId="0" fillId="23" borderId="1" xfId="0" applyNumberFormat="1" applyFill="1" applyBorder="1" applyAlignment="1">
      <alignment horizontal="right"/>
    </xf>
    <xf numFmtId="0" fontId="0" fillId="23" borderId="1" xfId="0" applyNumberFormat="1" applyFill="1" applyBorder="1" applyAlignment="1">
      <alignment horizontal="right"/>
    </xf>
    <xf numFmtId="0" fontId="0" fillId="23" borderId="1" xfId="0" applyNumberFormat="1" applyFill="1" applyBorder="1"/>
    <xf numFmtId="0" fontId="7" fillId="0" borderId="4" xfId="0" applyFont="1" applyBorder="1" applyAlignment="1">
      <alignment horizontal="center" wrapText="1"/>
    </xf>
    <xf numFmtId="0" fontId="3" fillId="22" borderId="5" xfId="0" applyFont="1" applyFill="1" applyBorder="1" applyAlignment="1"/>
    <xf numFmtId="0" fontId="3" fillId="22" borderId="0" xfId="0" applyFont="1" applyFill="1" applyBorder="1" applyAlignment="1"/>
    <xf numFmtId="0" fontId="0" fillId="24" borderId="1" xfId="0" applyFill="1" applyBorder="1" applyProtection="1">
      <protection locked="0"/>
    </xf>
    <xf numFmtId="0" fontId="0" fillId="24" borderId="1" xfId="0" applyFill="1" applyBorder="1" applyAlignment="1" applyProtection="1">
      <alignment horizontal="right"/>
      <protection locked="0"/>
    </xf>
    <xf numFmtId="0" fontId="0" fillId="24" borderId="1" xfId="0" applyFill="1" applyBorder="1" applyAlignment="1" applyProtection="1">
      <protection locked="0"/>
    </xf>
    <xf numFmtId="165" fontId="0" fillId="24" borderId="1" xfId="0" applyNumberFormat="1" applyFont="1" applyFill="1" applyBorder="1" applyAlignment="1">
      <alignment horizontal="right"/>
    </xf>
    <xf numFmtId="165" fontId="0" fillId="24" borderId="1" xfId="0" applyNumberFormat="1" applyFill="1" applyBorder="1"/>
    <xf numFmtId="0" fontId="0" fillId="24" borderId="1" xfId="0" applyFill="1" applyBorder="1"/>
    <xf numFmtId="165" fontId="0" fillId="24" borderId="1" xfId="0" applyNumberFormat="1" applyFill="1" applyBorder="1" applyAlignment="1">
      <alignment horizontal="right"/>
    </xf>
    <xf numFmtId="0" fontId="0" fillId="24" borderId="1" xfId="0" applyFill="1" applyBorder="1" applyAlignment="1">
      <alignment horizontal="right"/>
    </xf>
    <xf numFmtId="0" fontId="0" fillId="24" borderId="1" xfId="0" applyNumberFormat="1" applyFill="1" applyBorder="1" applyAlignment="1">
      <alignment horizontal="right"/>
    </xf>
    <xf numFmtId="0" fontId="0" fillId="24" borderId="1" xfId="0" applyNumberFormat="1" applyFill="1" applyBorder="1"/>
    <xf numFmtId="0" fontId="0" fillId="25" borderId="1" xfId="0" applyFill="1" applyBorder="1" applyProtection="1">
      <protection locked="0"/>
    </xf>
    <xf numFmtId="0" fontId="0" fillId="25" borderId="1" xfId="0" applyFill="1" applyBorder="1" applyAlignment="1" applyProtection="1">
      <alignment horizontal="right"/>
      <protection locked="0"/>
    </xf>
    <xf numFmtId="0" fontId="0" fillId="25" borderId="1" xfId="0" applyFill="1" applyBorder="1" applyAlignment="1" applyProtection="1">
      <protection locked="0"/>
    </xf>
    <xf numFmtId="165" fontId="0" fillId="25" borderId="1" xfId="1" applyNumberFormat="1" applyFont="1" applyFill="1" applyBorder="1" applyAlignment="1">
      <alignment horizontal="right"/>
    </xf>
    <xf numFmtId="165" fontId="0" fillId="25" borderId="1" xfId="0" applyNumberFormat="1" applyFill="1" applyBorder="1"/>
    <xf numFmtId="0" fontId="0" fillId="25" borderId="1" xfId="0" applyFill="1" applyBorder="1"/>
    <xf numFmtId="165" fontId="0" fillId="25" borderId="1" xfId="0" applyNumberFormat="1" applyFill="1" applyBorder="1" applyAlignment="1">
      <alignment horizontal="right"/>
    </xf>
    <xf numFmtId="0" fontId="0" fillId="25" borderId="1" xfId="0" applyFill="1" applyBorder="1" applyAlignment="1">
      <alignment horizontal="right"/>
    </xf>
    <xf numFmtId="0" fontId="0" fillId="25" borderId="1" xfId="0" applyNumberFormat="1" applyFill="1" applyBorder="1" applyAlignment="1">
      <alignment horizontal="right"/>
    </xf>
    <xf numFmtId="165" fontId="0" fillId="25" borderId="1" xfId="0" applyNumberFormat="1" applyFont="1" applyFill="1" applyBorder="1" applyAlignment="1">
      <alignment horizontal="right"/>
    </xf>
    <xf numFmtId="0" fontId="0" fillId="25" borderId="1" xfId="0" applyNumberFormat="1" applyFill="1" applyBorder="1"/>
    <xf numFmtId="0" fontId="0" fillId="17" borderId="1" xfId="0" applyFill="1" applyBorder="1" applyAlignment="1" applyProtection="1">
      <protection locked="0"/>
    </xf>
    <xf numFmtId="0" fontId="0" fillId="17" borderId="1" xfId="0" applyFill="1" applyBorder="1" applyProtection="1">
      <protection locked="0"/>
    </xf>
    <xf numFmtId="165" fontId="0" fillId="17" borderId="1" xfId="0" applyNumberFormat="1" applyFont="1" applyFill="1" applyBorder="1" applyAlignment="1">
      <alignment horizontal="right"/>
    </xf>
    <xf numFmtId="165" fontId="0" fillId="17" borderId="1" xfId="0" applyNumberFormat="1" applyFill="1" applyBorder="1"/>
    <xf numFmtId="0" fontId="0" fillId="17" borderId="1" xfId="0" applyFill="1" applyBorder="1"/>
    <xf numFmtId="165" fontId="0" fillId="17" borderId="1" xfId="0" applyNumberFormat="1" applyFill="1" applyBorder="1" applyAlignment="1">
      <alignment horizontal="right"/>
    </xf>
    <xf numFmtId="0" fontId="0" fillId="17" borderId="1" xfId="0" applyNumberFormat="1" applyFill="1" applyBorder="1" applyAlignment="1">
      <alignment horizontal="right"/>
    </xf>
    <xf numFmtId="0" fontId="0" fillId="17" borderId="1" xfId="0" applyNumberFormat="1" applyFill="1" applyBorder="1"/>
    <xf numFmtId="0" fontId="3" fillId="17" borderId="1" xfId="0" applyFont="1" applyFill="1" applyBorder="1" applyAlignment="1" applyProtection="1">
      <protection locked="0"/>
    </xf>
    <xf numFmtId="0" fontId="3" fillId="17" borderId="1" xfId="0" applyNumberFormat="1" applyFont="1" applyFill="1" applyBorder="1"/>
    <xf numFmtId="0" fontId="3" fillId="17" borderId="1" xfId="0" applyFont="1" applyFill="1" applyBorder="1"/>
    <xf numFmtId="165" fontId="0" fillId="17" borderId="1" xfId="0" applyNumberFormat="1" applyFont="1" applyFill="1" applyBorder="1" applyAlignment="1"/>
    <xf numFmtId="0" fontId="0" fillId="26" borderId="1" xfId="0" applyFill="1" applyBorder="1" applyAlignment="1" applyProtection="1">
      <protection locked="0"/>
    </xf>
    <xf numFmtId="0" fontId="0" fillId="26" borderId="1" xfId="0" applyFill="1" applyBorder="1" applyProtection="1">
      <protection locked="0"/>
    </xf>
    <xf numFmtId="165" fontId="0" fillId="26" borderId="1" xfId="0" applyNumberFormat="1" applyFont="1" applyFill="1" applyBorder="1" applyAlignment="1">
      <alignment horizontal="right"/>
    </xf>
    <xf numFmtId="165" fontId="0" fillId="26" borderId="1" xfId="0" applyNumberFormat="1" applyFill="1" applyBorder="1"/>
    <xf numFmtId="0" fontId="0" fillId="26" borderId="1" xfId="0" applyFill="1" applyBorder="1"/>
    <xf numFmtId="165" fontId="0" fillId="26" borderId="1" xfId="0" applyNumberFormat="1" applyFill="1" applyBorder="1" applyAlignment="1">
      <alignment horizontal="right"/>
    </xf>
    <xf numFmtId="0" fontId="0" fillId="26" borderId="1" xfId="0" applyNumberFormat="1" applyFill="1" applyBorder="1" applyAlignment="1">
      <alignment horizontal="right"/>
    </xf>
    <xf numFmtId="0" fontId="0" fillId="26" borderId="1" xfId="0" applyNumberFormat="1" applyFill="1" applyBorder="1"/>
    <xf numFmtId="0" fontId="0" fillId="0" borderId="6" xfId="0" applyBorder="1"/>
    <xf numFmtId="0" fontId="0" fillId="27" borderId="1" xfId="0" applyFill="1" applyBorder="1" applyAlignment="1" applyProtection="1">
      <protection locked="0"/>
    </xf>
    <xf numFmtId="0" fontId="0" fillId="27" borderId="1" xfId="0" applyFill="1" applyBorder="1" applyProtection="1">
      <protection locked="0"/>
    </xf>
    <xf numFmtId="165" fontId="0" fillId="27" borderId="1" xfId="0" applyNumberFormat="1" applyFill="1" applyBorder="1" applyAlignment="1">
      <alignment horizontal="right"/>
    </xf>
    <xf numFmtId="165" fontId="0" fillId="27" borderId="1" xfId="0" applyNumberFormat="1" applyFill="1" applyBorder="1"/>
    <xf numFmtId="0" fontId="0" fillId="27" borderId="1" xfId="0" applyFill="1" applyBorder="1"/>
    <xf numFmtId="0" fontId="0" fillId="27" borderId="1" xfId="0" applyNumberFormat="1" applyFill="1" applyBorder="1" applyAlignment="1">
      <alignment horizontal="right"/>
    </xf>
    <xf numFmtId="165" fontId="0" fillId="27" borderId="1" xfId="0" applyNumberFormat="1" applyFont="1" applyFill="1" applyBorder="1" applyAlignment="1">
      <alignment horizontal="right"/>
    </xf>
    <xf numFmtId="0" fontId="0" fillId="27" borderId="1" xfId="0" applyNumberFormat="1" applyFill="1" applyBorder="1"/>
    <xf numFmtId="0" fontId="0" fillId="28" borderId="1" xfId="0" applyFill="1" applyBorder="1" applyAlignment="1" applyProtection="1">
      <protection locked="0"/>
    </xf>
    <xf numFmtId="0" fontId="0" fillId="28" borderId="1" xfId="0" applyFill="1" applyBorder="1" applyProtection="1">
      <protection locked="0"/>
    </xf>
    <xf numFmtId="165" fontId="0" fillId="28" borderId="1" xfId="0" applyNumberFormat="1" applyFill="1" applyBorder="1" applyAlignment="1">
      <alignment horizontal="right"/>
    </xf>
    <xf numFmtId="165" fontId="0" fillId="28" borderId="1" xfId="0" applyNumberFormat="1" applyFill="1" applyBorder="1"/>
    <xf numFmtId="0" fontId="0" fillId="28" borderId="1" xfId="0" applyFill="1" applyBorder="1"/>
    <xf numFmtId="0" fontId="0" fillId="28" borderId="1" xfId="0" applyNumberFormat="1" applyFill="1" applyBorder="1" applyAlignment="1">
      <alignment horizontal="right"/>
    </xf>
    <xf numFmtId="165" fontId="0" fillId="28" borderId="1" xfId="0" applyNumberFormat="1" applyFont="1" applyFill="1" applyBorder="1" applyAlignment="1">
      <alignment horizontal="right"/>
    </xf>
    <xf numFmtId="0" fontId="0" fillId="28" borderId="1" xfId="0" applyNumberFormat="1" applyFill="1" applyBorder="1"/>
    <xf numFmtId="0" fontId="6" fillId="29" borderId="1" xfId="0" applyFont="1" applyFill="1" applyBorder="1" applyProtection="1">
      <protection locked="0"/>
    </xf>
    <xf numFmtId="0" fontId="0" fillId="29" borderId="1" xfId="0" applyFill="1" applyBorder="1" applyProtection="1">
      <protection locked="0"/>
    </xf>
    <xf numFmtId="0" fontId="0" fillId="29" borderId="1" xfId="0" applyFill="1" applyBorder="1" applyAlignment="1" applyProtection="1">
      <protection locked="0"/>
    </xf>
    <xf numFmtId="165" fontId="0" fillId="29" borderId="1" xfId="0" applyNumberFormat="1" applyFont="1" applyFill="1" applyBorder="1" applyAlignment="1">
      <alignment horizontal="right"/>
    </xf>
    <xf numFmtId="0" fontId="0" fillId="29" borderId="1" xfId="0" applyFill="1" applyBorder="1"/>
    <xf numFmtId="165" fontId="0" fillId="29" borderId="1" xfId="0" applyNumberFormat="1" applyFill="1" applyBorder="1"/>
    <xf numFmtId="165" fontId="0" fillId="29" borderId="1" xfId="0" applyNumberFormat="1" applyFill="1" applyBorder="1" applyAlignment="1">
      <alignment horizontal="right"/>
    </xf>
    <xf numFmtId="0" fontId="0" fillId="29" borderId="1" xfId="0" applyNumberFormat="1" applyFill="1" applyBorder="1"/>
    <xf numFmtId="0" fontId="6" fillId="30" borderId="1" xfId="0" applyFont="1" applyFill="1" applyBorder="1" applyProtection="1">
      <protection locked="0"/>
    </xf>
    <xf numFmtId="0" fontId="0" fillId="30" borderId="1" xfId="0" applyFill="1" applyBorder="1" applyProtection="1">
      <protection locked="0"/>
    </xf>
    <xf numFmtId="0" fontId="0" fillId="30" borderId="1" xfId="0" applyFill="1" applyBorder="1" applyAlignment="1" applyProtection="1">
      <protection locked="0"/>
    </xf>
    <xf numFmtId="165" fontId="0" fillId="30" borderId="1" xfId="0" applyNumberFormat="1" applyFill="1" applyBorder="1" applyAlignment="1">
      <alignment horizontal="right"/>
    </xf>
    <xf numFmtId="165" fontId="0" fillId="30" borderId="1" xfId="0" applyNumberFormat="1" applyFill="1" applyBorder="1"/>
    <xf numFmtId="0" fontId="0" fillId="30" borderId="1" xfId="0" applyFill="1" applyBorder="1"/>
    <xf numFmtId="0" fontId="0" fillId="30" borderId="1" xfId="0" applyNumberFormat="1" applyFill="1" applyBorder="1"/>
    <xf numFmtId="165" fontId="0" fillId="30" borderId="1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15" borderId="1" xfId="0" applyFill="1" applyBorder="1"/>
    <xf numFmtId="0" fontId="0" fillId="15" borderId="1" xfId="0" applyFill="1" applyBorder="1" applyAlignment="1" applyProtection="1">
      <protection locked="0"/>
    </xf>
    <xf numFmtId="0" fontId="0" fillId="15" borderId="1" xfId="0" applyNumberFormat="1" applyFill="1" applyBorder="1"/>
    <xf numFmtId="165" fontId="0" fillId="15" borderId="1" xfId="0" applyNumberFormat="1" applyFill="1" applyBorder="1" applyAlignment="1">
      <alignment horizontal="right"/>
    </xf>
    <xf numFmtId="165" fontId="0" fillId="15" borderId="1" xfId="0" applyNumberFormat="1" applyFill="1" applyBorder="1"/>
    <xf numFmtId="165" fontId="0" fillId="15" borderId="1" xfId="0" applyNumberFormat="1" applyFont="1" applyFill="1" applyBorder="1" applyAlignment="1">
      <alignment horizontal="right"/>
    </xf>
    <xf numFmtId="0" fontId="3" fillId="15" borderId="1" xfId="0" applyFont="1" applyFill="1" applyBorder="1"/>
    <xf numFmtId="0" fontId="0" fillId="15" borderId="1" xfId="0" applyNumberFormat="1" applyFill="1" applyBorder="1" applyAlignment="1" applyProtection="1">
      <protection locked="0"/>
    </xf>
    <xf numFmtId="0" fontId="0" fillId="0" borderId="1" xfId="0" applyFill="1" applyBorder="1"/>
    <xf numFmtId="0" fontId="0" fillId="0" borderId="1" xfId="0" applyFill="1" applyBorder="1" applyAlignment="1" applyProtection="1">
      <protection locked="0"/>
    </xf>
    <xf numFmtId="165" fontId="0" fillId="0" borderId="1" xfId="0" applyNumberFormat="1" applyFill="1" applyBorder="1"/>
    <xf numFmtId="0" fontId="0" fillId="15" borderId="7" xfId="0" applyFill="1" applyBorder="1"/>
    <xf numFmtId="0" fontId="0" fillId="15" borderId="7" xfId="0" applyFill="1" applyBorder="1" applyAlignment="1" applyProtection="1">
      <protection locked="0"/>
    </xf>
    <xf numFmtId="0" fontId="0" fillId="15" borderId="7" xfId="0" applyFill="1" applyBorder="1" applyAlignment="1" applyProtection="1">
      <alignment wrapText="1"/>
      <protection locked="0"/>
    </xf>
    <xf numFmtId="165" fontId="0" fillId="15" borderId="7" xfId="0" applyNumberFormat="1" applyFont="1" applyFill="1" applyBorder="1" applyAlignment="1">
      <alignment horizontal="right" wrapText="1"/>
    </xf>
    <xf numFmtId="165" fontId="0" fillId="15" borderId="7" xfId="0" applyNumberFormat="1" applyFill="1" applyBorder="1" applyAlignment="1">
      <alignment wrapText="1"/>
    </xf>
    <xf numFmtId="165" fontId="0" fillId="15" borderId="7" xfId="0" applyNumberFormat="1" applyFill="1" applyBorder="1"/>
    <xf numFmtId="0" fontId="7" fillId="15" borderId="7" xfId="0" applyFont="1" applyFill="1" applyBorder="1"/>
    <xf numFmtId="0" fontId="7" fillId="0" borderId="0" xfId="0" applyFont="1" applyFill="1" applyBorder="1"/>
    <xf numFmtId="0" fontId="0" fillId="18" borderId="1" xfId="0" applyNumberFormat="1" applyFill="1" applyBorder="1" applyAlignment="1" applyProtection="1">
      <alignment wrapText="1"/>
      <protection locked="0"/>
    </xf>
    <xf numFmtId="0" fontId="0" fillId="18" borderId="1" xfId="0" applyNumberFormat="1" applyFill="1" applyBorder="1" applyAlignment="1">
      <alignment wrapText="1"/>
    </xf>
    <xf numFmtId="0" fontId="0" fillId="18" borderId="1" xfId="0" applyFill="1" applyBorder="1" applyAlignment="1" applyProtection="1">
      <protection locked="0"/>
    </xf>
    <xf numFmtId="165" fontId="0" fillId="18" borderId="1" xfId="0" applyNumberFormat="1" applyFill="1" applyBorder="1" applyAlignment="1">
      <alignment horizontal="right" wrapText="1"/>
    </xf>
    <xf numFmtId="165" fontId="0" fillId="18" borderId="1" xfId="0" applyNumberFormat="1" applyFill="1" applyBorder="1" applyAlignment="1">
      <alignment wrapText="1"/>
    </xf>
    <xf numFmtId="165" fontId="0" fillId="18" borderId="1" xfId="0" applyNumberFormat="1" applyFill="1" applyBorder="1"/>
    <xf numFmtId="0" fontId="0" fillId="18" borderId="1" xfId="0" applyFill="1" applyBorder="1" applyAlignment="1"/>
    <xf numFmtId="0" fontId="0" fillId="18" borderId="1" xfId="0" applyFill="1" applyBorder="1"/>
    <xf numFmtId="0" fontId="0" fillId="18" borderId="1" xfId="0" applyFill="1" applyBorder="1" applyAlignment="1" applyProtection="1">
      <alignment wrapText="1"/>
      <protection locked="0"/>
    </xf>
    <xf numFmtId="165" fontId="0" fillId="18" borderId="1" xfId="0" applyNumberFormat="1" applyFont="1" applyFill="1" applyBorder="1" applyAlignment="1">
      <alignment horizontal="right" wrapText="1"/>
    </xf>
    <xf numFmtId="0" fontId="7" fillId="18" borderId="1" xfId="0" applyFont="1" applyFill="1" applyBorder="1"/>
    <xf numFmtId="0" fontId="3" fillId="18" borderId="1" xfId="0" applyFont="1" applyFill="1" applyBorder="1"/>
    <xf numFmtId="0" fontId="0" fillId="19" borderId="1" xfId="0" applyFill="1" applyBorder="1" applyAlignment="1" applyProtection="1">
      <protection locked="0"/>
    </xf>
    <xf numFmtId="165" fontId="0" fillId="19" borderId="1" xfId="0" applyNumberFormat="1" applyFont="1" applyFill="1" applyBorder="1" applyAlignment="1">
      <alignment horizontal="right"/>
    </xf>
    <xf numFmtId="165" fontId="0" fillId="19" borderId="1" xfId="0" applyNumberFormat="1" applyFill="1" applyBorder="1"/>
    <xf numFmtId="0" fontId="0" fillId="19" borderId="1" xfId="0" applyFill="1" applyBorder="1"/>
    <xf numFmtId="165" fontId="0" fillId="19" borderId="1" xfId="0" applyNumberFormat="1" applyFill="1" applyBorder="1" applyAlignment="1">
      <alignment horizontal="right"/>
    </xf>
    <xf numFmtId="0" fontId="0" fillId="19" borderId="1" xfId="0" applyNumberFormat="1" applyFill="1" applyBorder="1" applyAlignment="1" applyProtection="1">
      <protection locked="0"/>
    </xf>
    <xf numFmtId="0" fontId="0" fillId="19" borderId="1" xfId="0" applyNumberFormat="1" applyFill="1" applyBorder="1"/>
    <xf numFmtId="0" fontId="3" fillId="20" borderId="1" xfId="0" applyFont="1" applyFill="1" applyBorder="1"/>
    <xf numFmtId="0" fontId="0" fillId="0" borderId="1" xfId="0" applyNumberFormat="1" applyFill="1" applyBorder="1"/>
    <xf numFmtId="0" fontId="0" fillId="20" borderId="7" xfId="0" applyNumberFormat="1" applyFill="1" applyBorder="1" applyAlignment="1" applyProtection="1">
      <protection locked="0"/>
    </xf>
    <xf numFmtId="0" fontId="0" fillId="20" borderId="7" xfId="0" applyNumberFormat="1" applyFill="1" applyBorder="1"/>
    <xf numFmtId="0" fontId="0" fillId="20" borderId="7" xfId="0" applyFill="1" applyBorder="1" applyAlignment="1" applyProtection="1">
      <protection locked="0"/>
    </xf>
    <xf numFmtId="165" fontId="0" fillId="20" borderId="7" xfId="0" applyNumberFormat="1" applyFill="1" applyBorder="1" applyAlignment="1">
      <alignment horizontal="right"/>
    </xf>
    <xf numFmtId="165" fontId="0" fillId="20" borderId="7" xfId="0" applyNumberFormat="1" applyFill="1" applyBorder="1"/>
    <xf numFmtId="0" fontId="0" fillId="20" borderId="7" xfId="0" applyFill="1" applyBorder="1"/>
    <xf numFmtId="0" fontId="0" fillId="31" borderId="1" xfId="0" applyFill="1" applyBorder="1" applyAlignment="1" applyProtection="1">
      <protection locked="0"/>
    </xf>
    <xf numFmtId="165" fontId="0" fillId="31" borderId="1" xfId="0" applyNumberFormat="1" applyFont="1" applyFill="1" applyBorder="1" applyAlignment="1">
      <alignment horizontal="right"/>
    </xf>
    <xf numFmtId="165" fontId="0" fillId="31" borderId="1" xfId="0" applyNumberFormat="1" applyFill="1" applyBorder="1"/>
    <xf numFmtId="0" fontId="0" fillId="31" borderId="1" xfId="0" applyFill="1" applyBorder="1"/>
    <xf numFmtId="0" fontId="3" fillId="31" borderId="1" xfId="0" applyFont="1" applyFill="1" applyBorder="1"/>
    <xf numFmtId="165" fontId="0" fillId="31" borderId="1" xfId="0" applyNumberFormat="1" applyFill="1" applyBorder="1" applyAlignment="1">
      <alignment horizontal="right"/>
    </xf>
    <xf numFmtId="0" fontId="0" fillId="31" borderId="1" xfId="0" applyNumberFormat="1" applyFill="1" applyBorder="1" applyAlignment="1" applyProtection="1">
      <protection locked="0"/>
    </xf>
    <xf numFmtId="0" fontId="0" fillId="31" borderId="1" xfId="0" applyNumberFormat="1" applyFill="1" applyBorder="1"/>
    <xf numFmtId="0" fontId="0" fillId="26" borderId="1" xfId="0" applyFill="1" applyBorder="1" applyAlignment="1" applyProtection="1">
      <alignment horizontal="right"/>
      <protection locked="0"/>
    </xf>
    <xf numFmtId="0" fontId="0" fillId="26" borderId="1" xfId="0" applyNumberFormat="1" applyFill="1" applyBorder="1" applyAlignment="1" applyProtection="1">
      <alignment horizontal="right"/>
      <protection locked="0"/>
    </xf>
    <xf numFmtId="0" fontId="0" fillId="26" borderId="1" xfId="0" applyFill="1" applyBorder="1" applyAlignment="1">
      <alignment horizontal="right"/>
    </xf>
    <xf numFmtId="0" fontId="6" fillId="0" borderId="1" xfId="0" applyFont="1" applyFill="1" applyBorder="1" applyProtection="1">
      <protection locked="0"/>
    </xf>
    <xf numFmtId="0" fontId="0" fillId="0" borderId="1" xfId="0" applyNumberFormat="1" applyFill="1" applyBorder="1" applyProtection="1">
      <protection locked="0"/>
    </xf>
    <xf numFmtId="165" fontId="0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3" fillId="0" borderId="1" xfId="0" applyFont="1" applyBorder="1"/>
    <xf numFmtId="165" fontId="0" fillId="0" borderId="0" xfId="0" applyNumberFormat="1" applyAlignment="1">
      <alignment horizontal="center"/>
    </xf>
    <xf numFmtId="0" fontId="0" fillId="32" borderId="1" xfId="0" applyFill="1" applyBorder="1"/>
    <xf numFmtId="0" fontId="0" fillId="32" borderId="1" xfId="0" applyFill="1" applyBorder="1" applyAlignment="1" applyProtection="1">
      <alignment horizontal="right"/>
      <protection locked="0"/>
    </xf>
    <xf numFmtId="0" fontId="0" fillId="32" borderId="1" xfId="0" applyFill="1" applyBorder="1" applyAlignment="1">
      <alignment vertical="top"/>
    </xf>
    <xf numFmtId="0" fontId="0" fillId="32" borderId="1" xfId="0" applyFill="1" applyBorder="1" applyAlignment="1">
      <alignment horizontal="right"/>
    </xf>
    <xf numFmtId="0" fontId="5" fillId="32" borderId="1" xfId="0" applyFont="1" applyFill="1" applyBorder="1" applyAlignment="1">
      <alignment horizontal="right"/>
    </xf>
    <xf numFmtId="164" fontId="3" fillId="0" borderId="0" xfId="0" applyNumberFormat="1" applyFont="1" applyAlignment="1">
      <alignment horizontal="center" vertical="center" wrapText="1"/>
    </xf>
    <xf numFmtId="0" fontId="0" fillId="14" borderId="1" xfId="0" applyFill="1" applyBorder="1"/>
    <xf numFmtId="0" fontId="0" fillId="14" borderId="1" xfId="0" applyFill="1" applyBorder="1" applyAlignment="1">
      <alignment vertical="top"/>
    </xf>
    <xf numFmtId="0" fontId="0" fillId="33" borderId="1" xfId="0" applyFill="1" applyBorder="1"/>
    <xf numFmtId="0" fontId="0" fillId="34" borderId="1" xfId="0" applyFill="1" applyBorder="1"/>
    <xf numFmtId="0" fontId="0" fillId="34" borderId="1" xfId="0" applyFill="1" applyBorder="1" applyAlignment="1">
      <alignment vertical="top"/>
    </xf>
    <xf numFmtId="0" fontId="0" fillId="35" borderId="1" xfId="0" applyFill="1" applyBorder="1"/>
    <xf numFmtId="0" fontId="0" fillId="35" borderId="1" xfId="0" applyFill="1" applyBorder="1" applyAlignment="1">
      <alignment vertical="top"/>
    </xf>
    <xf numFmtId="0" fontId="0" fillId="20" borderId="1" xfId="0" applyFill="1" applyBorder="1" applyAlignment="1">
      <alignment vertical="top"/>
    </xf>
    <xf numFmtId="0" fontId="0" fillId="36" borderId="1" xfId="0" applyFill="1" applyBorder="1"/>
    <xf numFmtId="0" fontId="0" fillId="36" borderId="1" xfId="0" applyFill="1" applyBorder="1" applyAlignment="1">
      <alignment vertical="top"/>
    </xf>
    <xf numFmtId="0" fontId="0" fillId="32" borderId="1" xfId="0" applyFont="1" applyFill="1" applyBorder="1"/>
    <xf numFmtId="0" fontId="0" fillId="19" borderId="1" xfId="0" applyFill="1" applyBorder="1" applyAlignment="1">
      <alignment horizontal="right"/>
    </xf>
    <xf numFmtId="0" fontId="0" fillId="34" borderId="1" xfId="0" applyFill="1" applyBorder="1" applyAlignment="1">
      <alignment horizontal="right"/>
    </xf>
    <xf numFmtId="0" fontId="0" fillId="20" borderId="1" xfId="0" applyFill="1" applyBorder="1" applyAlignment="1">
      <alignment horizontal="right"/>
    </xf>
    <xf numFmtId="0" fontId="0" fillId="36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top"/>
    </xf>
    <xf numFmtId="165" fontId="0" fillId="32" borderId="1" xfId="0" applyNumberFormat="1" applyFill="1" applyBorder="1" applyAlignment="1">
      <alignment horizontal="right"/>
    </xf>
    <xf numFmtId="165" fontId="0" fillId="32" borderId="1" xfId="0" applyNumberFormat="1" applyFill="1" applyBorder="1"/>
    <xf numFmtId="165" fontId="0" fillId="14" borderId="1" xfId="0" applyNumberFormat="1" applyFill="1" applyBorder="1"/>
    <xf numFmtId="165" fontId="0" fillId="35" borderId="1" xfId="0" applyNumberFormat="1" applyFill="1" applyBorder="1"/>
    <xf numFmtId="165" fontId="0" fillId="34" borderId="1" xfId="0" applyNumberFormat="1" applyFill="1" applyBorder="1"/>
    <xf numFmtId="165" fontId="0" fillId="36" borderId="1" xfId="0" applyNumberFormat="1" applyFill="1" applyBorder="1"/>
    <xf numFmtId="165" fontId="0" fillId="32" borderId="1" xfId="0" applyNumberFormat="1" applyFill="1" applyBorder="1" applyAlignment="1">
      <alignment vertical="top"/>
    </xf>
    <xf numFmtId="165" fontId="0" fillId="20" borderId="1" xfId="0" applyNumberFormat="1" applyFill="1" applyBorder="1" applyAlignment="1">
      <alignment vertical="top"/>
    </xf>
    <xf numFmtId="165" fontId="0" fillId="34" borderId="1" xfId="0" applyNumberFormat="1" applyFill="1" applyBorder="1" applyAlignment="1">
      <alignment vertical="top"/>
    </xf>
    <xf numFmtId="165" fontId="0" fillId="36" borderId="1" xfId="0" applyNumberFormat="1" applyFill="1" applyBorder="1" applyAlignment="1">
      <alignment vertical="top"/>
    </xf>
    <xf numFmtId="165" fontId="0" fillId="19" borderId="1" xfId="0" applyNumberFormat="1" applyFill="1" applyBorder="1" applyAlignment="1">
      <alignment vertical="top"/>
    </xf>
    <xf numFmtId="0" fontId="8" fillId="0" borderId="0" xfId="0" applyFont="1"/>
    <xf numFmtId="164" fontId="3" fillId="0" borderId="1" xfId="0" applyNumberFormat="1" applyFont="1" applyFill="1" applyBorder="1" applyAlignment="1">
      <alignment horizontal="left" vertical="top" wrapText="1"/>
    </xf>
    <xf numFmtId="2" fontId="3" fillId="0" borderId="1" xfId="0" applyNumberFormat="1" applyFont="1" applyFill="1" applyBorder="1" applyAlignment="1">
      <alignment horizontal="left" vertical="top" wrapText="1"/>
    </xf>
    <xf numFmtId="0" fontId="0" fillId="19" borderId="1" xfId="0" applyFill="1" applyBorder="1" applyAlignment="1" applyProtection="1">
      <alignment horizontal="right"/>
      <protection locked="0"/>
    </xf>
    <xf numFmtId="0" fontId="5" fillId="19" borderId="1" xfId="0" applyFont="1" applyFill="1" applyBorder="1" applyAlignment="1">
      <alignment horizontal="right"/>
    </xf>
    <xf numFmtId="0" fontId="0" fillId="37" borderId="1" xfId="0" applyFill="1" applyBorder="1"/>
    <xf numFmtId="0" fontId="0" fillId="37" borderId="1" xfId="0" applyFill="1" applyBorder="1" applyAlignment="1">
      <alignment horizontal="right"/>
    </xf>
    <xf numFmtId="0" fontId="0" fillId="37" borderId="1" xfId="0" applyFill="1" applyBorder="1" applyAlignment="1">
      <alignment vertical="top"/>
    </xf>
    <xf numFmtId="165" fontId="0" fillId="37" borderId="1" xfId="0" applyNumberFormat="1" applyFill="1" applyBorder="1"/>
    <xf numFmtId="165" fontId="0" fillId="37" borderId="1" xfId="0" applyNumberFormat="1" applyFill="1" applyBorder="1" applyAlignment="1">
      <alignment vertical="top"/>
    </xf>
    <xf numFmtId="0" fontId="0" fillId="35" borderId="1" xfId="0" applyFill="1" applyBorder="1" applyAlignment="1">
      <alignment horizontal="right"/>
    </xf>
    <xf numFmtId="165" fontId="0" fillId="35" borderId="1" xfId="0" applyNumberFormat="1" applyFill="1" applyBorder="1" applyAlignment="1">
      <alignment vertical="top"/>
    </xf>
    <xf numFmtId="0" fontId="0" fillId="38" borderId="1" xfId="0" applyFill="1" applyBorder="1"/>
    <xf numFmtId="0" fontId="0" fillId="38" borderId="1" xfId="0" applyFill="1" applyBorder="1" applyAlignment="1">
      <alignment horizontal="right"/>
    </xf>
    <xf numFmtId="0" fontId="0" fillId="38" borderId="1" xfId="0" applyFill="1" applyBorder="1" applyAlignment="1">
      <alignment vertical="top"/>
    </xf>
    <xf numFmtId="165" fontId="0" fillId="38" borderId="1" xfId="0" applyNumberFormat="1" applyFill="1" applyBorder="1"/>
    <xf numFmtId="165" fontId="0" fillId="38" borderId="1" xfId="0" applyNumberFormat="1" applyFill="1" applyBorder="1" applyAlignment="1">
      <alignment vertical="top"/>
    </xf>
    <xf numFmtId="0" fontId="0" fillId="39" borderId="1" xfId="0" applyFill="1" applyBorder="1"/>
    <xf numFmtId="0" fontId="0" fillId="39" borderId="1" xfId="0" applyFill="1" applyBorder="1" applyAlignment="1">
      <alignment horizontal="right"/>
    </xf>
    <xf numFmtId="0" fontId="0" fillId="39" borderId="1" xfId="0" applyFill="1" applyBorder="1" applyAlignment="1">
      <alignment vertical="top"/>
    </xf>
    <xf numFmtId="165" fontId="0" fillId="39" borderId="1" xfId="0" applyNumberFormat="1" applyFill="1" applyBorder="1"/>
    <xf numFmtId="165" fontId="0" fillId="39" borderId="1" xfId="0" applyNumberFormat="1" applyFill="1" applyBorder="1" applyAlignment="1">
      <alignment vertical="top"/>
    </xf>
    <xf numFmtId="0" fontId="0" fillId="29" borderId="1" xfId="0" applyFill="1" applyBorder="1" applyAlignment="1">
      <alignment horizontal="right"/>
    </xf>
    <xf numFmtId="0" fontId="0" fillId="29" borderId="1" xfId="0" applyFill="1" applyBorder="1" applyAlignment="1">
      <alignment vertical="top"/>
    </xf>
    <xf numFmtId="165" fontId="0" fillId="29" borderId="1" xfId="0" applyNumberFormat="1" applyFill="1" applyBorder="1" applyAlignment="1">
      <alignment vertical="top"/>
    </xf>
    <xf numFmtId="0" fontId="0" fillId="14" borderId="1" xfId="0" applyFill="1" applyBorder="1" applyAlignment="1">
      <alignment horizontal="right"/>
    </xf>
    <xf numFmtId="165" fontId="0" fillId="14" borderId="1" xfId="0" applyNumberFormat="1" applyFill="1" applyBorder="1" applyAlignment="1">
      <alignment vertical="top"/>
    </xf>
    <xf numFmtId="165" fontId="0" fillId="33" borderId="1" xfId="0" applyNumberFormat="1" applyFill="1" applyBorder="1" applyAlignment="1">
      <alignment vertical="top"/>
    </xf>
    <xf numFmtId="165" fontId="0" fillId="33" borderId="1" xfId="0" applyNumberFormat="1" applyFill="1" applyBorder="1"/>
    <xf numFmtId="0" fontId="0" fillId="33" borderId="1" xfId="0" applyFill="1" applyBorder="1" applyAlignment="1">
      <alignment horizontal="right"/>
    </xf>
    <xf numFmtId="0" fontId="0" fillId="40" borderId="1" xfId="0" applyFill="1" applyBorder="1"/>
    <xf numFmtId="0" fontId="0" fillId="40" borderId="1" xfId="0" applyFill="1" applyBorder="1" applyAlignment="1">
      <alignment horizontal="right"/>
    </xf>
    <xf numFmtId="0" fontId="0" fillId="40" borderId="1" xfId="0" applyFill="1" applyBorder="1" applyAlignment="1">
      <alignment vertical="top"/>
    </xf>
    <xf numFmtId="165" fontId="0" fillId="40" borderId="1" xfId="0" applyNumberFormat="1" applyFill="1" applyBorder="1"/>
    <xf numFmtId="165" fontId="0" fillId="40" borderId="1" xfId="0" applyNumberFormat="1" applyFill="1" applyBorder="1" applyAlignment="1">
      <alignment vertical="top"/>
    </xf>
    <xf numFmtId="0" fontId="0" fillId="36" borderId="1" xfId="0" applyFill="1" applyBorder="1" applyAlignment="1" applyProtection="1">
      <alignment horizontal="right"/>
      <protection locked="0"/>
    </xf>
    <xf numFmtId="0" fontId="0" fillId="33" borderId="1" xfId="0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3" fillId="28" borderId="5" xfId="0" applyFont="1" applyFill="1" applyBorder="1" applyAlignment="1">
      <alignment horizontal="center"/>
    </xf>
    <xf numFmtId="0" fontId="3" fillId="28" borderId="0" xfId="0" applyFont="1" applyFill="1" applyBorder="1" applyAlignment="1">
      <alignment horizontal="center"/>
    </xf>
    <xf numFmtId="0" fontId="3" fillId="27" borderId="5" xfId="0" applyFont="1" applyFill="1" applyBorder="1" applyAlignment="1">
      <alignment horizontal="center"/>
    </xf>
    <xf numFmtId="0" fontId="3" fillId="27" borderId="0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0" xfId="0" applyFont="1" applyFill="1" applyBorder="1" applyAlignment="1">
      <alignment horizontal="center"/>
    </xf>
    <xf numFmtId="0" fontId="3" fillId="26" borderId="5" xfId="0" applyFont="1" applyFill="1" applyBorder="1" applyAlignment="1">
      <alignment horizontal="center"/>
    </xf>
    <xf numFmtId="0" fontId="3" fillId="26" borderId="0" xfId="0" applyFont="1" applyFill="1" applyBorder="1" applyAlignment="1">
      <alignment horizontal="center"/>
    </xf>
    <xf numFmtId="0" fontId="3" fillId="25" borderId="5" xfId="0" applyFont="1" applyFill="1" applyBorder="1" applyAlignment="1">
      <alignment horizontal="center"/>
    </xf>
    <xf numFmtId="0" fontId="3" fillId="25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3" borderId="5" xfId="0" applyFont="1" applyFill="1" applyBorder="1" applyAlignment="1">
      <alignment horizontal="center"/>
    </xf>
    <xf numFmtId="0" fontId="3" fillId="23" borderId="0" xfId="0" applyFont="1" applyFill="1" applyBorder="1" applyAlignment="1">
      <alignment horizontal="center"/>
    </xf>
    <xf numFmtId="0" fontId="3" fillId="24" borderId="5" xfId="0" applyFont="1" applyFill="1" applyBorder="1" applyAlignment="1">
      <alignment horizontal="center"/>
    </xf>
    <xf numFmtId="0" fontId="3" fillId="24" borderId="0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" fillId="21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7EE0E8"/>
      <color rgb="FFAEC1E6"/>
      <color rgb="FFE9BDAB"/>
      <color rgb="FFFF99FF"/>
      <color rgb="FF99FF66"/>
      <color rgb="FF00FFCC"/>
      <color rgb="FFBC76BC"/>
      <color rgb="FFFF9900"/>
      <color rgb="FFFF6767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22980280388539E-2"/>
          <c:y val="0.16075765939389541"/>
          <c:w val="0.88084251968503935"/>
          <c:h val="0.67609096969632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[1]Sheet1!$D$2</c:f>
              <c:strCache>
                <c:ptCount val="1"/>
                <c:pt idx="0">
                  <c:v>senstivity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[1]Sheet1!$C$3:$C$16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0.4285714285714286</c:v>
                </c:pt>
                <c:pt idx="11">
                  <c:v>0.33333333333333337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[1]Sheet1!$D$3:$D$16</c:f>
              <c:numCache>
                <c:formatCode>General</c:formatCode>
                <c:ptCount val="14"/>
                <c:pt idx="0">
                  <c:v>0.8571428571428571</c:v>
                </c:pt>
                <c:pt idx="1">
                  <c:v>0.7142857142857143</c:v>
                </c:pt>
                <c:pt idx="2">
                  <c:v>0.66666666666666663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0.88888888888888884</c:v>
                </c:pt>
                <c:pt idx="9">
                  <c:v>0.6</c:v>
                </c:pt>
                <c:pt idx="10">
                  <c:v>0.6</c:v>
                </c:pt>
                <c:pt idx="11">
                  <c:v>0.5</c:v>
                </c:pt>
                <c:pt idx="12">
                  <c:v>0.75</c:v>
                </c:pt>
                <c:pt idx="1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3-4F0D-BDD0-43D24AAC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04287"/>
        <c:axId val="183813023"/>
      </c:scatterChart>
      <c:valAx>
        <c:axId val="1838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3023"/>
        <c:crosses val="autoZero"/>
        <c:crossBetween val="midCat"/>
      </c:valAx>
      <c:valAx>
        <c:axId val="1838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Sensitivity</a:t>
                </a:r>
              </a:p>
            </c:rich>
          </c:tx>
          <c:layout>
            <c:manualLayout>
              <c:xMode val="edge"/>
              <c:yMode val="edge"/>
              <c:x val="0"/>
              <c:y val="0.4489148780793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289560</xdr:colOff>
      <xdr:row>2</xdr:row>
      <xdr:rowOff>172399</xdr:rowOff>
    </xdr:from>
    <xdr:to>
      <xdr:col>14</xdr:col>
      <xdr:colOff>404236</xdr:colOff>
      <xdr:row>12</xdr:row>
      <xdr:rowOff>87805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1140" y="538159"/>
          <a:ext cx="3772276" cy="1744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468086</xdr:colOff>
      <xdr:row>18</xdr:row>
      <xdr:rowOff>32346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E98012-13F7-4A09-8980-C8C4E7708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inw/Downloads/Chinwe_trial%20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senstivity</v>
          </cell>
        </row>
        <row r="3">
          <cell r="C3">
            <v>1</v>
          </cell>
          <cell r="D3">
            <v>0.8571428571428571</v>
          </cell>
        </row>
        <row r="4">
          <cell r="C4">
            <v>1</v>
          </cell>
          <cell r="D4">
            <v>0.7142857142857143</v>
          </cell>
        </row>
        <row r="5">
          <cell r="C5">
            <v>1</v>
          </cell>
          <cell r="D5">
            <v>0.66666666666666663</v>
          </cell>
        </row>
        <row r="6">
          <cell r="C6">
            <v>0.5</v>
          </cell>
          <cell r="D6">
            <v>0.5</v>
          </cell>
        </row>
        <row r="7">
          <cell r="C7">
            <v>1</v>
          </cell>
          <cell r="D7">
            <v>0</v>
          </cell>
        </row>
        <row r="8">
          <cell r="C8">
            <v>1</v>
          </cell>
          <cell r="D8">
            <v>1</v>
          </cell>
        </row>
        <row r="9">
          <cell r="C9">
            <v>1</v>
          </cell>
          <cell r="D9">
            <v>0</v>
          </cell>
        </row>
        <row r="10">
          <cell r="C10">
            <v>0.5</v>
          </cell>
          <cell r="D10">
            <v>1</v>
          </cell>
        </row>
        <row r="11">
          <cell r="C11">
            <v>0.4</v>
          </cell>
          <cell r="D11">
            <v>0.88888888888888884</v>
          </cell>
        </row>
        <row r="12">
          <cell r="C12">
            <v>0.4</v>
          </cell>
          <cell r="D12">
            <v>0.6</v>
          </cell>
        </row>
        <row r="13">
          <cell r="C13">
            <v>0.4285714285714286</v>
          </cell>
          <cell r="D13">
            <v>0.6</v>
          </cell>
        </row>
        <row r="14">
          <cell r="C14">
            <v>0.33333333333333337</v>
          </cell>
          <cell r="D14">
            <v>0.5</v>
          </cell>
        </row>
        <row r="15">
          <cell r="C15">
            <v>0.3</v>
          </cell>
          <cell r="D15">
            <v>0.75</v>
          </cell>
        </row>
        <row r="16">
          <cell r="C16">
            <v>0.4</v>
          </cell>
          <cell r="D16">
            <v>0.6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topLeftCell="A8" zoomScaleNormal="100" workbookViewId="0">
      <selection activeCell="N49" sqref="N49"/>
    </sheetView>
  </sheetViews>
  <sheetFormatPr defaultRowHeight="14.4" x14ac:dyDescent="0.3"/>
  <cols>
    <col min="2" max="2" width="11" style="132" customWidth="1"/>
  </cols>
  <sheetData>
    <row r="2" spans="2:5" x14ac:dyDescent="0.3">
      <c r="B2" s="131" t="s">
        <v>151</v>
      </c>
    </row>
    <row r="3" spans="2:5" x14ac:dyDescent="0.3">
      <c r="B3" s="131"/>
    </row>
    <row r="4" spans="2:5" x14ac:dyDescent="0.3">
      <c r="B4" s="131" t="s">
        <v>150</v>
      </c>
    </row>
    <row r="5" spans="2:5" x14ac:dyDescent="0.3">
      <c r="B5" s="401" t="s">
        <v>139</v>
      </c>
      <c r="C5" s="402" t="s">
        <v>136</v>
      </c>
      <c r="D5" s="402"/>
    </row>
    <row r="6" spans="2:5" x14ac:dyDescent="0.3">
      <c r="B6" s="401"/>
      <c r="C6" s="120" t="s">
        <v>137</v>
      </c>
      <c r="D6" s="137" t="s">
        <v>138</v>
      </c>
      <c r="E6" s="120" t="s">
        <v>140</v>
      </c>
    </row>
    <row r="7" spans="2:5" x14ac:dyDescent="0.3">
      <c r="B7" s="135" t="s">
        <v>137</v>
      </c>
      <c r="C7" s="136" t="s">
        <v>131</v>
      </c>
      <c r="D7" s="138" t="s">
        <v>132</v>
      </c>
      <c r="E7" s="121" t="s">
        <v>141</v>
      </c>
    </row>
    <row r="8" spans="2:5" x14ac:dyDescent="0.3">
      <c r="B8" s="139" t="s">
        <v>138</v>
      </c>
      <c r="C8" s="140" t="s">
        <v>133</v>
      </c>
      <c r="D8" s="140" t="s">
        <v>134</v>
      </c>
      <c r="E8" s="121" t="s">
        <v>142</v>
      </c>
    </row>
    <row r="9" spans="2:5" x14ac:dyDescent="0.3">
      <c r="B9" s="132" t="s">
        <v>140</v>
      </c>
      <c r="C9" s="121" t="s">
        <v>143</v>
      </c>
      <c r="D9" s="121" t="s">
        <v>144</v>
      </c>
    </row>
    <row r="10" spans="2:5" x14ac:dyDescent="0.3">
      <c r="B10" s="133" t="s">
        <v>130</v>
      </c>
      <c r="C10" s="121" t="s">
        <v>145</v>
      </c>
    </row>
    <row r="11" spans="2:5" x14ac:dyDescent="0.3">
      <c r="B11" s="133" t="s">
        <v>135</v>
      </c>
      <c r="C11" s="121" t="s">
        <v>176</v>
      </c>
    </row>
    <row r="12" spans="2:5" x14ac:dyDescent="0.3">
      <c r="B12" s="133" t="s">
        <v>146</v>
      </c>
      <c r="C12" s="122" t="s">
        <v>147</v>
      </c>
    </row>
    <row r="13" spans="2:5" x14ac:dyDescent="0.3">
      <c r="C13" s="122" t="s">
        <v>148</v>
      </c>
    </row>
    <row r="16" spans="2:5" x14ac:dyDescent="0.3">
      <c r="B16" s="131" t="s">
        <v>149</v>
      </c>
    </row>
    <row r="17" spans="2:2" x14ac:dyDescent="0.3">
      <c r="B17" s="132" t="s">
        <v>166</v>
      </c>
    </row>
    <row r="18" spans="2:2" x14ac:dyDescent="0.3">
      <c r="B18" s="132" t="s">
        <v>167</v>
      </c>
    </row>
    <row r="19" spans="2:2" x14ac:dyDescent="0.3">
      <c r="B19" s="132" t="s">
        <v>168</v>
      </c>
    </row>
    <row r="20" spans="2:2" x14ac:dyDescent="0.3">
      <c r="B20" s="132" t="s">
        <v>169</v>
      </c>
    </row>
    <row r="23" spans="2:2" s="123" customFormat="1" x14ac:dyDescent="0.3">
      <c r="B23" s="133" t="s">
        <v>154</v>
      </c>
    </row>
    <row r="24" spans="2:2" x14ac:dyDescent="0.3">
      <c r="B24" s="131" t="s">
        <v>170</v>
      </c>
    </row>
    <row r="25" spans="2:2" x14ac:dyDescent="0.3">
      <c r="B25" s="132" t="s">
        <v>179</v>
      </c>
    </row>
    <row r="26" spans="2:2" x14ac:dyDescent="0.3">
      <c r="B26" s="132" t="s">
        <v>180</v>
      </c>
    </row>
    <row r="27" spans="2:2" x14ac:dyDescent="0.3">
      <c r="B27" s="132" t="s">
        <v>181</v>
      </c>
    </row>
    <row r="28" spans="2:2" x14ac:dyDescent="0.3">
      <c r="B28" s="132" t="s">
        <v>182</v>
      </c>
    </row>
    <row r="30" spans="2:2" x14ac:dyDescent="0.3">
      <c r="B30" s="132" t="s">
        <v>171</v>
      </c>
    </row>
    <row r="31" spans="2:2" x14ac:dyDescent="0.3">
      <c r="B31" s="132" t="s">
        <v>159</v>
      </c>
    </row>
    <row r="32" spans="2:2" x14ac:dyDescent="0.3">
      <c r="B32" s="132" t="s">
        <v>160</v>
      </c>
    </row>
    <row r="34" spans="2:6" x14ac:dyDescent="0.3">
      <c r="B34" s="132" t="s">
        <v>158</v>
      </c>
    </row>
    <row r="35" spans="2:6" x14ac:dyDescent="0.3">
      <c r="B35" s="132" t="s">
        <v>172</v>
      </c>
    </row>
    <row r="36" spans="2:6" x14ac:dyDescent="0.3">
      <c r="B36" s="132" t="s">
        <v>173</v>
      </c>
    </row>
    <row r="38" spans="2:6" x14ac:dyDescent="0.3">
      <c r="B38" s="131" t="s">
        <v>152</v>
      </c>
    </row>
    <row r="39" spans="2:6" x14ac:dyDescent="0.3">
      <c r="B39" s="132" t="s">
        <v>153</v>
      </c>
    </row>
    <row r="40" spans="2:6" x14ac:dyDescent="0.3">
      <c r="B40" s="132" t="s">
        <v>155</v>
      </c>
    </row>
    <row r="41" spans="2:6" x14ac:dyDescent="0.3">
      <c r="B41" s="132" t="s">
        <v>156</v>
      </c>
    </row>
    <row r="42" spans="2:6" x14ac:dyDescent="0.3">
      <c r="B42" s="132" t="s">
        <v>157</v>
      </c>
    </row>
    <row r="44" spans="2:6" x14ac:dyDescent="0.3">
      <c r="B44" s="132" t="s">
        <v>161</v>
      </c>
    </row>
    <row r="45" spans="2:6" x14ac:dyDescent="0.3">
      <c r="B45" s="132" t="s">
        <v>162</v>
      </c>
    </row>
    <row r="46" spans="2:6" x14ac:dyDescent="0.3">
      <c r="B46" s="132" t="s">
        <v>163</v>
      </c>
    </row>
    <row r="48" spans="2:6" x14ac:dyDescent="0.3">
      <c r="B48" s="157" t="s">
        <v>249</v>
      </c>
      <c r="F48" s="364" t="s">
        <v>254</v>
      </c>
    </row>
    <row r="49" spans="2:2" x14ac:dyDescent="0.3">
      <c r="B49" s="157" t="s">
        <v>250</v>
      </c>
    </row>
    <row r="50" spans="2:2" x14ac:dyDescent="0.3">
      <c r="B50" t="s">
        <v>251</v>
      </c>
    </row>
    <row r="51" spans="2:2" x14ac:dyDescent="0.3">
      <c r="B51" t="s">
        <v>252</v>
      </c>
    </row>
    <row r="52" spans="2:2" x14ac:dyDescent="0.3">
      <c r="B52" t="s">
        <v>253</v>
      </c>
    </row>
  </sheetData>
  <mergeCells count="2">
    <mergeCell ref="B5:B6"/>
    <mergeCell ref="C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85"/>
  <sheetViews>
    <sheetView zoomScale="80" zoomScaleNormal="80" workbookViewId="0">
      <pane ySplit="1" topLeftCell="A106" activePane="bottomLeft" state="frozen"/>
      <selection pane="bottomLeft" activeCell="C124" sqref="C124"/>
    </sheetView>
  </sheetViews>
  <sheetFormatPr defaultRowHeight="14.4" x14ac:dyDescent="0.3"/>
  <cols>
    <col min="2" max="3" width="10.5546875" customWidth="1"/>
    <col min="4" max="4" width="12.33203125" customWidth="1"/>
    <col min="6" max="7" width="13.33203125" customWidth="1"/>
    <col min="8" max="9" width="13.6640625" customWidth="1"/>
    <col min="12" max="12" width="13.33203125" style="90" customWidth="1"/>
    <col min="13" max="17" width="8.6640625" style="90"/>
  </cols>
  <sheetData>
    <row r="1" spans="1:17" s="129" customFormat="1" ht="72" x14ac:dyDescent="0.3">
      <c r="A1" s="127" t="s">
        <v>107</v>
      </c>
      <c r="B1" s="127" t="s">
        <v>108</v>
      </c>
      <c r="C1" s="127" t="s">
        <v>164</v>
      </c>
      <c r="D1" s="127" t="s">
        <v>104</v>
      </c>
      <c r="E1" s="127" t="s">
        <v>105</v>
      </c>
      <c r="F1" s="128" t="s">
        <v>106</v>
      </c>
      <c r="G1" s="127" t="s">
        <v>109</v>
      </c>
      <c r="H1" s="127" t="s">
        <v>110</v>
      </c>
      <c r="I1" s="127" t="s">
        <v>165</v>
      </c>
      <c r="L1" s="130"/>
      <c r="M1" s="130"/>
      <c r="N1" s="130"/>
      <c r="O1" s="130"/>
      <c r="P1" s="130"/>
      <c r="Q1" s="130"/>
    </row>
    <row r="2" spans="1:17" hidden="1" x14ac:dyDescent="0.3">
      <c r="A2" s="23">
        <v>12</v>
      </c>
      <c r="B2" s="23">
        <v>454</v>
      </c>
      <c r="C2" s="23"/>
      <c r="D2" s="23">
        <v>153</v>
      </c>
      <c r="E2" s="23">
        <v>20</v>
      </c>
      <c r="F2" s="93">
        <f xml:space="preserve"> LOG(6.21952268542076)</f>
        <v>0.79375705622746207</v>
      </c>
      <c r="G2" s="98">
        <f>10^F2</f>
        <v>6.2195226854207615</v>
      </c>
      <c r="H2" s="97" t="s">
        <v>129</v>
      </c>
      <c r="I2" s="97">
        <v>1</v>
      </c>
      <c r="L2" s="124"/>
    </row>
    <row r="3" spans="1:17" hidden="1" x14ac:dyDescent="0.3">
      <c r="A3" s="23">
        <v>17</v>
      </c>
      <c r="B3" s="23">
        <v>537</v>
      </c>
      <c r="C3" s="23">
        <f>B3-B2</f>
        <v>83</v>
      </c>
      <c r="D3" s="23">
        <v>159</v>
      </c>
      <c r="E3" s="23">
        <v>32</v>
      </c>
      <c r="F3" s="94">
        <f xml:space="preserve"> LOG(11.8886098569753)</f>
        <v>1.0751310752460534</v>
      </c>
      <c r="G3" s="98">
        <f>10^F3</f>
        <v>11.888609856975304</v>
      </c>
      <c r="H3" s="97" t="s">
        <v>129</v>
      </c>
      <c r="I3" s="97">
        <f>IF(C3&gt;0, 1,0)</f>
        <v>1</v>
      </c>
      <c r="L3" s="124"/>
    </row>
    <row r="4" spans="1:17" hidden="1" x14ac:dyDescent="0.3">
      <c r="A4" s="23">
        <v>21</v>
      </c>
      <c r="B4" s="23">
        <v>3350</v>
      </c>
      <c r="C4" s="23">
        <f t="shared" ref="C4:C79" si="0">B4-B3</f>
        <v>2813</v>
      </c>
      <c r="D4" s="23">
        <v>479</v>
      </c>
      <c r="E4" s="23">
        <v>62</v>
      </c>
      <c r="F4" s="94">
        <f xml:space="preserve"> LOG(31.6541438200036)</f>
        <v>1.5004305712368426</v>
      </c>
      <c r="G4" s="98">
        <f>10^F4</f>
        <v>31.654143820003597</v>
      </c>
      <c r="H4" s="97" t="s">
        <v>129</v>
      </c>
      <c r="I4" s="97">
        <f t="shared" ref="I4:I79" si="1">IF(C4&gt;0, 1,0)</f>
        <v>1</v>
      </c>
      <c r="L4" s="124"/>
    </row>
    <row r="5" spans="1:17" hidden="1" x14ac:dyDescent="0.3">
      <c r="A5" s="23">
        <v>22</v>
      </c>
      <c r="B5" s="23">
        <v>4877</v>
      </c>
      <c r="C5" s="23">
        <f t="shared" si="0"/>
        <v>1527</v>
      </c>
      <c r="D5" s="23">
        <v>645</v>
      </c>
      <c r="E5" s="23">
        <v>85</v>
      </c>
      <c r="F5" s="94">
        <f xml:space="preserve"> LOG(78.4945390662369)</f>
        <v>1.8948394435491196</v>
      </c>
      <c r="G5" s="98">
        <f>10^F5</f>
        <v>78.494539066236911</v>
      </c>
      <c r="H5" s="97" t="s">
        <v>129</v>
      </c>
      <c r="I5" s="97">
        <f t="shared" si="1"/>
        <v>1</v>
      </c>
      <c r="L5" s="404"/>
      <c r="M5" s="403"/>
      <c r="N5" s="403"/>
    </row>
    <row r="6" spans="1:17" hidden="1" x14ac:dyDescent="0.3">
      <c r="A6" s="23">
        <v>23</v>
      </c>
      <c r="B6" s="23">
        <v>9494</v>
      </c>
      <c r="C6" s="23">
        <f t="shared" si="0"/>
        <v>4617</v>
      </c>
      <c r="D6" s="23">
        <v>861</v>
      </c>
      <c r="E6" s="23">
        <v>109</v>
      </c>
      <c r="F6" s="94">
        <f xml:space="preserve"> LOG(481.873609581772)</f>
        <v>2.682933142265413</v>
      </c>
      <c r="G6" s="98">
        <f>10^F6</f>
        <v>481.87360958177214</v>
      </c>
      <c r="H6" s="97" t="s">
        <v>129</v>
      </c>
      <c r="I6" s="97">
        <f t="shared" si="1"/>
        <v>1</v>
      </c>
      <c r="L6" s="404"/>
      <c r="M6" s="125"/>
      <c r="N6" s="125"/>
      <c r="O6" s="125"/>
    </row>
    <row r="7" spans="1:17" hidden="1" x14ac:dyDescent="0.3">
      <c r="A7" s="23">
        <v>24</v>
      </c>
      <c r="B7" s="23">
        <v>14956</v>
      </c>
      <c r="C7" s="23">
        <f t="shared" si="0"/>
        <v>5462</v>
      </c>
      <c r="D7" s="23">
        <v>1190</v>
      </c>
      <c r="E7" s="23">
        <v>152</v>
      </c>
      <c r="F7" s="94">
        <f xml:space="preserve"> LOG(117.876957873909)</f>
        <v>2.0714289192068773</v>
      </c>
      <c r="G7" s="98">
        <f t="shared" ref="G7:G25" si="2">10^F7</f>
        <v>117.87695787390908</v>
      </c>
      <c r="H7" s="97" t="s">
        <v>129</v>
      </c>
      <c r="I7" s="97">
        <f t="shared" si="1"/>
        <v>1</v>
      </c>
      <c r="M7" s="125"/>
      <c r="N7" s="125"/>
      <c r="O7" s="121"/>
    </row>
    <row r="8" spans="1:17" hidden="1" x14ac:dyDescent="0.3">
      <c r="A8" s="25">
        <v>25</v>
      </c>
      <c r="B8" s="25">
        <v>17702</v>
      </c>
      <c r="C8" s="23">
        <f t="shared" si="0"/>
        <v>2746</v>
      </c>
      <c r="D8" s="25">
        <v>1556</v>
      </c>
      <c r="E8" s="25">
        <v>272</v>
      </c>
      <c r="F8" s="94">
        <f xml:space="preserve"> LOG(375.278745378767)</f>
        <v>2.5743539680205632</v>
      </c>
      <c r="G8" s="98">
        <f t="shared" si="2"/>
        <v>375.27874537876698</v>
      </c>
      <c r="H8" s="97" t="s">
        <v>129</v>
      </c>
      <c r="I8" s="97">
        <f t="shared" si="1"/>
        <v>1</v>
      </c>
      <c r="M8" s="125"/>
      <c r="N8" s="125"/>
      <c r="O8" s="121"/>
    </row>
    <row r="9" spans="1:17" hidden="1" x14ac:dyDescent="0.3">
      <c r="A9" s="25">
        <v>26</v>
      </c>
      <c r="B9" s="99">
        <v>19581</v>
      </c>
      <c r="C9" s="23">
        <f t="shared" si="0"/>
        <v>1879</v>
      </c>
      <c r="D9" s="99">
        <v>1663</v>
      </c>
      <c r="E9" s="99">
        <v>340</v>
      </c>
      <c r="F9" s="94">
        <f>LOG(967.710533920599)</f>
        <v>2.985745468546912</v>
      </c>
      <c r="G9" s="98">
        <f t="shared" si="2"/>
        <v>967.71053392059969</v>
      </c>
      <c r="H9" s="97" t="s">
        <v>129</v>
      </c>
      <c r="I9" s="97">
        <f t="shared" si="1"/>
        <v>1</v>
      </c>
      <c r="M9" s="121"/>
      <c r="N9" s="121"/>
    </row>
    <row r="10" spans="1:17" hidden="1" x14ac:dyDescent="0.3">
      <c r="A10" s="97">
        <v>27</v>
      </c>
      <c r="B10" s="97">
        <v>15431</v>
      </c>
      <c r="C10" s="23">
        <f t="shared" si="0"/>
        <v>-4150</v>
      </c>
      <c r="D10" s="97">
        <v>1804</v>
      </c>
      <c r="E10" s="97">
        <v>397</v>
      </c>
      <c r="F10" s="93">
        <f>LOG(7.64093289569933)</f>
        <v>0.88314638563335446</v>
      </c>
      <c r="G10" s="98">
        <f t="shared" si="2"/>
        <v>7.6409328956993328</v>
      </c>
      <c r="H10" s="97" t="s">
        <v>129</v>
      </c>
      <c r="I10" s="97">
        <f t="shared" si="1"/>
        <v>0</v>
      </c>
      <c r="L10" s="126"/>
      <c r="M10" s="121"/>
    </row>
    <row r="11" spans="1:17" hidden="1" x14ac:dyDescent="0.3">
      <c r="A11" s="97">
        <v>28</v>
      </c>
      <c r="B11" s="97">
        <v>9412</v>
      </c>
      <c r="C11" s="23">
        <f t="shared" si="0"/>
        <v>-6019</v>
      </c>
      <c r="D11" s="97">
        <v>1526</v>
      </c>
      <c r="E11" s="97">
        <v>389</v>
      </c>
      <c r="F11" s="93">
        <f xml:space="preserve"> LOG(192.48475833815)</f>
        <v>2.284396346147362</v>
      </c>
      <c r="G11" s="98">
        <f t="shared" si="2"/>
        <v>192.48475833814999</v>
      </c>
      <c r="H11" s="97" t="s">
        <v>129</v>
      </c>
      <c r="I11" s="97">
        <f t="shared" si="1"/>
        <v>0</v>
      </c>
      <c r="L11" s="126"/>
      <c r="M11" s="121"/>
    </row>
    <row r="12" spans="1:17" hidden="1" x14ac:dyDescent="0.3">
      <c r="A12" s="97">
        <v>29</v>
      </c>
      <c r="B12" s="97">
        <v>5380</v>
      </c>
      <c r="C12" s="23">
        <f t="shared" si="0"/>
        <v>-4032</v>
      </c>
      <c r="D12" s="97">
        <v>1256</v>
      </c>
      <c r="E12" s="97">
        <v>378</v>
      </c>
      <c r="F12" s="93">
        <f xml:space="preserve"> LOG(184.723114480778)</f>
        <v>2.2665212422911751</v>
      </c>
      <c r="G12" s="98">
        <f t="shared" si="2"/>
        <v>184.72311448077818</v>
      </c>
      <c r="H12" s="97" t="s">
        <v>129</v>
      </c>
      <c r="I12" s="97">
        <f t="shared" si="1"/>
        <v>0</v>
      </c>
      <c r="L12" s="126"/>
      <c r="M12" s="122"/>
    </row>
    <row r="13" spans="1:17" hidden="1" x14ac:dyDescent="0.3">
      <c r="A13" s="97">
        <v>30</v>
      </c>
      <c r="B13" s="99">
        <v>4773</v>
      </c>
      <c r="C13" s="23">
        <f t="shared" si="0"/>
        <v>-607</v>
      </c>
      <c r="D13" s="99">
        <v>893</v>
      </c>
      <c r="E13" s="99">
        <v>299</v>
      </c>
      <c r="F13" s="93">
        <v>1.9864705419546611</v>
      </c>
      <c r="G13" s="98">
        <f t="shared" si="2"/>
        <v>96.932751791817893</v>
      </c>
      <c r="H13" s="97" t="s">
        <v>129</v>
      </c>
      <c r="I13" s="97">
        <f t="shared" si="1"/>
        <v>0</v>
      </c>
      <c r="M13" s="122"/>
    </row>
    <row r="14" spans="1:17" hidden="1" x14ac:dyDescent="0.3">
      <c r="A14" s="97">
        <v>31</v>
      </c>
      <c r="B14" s="99">
        <v>3509</v>
      </c>
      <c r="C14" s="23">
        <f t="shared" si="0"/>
        <v>-1264</v>
      </c>
      <c r="D14" s="99">
        <v>723</v>
      </c>
      <c r="E14" s="99">
        <v>231</v>
      </c>
      <c r="F14" s="93">
        <v>2.1295852449625645</v>
      </c>
      <c r="G14" s="98">
        <f t="shared" si="2"/>
        <v>134.7675226172623</v>
      </c>
      <c r="H14" s="97" t="s">
        <v>129</v>
      </c>
      <c r="I14" s="97">
        <f t="shared" si="1"/>
        <v>0</v>
      </c>
    </row>
    <row r="15" spans="1:17" hidden="1" x14ac:dyDescent="0.3">
      <c r="A15" s="97">
        <v>32</v>
      </c>
      <c r="B15" s="99">
        <v>2762</v>
      </c>
      <c r="C15" s="23">
        <f t="shared" si="0"/>
        <v>-747</v>
      </c>
      <c r="D15" s="99">
        <v>570</v>
      </c>
      <c r="E15" s="99">
        <v>162</v>
      </c>
      <c r="F15" s="93">
        <v>1.6665599874603905</v>
      </c>
      <c r="G15" s="98">
        <f t="shared" si="2"/>
        <v>46.404488232671014</v>
      </c>
      <c r="H15" s="97" t="s">
        <v>129</v>
      </c>
      <c r="I15" s="97">
        <f t="shared" si="1"/>
        <v>0</v>
      </c>
    </row>
    <row r="16" spans="1:17" hidden="1" x14ac:dyDescent="0.3">
      <c r="A16" s="97">
        <v>33</v>
      </c>
      <c r="B16" s="99">
        <v>1994</v>
      </c>
      <c r="C16" s="23">
        <f t="shared" si="0"/>
        <v>-768</v>
      </c>
      <c r="D16" s="99">
        <v>429</v>
      </c>
      <c r="E16" s="99">
        <v>125</v>
      </c>
      <c r="F16" s="93">
        <v>1.3952763240142754</v>
      </c>
      <c r="G16" s="98">
        <f t="shared" si="2"/>
        <v>24.847135251882133</v>
      </c>
      <c r="H16" s="97" t="s">
        <v>129</v>
      </c>
      <c r="I16" s="97">
        <f t="shared" si="1"/>
        <v>0</v>
      </c>
      <c r="L16" s="124"/>
      <c r="P16" s="1"/>
    </row>
    <row r="17" spans="1:17" hidden="1" x14ac:dyDescent="0.3">
      <c r="A17" s="100">
        <v>34</v>
      </c>
      <c r="B17" s="101">
        <v>1634</v>
      </c>
      <c r="C17" s="23">
        <f t="shared" si="0"/>
        <v>-360</v>
      </c>
      <c r="D17" s="101">
        <v>374</v>
      </c>
      <c r="E17" s="101">
        <v>90</v>
      </c>
      <c r="F17" s="102">
        <v>1.3244114873465638</v>
      </c>
      <c r="G17" s="98">
        <f t="shared" si="2"/>
        <v>21.106269894814016</v>
      </c>
      <c r="H17" s="97" t="s">
        <v>129</v>
      </c>
      <c r="I17" s="97">
        <f t="shared" si="1"/>
        <v>0</v>
      </c>
    </row>
    <row r="18" spans="1:17" hidden="1" x14ac:dyDescent="0.3">
      <c r="A18" s="97">
        <v>35</v>
      </c>
      <c r="B18" s="99">
        <v>1056</v>
      </c>
      <c r="C18" s="23">
        <f t="shared" si="0"/>
        <v>-578</v>
      </c>
      <c r="D18" s="99">
        <v>298</v>
      </c>
      <c r="E18" s="99">
        <v>76</v>
      </c>
      <c r="F18" s="93">
        <v>2.8841575285181054</v>
      </c>
      <c r="G18" s="98">
        <f t="shared" si="2"/>
        <v>765.87435663962935</v>
      </c>
      <c r="H18" s="97" t="s">
        <v>129</v>
      </c>
      <c r="I18" s="97">
        <f t="shared" si="1"/>
        <v>0</v>
      </c>
    </row>
    <row r="19" spans="1:17" hidden="1" x14ac:dyDescent="0.3">
      <c r="A19" s="97">
        <v>36</v>
      </c>
      <c r="B19" s="99">
        <v>761</v>
      </c>
      <c r="C19" s="23">
        <f t="shared" si="0"/>
        <v>-295</v>
      </c>
      <c r="D19" s="99">
        <v>242</v>
      </c>
      <c r="E19" s="99">
        <v>58</v>
      </c>
      <c r="F19" s="93">
        <v>1.2270033028109208</v>
      </c>
      <c r="G19" s="98">
        <f t="shared" si="2"/>
        <v>16.865658516786539</v>
      </c>
      <c r="H19" s="97" t="s">
        <v>129</v>
      </c>
      <c r="I19" s="97">
        <f t="shared" si="1"/>
        <v>0</v>
      </c>
    </row>
    <row r="20" spans="1:17" hidden="1" x14ac:dyDescent="0.3">
      <c r="A20" s="97">
        <v>37</v>
      </c>
      <c r="B20" s="97">
        <v>597</v>
      </c>
      <c r="C20" s="23">
        <f t="shared" si="0"/>
        <v>-164</v>
      </c>
      <c r="D20" s="97">
        <v>199</v>
      </c>
      <c r="E20" s="97">
        <v>43</v>
      </c>
      <c r="F20" s="93">
        <v>0.76759949222219492</v>
      </c>
      <c r="G20" s="98">
        <f t="shared" si="2"/>
        <v>5.8559787516691255</v>
      </c>
      <c r="H20" s="97" t="s">
        <v>129</v>
      </c>
      <c r="I20" s="97">
        <f t="shared" si="1"/>
        <v>0</v>
      </c>
    </row>
    <row r="21" spans="1:17" hidden="1" x14ac:dyDescent="0.3">
      <c r="A21" s="97">
        <v>38</v>
      </c>
      <c r="B21" s="97">
        <v>425</v>
      </c>
      <c r="C21" s="23">
        <f t="shared" si="0"/>
        <v>-172</v>
      </c>
      <c r="D21" s="97">
        <v>129</v>
      </c>
      <c r="E21" s="97">
        <v>36</v>
      </c>
      <c r="F21" s="103">
        <v>0.88480620576057256</v>
      </c>
      <c r="G21" s="98">
        <f t="shared" si="2"/>
        <v>7.670191477756112</v>
      </c>
      <c r="H21" s="97" t="s">
        <v>129</v>
      </c>
      <c r="I21" s="97">
        <f t="shared" si="1"/>
        <v>0</v>
      </c>
    </row>
    <row r="22" spans="1:17" hidden="1" x14ac:dyDescent="0.3">
      <c r="A22" s="97">
        <v>39</v>
      </c>
      <c r="B22" s="97">
        <v>295</v>
      </c>
      <c r="C22" s="23">
        <f t="shared" si="0"/>
        <v>-130</v>
      </c>
      <c r="D22" s="97">
        <v>122</v>
      </c>
      <c r="E22" s="97">
        <v>19</v>
      </c>
      <c r="F22" s="93">
        <v>1.102960234999018</v>
      </c>
      <c r="G22" s="98">
        <f t="shared" si="2"/>
        <v>12.675358020529455</v>
      </c>
      <c r="H22" s="97" t="s">
        <v>129</v>
      </c>
      <c r="I22" s="97">
        <f t="shared" si="1"/>
        <v>0</v>
      </c>
    </row>
    <row r="23" spans="1:17" hidden="1" x14ac:dyDescent="0.3">
      <c r="A23" s="97">
        <v>40</v>
      </c>
      <c r="B23" s="97">
        <v>208</v>
      </c>
      <c r="C23" s="23">
        <f t="shared" si="0"/>
        <v>-87</v>
      </c>
      <c r="D23" s="97">
        <v>120</v>
      </c>
      <c r="E23" s="97">
        <v>13</v>
      </c>
      <c r="F23" s="93">
        <v>0.94614592002585329</v>
      </c>
      <c r="G23" s="98">
        <f t="shared" si="2"/>
        <v>8.833766591792207</v>
      </c>
      <c r="H23" s="97" t="s">
        <v>129</v>
      </c>
      <c r="I23" s="97">
        <f t="shared" si="1"/>
        <v>0</v>
      </c>
      <c r="L23" s="124"/>
    </row>
    <row r="24" spans="1:17" hidden="1" x14ac:dyDescent="0.3">
      <c r="A24" s="97">
        <v>41</v>
      </c>
      <c r="B24" s="97">
        <v>97</v>
      </c>
      <c r="C24" s="23">
        <f t="shared" si="0"/>
        <v>-111</v>
      </c>
      <c r="D24" s="97">
        <v>87</v>
      </c>
      <c r="E24" s="97">
        <v>20</v>
      </c>
      <c r="F24" s="93">
        <v>0.64738140989087978</v>
      </c>
      <c r="G24" s="98">
        <f t="shared" si="2"/>
        <v>4.4399840491158633</v>
      </c>
      <c r="H24" s="97" t="s">
        <v>129</v>
      </c>
      <c r="I24" s="97">
        <f t="shared" si="1"/>
        <v>0</v>
      </c>
    </row>
    <row r="25" spans="1:17" hidden="1" x14ac:dyDescent="0.3">
      <c r="A25" s="97">
        <v>42</v>
      </c>
      <c r="B25" s="97">
        <v>76</v>
      </c>
      <c r="C25" s="23">
        <f t="shared" si="0"/>
        <v>-21</v>
      </c>
      <c r="D25" s="97">
        <v>59</v>
      </c>
      <c r="E25" s="97">
        <v>13</v>
      </c>
      <c r="F25" s="93">
        <v>0.37914001196506303</v>
      </c>
      <c r="G25" s="98">
        <f t="shared" si="2"/>
        <v>2.3940874605762712</v>
      </c>
      <c r="H25" s="97" t="s">
        <v>129</v>
      </c>
      <c r="I25" s="97">
        <f t="shared" si="1"/>
        <v>0</v>
      </c>
    </row>
    <row r="26" spans="1:17" hidden="1" x14ac:dyDescent="0.3">
      <c r="A26" s="141">
        <v>43</v>
      </c>
      <c r="B26" s="141">
        <v>83</v>
      </c>
      <c r="C26" s="142">
        <f t="shared" si="0"/>
        <v>7</v>
      </c>
      <c r="D26" s="141"/>
      <c r="E26" s="141"/>
      <c r="F26" s="154">
        <v>0.31018981181038319</v>
      </c>
      <c r="G26" s="144">
        <f>10^F26</f>
        <v>2.0426304972901637</v>
      </c>
      <c r="H26" s="141" t="s">
        <v>129</v>
      </c>
      <c r="I26" s="141">
        <f t="shared" si="1"/>
        <v>1</v>
      </c>
    </row>
    <row r="27" spans="1:17" hidden="1" x14ac:dyDescent="0.3">
      <c r="A27" s="141">
        <v>44</v>
      </c>
      <c r="B27" s="141">
        <v>73</v>
      </c>
      <c r="C27" s="142">
        <f t="shared" si="0"/>
        <v>-10</v>
      </c>
      <c r="D27" s="141"/>
      <c r="E27" s="141"/>
      <c r="F27" s="154">
        <v>0.54257234280520594</v>
      </c>
      <c r="G27" s="144">
        <f>10^F27</f>
        <v>3.4879668026554342</v>
      </c>
      <c r="H27" s="141" t="s">
        <v>129</v>
      </c>
      <c r="I27" s="141">
        <f t="shared" si="1"/>
        <v>0</v>
      </c>
    </row>
    <row r="28" spans="1:17" hidden="1" x14ac:dyDescent="0.3">
      <c r="A28" s="141">
        <v>45</v>
      </c>
      <c r="B28" s="141">
        <v>162</v>
      </c>
      <c r="C28" s="142">
        <f t="shared" si="0"/>
        <v>89</v>
      </c>
      <c r="D28" s="141"/>
      <c r="E28" s="141"/>
      <c r="F28" s="154">
        <v>1.1584671602827832</v>
      </c>
      <c r="G28" s="144">
        <f t="shared" ref="G28:G30" si="3">10^F28</f>
        <v>14.4034709249224</v>
      </c>
      <c r="H28" s="141" t="s">
        <v>129</v>
      </c>
      <c r="I28" s="141">
        <f t="shared" si="1"/>
        <v>1</v>
      </c>
    </row>
    <row r="29" spans="1:17" x14ac:dyDescent="0.3">
      <c r="A29" s="141">
        <v>46</v>
      </c>
      <c r="B29" s="141">
        <v>931</v>
      </c>
      <c r="C29" s="142">
        <f t="shared" si="0"/>
        <v>769</v>
      </c>
      <c r="D29" s="141"/>
      <c r="E29" s="141"/>
      <c r="F29" s="154">
        <v>1.7883623645245568</v>
      </c>
      <c r="G29" s="144">
        <f t="shared" si="3"/>
        <v>61.427432663586714</v>
      </c>
      <c r="H29" s="141" t="s">
        <v>129</v>
      </c>
      <c r="I29" s="141">
        <f t="shared" si="1"/>
        <v>1</v>
      </c>
    </row>
    <row r="30" spans="1:17" s="151" customFormat="1" hidden="1" x14ac:dyDescent="0.3">
      <c r="A30" s="141">
        <v>47</v>
      </c>
      <c r="B30" s="141">
        <v>1885</v>
      </c>
      <c r="C30" s="142">
        <f t="shared" si="0"/>
        <v>954</v>
      </c>
      <c r="D30" s="141"/>
      <c r="E30" s="141"/>
      <c r="F30" s="154">
        <v>2.1977338467374192</v>
      </c>
      <c r="G30" s="144">
        <f t="shared" si="3"/>
        <v>157.66447417590098</v>
      </c>
      <c r="H30" s="141" t="s">
        <v>129</v>
      </c>
      <c r="I30" s="141">
        <f t="shared" si="1"/>
        <v>1</v>
      </c>
      <c r="L30" s="97"/>
      <c r="M30" s="97"/>
      <c r="N30" s="97"/>
      <c r="O30" s="97"/>
      <c r="P30" s="97"/>
      <c r="Q30" s="97"/>
    </row>
    <row r="31" spans="1:17" hidden="1" x14ac:dyDescent="0.3">
      <c r="A31" s="105">
        <v>9</v>
      </c>
      <c r="B31" s="105">
        <v>423</v>
      </c>
      <c r="C31" s="23">
        <f>B31-B25</f>
        <v>347</v>
      </c>
      <c r="D31" s="105">
        <v>162</v>
      </c>
      <c r="E31" s="105">
        <v>57</v>
      </c>
      <c r="F31" s="106">
        <f>LOG(0.53869936691255)</f>
        <v>-0.26865353484303267</v>
      </c>
      <c r="G31" s="114">
        <f>10^F31</f>
        <v>0.53869936691255005</v>
      </c>
      <c r="H31" s="119" t="s">
        <v>128</v>
      </c>
      <c r="I31" s="97">
        <v>1</v>
      </c>
    </row>
    <row r="32" spans="1:17" hidden="1" x14ac:dyDescent="0.3">
      <c r="A32" s="105">
        <v>14</v>
      </c>
      <c r="B32" s="105">
        <v>446</v>
      </c>
      <c r="C32" s="23">
        <f t="shared" si="0"/>
        <v>23</v>
      </c>
      <c r="D32" s="105">
        <v>150</v>
      </c>
      <c r="E32" s="105">
        <v>20</v>
      </c>
      <c r="F32" s="106">
        <v>0</v>
      </c>
      <c r="G32" s="114">
        <f t="shared" ref="G32:G54" si="4">10^F32</f>
        <v>1</v>
      </c>
      <c r="H32" s="119" t="s">
        <v>128</v>
      </c>
      <c r="I32" s="97">
        <f t="shared" si="1"/>
        <v>1</v>
      </c>
    </row>
    <row r="33" spans="1:12" hidden="1" x14ac:dyDescent="0.3">
      <c r="A33" s="105">
        <v>18</v>
      </c>
      <c r="B33" s="105">
        <v>958</v>
      </c>
      <c r="C33" s="23">
        <f t="shared" si="0"/>
        <v>512</v>
      </c>
      <c r="D33" s="105">
        <v>183</v>
      </c>
      <c r="E33" s="105">
        <v>32</v>
      </c>
      <c r="F33" s="107">
        <f xml:space="preserve"> LOG(1.7618330157533)</f>
        <v>0.2459647441591791</v>
      </c>
      <c r="G33" s="114">
        <f t="shared" si="4"/>
        <v>1.7618330157533</v>
      </c>
      <c r="H33" s="119" t="s">
        <v>128</v>
      </c>
      <c r="I33" s="97">
        <f t="shared" si="1"/>
        <v>1</v>
      </c>
    </row>
    <row r="34" spans="1:12" hidden="1" x14ac:dyDescent="0.3">
      <c r="A34" s="105">
        <v>22</v>
      </c>
      <c r="B34" s="105">
        <v>4877</v>
      </c>
      <c r="C34" s="23">
        <f t="shared" si="0"/>
        <v>3919</v>
      </c>
      <c r="D34" s="105">
        <v>645</v>
      </c>
      <c r="E34" s="105">
        <v>85</v>
      </c>
      <c r="F34" s="107">
        <f xml:space="preserve"> LOG(83.7112835475377)</f>
        <v>1.9227840010297328</v>
      </c>
      <c r="G34" s="114">
        <f t="shared" si="4"/>
        <v>83.711283547537761</v>
      </c>
      <c r="H34" s="119" t="s">
        <v>128</v>
      </c>
      <c r="I34" s="97">
        <f t="shared" si="1"/>
        <v>1</v>
      </c>
      <c r="L34" s="124"/>
    </row>
    <row r="35" spans="1:12" hidden="1" x14ac:dyDescent="0.3">
      <c r="A35" s="105">
        <v>23</v>
      </c>
      <c r="B35" s="105">
        <v>9494</v>
      </c>
      <c r="C35" s="23">
        <f t="shared" si="0"/>
        <v>4617</v>
      </c>
      <c r="D35" s="105">
        <v>861</v>
      </c>
      <c r="E35" s="105">
        <v>109</v>
      </c>
      <c r="F35" s="107">
        <f>LOG(169.486960586236)</f>
        <v>2.2291362915463124</v>
      </c>
      <c r="G35" s="114">
        <f t="shared" si="4"/>
        <v>169.48696058623602</v>
      </c>
      <c r="H35" s="119" t="s">
        <v>128</v>
      </c>
      <c r="I35" s="97">
        <f t="shared" si="1"/>
        <v>1</v>
      </c>
    </row>
    <row r="36" spans="1:12" hidden="1" x14ac:dyDescent="0.3">
      <c r="A36" s="105">
        <v>24</v>
      </c>
      <c r="B36" s="105">
        <v>14956</v>
      </c>
      <c r="C36" s="23">
        <f t="shared" si="0"/>
        <v>5462</v>
      </c>
      <c r="D36" s="105">
        <v>1190</v>
      </c>
      <c r="E36" s="105">
        <v>152</v>
      </c>
      <c r="F36" s="107">
        <f>LOG(433.128473710041)</f>
        <v>2.6366167350313288</v>
      </c>
      <c r="G36" s="114">
        <f t="shared" si="4"/>
        <v>433.12847371004102</v>
      </c>
      <c r="H36" s="119" t="s">
        <v>128</v>
      </c>
      <c r="I36" s="97">
        <f t="shared" si="1"/>
        <v>1</v>
      </c>
    </row>
    <row r="37" spans="1:12" hidden="1" x14ac:dyDescent="0.3">
      <c r="A37" s="108">
        <v>25</v>
      </c>
      <c r="B37" s="108">
        <v>17702</v>
      </c>
      <c r="C37" s="23">
        <f t="shared" si="0"/>
        <v>2746</v>
      </c>
      <c r="D37" s="108">
        <v>1556</v>
      </c>
      <c r="E37" s="108">
        <v>272</v>
      </c>
      <c r="F37" s="107">
        <f>LOG(411.337365909499)</f>
        <v>2.6141981626363737</v>
      </c>
      <c r="G37" s="114">
        <f t="shared" si="4"/>
        <v>411.33736590949911</v>
      </c>
      <c r="H37" s="119" t="s">
        <v>128</v>
      </c>
      <c r="I37" s="97">
        <f t="shared" si="1"/>
        <v>1</v>
      </c>
    </row>
    <row r="38" spans="1:12" hidden="1" x14ac:dyDescent="0.3">
      <c r="A38" s="108">
        <v>26</v>
      </c>
      <c r="B38" s="109">
        <v>19581</v>
      </c>
      <c r="C38" s="23">
        <f t="shared" si="0"/>
        <v>1879</v>
      </c>
      <c r="D38" s="109">
        <v>1663</v>
      </c>
      <c r="E38" s="109">
        <v>340</v>
      </c>
      <c r="F38" s="107">
        <f>LOG(210.95355676145)</f>
        <v>2.3241868521585216</v>
      </c>
      <c r="G38" s="114">
        <f t="shared" si="4"/>
        <v>210.95355676145024</v>
      </c>
      <c r="H38" s="119" t="s">
        <v>128</v>
      </c>
      <c r="I38" s="97">
        <f t="shared" si="1"/>
        <v>1</v>
      </c>
    </row>
    <row r="39" spans="1:12" hidden="1" x14ac:dyDescent="0.3">
      <c r="A39" s="104">
        <v>27</v>
      </c>
      <c r="B39" s="104">
        <v>15431</v>
      </c>
      <c r="C39" s="23">
        <f t="shared" si="0"/>
        <v>-4150</v>
      </c>
      <c r="D39" s="104">
        <v>1804</v>
      </c>
      <c r="E39" s="104">
        <v>397</v>
      </c>
      <c r="F39" s="106">
        <f>LOG(1651.71782824458)</f>
        <v>3.2179358564811591</v>
      </c>
      <c r="G39" s="114">
        <f t="shared" si="4"/>
        <v>1651.7178282445823</v>
      </c>
      <c r="H39" s="119" t="s">
        <v>128</v>
      </c>
      <c r="I39" s="97">
        <f t="shared" si="1"/>
        <v>0</v>
      </c>
    </row>
    <row r="40" spans="1:12" hidden="1" x14ac:dyDescent="0.3">
      <c r="A40" s="104">
        <v>28</v>
      </c>
      <c r="B40" s="104">
        <v>9412</v>
      </c>
      <c r="C40" s="23">
        <f t="shared" si="0"/>
        <v>-6019</v>
      </c>
      <c r="D40" s="104">
        <v>1526</v>
      </c>
      <c r="E40" s="104">
        <v>389</v>
      </c>
      <c r="F40" s="106">
        <f>LOG(305.770348529426)</f>
        <v>2.4853953682757326</v>
      </c>
      <c r="G40" s="114">
        <f t="shared" si="4"/>
        <v>305.77034852942631</v>
      </c>
      <c r="H40" s="119" t="s">
        <v>128</v>
      </c>
      <c r="I40" s="97">
        <f t="shared" si="1"/>
        <v>0</v>
      </c>
    </row>
    <row r="41" spans="1:12" hidden="1" x14ac:dyDescent="0.3">
      <c r="A41" s="104">
        <v>29</v>
      </c>
      <c r="B41" s="104">
        <v>5380</v>
      </c>
      <c r="C41" s="23">
        <f t="shared" si="0"/>
        <v>-4032</v>
      </c>
      <c r="D41" s="104">
        <v>1256</v>
      </c>
      <c r="E41" s="104">
        <v>378</v>
      </c>
      <c r="F41" s="106">
        <f>LOG(103.287628718785)</f>
        <v>2.0140483069899462</v>
      </c>
      <c r="G41" s="114">
        <f t="shared" si="4"/>
        <v>103.28762871878502</v>
      </c>
      <c r="H41" s="119" t="s">
        <v>128</v>
      </c>
      <c r="I41" s="97">
        <f t="shared" si="1"/>
        <v>0</v>
      </c>
    </row>
    <row r="42" spans="1:12" hidden="1" x14ac:dyDescent="0.3">
      <c r="A42" s="104">
        <v>30</v>
      </c>
      <c r="B42" s="109">
        <v>4773</v>
      </c>
      <c r="C42" s="23">
        <f t="shared" si="0"/>
        <v>-607</v>
      </c>
      <c r="D42" s="109">
        <v>893</v>
      </c>
      <c r="E42" s="109">
        <v>299</v>
      </c>
      <c r="F42" s="106">
        <v>1.7347565274036438</v>
      </c>
      <c r="G42" s="114">
        <f t="shared" si="4"/>
        <v>54.294586181640668</v>
      </c>
      <c r="H42" s="119" t="s">
        <v>128</v>
      </c>
      <c r="I42" s="97">
        <f t="shared" si="1"/>
        <v>0</v>
      </c>
    </row>
    <row r="43" spans="1:12" hidden="1" x14ac:dyDescent="0.3">
      <c r="A43" s="104">
        <v>31</v>
      </c>
      <c r="B43" s="109">
        <v>3509</v>
      </c>
      <c r="C43" s="23">
        <f t="shared" si="0"/>
        <v>-1264</v>
      </c>
      <c r="D43" s="109">
        <v>723</v>
      </c>
      <c r="E43" s="109">
        <v>231</v>
      </c>
      <c r="F43" s="106">
        <v>1.9979565777303232</v>
      </c>
      <c r="G43" s="114">
        <f t="shared" si="4"/>
        <v>99.53058982382025</v>
      </c>
      <c r="H43" s="119" t="s">
        <v>128</v>
      </c>
      <c r="I43" s="97">
        <f t="shared" si="1"/>
        <v>0</v>
      </c>
    </row>
    <row r="44" spans="1:12" hidden="1" x14ac:dyDescent="0.3">
      <c r="A44" s="104">
        <v>32</v>
      </c>
      <c r="B44" s="109">
        <v>2762</v>
      </c>
      <c r="C44" s="23">
        <f t="shared" si="0"/>
        <v>-747</v>
      </c>
      <c r="D44" s="109">
        <v>570</v>
      </c>
      <c r="E44" s="109">
        <v>162</v>
      </c>
      <c r="F44" s="106">
        <v>1.7637105171077623</v>
      </c>
      <c r="G44" s="114">
        <f t="shared" si="4"/>
        <v>58.03774327647934</v>
      </c>
      <c r="H44" s="119" t="s">
        <v>128</v>
      </c>
      <c r="I44" s="97">
        <f t="shared" si="1"/>
        <v>0</v>
      </c>
    </row>
    <row r="45" spans="1:12" hidden="1" x14ac:dyDescent="0.3">
      <c r="A45" s="104">
        <v>33</v>
      </c>
      <c r="B45" s="109">
        <v>1994</v>
      </c>
      <c r="C45" s="23">
        <f t="shared" si="0"/>
        <v>-768</v>
      </c>
      <c r="D45" s="109">
        <v>429</v>
      </c>
      <c r="E45" s="109">
        <v>125</v>
      </c>
      <c r="F45" s="106">
        <v>1.4456763395579524</v>
      </c>
      <c r="G45" s="114">
        <f t="shared" si="4"/>
        <v>27.904634573021731</v>
      </c>
      <c r="H45" s="119" t="s">
        <v>128</v>
      </c>
      <c r="I45" s="97">
        <f t="shared" si="1"/>
        <v>0</v>
      </c>
    </row>
    <row r="46" spans="1:12" hidden="1" x14ac:dyDescent="0.3">
      <c r="A46" s="110">
        <v>34</v>
      </c>
      <c r="B46" s="111">
        <v>1634</v>
      </c>
      <c r="C46" s="23">
        <f t="shared" si="0"/>
        <v>-360</v>
      </c>
      <c r="D46" s="111">
        <v>374</v>
      </c>
      <c r="E46" s="111">
        <v>90</v>
      </c>
      <c r="F46" s="112">
        <v>1.5529082021018941</v>
      </c>
      <c r="G46" s="114">
        <f t="shared" si="4"/>
        <v>35.719732848965386</v>
      </c>
      <c r="H46" s="119" t="s">
        <v>128</v>
      </c>
      <c r="I46" s="97">
        <f t="shared" si="1"/>
        <v>0</v>
      </c>
    </row>
    <row r="47" spans="1:12" hidden="1" x14ac:dyDescent="0.3">
      <c r="A47" s="104">
        <v>35</v>
      </c>
      <c r="B47" s="109">
        <v>1056</v>
      </c>
      <c r="C47" s="23">
        <f t="shared" si="0"/>
        <v>-578</v>
      </c>
      <c r="D47" s="109">
        <v>298</v>
      </c>
      <c r="E47" s="109">
        <v>76</v>
      </c>
      <c r="F47" s="106">
        <v>1.1319336979570238</v>
      </c>
      <c r="G47" s="114">
        <f t="shared" si="4"/>
        <v>13.549825366662473</v>
      </c>
      <c r="H47" s="119" t="s">
        <v>128</v>
      </c>
      <c r="I47" s="97">
        <f t="shared" si="1"/>
        <v>0</v>
      </c>
    </row>
    <row r="48" spans="1:12" hidden="1" x14ac:dyDescent="0.3">
      <c r="A48" s="104">
        <v>36</v>
      </c>
      <c r="B48" s="109">
        <v>761</v>
      </c>
      <c r="C48" s="23">
        <f t="shared" si="0"/>
        <v>-295</v>
      </c>
      <c r="D48" s="109">
        <v>242</v>
      </c>
      <c r="E48" s="109">
        <v>58</v>
      </c>
      <c r="F48" s="106">
        <v>1.428179221886646</v>
      </c>
      <c r="G48" s="114">
        <f t="shared" si="4"/>
        <v>26.802741751378907</v>
      </c>
      <c r="H48" s="119" t="s">
        <v>128</v>
      </c>
      <c r="I48" s="97">
        <f t="shared" si="1"/>
        <v>0</v>
      </c>
    </row>
    <row r="49" spans="1:9" hidden="1" x14ac:dyDescent="0.3">
      <c r="A49" s="104">
        <v>37</v>
      </c>
      <c r="B49" s="104">
        <v>597</v>
      </c>
      <c r="C49" s="23">
        <f t="shared" si="0"/>
        <v>-164</v>
      </c>
      <c r="D49" s="104">
        <v>199</v>
      </c>
      <c r="E49" s="104">
        <v>43</v>
      </c>
      <c r="F49" s="106">
        <v>0.81489859425257094</v>
      </c>
      <c r="G49" s="114">
        <f t="shared" si="4"/>
        <v>6.5297806749538516</v>
      </c>
      <c r="H49" s="119" t="s">
        <v>128</v>
      </c>
      <c r="I49" s="97">
        <f t="shared" si="1"/>
        <v>0</v>
      </c>
    </row>
    <row r="50" spans="1:9" hidden="1" x14ac:dyDescent="0.3">
      <c r="A50" s="104">
        <v>38</v>
      </c>
      <c r="B50" s="104">
        <v>425</v>
      </c>
      <c r="C50" s="23">
        <f t="shared" si="0"/>
        <v>-172</v>
      </c>
      <c r="D50" s="104">
        <v>129</v>
      </c>
      <c r="E50" s="104">
        <v>36</v>
      </c>
      <c r="F50" s="113">
        <v>0.66470387219550331</v>
      </c>
      <c r="G50" s="114">
        <f t="shared" si="4"/>
        <v>4.6206584998539517</v>
      </c>
      <c r="H50" s="119" t="s">
        <v>128</v>
      </c>
      <c r="I50" s="97">
        <f t="shared" si="1"/>
        <v>0</v>
      </c>
    </row>
    <row r="51" spans="1:9" hidden="1" x14ac:dyDescent="0.3">
      <c r="A51" s="104">
        <v>39</v>
      </c>
      <c r="B51" s="104">
        <v>295</v>
      </c>
      <c r="C51" s="23">
        <f t="shared" si="0"/>
        <v>-130</v>
      </c>
      <c r="D51" s="104">
        <v>122</v>
      </c>
      <c r="E51" s="104">
        <v>19</v>
      </c>
      <c r="F51" s="106">
        <v>1.2313968747284887</v>
      </c>
      <c r="G51" s="114">
        <f t="shared" si="4"/>
        <v>17.037147161911953</v>
      </c>
      <c r="H51" s="119" t="s">
        <v>128</v>
      </c>
      <c r="I51" s="97">
        <f t="shared" si="1"/>
        <v>0</v>
      </c>
    </row>
    <row r="52" spans="1:9" hidden="1" x14ac:dyDescent="0.3">
      <c r="A52" s="104">
        <v>40</v>
      </c>
      <c r="B52" s="104">
        <v>208</v>
      </c>
      <c r="C52" s="23">
        <f>B52-B51</f>
        <v>-87</v>
      </c>
      <c r="D52" s="104">
        <v>120</v>
      </c>
      <c r="E52" s="104">
        <v>13</v>
      </c>
      <c r="F52" s="106">
        <v>0.92678378793521066</v>
      </c>
      <c r="G52" s="114">
        <f t="shared" si="4"/>
        <v>8.4485813063018202</v>
      </c>
      <c r="H52" s="119" t="s">
        <v>128</v>
      </c>
      <c r="I52" s="97">
        <f t="shared" si="1"/>
        <v>0</v>
      </c>
    </row>
    <row r="53" spans="1:9" hidden="1" x14ac:dyDescent="0.3">
      <c r="A53" s="104">
        <v>41</v>
      </c>
      <c r="B53" s="104">
        <v>97</v>
      </c>
      <c r="C53" s="23">
        <f t="shared" si="0"/>
        <v>-111</v>
      </c>
      <c r="D53" s="104">
        <v>87</v>
      </c>
      <c r="E53" s="104">
        <v>20</v>
      </c>
      <c r="F53" s="106">
        <v>0.98918224873256222</v>
      </c>
      <c r="G53" s="114">
        <f t="shared" si="4"/>
        <v>9.7539887136342607</v>
      </c>
      <c r="H53" s="119" t="s">
        <v>128</v>
      </c>
      <c r="I53" s="97">
        <f t="shared" si="1"/>
        <v>0</v>
      </c>
    </row>
    <row r="54" spans="1:9" hidden="1" x14ac:dyDescent="0.3">
      <c r="A54" s="104">
        <v>42</v>
      </c>
      <c r="B54" s="104">
        <v>76</v>
      </c>
      <c r="C54" s="23">
        <f t="shared" si="0"/>
        <v>-21</v>
      </c>
      <c r="D54" s="104">
        <v>59</v>
      </c>
      <c r="E54" s="104">
        <v>13</v>
      </c>
      <c r="F54" s="106">
        <v>0.397345950668064</v>
      </c>
      <c r="G54" s="114">
        <f t="shared" si="4"/>
        <v>2.496582665005509</v>
      </c>
      <c r="H54" s="119" t="s">
        <v>128</v>
      </c>
      <c r="I54" s="97">
        <f t="shared" si="1"/>
        <v>0</v>
      </c>
    </row>
    <row r="55" spans="1:9" hidden="1" x14ac:dyDescent="0.3">
      <c r="A55" s="150">
        <v>43</v>
      </c>
      <c r="B55" s="150">
        <v>83</v>
      </c>
      <c r="C55" s="142"/>
      <c r="D55" s="150"/>
      <c r="E55" s="150"/>
      <c r="F55" s="154">
        <v>0.77347630128357758</v>
      </c>
      <c r="G55" s="152">
        <f>10^F55</f>
        <v>5.9357595687009859</v>
      </c>
      <c r="H55" s="153" t="s">
        <v>128</v>
      </c>
      <c r="I55" s="141">
        <v>1</v>
      </c>
    </row>
    <row r="56" spans="1:9" hidden="1" x14ac:dyDescent="0.3">
      <c r="A56" s="150">
        <v>44</v>
      </c>
      <c r="B56" s="150">
        <v>73</v>
      </c>
      <c r="C56" s="142"/>
      <c r="D56" s="150"/>
      <c r="E56" s="150"/>
      <c r="F56" s="154">
        <v>1.125031502010704</v>
      </c>
      <c r="G56" s="152">
        <f>10^F56</f>
        <v>13.336181640625005</v>
      </c>
      <c r="H56" s="153" t="s">
        <v>128</v>
      </c>
      <c r="I56" s="141">
        <v>1</v>
      </c>
    </row>
    <row r="57" spans="1:9" hidden="1" x14ac:dyDescent="0.3">
      <c r="A57" s="150">
        <v>45</v>
      </c>
      <c r="B57" s="150">
        <v>162</v>
      </c>
      <c r="C57" s="142"/>
      <c r="D57" s="150"/>
      <c r="E57" s="150"/>
      <c r="F57" s="154">
        <v>1.9746375555227558</v>
      </c>
      <c r="G57" s="152">
        <f t="shared" ref="G57:G59" si="5">10^F57</f>
        <v>94.32733302213714</v>
      </c>
      <c r="H57" s="153" t="s">
        <v>128</v>
      </c>
      <c r="I57" s="141">
        <v>1</v>
      </c>
    </row>
    <row r="58" spans="1:9" x14ac:dyDescent="0.3">
      <c r="A58" s="150">
        <v>46</v>
      </c>
      <c r="B58" s="150">
        <v>931</v>
      </c>
      <c r="C58" s="142"/>
      <c r="D58" s="150"/>
      <c r="E58" s="150"/>
      <c r="F58" s="154">
        <v>2.5085723534312923</v>
      </c>
      <c r="G58" s="152">
        <f t="shared" si="5"/>
        <v>322.53166120879507</v>
      </c>
      <c r="H58" s="153" t="s">
        <v>128</v>
      </c>
      <c r="I58" s="141">
        <v>1</v>
      </c>
    </row>
    <row r="59" spans="1:9" hidden="1" x14ac:dyDescent="0.3">
      <c r="A59" s="150">
        <v>47</v>
      </c>
      <c r="B59" s="150">
        <v>1885</v>
      </c>
      <c r="C59" s="142"/>
      <c r="D59" s="150"/>
      <c r="E59" s="150"/>
      <c r="F59" s="154">
        <v>2.9004044450572617</v>
      </c>
      <c r="G59" s="152">
        <f t="shared" si="5"/>
        <v>795.06831266442168</v>
      </c>
      <c r="H59" s="153" t="s">
        <v>128</v>
      </c>
      <c r="I59" s="141">
        <v>1</v>
      </c>
    </row>
    <row r="60" spans="1:9" hidden="1" x14ac:dyDescent="0.3">
      <c r="A60" s="23">
        <v>5</v>
      </c>
      <c r="B60" s="23">
        <v>1196</v>
      </c>
      <c r="C60" s="23">
        <f>B60-B54</f>
        <v>1120</v>
      </c>
      <c r="D60" s="23">
        <v>560</v>
      </c>
      <c r="E60" s="23">
        <v>137</v>
      </c>
      <c r="F60" s="102">
        <f xml:space="preserve"> LOG(1.10401692134993)</f>
        <v>4.297572990820047E-2</v>
      </c>
      <c r="G60" s="98">
        <f>10^F60</f>
        <v>1.10401692134993</v>
      </c>
      <c r="H60" s="97" t="s">
        <v>127</v>
      </c>
      <c r="I60" s="97">
        <f t="shared" si="1"/>
        <v>1</v>
      </c>
    </row>
    <row r="61" spans="1:9" hidden="1" x14ac:dyDescent="0.3">
      <c r="A61" s="23">
        <v>9</v>
      </c>
      <c r="B61" s="23">
        <v>466</v>
      </c>
      <c r="C61" s="23">
        <f t="shared" si="0"/>
        <v>-730</v>
      </c>
      <c r="D61" s="23">
        <v>209</v>
      </c>
      <c r="E61" s="23">
        <v>52</v>
      </c>
      <c r="F61" s="93">
        <f xml:space="preserve"> LOG(28.8503388969266)</f>
        <v>1.4601509190584991</v>
      </c>
      <c r="G61" s="98">
        <f t="shared" ref="G61:G69" si="6">10^F61</f>
        <v>28.850338896926615</v>
      </c>
      <c r="H61" s="97" t="s">
        <v>127</v>
      </c>
      <c r="I61" s="97">
        <f t="shared" si="1"/>
        <v>0</v>
      </c>
    </row>
    <row r="62" spans="1:9" hidden="1" x14ac:dyDescent="0.3">
      <c r="A62" s="23">
        <v>14</v>
      </c>
      <c r="B62" s="23">
        <v>498</v>
      </c>
      <c r="C62" s="23">
        <f t="shared" si="0"/>
        <v>32</v>
      </c>
      <c r="D62" s="23">
        <v>189</v>
      </c>
      <c r="E62" s="23">
        <v>30</v>
      </c>
      <c r="F62" s="93">
        <f xml:space="preserve"> LOG(1.72582740078167)</f>
        <v>0.23699735995608603</v>
      </c>
      <c r="G62" s="98">
        <f t="shared" si="6"/>
        <v>1.7258274007816703</v>
      </c>
      <c r="H62" s="97" t="s">
        <v>127</v>
      </c>
      <c r="I62" s="97">
        <f t="shared" si="1"/>
        <v>1</v>
      </c>
    </row>
    <row r="63" spans="1:9" hidden="1" x14ac:dyDescent="0.3">
      <c r="A63" s="23">
        <v>18</v>
      </c>
      <c r="B63" s="23">
        <v>1205</v>
      </c>
      <c r="C63" s="23">
        <f t="shared" si="0"/>
        <v>707</v>
      </c>
      <c r="D63" s="23">
        <v>308</v>
      </c>
      <c r="E63" s="23">
        <v>47</v>
      </c>
      <c r="F63" s="94">
        <f xml:space="preserve"> LOG(19.5745485169547)</f>
        <v>1.2916917539301618</v>
      </c>
      <c r="G63" s="98">
        <f t="shared" si="6"/>
        <v>19.57454851695471</v>
      </c>
      <c r="H63" s="97" t="s">
        <v>127</v>
      </c>
      <c r="I63" s="97">
        <f t="shared" si="1"/>
        <v>1</v>
      </c>
    </row>
    <row r="64" spans="1:9" hidden="1" x14ac:dyDescent="0.3">
      <c r="A64" s="23">
        <v>21</v>
      </c>
      <c r="B64" s="23">
        <v>4330</v>
      </c>
      <c r="C64" s="23">
        <f t="shared" si="0"/>
        <v>3125</v>
      </c>
      <c r="D64" s="23">
        <v>768</v>
      </c>
      <c r="E64" s="23">
        <v>105</v>
      </c>
      <c r="F64" s="98"/>
      <c r="G64" s="98">
        <f t="shared" si="6"/>
        <v>1</v>
      </c>
      <c r="H64" s="97" t="s">
        <v>127</v>
      </c>
      <c r="I64" s="97">
        <f t="shared" si="1"/>
        <v>1</v>
      </c>
    </row>
    <row r="65" spans="1:17" hidden="1" x14ac:dyDescent="0.3">
      <c r="A65" s="23">
        <v>22</v>
      </c>
      <c r="B65" s="23">
        <v>5817</v>
      </c>
      <c r="C65" s="23">
        <f t="shared" si="0"/>
        <v>1487</v>
      </c>
      <c r="D65" s="23">
        <v>879</v>
      </c>
      <c r="E65" s="23">
        <v>133</v>
      </c>
      <c r="F65" s="94">
        <f xml:space="preserve"> LOG(63.536819146604)</f>
        <v>1.8030254688849539</v>
      </c>
      <c r="G65" s="98">
        <f t="shared" si="6"/>
        <v>63.53681914660401</v>
      </c>
      <c r="H65" s="97" t="s">
        <v>127</v>
      </c>
      <c r="I65" s="97">
        <f t="shared" si="1"/>
        <v>1</v>
      </c>
    </row>
    <row r="66" spans="1:17" hidden="1" x14ac:dyDescent="0.3">
      <c r="A66" s="25">
        <v>31</v>
      </c>
      <c r="B66" s="99">
        <v>3853</v>
      </c>
      <c r="C66" s="23">
        <f t="shared" si="0"/>
        <v>-1964</v>
      </c>
      <c r="D66" s="99">
        <v>756</v>
      </c>
      <c r="E66" s="99">
        <v>250</v>
      </c>
      <c r="F66" s="93">
        <v>1.8039441941671694</v>
      </c>
      <c r="G66" s="98">
        <f t="shared" si="6"/>
        <v>63.671369941867148</v>
      </c>
      <c r="H66" s="97" t="s">
        <v>127</v>
      </c>
      <c r="I66" s="97">
        <f t="shared" si="1"/>
        <v>0</v>
      </c>
    </row>
    <row r="67" spans="1:17" hidden="1" x14ac:dyDescent="0.3">
      <c r="A67" s="25">
        <v>36</v>
      </c>
      <c r="B67" s="97">
        <v>680</v>
      </c>
      <c r="C67" s="23">
        <f t="shared" si="0"/>
        <v>-3173</v>
      </c>
      <c r="D67" s="97">
        <v>188</v>
      </c>
      <c r="E67" s="97">
        <v>30</v>
      </c>
      <c r="F67" s="93">
        <v>1.1186631326482328</v>
      </c>
      <c r="G67" s="98">
        <f t="shared" si="6"/>
        <v>13.142050529012881</v>
      </c>
      <c r="H67" s="97" t="s">
        <v>127</v>
      </c>
      <c r="I67" s="97">
        <f t="shared" si="1"/>
        <v>0</v>
      </c>
    </row>
    <row r="68" spans="1:17" hidden="1" x14ac:dyDescent="0.3">
      <c r="A68" s="25">
        <v>40</v>
      </c>
      <c r="B68" s="97">
        <v>214</v>
      </c>
      <c r="C68" s="23">
        <f t="shared" si="0"/>
        <v>-466</v>
      </c>
      <c r="D68" s="97">
        <v>84</v>
      </c>
      <c r="E68" s="97">
        <v>14</v>
      </c>
      <c r="F68" s="93">
        <v>1.6691188770346759</v>
      </c>
      <c r="G68" s="98">
        <f t="shared" si="6"/>
        <v>46.678713389805417</v>
      </c>
      <c r="H68" s="97" t="s">
        <v>127</v>
      </c>
      <c r="I68" s="97">
        <f t="shared" si="1"/>
        <v>0</v>
      </c>
    </row>
    <row r="69" spans="1:17" s="151" customFormat="1" hidden="1" x14ac:dyDescent="0.3">
      <c r="A69" s="146">
        <v>44</v>
      </c>
      <c r="B69" s="141">
        <v>50</v>
      </c>
      <c r="C69" s="142"/>
      <c r="D69" s="141"/>
      <c r="E69" s="141"/>
      <c r="F69" s="143">
        <v>1.4698718021475068</v>
      </c>
      <c r="G69" s="144">
        <f t="shared" si="6"/>
        <v>29.503381982141629</v>
      </c>
      <c r="H69" s="141" t="s">
        <v>127</v>
      </c>
      <c r="I69" s="141">
        <f t="shared" si="1"/>
        <v>0</v>
      </c>
      <c r="L69" s="97"/>
      <c r="M69" s="97"/>
      <c r="N69" s="97"/>
      <c r="O69" s="97"/>
      <c r="P69" s="97"/>
      <c r="Q69" s="97"/>
    </row>
    <row r="70" spans="1:17" s="151" customFormat="1" x14ac:dyDescent="0.3">
      <c r="A70" s="25"/>
      <c r="B70" s="97"/>
      <c r="C70" s="23"/>
      <c r="D70" s="97"/>
      <c r="E70" s="97"/>
      <c r="F70" s="93"/>
      <c r="G70" s="98"/>
      <c r="H70" s="97"/>
      <c r="I70" s="97"/>
      <c r="L70" s="97"/>
      <c r="M70" s="97"/>
      <c r="N70" s="97"/>
      <c r="O70" s="97"/>
      <c r="P70" s="97"/>
      <c r="Q70" s="97"/>
    </row>
    <row r="71" spans="1:17" x14ac:dyDescent="0.3">
      <c r="A71" s="23">
        <v>8</v>
      </c>
      <c r="B71" s="23">
        <v>581</v>
      </c>
      <c r="C71" s="23">
        <f>B71-B68</f>
        <v>367</v>
      </c>
      <c r="D71" s="23">
        <v>250</v>
      </c>
      <c r="E71" s="23">
        <v>66</v>
      </c>
      <c r="F71" s="93">
        <f xml:space="preserve"> LOG(43.0276637174645)</f>
        <v>1.6337477657395678</v>
      </c>
      <c r="G71" s="98">
        <f>10^F71</f>
        <v>43.027663717464513</v>
      </c>
      <c r="H71" s="97" t="s">
        <v>126</v>
      </c>
      <c r="I71" s="97">
        <v>0</v>
      </c>
    </row>
    <row r="72" spans="1:17" x14ac:dyDescent="0.3">
      <c r="A72" s="23">
        <v>21</v>
      </c>
      <c r="B72" s="23">
        <v>4330</v>
      </c>
      <c r="C72" s="23">
        <f t="shared" si="0"/>
        <v>3749</v>
      </c>
      <c r="D72" s="23">
        <v>768</v>
      </c>
      <c r="E72" s="23">
        <v>105</v>
      </c>
      <c r="F72" s="94">
        <f xml:space="preserve"> LOG(4.04960190763279)</f>
        <v>0.6074123323959153</v>
      </c>
      <c r="G72" s="98">
        <f t="shared" ref="G72:G91" si="7">10^F72</f>
        <v>4.0496019076327912</v>
      </c>
      <c r="H72" s="97" t="s">
        <v>126</v>
      </c>
      <c r="I72" s="97">
        <f t="shared" si="1"/>
        <v>1</v>
      </c>
    </row>
    <row r="73" spans="1:17" x14ac:dyDescent="0.3">
      <c r="A73" s="23">
        <v>22</v>
      </c>
      <c r="B73" s="23">
        <v>5817</v>
      </c>
      <c r="C73" s="23">
        <f t="shared" si="0"/>
        <v>1487</v>
      </c>
      <c r="D73" s="23">
        <v>879</v>
      </c>
      <c r="E73" s="23">
        <v>133</v>
      </c>
      <c r="F73" s="98"/>
      <c r="G73" s="98">
        <f t="shared" si="7"/>
        <v>1</v>
      </c>
      <c r="H73" s="97" t="s">
        <v>126</v>
      </c>
      <c r="I73" s="97">
        <f t="shared" si="1"/>
        <v>1</v>
      </c>
    </row>
    <row r="74" spans="1:17" x14ac:dyDescent="0.3">
      <c r="A74" s="23">
        <v>24</v>
      </c>
      <c r="B74" s="23">
        <v>17218</v>
      </c>
      <c r="C74" s="23">
        <f t="shared" si="0"/>
        <v>11401</v>
      </c>
      <c r="D74" s="23">
        <v>1668</v>
      </c>
      <c r="E74" s="23">
        <v>292</v>
      </c>
      <c r="F74" s="94">
        <f>LOG(470.684129364636)</f>
        <v>2.6727295549125829</v>
      </c>
      <c r="G74" s="98">
        <f t="shared" si="7"/>
        <v>470.68412936463648</v>
      </c>
      <c r="H74" s="97" t="s">
        <v>126</v>
      </c>
      <c r="I74" s="97">
        <f t="shared" si="1"/>
        <v>1</v>
      </c>
    </row>
    <row r="75" spans="1:17" x14ac:dyDescent="0.3">
      <c r="A75" s="25">
        <v>25</v>
      </c>
      <c r="B75" s="25">
        <v>22412</v>
      </c>
      <c r="C75" s="23">
        <f t="shared" si="0"/>
        <v>5194</v>
      </c>
      <c r="D75" s="25">
        <v>2135</v>
      </c>
      <c r="E75" s="25">
        <v>417</v>
      </c>
      <c r="F75" s="94">
        <f xml:space="preserve"> LOG(59.8190706603381)</f>
        <v>1.7768396616170288</v>
      </c>
      <c r="G75" s="98">
        <f t="shared" si="7"/>
        <v>59.81907066033812</v>
      </c>
      <c r="H75" s="97" t="s">
        <v>126</v>
      </c>
      <c r="I75" s="97">
        <f t="shared" si="1"/>
        <v>1</v>
      </c>
    </row>
    <row r="76" spans="1:17" x14ac:dyDescent="0.3">
      <c r="A76" s="25">
        <v>26</v>
      </c>
      <c r="B76" s="99">
        <v>26824</v>
      </c>
      <c r="C76" s="23">
        <f t="shared" si="0"/>
        <v>4412</v>
      </c>
      <c r="D76" s="99">
        <v>2416</v>
      </c>
      <c r="E76" s="99">
        <v>556</v>
      </c>
      <c r="F76" s="94">
        <f xml:space="preserve"> LOG(969.328043412189)</f>
        <v>2.9864707773952972</v>
      </c>
      <c r="G76" s="98">
        <f t="shared" si="7"/>
        <v>969.32804341218946</v>
      </c>
      <c r="H76" s="97" t="s">
        <v>126</v>
      </c>
      <c r="I76" s="97">
        <f t="shared" si="1"/>
        <v>1</v>
      </c>
    </row>
    <row r="77" spans="1:17" x14ac:dyDescent="0.3">
      <c r="A77" s="25">
        <v>27</v>
      </c>
      <c r="B77" s="99">
        <v>20789</v>
      </c>
      <c r="C77" s="23">
        <f t="shared" si="0"/>
        <v>-6035</v>
      </c>
      <c r="D77" s="99">
        <v>2457</v>
      </c>
      <c r="E77" s="99">
        <v>565</v>
      </c>
      <c r="F77" s="93">
        <f xml:space="preserve"> LOG(191.688693299585)</f>
        <v>2.2825964969030168</v>
      </c>
      <c r="G77" s="98">
        <f t="shared" si="7"/>
        <v>191.68869329958505</v>
      </c>
      <c r="H77" s="97" t="s">
        <v>126</v>
      </c>
      <c r="I77" s="97">
        <f t="shared" si="1"/>
        <v>0</v>
      </c>
    </row>
    <row r="78" spans="1:17" x14ac:dyDescent="0.3">
      <c r="A78" s="25">
        <v>29</v>
      </c>
      <c r="B78" s="99">
        <v>6813</v>
      </c>
      <c r="C78" s="23">
        <f t="shared" si="0"/>
        <v>-13976</v>
      </c>
      <c r="D78" s="99">
        <v>1549</v>
      </c>
      <c r="E78" s="99">
        <v>485</v>
      </c>
      <c r="F78" s="93">
        <f xml:space="preserve"> LOG(154.789875964729)</f>
        <v>2.1897425522355269</v>
      </c>
      <c r="G78" s="98">
        <f t="shared" si="7"/>
        <v>154.78987596472899</v>
      </c>
      <c r="H78" s="97" t="s">
        <v>126</v>
      </c>
      <c r="I78" s="97">
        <f t="shared" si="1"/>
        <v>0</v>
      </c>
    </row>
    <row r="79" spans="1:17" x14ac:dyDescent="0.3">
      <c r="A79" s="25">
        <v>30</v>
      </c>
      <c r="B79" s="99">
        <v>5921</v>
      </c>
      <c r="C79" s="23">
        <f t="shared" si="0"/>
        <v>-892</v>
      </c>
      <c r="D79" s="99">
        <v>1117</v>
      </c>
      <c r="E79" s="99">
        <v>375</v>
      </c>
      <c r="F79" s="93">
        <v>1.5918183737272467</v>
      </c>
      <c r="G79" s="98">
        <f t="shared" si="7"/>
        <v>39.067747641582905</v>
      </c>
      <c r="H79" s="97" t="s">
        <v>126</v>
      </c>
      <c r="I79" s="97">
        <f t="shared" si="1"/>
        <v>0</v>
      </c>
    </row>
    <row r="80" spans="1:17" x14ac:dyDescent="0.3">
      <c r="A80" s="25">
        <v>31</v>
      </c>
      <c r="B80" s="99">
        <v>3853</v>
      </c>
      <c r="C80" s="23">
        <f t="shared" ref="C80:C153" si="8">B80-B79</f>
        <v>-2068</v>
      </c>
      <c r="D80" s="99">
        <v>756</v>
      </c>
      <c r="E80" s="99">
        <v>250</v>
      </c>
      <c r="F80" s="93">
        <v>0.70339311608111066</v>
      </c>
      <c r="G80" s="98">
        <f t="shared" si="7"/>
        <v>5.0511831531719302</v>
      </c>
      <c r="H80" s="97" t="s">
        <v>126</v>
      </c>
      <c r="I80" s="97">
        <f t="shared" ref="I80:I153" si="9">IF(C80&gt;0, 1,0)</f>
        <v>0</v>
      </c>
    </row>
    <row r="81" spans="1:17" x14ac:dyDescent="0.3">
      <c r="A81" s="25">
        <v>32</v>
      </c>
      <c r="B81" s="99">
        <v>2676</v>
      </c>
      <c r="C81" s="23">
        <f t="shared" si="8"/>
        <v>-1177</v>
      </c>
      <c r="D81" s="99">
        <v>525</v>
      </c>
      <c r="E81" s="99">
        <v>207</v>
      </c>
      <c r="F81" s="93">
        <v>1.5194671635886383</v>
      </c>
      <c r="G81" s="98">
        <f t="shared" si="7"/>
        <v>33.072510544134651</v>
      </c>
      <c r="H81" s="97" t="s">
        <v>126</v>
      </c>
      <c r="I81" s="97">
        <f t="shared" si="9"/>
        <v>0</v>
      </c>
    </row>
    <row r="82" spans="1:17" x14ac:dyDescent="0.3">
      <c r="A82" s="25">
        <v>33</v>
      </c>
      <c r="B82" s="99">
        <v>2189</v>
      </c>
      <c r="C82" s="23">
        <f t="shared" si="8"/>
        <v>-487</v>
      </c>
      <c r="D82" s="99">
        <v>415</v>
      </c>
      <c r="E82" s="99">
        <v>148</v>
      </c>
      <c r="F82" s="93">
        <v>1.418498085322748</v>
      </c>
      <c r="G82" s="98">
        <f t="shared" si="7"/>
        <v>26.211874825613858</v>
      </c>
      <c r="H82" s="97" t="s">
        <v>126</v>
      </c>
      <c r="I82" s="97">
        <f t="shared" si="9"/>
        <v>0</v>
      </c>
    </row>
    <row r="83" spans="1:17" x14ac:dyDescent="0.3">
      <c r="A83" s="25">
        <v>34</v>
      </c>
      <c r="B83" s="99">
        <v>1445</v>
      </c>
      <c r="C83" s="23">
        <f t="shared" si="8"/>
        <v>-744</v>
      </c>
      <c r="D83" s="99">
        <v>334</v>
      </c>
      <c r="E83" s="99">
        <v>90</v>
      </c>
      <c r="F83" s="93">
        <v>1.7075853947503865</v>
      </c>
      <c r="G83" s="98">
        <f t="shared" si="7"/>
        <v>51.001787185668952</v>
      </c>
      <c r="H83" s="97" t="s">
        <v>126</v>
      </c>
      <c r="I83" s="97">
        <f t="shared" si="9"/>
        <v>0</v>
      </c>
    </row>
    <row r="84" spans="1:17" x14ac:dyDescent="0.3">
      <c r="A84" s="25">
        <v>35</v>
      </c>
      <c r="B84" s="99">
        <v>923</v>
      </c>
      <c r="C84" s="23">
        <f t="shared" si="8"/>
        <v>-522</v>
      </c>
      <c r="D84" s="99">
        <v>218</v>
      </c>
      <c r="E84" s="99">
        <v>65</v>
      </c>
      <c r="F84" s="93">
        <v>0.88994445453924542</v>
      </c>
      <c r="G84" s="98">
        <f t="shared" si="7"/>
        <v>7.7614784240722674</v>
      </c>
      <c r="H84" s="97" t="s">
        <v>126</v>
      </c>
      <c r="I84" s="97">
        <f t="shared" si="9"/>
        <v>0</v>
      </c>
    </row>
    <row r="85" spans="1:17" x14ac:dyDescent="0.3">
      <c r="A85" s="25">
        <v>36</v>
      </c>
      <c r="B85" s="97">
        <v>680</v>
      </c>
      <c r="C85" s="23">
        <f t="shared" si="8"/>
        <v>-243</v>
      </c>
      <c r="D85" s="97">
        <v>188</v>
      </c>
      <c r="E85" s="97">
        <v>30</v>
      </c>
      <c r="F85" s="93">
        <v>1.2205142163130467</v>
      </c>
      <c r="G85" s="98">
        <f t="shared" si="7"/>
        <v>16.61553066603992</v>
      </c>
      <c r="H85" s="97" t="s">
        <v>126</v>
      </c>
      <c r="I85" s="97">
        <f t="shared" si="9"/>
        <v>0</v>
      </c>
    </row>
    <row r="86" spans="1:17" x14ac:dyDescent="0.3">
      <c r="A86" s="25">
        <v>37</v>
      </c>
      <c r="B86" s="97">
        <v>478</v>
      </c>
      <c r="C86" s="23">
        <f t="shared" si="8"/>
        <v>-202</v>
      </c>
      <c r="D86" s="97">
        <v>113</v>
      </c>
      <c r="E86" s="97">
        <v>38</v>
      </c>
      <c r="F86" s="93">
        <v>0.52835628416971403</v>
      </c>
      <c r="G86" s="98">
        <f t="shared" si="7"/>
        <v>3.3756412413655501</v>
      </c>
      <c r="H86" s="97" t="s">
        <v>126</v>
      </c>
      <c r="I86" s="97">
        <f t="shared" si="9"/>
        <v>0</v>
      </c>
    </row>
    <row r="87" spans="1:17" x14ac:dyDescent="0.3">
      <c r="A87" s="25">
        <v>38</v>
      </c>
      <c r="B87" s="97">
        <v>295</v>
      </c>
      <c r="C87" s="23">
        <f t="shared" si="8"/>
        <v>-183</v>
      </c>
      <c r="D87" s="97">
        <v>91</v>
      </c>
      <c r="E87" s="97">
        <v>16</v>
      </c>
      <c r="F87" s="103">
        <v>0.80194462846691605</v>
      </c>
      <c r="G87" s="98">
        <f t="shared" si="7"/>
        <v>6.3378889949954296</v>
      </c>
      <c r="H87" s="97" t="s">
        <v>126</v>
      </c>
      <c r="I87" s="97">
        <f t="shared" si="9"/>
        <v>0</v>
      </c>
    </row>
    <row r="88" spans="1:17" x14ac:dyDescent="0.3">
      <c r="A88" s="25">
        <v>39</v>
      </c>
      <c r="B88" s="97">
        <v>272</v>
      </c>
      <c r="C88" s="23">
        <f t="shared" si="8"/>
        <v>-23</v>
      </c>
      <c r="D88" s="97">
        <v>83</v>
      </c>
      <c r="E88" s="97">
        <v>22</v>
      </c>
      <c r="F88" s="93">
        <v>1.3495699688528429</v>
      </c>
      <c r="G88" s="98">
        <f t="shared" si="7"/>
        <v>22.365054913929537</v>
      </c>
      <c r="H88" s="97" t="s">
        <v>126</v>
      </c>
      <c r="I88" s="97">
        <f t="shared" si="9"/>
        <v>0</v>
      </c>
    </row>
    <row r="89" spans="1:17" x14ac:dyDescent="0.3">
      <c r="A89" s="25">
        <v>40</v>
      </c>
      <c r="B89" s="97">
        <v>214</v>
      </c>
      <c r="C89" s="23">
        <f t="shared" si="8"/>
        <v>-58</v>
      </c>
      <c r="D89" s="97">
        <v>84</v>
      </c>
      <c r="E89" s="97">
        <v>14</v>
      </c>
      <c r="F89" s="93">
        <v>8.540620529371841E-2</v>
      </c>
      <c r="G89" s="98">
        <f t="shared" si="7"/>
        <v>1.2173240586202971</v>
      </c>
      <c r="H89" s="97" t="s">
        <v>126</v>
      </c>
      <c r="I89" s="97">
        <f t="shared" si="9"/>
        <v>0</v>
      </c>
    </row>
    <row r="90" spans="1:17" x14ac:dyDescent="0.3">
      <c r="A90" s="25">
        <v>41</v>
      </c>
      <c r="B90" s="97">
        <v>116</v>
      </c>
      <c r="C90" s="23">
        <f t="shared" si="8"/>
        <v>-98</v>
      </c>
      <c r="D90" s="97">
        <v>50</v>
      </c>
      <c r="E90" s="97">
        <v>8</v>
      </c>
      <c r="F90" s="102">
        <v>0.8609371431751669</v>
      </c>
      <c r="G90" s="98">
        <f t="shared" si="7"/>
        <v>7.2600087340997224</v>
      </c>
      <c r="H90" s="97" t="s">
        <v>126</v>
      </c>
      <c r="I90" s="97">
        <f t="shared" si="9"/>
        <v>0</v>
      </c>
    </row>
    <row r="91" spans="1:17" x14ac:dyDescent="0.3">
      <c r="A91" s="25">
        <v>42</v>
      </c>
      <c r="B91" s="97">
        <v>65</v>
      </c>
      <c r="C91" s="23">
        <f>B91-B90</f>
        <v>-51</v>
      </c>
      <c r="D91" s="97">
        <v>35</v>
      </c>
      <c r="E91" s="97">
        <v>10</v>
      </c>
      <c r="F91" s="93">
        <v>0.52436653421357993</v>
      </c>
      <c r="G91" s="98">
        <f t="shared" si="7"/>
        <v>3.3447721174785077</v>
      </c>
      <c r="H91" s="97" t="s">
        <v>126</v>
      </c>
      <c r="I91" s="97">
        <f t="shared" si="9"/>
        <v>0</v>
      </c>
    </row>
    <row r="92" spans="1:17" x14ac:dyDescent="0.3">
      <c r="A92" s="25">
        <v>43</v>
      </c>
      <c r="B92" s="97">
        <v>85</v>
      </c>
      <c r="C92" s="23">
        <f t="shared" ref="C92:C95" si="10">B92-B91</f>
        <v>20</v>
      </c>
      <c r="D92" s="97"/>
      <c r="E92" s="97"/>
      <c r="F92" s="93">
        <v>0.1504285567281905</v>
      </c>
      <c r="G92" s="98">
        <f>10^F92</f>
        <v>1.4139321081492364</v>
      </c>
      <c r="H92" s="97" t="s">
        <v>126</v>
      </c>
      <c r="I92" s="97">
        <f t="shared" si="9"/>
        <v>1</v>
      </c>
    </row>
    <row r="93" spans="1:17" x14ac:dyDescent="0.3">
      <c r="A93" s="25">
        <v>44</v>
      </c>
      <c r="B93" s="97">
        <v>50</v>
      </c>
      <c r="C93" s="23">
        <f t="shared" si="10"/>
        <v>-35</v>
      </c>
      <c r="D93" s="97"/>
      <c r="E93" s="97"/>
      <c r="F93" s="93">
        <v>0.73010177885768224</v>
      </c>
      <c r="G93" s="98">
        <f t="shared" ref="G93:G95" si="11">10^F93</f>
        <v>5.3715766692648126</v>
      </c>
      <c r="H93" s="97" t="s">
        <v>126</v>
      </c>
      <c r="I93" s="97">
        <f t="shared" si="9"/>
        <v>0</v>
      </c>
    </row>
    <row r="94" spans="1:17" x14ac:dyDescent="0.3">
      <c r="A94" s="25">
        <v>45</v>
      </c>
      <c r="B94" s="97">
        <v>86</v>
      </c>
      <c r="C94" s="23">
        <f t="shared" si="10"/>
        <v>36</v>
      </c>
      <c r="D94" s="97"/>
      <c r="E94" s="97"/>
      <c r="F94" s="93">
        <v>1.3615152656702794</v>
      </c>
      <c r="G94" s="98">
        <f t="shared" si="11"/>
        <v>22.988745144435352</v>
      </c>
      <c r="H94" s="97" t="s">
        <v>126</v>
      </c>
      <c r="I94" s="97">
        <f t="shared" si="9"/>
        <v>1</v>
      </c>
    </row>
    <row r="95" spans="1:17" s="151" customFormat="1" x14ac:dyDescent="0.3">
      <c r="A95" s="146">
        <v>46</v>
      </c>
      <c r="B95" s="141">
        <v>421</v>
      </c>
      <c r="C95" s="142">
        <f t="shared" si="10"/>
        <v>335</v>
      </c>
      <c r="D95" s="141"/>
      <c r="E95" s="141"/>
      <c r="F95" s="143">
        <v>1.5381205623610741</v>
      </c>
      <c r="G95" s="144">
        <f t="shared" si="11"/>
        <v>34.52395662969473</v>
      </c>
      <c r="H95" s="141" t="s">
        <v>126</v>
      </c>
      <c r="I95" s="141">
        <f t="shared" si="9"/>
        <v>1</v>
      </c>
      <c r="L95" s="97"/>
      <c r="M95" s="97"/>
      <c r="N95" s="97"/>
      <c r="O95" s="97"/>
      <c r="P95" s="97"/>
      <c r="Q95" s="97"/>
    </row>
    <row r="96" spans="1:17" s="151" customFormat="1" x14ac:dyDescent="0.3">
      <c r="A96" s="25"/>
      <c r="B96" s="97"/>
      <c r="C96" s="23"/>
      <c r="D96" s="97"/>
      <c r="E96" s="97"/>
      <c r="F96" s="93"/>
      <c r="G96" s="98"/>
      <c r="H96" s="97"/>
      <c r="I96" s="97"/>
      <c r="L96" s="97"/>
      <c r="M96" s="97"/>
      <c r="N96" s="97"/>
      <c r="O96" s="97"/>
      <c r="P96" s="97"/>
      <c r="Q96" s="97"/>
    </row>
    <row r="97" spans="1:9" x14ac:dyDescent="0.3">
      <c r="A97" s="23">
        <v>9</v>
      </c>
      <c r="B97" s="23">
        <v>324</v>
      </c>
      <c r="C97" s="23">
        <f>B97-B91</f>
        <v>259</v>
      </c>
      <c r="D97" s="23">
        <v>141</v>
      </c>
      <c r="E97" s="23">
        <v>32</v>
      </c>
      <c r="F97" s="93">
        <f>LOG(32.9169326899003)</f>
        <v>1.5174193594103973</v>
      </c>
      <c r="G97" s="98">
        <f>10^F97</f>
        <v>32.916932689900307</v>
      </c>
      <c r="H97" t="s">
        <v>125</v>
      </c>
      <c r="I97" s="97">
        <f t="shared" si="9"/>
        <v>1</v>
      </c>
    </row>
    <row r="98" spans="1:9" x14ac:dyDescent="0.3">
      <c r="A98" s="23">
        <v>11</v>
      </c>
      <c r="B98" s="23">
        <v>334</v>
      </c>
      <c r="C98" s="23">
        <f t="shared" si="8"/>
        <v>10</v>
      </c>
      <c r="D98" s="23">
        <v>114</v>
      </c>
      <c r="E98" s="23">
        <v>21</v>
      </c>
      <c r="F98" s="93">
        <f>LOG(5.47658971377781)</f>
        <v>0.73851020638129206</v>
      </c>
      <c r="G98" s="98">
        <f t="shared" ref="G98:G104" si="12">10^F98</f>
        <v>5.4765897137778099</v>
      </c>
      <c r="H98" t="s">
        <v>125</v>
      </c>
      <c r="I98" s="97">
        <f t="shared" si="9"/>
        <v>1</v>
      </c>
    </row>
    <row r="99" spans="1:9" x14ac:dyDescent="0.3">
      <c r="A99" s="23">
        <v>15</v>
      </c>
      <c r="B99" s="23">
        <v>355</v>
      </c>
      <c r="C99" s="23">
        <f t="shared" si="8"/>
        <v>21</v>
      </c>
      <c r="D99" s="23">
        <v>108</v>
      </c>
      <c r="E99" s="23">
        <v>21</v>
      </c>
      <c r="F99" s="93">
        <f xml:space="preserve"> LOG(1.39299232740791)</f>
        <v>0.1439487243395533</v>
      </c>
      <c r="G99" s="98">
        <f t="shared" si="12"/>
        <v>1.3929923274079099</v>
      </c>
      <c r="H99" t="s">
        <v>125</v>
      </c>
      <c r="I99" s="97">
        <f t="shared" si="9"/>
        <v>1</v>
      </c>
    </row>
    <row r="100" spans="1:9" x14ac:dyDescent="0.3">
      <c r="A100" s="23">
        <v>20</v>
      </c>
      <c r="B100" s="23">
        <v>1449</v>
      </c>
      <c r="C100" s="23">
        <f t="shared" si="8"/>
        <v>1094</v>
      </c>
      <c r="D100" s="23">
        <v>276</v>
      </c>
      <c r="E100" s="23">
        <v>37</v>
      </c>
      <c r="F100" s="94">
        <f xml:space="preserve"> LOG(12.982428073883)</f>
        <v>1.1133559251664007</v>
      </c>
      <c r="G100" s="98">
        <f t="shared" si="12"/>
        <v>12.982428073882998</v>
      </c>
      <c r="H100" t="s">
        <v>125</v>
      </c>
      <c r="I100" s="97">
        <f t="shared" si="9"/>
        <v>1</v>
      </c>
    </row>
    <row r="101" spans="1:9" x14ac:dyDescent="0.3">
      <c r="A101" s="23">
        <v>22</v>
      </c>
      <c r="B101" s="23">
        <v>3089</v>
      </c>
      <c r="C101" s="23">
        <f t="shared" si="8"/>
        <v>1640</v>
      </c>
      <c r="D101" s="23">
        <v>489</v>
      </c>
      <c r="E101" s="23">
        <v>72</v>
      </c>
      <c r="F101" s="94">
        <f xml:space="preserve"> LOG(0.875927735956348)</f>
        <v>-5.7531721651493978E-2</v>
      </c>
      <c r="G101" s="98">
        <f t="shared" si="12"/>
        <v>0.87592773595634787</v>
      </c>
      <c r="H101" t="s">
        <v>125</v>
      </c>
      <c r="I101" s="97">
        <f t="shared" si="9"/>
        <v>1</v>
      </c>
    </row>
    <row r="102" spans="1:9" x14ac:dyDescent="0.3">
      <c r="A102" s="25">
        <v>26</v>
      </c>
      <c r="B102" s="25">
        <v>14104</v>
      </c>
      <c r="C102" s="23">
        <f t="shared" si="8"/>
        <v>11015</v>
      </c>
      <c r="D102" s="25">
        <v>1384</v>
      </c>
      <c r="E102" s="25">
        <v>361</v>
      </c>
      <c r="F102" s="94">
        <f xml:space="preserve"> LOG(147.665072460564)</f>
        <v>2.1692777828443726</v>
      </c>
      <c r="G102" s="98">
        <f t="shared" si="12"/>
        <v>147.66507246056406</v>
      </c>
      <c r="H102" t="s">
        <v>125</v>
      </c>
      <c r="I102" s="97">
        <f t="shared" si="9"/>
        <v>1</v>
      </c>
    </row>
    <row r="103" spans="1:9" x14ac:dyDescent="0.3">
      <c r="A103" s="25">
        <v>29</v>
      </c>
      <c r="B103" s="99">
        <v>4308</v>
      </c>
      <c r="C103" s="23">
        <f t="shared" si="8"/>
        <v>-9796</v>
      </c>
      <c r="D103" s="99">
        <v>1028</v>
      </c>
      <c r="E103" s="99">
        <v>342</v>
      </c>
      <c r="F103" s="93">
        <f xml:space="preserve"> LOG(102.077902579794)</f>
        <v>2.0089317379113751</v>
      </c>
      <c r="G103" s="98">
        <f t="shared" si="12"/>
        <v>102.07790257979404</v>
      </c>
      <c r="H103" t="s">
        <v>125</v>
      </c>
      <c r="I103" s="97">
        <f t="shared" si="9"/>
        <v>0</v>
      </c>
    </row>
    <row r="104" spans="1:9" x14ac:dyDescent="0.3">
      <c r="A104" s="25">
        <v>32</v>
      </c>
      <c r="B104" s="99">
        <v>1894</v>
      </c>
      <c r="C104" s="23">
        <f t="shared" si="8"/>
        <v>-2414</v>
      </c>
      <c r="D104" s="99">
        <v>393</v>
      </c>
      <c r="E104" s="99">
        <v>123</v>
      </c>
      <c r="F104" s="93">
        <v>1.5633521246470228</v>
      </c>
      <c r="G104" s="98">
        <f t="shared" si="12"/>
        <v>36.589133496187181</v>
      </c>
      <c r="H104" t="s">
        <v>125</v>
      </c>
      <c r="I104" s="97">
        <f t="shared" si="9"/>
        <v>0</v>
      </c>
    </row>
    <row r="105" spans="1:9" x14ac:dyDescent="0.3">
      <c r="A105" s="26">
        <v>8</v>
      </c>
      <c r="B105" s="26">
        <v>377</v>
      </c>
      <c r="C105" s="23">
        <f>B105-B104</f>
        <v>-1517</v>
      </c>
      <c r="D105" s="26">
        <v>140</v>
      </c>
      <c r="E105" s="26">
        <v>46</v>
      </c>
      <c r="F105" s="93">
        <f xml:space="preserve"> LOG(0.678435576205351)</f>
        <v>-0.1684913863637226</v>
      </c>
      <c r="G105" s="91">
        <f>10^F105</f>
        <v>0.67843557620535089</v>
      </c>
      <c r="H105" s="90" t="s">
        <v>124</v>
      </c>
      <c r="I105" s="97">
        <f t="shared" si="9"/>
        <v>0</v>
      </c>
    </row>
    <row r="106" spans="1:9" x14ac:dyDescent="0.3">
      <c r="A106" s="26">
        <v>21</v>
      </c>
      <c r="B106" s="26">
        <v>2160</v>
      </c>
      <c r="C106" s="23">
        <f t="shared" si="8"/>
        <v>1783</v>
      </c>
      <c r="D106" s="26">
        <v>380</v>
      </c>
      <c r="E106" s="26">
        <v>49</v>
      </c>
      <c r="F106" s="94">
        <f xml:space="preserve"> LOG(4.93402779102325)</f>
        <v>0.69320159133410897</v>
      </c>
      <c r="G106" s="91">
        <f t="shared" ref="G106:G120" si="13">10^F106</f>
        <v>4.9340277910232508</v>
      </c>
      <c r="H106" s="90" t="s">
        <v>124</v>
      </c>
      <c r="I106" s="97">
        <f t="shared" si="9"/>
        <v>1</v>
      </c>
    </row>
    <row r="107" spans="1:9" x14ac:dyDescent="0.3">
      <c r="A107" s="26">
        <v>23</v>
      </c>
      <c r="B107" s="26">
        <v>5783</v>
      </c>
      <c r="C107" s="23">
        <f t="shared" si="8"/>
        <v>3623</v>
      </c>
      <c r="D107" s="26">
        <v>675</v>
      </c>
      <c r="E107" s="26">
        <v>120</v>
      </c>
      <c r="F107" s="94">
        <f xml:space="preserve"> LOG(29.97367236079)</f>
        <v>1.4767399557691452</v>
      </c>
      <c r="G107" s="91">
        <f t="shared" si="13"/>
        <v>29.973672360790005</v>
      </c>
      <c r="H107" s="90" t="s">
        <v>124</v>
      </c>
      <c r="I107" s="97">
        <f t="shared" si="9"/>
        <v>1</v>
      </c>
    </row>
    <row r="108" spans="1:9" x14ac:dyDescent="0.3">
      <c r="A108" s="26">
        <v>24</v>
      </c>
      <c r="B108" s="26">
        <v>9089</v>
      </c>
      <c r="C108" s="23">
        <f t="shared" si="8"/>
        <v>3306</v>
      </c>
      <c r="D108" s="26">
        <v>907</v>
      </c>
      <c r="E108" s="26">
        <v>187</v>
      </c>
      <c r="F108" s="94">
        <f xml:space="preserve"> LOG(23.9111355372838)</f>
        <v>1.3786002012042802</v>
      </c>
      <c r="G108" s="91">
        <f t="shared" si="13"/>
        <v>23.911135537283812</v>
      </c>
      <c r="H108" s="90" t="s">
        <v>124</v>
      </c>
      <c r="I108" s="97">
        <f t="shared" si="9"/>
        <v>1</v>
      </c>
    </row>
    <row r="109" spans="1:9" x14ac:dyDescent="0.3">
      <c r="A109" s="92">
        <v>25</v>
      </c>
      <c r="B109" s="92">
        <v>12206</v>
      </c>
      <c r="C109" s="23">
        <f t="shared" si="8"/>
        <v>3117</v>
      </c>
      <c r="D109" s="92">
        <v>1162</v>
      </c>
      <c r="E109" s="92">
        <v>266</v>
      </c>
      <c r="F109" s="94">
        <f xml:space="preserve"> LOG(1.20668972329218)</f>
        <v>8.1595614103199515E-2</v>
      </c>
      <c r="G109" s="91">
        <f t="shared" si="13"/>
        <v>1.20668972329218</v>
      </c>
      <c r="H109" s="90" t="s">
        <v>124</v>
      </c>
      <c r="I109" s="97">
        <f t="shared" si="9"/>
        <v>1</v>
      </c>
    </row>
    <row r="110" spans="1:9" x14ac:dyDescent="0.3">
      <c r="A110" s="92">
        <v>26</v>
      </c>
      <c r="B110" s="92">
        <v>14104</v>
      </c>
      <c r="C110" s="23">
        <f t="shared" si="8"/>
        <v>1898</v>
      </c>
      <c r="D110" s="92">
        <v>1384</v>
      </c>
      <c r="E110" s="92">
        <v>361</v>
      </c>
      <c r="F110" s="94"/>
      <c r="G110" s="91">
        <f t="shared" si="13"/>
        <v>1</v>
      </c>
      <c r="H110" s="90" t="s">
        <v>124</v>
      </c>
      <c r="I110" s="97">
        <f t="shared" si="9"/>
        <v>1</v>
      </c>
    </row>
    <row r="111" spans="1:9" x14ac:dyDescent="0.3">
      <c r="A111" s="92">
        <v>27</v>
      </c>
      <c r="B111" s="95">
        <v>11885</v>
      </c>
      <c r="C111" s="23">
        <f t="shared" si="8"/>
        <v>-2219</v>
      </c>
      <c r="D111" s="95">
        <v>1454</v>
      </c>
      <c r="E111" s="95">
        <v>414</v>
      </c>
      <c r="F111" s="93">
        <f xml:space="preserve"> LOG(24.5392833437238)</f>
        <v>1.3898618752446559</v>
      </c>
      <c r="G111" s="91">
        <f t="shared" si="13"/>
        <v>24.539283343723799</v>
      </c>
      <c r="H111" s="90" t="s">
        <v>124</v>
      </c>
      <c r="I111" s="97">
        <f t="shared" si="9"/>
        <v>0</v>
      </c>
    </row>
    <row r="112" spans="1:9" x14ac:dyDescent="0.3">
      <c r="A112" s="92">
        <v>29</v>
      </c>
      <c r="B112" s="95">
        <v>4308</v>
      </c>
      <c r="C112" s="23">
        <f t="shared" si="8"/>
        <v>-7577</v>
      </c>
      <c r="D112" s="95">
        <v>1028</v>
      </c>
      <c r="E112" s="95">
        <v>342</v>
      </c>
      <c r="F112" s="93">
        <f xml:space="preserve"> LOG(26.1723386998079)</f>
        <v>1.4178425319268675</v>
      </c>
      <c r="G112" s="91">
        <f t="shared" si="13"/>
        <v>26.172338699807906</v>
      </c>
      <c r="H112" s="90" t="s">
        <v>124</v>
      </c>
      <c r="I112" s="97">
        <f t="shared" si="9"/>
        <v>0</v>
      </c>
    </row>
    <row r="113" spans="1:17" x14ac:dyDescent="0.3">
      <c r="A113" s="92">
        <v>30</v>
      </c>
      <c r="B113" s="95">
        <v>3759</v>
      </c>
      <c r="C113" s="23">
        <f t="shared" si="8"/>
        <v>-549</v>
      </c>
      <c r="D113" s="95">
        <v>624</v>
      </c>
      <c r="E113" s="95">
        <v>282</v>
      </c>
      <c r="F113" s="93">
        <v>1.7364825767997418</v>
      </c>
      <c r="G113" s="91">
        <f t="shared" si="13"/>
        <v>54.510802638774031</v>
      </c>
      <c r="H113" s="90" t="s">
        <v>124</v>
      </c>
      <c r="I113" s="97">
        <f t="shared" si="9"/>
        <v>0</v>
      </c>
    </row>
    <row r="114" spans="1:17" x14ac:dyDescent="0.3">
      <c r="A114" s="92">
        <v>34</v>
      </c>
      <c r="B114" s="95">
        <v>946</v>
      </c>
      <c r="C114" s="23">
        <f t="shared" si="8"/>
        <v>-2813</v>
      </c>
      <c r="D114" s="95">
        <v>249</v>
      </c>
      <c r="E114" s="95">
        <v>69</v>
      </c>
      <c r="F114" s="93">
        <v>1.054198015441038</v>
      </c>
      <c r="G114" s="91">
        <f t="shared" si="13"/>
        <v>11.329167959641437</v>
      </c>
      <c r="H114" s="90" t="s">
        <v>124</v>
      </c>
      <c r="I114" s="97">
        <f t="shared" si="9"/>
        <v>0</v>
      </c>
    </row>
    <row r="115" spans="1:17" x14ac:dyDescent="0.3">
      <c r="A115" s="92">
        <v>35</v>
      </c>
      <c r="B115" s="96">
        <v>633</v>
      </c>
      <c r="C115" s="23">
        <f t="shared" si="8"/>
        <v>-313</v>
      </c>
      <c r="D115" s="96">
        <v>160</v>
      </c>
      <c r="E115" s="96">
        <v>42</v>
      </c>
      <c r="F115" s="93">
        <v>0.21414497442310321</v>
      </c>
      <c r="G115" s="91">
        <f t="shared" si="13"/>
        <v>1.63736300809043</v>
      </c>
      <c r="H115" s="90" t="s">
        <v>124</v>
      </c>
      <c r="I115" s="97">
        <f t="shared" si="9"/>
        <v>0</v>
      </c>
    </row>
    <row r="116" spans="1:17" x14ac:dyDescent="0.3">
      <c r="A116" s="92">
        <v>36</v>
      </c>
      <c r="B116" s="96">
        <v>386</v>
      </c>
      <c r="C116" s="23">
        <f t="shared" si="8"/>
        <v>-247</v>
      </c>
      <c r="D116" s="96">
        <v>141</v>
      </c>
      <c r="E116" s="96">
        <v>38</v>
      </c>
      <c r="F116" s="93">
        <v>4.6952116375213675E-2</v>
      </c>
      <c r="G116" s="91">
        <f t="shared" si="13"/>
        <v>1.1141716825718782</v>
      </c>
      <c r="H116" s="90" t="s">
        <v>124</v>
      </c>
      <c r="I116" s="97">
        <f t="shared" si="9"/>
        <v>0</v>
      </c>
    </row>
    <row r="117" spans="1:17" x14ac:dyDescent="0.3">
      <c r="A117" s="92">
        <v>38</v>
      </c>
      <c r="B117" s="96">
        <v>197</v>
      </c>
      <c r="C117" s="23">
        <f t="shared" si="8"/>
        <v>-189</v>
      </c>
      <c r="D117" s="96">
        <v>78</v>
      </c>
      <c r="E117" s="96">
        <v>15</v>
      </c>
      <c r="F117" s="93">
        <v>0.33332238673924425</v>
      </c>
      <c r="G117" s="91">
        <f t="shared" si="13"/>
        <v>2.1543803871894371</v>
      </c>
      <c r="H117" s="90" t="s">
        <v>124</v>
      </c>
      <c r="I117" s="97">
        <f t="shared" si="9"/>
        <v>0</v>
      </c>
    </row>
    <row r="118" spans="1:17" x14ac:dyDescent="0.3">
      <c r="A118" s="92">
        <v>39</v>
      </c>
      <c r="B118" s="96">
        <v>160</v>
      </c>
      <c r="C118" s="23">
        <f t="shared" si="8"/>
        <v>-37</v>
      </c>
      <c r="D118" s="96">
        <v>70</v>
      </c>
      <c r="E118" s="96">
        <v>20</v>
      </c>
      <c r="F118" s="93">
        <v>0</v>
      </c>
      <c r="G118" s="91">
        <f t="shared" si="13"/>
        <v>1</v>
      </c>
      <c r="H118" s="90" t="s">
        <v>124</v>
      </c>
      <c r="I118" s="97">
        <f t="shared" si="9"/>
        <v>0</v>
      </c>
    </row>
    <row r="119" spans="1:17" x14ac:dyDescent="0.3">
      <c r="A119" s="92">
        <v>40</v>
      </c>
      <c r="B119" s="96">
        <v>116</v>
      </c>
      <c r="C119" s="23">
        <f t="shared" si="8"/>
        <v>-44</v>
      </c>
      <c r="D119" s="96">
        <v>50</v>
      </c>
      <c r="E119" s="96">
        <v>12</v>
      </c>
      <c r="F119" s="93">
        <v>0</v>
      </c>
      <c r="G119" s="91">
        <f t="shared" si="13"/>
        <v>1</v>
      </c>
      <c r="H119" s="90" t="s">
        <v>124</v>
      </c>
      <c r="I119" s="97">
        <f t="shared" si="9"/>
        <v>0</v>
      </c>
    </row>
    <row r="120" spans="1:17" x14ac:dyDescent="0.3">
      <c r="A120" s="92">
        <v>41</v>
      </c>
      <c r="B120" s="96">
        <v>77</v>
      </c>
      <c r="C120" s="23">
        <f t="shared" si="8"/>
        <v>-39</v>
      </c>
      <c r="D120" s="96">
        <v>44</v>
      </c>
      <c r="E120" s="96">
        <v>7</v>
      </c>
      <c r="F120" s="93">
        <v>0</v>
      </c>
      <c r="G120" s="91">
        <f t="shared" si="13"/>
        <v>1</v>
      </c>
      <c r="H120" s="90" t="s">
        <v>124</v>
      </c>
      <c r="I120" s="97">
        <f t="shared" si="9"/>
        <v>0</v>
      </c>
    </row>
    <row r="121" spans="1:17" x14ac:dyDescent="0.3">
      <c r="A121" s="147">
        <v>43</v>
      </c>
      <c r="B121" s="148">
        <v>44</v>
      </c>
      <c r="C121" s="142">
        <f t="shared" si="8"/>
        <v>-33</v>
      </c>
      <c r="D121" s="148"/>
      <c r="E121" s="148"/>
      <c r="F121" s="143">
        <v>0</v>
      </c>
      <c r="G121" s="144">
        <f>10^F121</f>
        <v>1</v>
      </c>
      <c r="H121" s="141" t="s">
        <v>124</v>
      </c>
      <c r="I121" s="141">
        <f t="shared" si="9"/>
        <v>0</v>
      </c>
    </row>
    <row r="122" spans="1:17" x14ac:dyDescent="0.3">
      <c r="A122" s="147">
        <v>44</v>
      </c>
      <c r="B122" s="148">
        <v>35</v>
      </c>
      <c r="C122" s="142">
        <f t="shared" si="8"/>
        <v>-9</v>
      </c>
      <c r="D122" s="148"/>
      <c r="E122" s="148"/>
      <c r="F122" s="143">
        <v>0.59656510888745373</v>
      </c>
      <c r="G122" s="144">
        <f t="shared" ref="G122:G125" si="14">10^F122</f>
        <v>3.949709084569192</v>
      </c>
      <c r="H122" s="141" t="s">
        <v>124</v>
      </c>
      <c r="I122" s="141">
        <f t="shared" si="9"/>
        <v>0</v>
      </c>
    </row>
    <row r="123" spans="1:17" x14ac:dyDescent="0.3">
      <c r="A123" s="147">
        <v>45</v>
      </c>
      <c r="B123" s="148">
        <v>56</v>
      </c>
      <c r="C123" s="142">
        <f t="shared" si="8"/>
        <v>21</v>
      </c>
      <c r="D123" s="148"/>
      <c r="E123" s="148"/>
      <c r="F123" s="143">
        <v>0</v>
      </c>
      <c r="G123" s="144">
        <f t="shared" si="14"/>
        <v>1</v>
      </c>
      <c r="H123" s="141" t="s">
        <v>124</v>
      </c>
      <c r="I123" s="141">
        <f t="shared" si="9"/>
        <v>1</v>
      </c>
    </row>
    <row r="124" spans="1:17" x14ac:dyDescent="0.3">
      <c r="A124" s="147">
        <v>46</v>
      </c>
      <c r="B124" s="148">
        <v>151</v>
      </c>
      <c r="C124" s="142">
        <f t="shared" si="8"/>
        <v>95</v>
      </c>
      <c r="D124" s="148"/>
      <c r="E124" s="148"/>
      <c r="F124" s="143">
        <v>1.0141204489331759</v>
      </c>
      <c r="G124" s="144">
        <f t="shared" si="14"/>
        <v>10.33047875579523</v>
      </c>
      <c r="H124" s="141" t="s">
        <v>124</v>
      </c>
      <c r="I124" s="141">
        <f t="shared" si="9"/>
        <v>1</v>
      </c>
    </row>
    <row r="125" spans="1:17" s="151" customFormat="1" x14ac:dyDescent="0.3">
      <c r="A125" s="147">
        <v>47</v>
      </c>
      <c r="B125" s="148">
        <v>403</v>
      </c>
      <c r="C125" s="142">
        <f t="shared" si="8"/>
        <v>252</v>
      </c>
      <c r="D125" s="148"/>
      <c r="E125" s="148"/>
      <c r="F125" s="143">
        <v>0.58987376179199458</v>
      </c>
      <c r="G125" s="144">
        <f t="shared" si="14"/>
        <v>3.8893207603571365</v>
      </c>
      <c r="H125" s="141" t="s">
        <v>124</v>
      </c>
      <c r="I125" s="141">
        <f t="shared" si="9"/>
        <v>1</v>
      </c>
      <c r="L125" s="97"/>
      <c r="M125" s="97"/>
      <c r="N125" s="97"/>
      <c r="O125" s="97"/>
      <c r="P125" s="97"/>
      <c r="Q125" s="97"/>
    </row>
    <row r="126" spans="1:17" x14ac:dyDescent="0.3">
      <c r="A126">
        <v>9</v>
      </c>
      <c r="B126">
        <v>324</v>
      </c>
      <c r="C126" s="23">
        <f>B126-B120</f>
        <v>247</v>
      </c>
      <c r="D126">
        <v>141</v>
      </c>
      <c r="E126">
        <v>32</v>
      </c>
      <c r="F126">
        <v>-0.29149209809023602</v>
      </c>
      <c r="G126">
        <f>10^F126</f>
        <v>0.51110237836837702</v>
      </c>
      <c r="H126" t="s">
        <v>123</v>
      </c>
      <c r="I126" s="97">
        <f t="shared" si="9"/>
        <v>1</v>
      </c>
    </row>
    <row r="127" spans="1:17" x14ac:dyDescent="0.3">
      <c r="A127">
        <v>11</v>
      </c>
      <c r="B127">
        <v>334</v>
      </c>
      <c r="C127" s="23">
        <f t="shared" si="8"/>
        <v>10</v>
      </c>
      <c r="D127">
        <v>114</v>
      </c>
      <c r="E127">
        <v>21</v>
      </c>
      <c r="F127">
        <v>-7.00681538835735E-2</v>
      </c>
      <c r="G127">
        <f t="shared" ref="G127:G132" si="15">10^F127</f>
        <v>0.85100447949098112</v>
      </c>
      <c r="H127" t="s">
        <v>123</v>
      </c>
      <c r="I127" s="97">
        <f t="shared" si="9"/>
        <v>1</v>
      </c>
    </row>
    <row r="128" spans="1:17" x14ac:dyDescent="0.3">
      <c r="A128">
        <v>20</v>
      </c>
      <c r="B128">
        <v>1449</v>
      </c>
      <c r="C128" s="23">
        <f t="shared" si="8"/>
        <v>1115</v>
      </c>
      <c r="D128">
        <v>276</v>
      </c>
      <c r="E128">
        <v>37</v>
      </c>
      <c r="F128">
        <v>0.25397919544098768</v>
      </c>
      <c r="G128">
        <f t="shared" si="15"/>
        <v>1.7946476534921303</v>
      </c>
      <c r="H128" t="s">
        <v>123</v>
      </c>
      <c r="I128" s="97">
        <f t="shared" si="9"/>
        <v>1</v>
      </c>
    </row>
    <row r="129" spans="1:9" x14ac:dyDescent="0.3">
      <c r="A129">
        <v>22</v>
      </c>
      <c r="B129">
        <v>3089</v>
      </c>
      <c r="C129" s="23">
        <f t="shared" si="8"/>
        <v>1640</v>
      </c>
      <c r="D129">
        <v>489</v>
      </c>
      <c r="E129">
        <v>72</v>
      </c>
      <c r="F129">
        <v>1.3595234727775889</v>
      </c>
      <c r="G129">
        <f t="shared" si="15"/>
        <v>22.883553894198698</v>
      </c>
      <c r="H129" t="s">
        <v>123</v>
      </c>
      <c r="I129" s="97">
        <f t="shared" si="9"/>
        <v>1</v>
      </c>
    </row>
    <row r="130" spans="1:9" x14ac:dyDescent="0.3">
      <c r="A130">
        <v>26</v>
      </c>
      <c r="B130">
        <v>14104</v>
      </c>
      <c r="C130" s="23">
        <f t="shared" si="8"/>
        <v>11015</v>
      </c>
      <c r="D130">
        <v>1384</v>
      </c>
      <c r="E130">
        <v>361</v>
      </c>
      <c r="F130">
        <v>2.8821439183159021</v>
      </c>
      <c r="G130">
        <f t="shared" si="15"/>
        <v>762.33159279336758</v>
      </c>
      <c r="H130" t="s">
        <v>123</v>
      </c>
      <c r="I130" s="97">
        <f t="shared" si="9"/>
        <v>1</v>
      </c>
    </row>
    <row r="131" spans="1:9" x14ac:dyDescent="0.3">
      <c r="A131">
        <v>29</v>
      </c>
      <c r="B131">
        <v>4308</v>
      </c>
      <c r="C131" s="23">
        <f t="shared" si="8"/>
        <v>-9796</v>
      </c>
      <c r="D131">
        <v>1028</v>
      </c>
      <c r="E131">
        <v>342</v>
      </c>
      <c r="F131">
        <v>1.9030381940053727</v>
      </c>
      <c r="G131">
        <f t="shared" si="15"/>
        <v>79.990459948169956</v>
      </c>
      <c r="H131" t="s">
        <v>123</v>
      </c>
      <c r="I131" s="97">
        <f t="shared" si="9"/>
        <v>0</v>
      </c>
    </row>
    <row r="132" spans="1:9" x14ac:dyDescent="0.3">
      <c r="A132">
        <v>32</v>
      </c>
      <c r="B132">
        <v>1894</v>
      </c>
      <c r="C132" s="23">
        <f t="shared" si="8"/>
        <v>-2414</v>
      </c>
      <c r="D132">
        <v>393</v>
      </c>
      <c r="E132">
        <v>123</v>
      </c>
      <c r="F132">
        <v>2.3602678869480638</v>
      </c>
      <c r="G132">
        <f t="shared" si="15"/>
        <v>229.22811702806138</v>
      </c>
      <c r="H132" t="s">
        <v>123</v>
      </c>
      <c r="I132" s="97">
        <f t="shared" si="9"/>
        <v>0</v>
      </c>
    </row>
    <row r="133" spans="1:9" x14ac:dyDescent="0.3">
      <c r="A133">
        <v>9</v>
      </c>
      <c r="B133">
        <v>324</v>
      </c>
      <c r="C133" s="23">
        <f>B133-B132</f>
        <v>-1570</v>
      </c>
      <c r="D133">
        <v>141</v>
      </c>
      <c r="E133">
        <v>32</v>
      </c>
      <c r="F133">
        <v>0.32867529057874695</v>
      </c>
      <c r="G133">
        <f>10^F133</f>
        <v>2.1314506932180799</v>
      </c>
      <c r="H133" t="s">
        <v>122</v>
      </c>
      <c r="I133" s="97">
        <f t="shared" si="9"/>
        <v>0</v>
      </c>
    </row>
    <row r="134" spans="1:9" x14ac:dyDescent="0.3">
      <c r="A134">
        <v>14</v>
      </c>
      <c r="B134">
        <v>282</v>
      </c>
      <c r="C134" s="23">
        <f t="shared" si="8"/>
        <v>-42</v>
      </c>
      <c r="D134">
        <v>85</v>
      </c>
      <c r="E134">
        <v>20</v>
      </c>
      <c r="F134">
        <v>0.65076408177054268</v>
      </c>
      <c r="G134">
        <f t="shared" ref="G134:G155" si="16">10^F134</f>
        <v>4.4747016259602113</v>
      </c>
      <c r="H134" t="s">
        <v>122</v>
      </c>
      <c r="I134" s="97">
        <f t="shared" si="9"/>
        <v>0</v>
      </c>
    </row>
    <row r="135" spans="1:9" x14ac:dyDescent="0.3">
      <c r="A135">
        <v>22</v>
      </c>
      <c r="B135">
        <v>3089</v>
      </c>
      <c r="C135" s="23">
        <f t="shared" si="8"/>
        <v>2807</v>
      </c>
      <c r="D135">
        <v>489</v>
      </c>
      <c r="E135">
        <v>72</v>
      </c>
      <c r="F135">
        <v>1.6598015136744675</v>
      </c>
      <c r="G135">
        <f t="shared" si="16"/>
        <v>45.68793335739452</v>
      </c>
      <c r="H135" t="s">
        <v>122</v>
      </c>
      <c r="I135" s="97">
        <f t="shared" si="9"/>
        <v>1</v>
      </c>
    </row>
    <row r="136" spans="1:9" x14ac:dyDescent="0.3">
      <c r="A136">
        <v>23</v>
      </c>
      <c r="B136">
        <v>5783</v>
      </c>
      <c r="C136" s="23">
        <f t="shared" si="8"/>
        <v>2694</v>
      </c>
      <c r="D136">
        <v>675</v>
      </c>
      <c r="E136">
        <v>120</v>
      </c>
      <c r="F136">
        <v>0.71534898264966362</v>
      </c>
      <c r="G136">
        <f t="shared" si="16"/>
        <v>5.1921709459655112</v>
      </c>
      <c r="H136" t="s">
        <v>122</v>
      </c>
      <c r="I136" s="97">
        <f t="shared" si="9"/>
        <v>1</v>
      </c>
    </row>
    <row r="137" spans="1:9" x14ac:dyDescent="0.3">
      <c r="A137">
        <v>24</v>
      </c>
      <c r="B137">
        <v>9089</v>
      </c>
      <c r="C137" s="23">
        <f t="shared" si="8"/>
        <v>3306</v>
      </c>
      <c r="D137">
        <v>907</v>
      </c>
      <c r="E137">
        <v>187</v>
      </c>
      <c r="F137">
        <v>1.9667978665137058</v>
      </c>
      <c r="G137">
        <f t="shared" si="16"/>
        <v>92.639854976109135</v>
      </c>
      <c r="H137" t="s">
        <v>122</v>
      </c>
      <c r="I137" s="97">
        <f t="shared" si="9"/>
        <v>1</v>
      </c>
    </row>
    <row r="138" spans="1:9" x14ac:dyDescent="0.3">
      <c r="A138">
        <v>25</v>
      </c>
      <c r="B138">
        <v>12206</v>
      </c>
      <c r="C138" s="23">
        <f t="shared" si="8"/>
        <v>3117</v>
      </c>
      <c r="D138">
        <v>1162</v>
      </c>
      <c r="E138">
        <v>266</v>
      </c>
      <c r="F138">
        <v>2.4734269416518102</v>
      </c>
      <c r="G138">
        <f t="shared" si="16"/>
        <v>297.4588822345342</v>
      </c>
      <c r="H138" t="s">
        <v>122</v>
      </c>
      <c r="I138" s="97">
        <f t="shared" si="9"/>
        <v>1</v>
      </c>
    </row>
    <row r="139" spans="1:9" x14ac:dyDescent="0.3">
      <c r="A139">
        <v>26</v>
      </c>
      <c r="B139">
        <v>14104</v>
      </c>
      <c r="C139" s="23">
        <f t="shared" si="8"/>
        <v>1898</v>
      </c>
      <c r="D139">
        <v>1384</v>
      </c>
      <c r="E139">
        <v>361</v>
      </c>
      <c r="F139">
        <v>2.8343532636904545</v>
      </c>
      <c r="G139">
        <f t="shared" si="16"/>
        <v>682.89394767916906</v>
      </c>
      <c r="H139" t="s">
        <v>122</v>
      </c>
      <c r="I139" s="97">
        <f t="shared" si="9"/>
        <v>1</v>
      </c>
    </row>
    <row r="140" spans="1:9" x14ac:dyDescent="0.3">
      <c r="A140">
        <v>27</v>
      </c>
      <c r="B140">
        <v>11885</v>
      </c>
      <c r="C140" s="23">
        <f t="shared" si="8"/>
        <v>-2219</v>
      </c>
      <c r="D140">
        <v>1454</v>
      </c>
      <c r="E140">
        <v>414</v>
      </c>
      <c r="F140">
        <v>3.1401689913552286</v>
      </c>
      <c r="G140">
        <f t="shared" si="16"/>
        <v>1380.9215000697513</v>
      </c>
      <c r="H140" t="s">
        <v>122</v>
      </c>
      <c r="I140" s="97">
        <f t="shared" si="9"/>
        <v>0</v>
      </c>
    </row>
    <row r="141" spans="1:9" x14ac:dyDescent="0.3">
      <c r="A141">
        <v>28</v>
      </c>
      <c r="B141">
        <v>6785</v>
      </c>
      <c r="C141" s="23">
        <f t="shared" si="8"/>
        <v>-5100</v>
      </c>
      <c r="D141">
        <v>1288</v>
      </c>
      <c r="E141">
        <v>419</v>
      </c>
      <c r="F141">
        <v>2.9081461431165017</v>
      </c>
      <c r="G141">
        <f t="shared" si="16"/>
        <v>809.36821139588676</v>
      </c>
      <c r="H141" t="s">
        <v>122</v>
      </c>
      <c r="I141" s="97">
        <f t="shared" si="9"/>
        <v>0</v>
      </c>
    </row>
    <row r="142" spans="1:9" x14ac:dyDescent="0.3">
      <c r="A142">
        <v>29</v>
      </c>
      <c r="B142">
        <v>4308</v>
      </c>
      <c r="C142" s="23">
        <f t="shared" si="8"/>
        <v>-2477</v>
      </c>
      <c r="D142">
        <v>1028</v>
      </c>
      <c r="E142">
        <v>342</v>
      </c>
      <c r="F142">
        <v>1.2807750543456924</v>
      </c>
      <c r="G142">
        <f t="shared" si="16"/>
        <v>19.0886429377965</v>
      </c>
      <c r="H142" t="s">
        <v>122</v>
      </c>
      <c r="I142" s="97">
        <f t="shared" si="9"/>
        <v>0</v>
      </c>
    </row>
    <row r="143" spans="1:9" x14ac:dyDescent="0.3">
      <c r="A143">
        <v>30</v>
      </c>
      <c r="B143">
        <v>3759</v>
      </c>
      <c r="C143" s="23">
        <f t="shared" si="8"/>
        <v>-549</v>
      </c>
      <c r="D143">
        <v>624</v>
      </c>
      <c r="E143">
        <v>282</v>
      </c>
      <c r="F143">
        <v>2.8676757002368154</v>
      </c>
      <c r="G143">
        <f t="shared" si="16"/>
        <v>737.35342220384246</v>
      </c>
      <c r="H143" t="s">
        <v>122</v>
      </c>
      <c r="I143" s="97">
        <f t="shared" si="9"/>
        <v>0</v>
      </c>
    </row>
    <row r="144" spans="1:9" x14ac:dyDescent="0.3">
      <c r="A144">
        <v>31</v>
      </c>
      <c r="B144">
        <v>2752</v>
      </c>
      <c r="C144" s="23">
        <f t="shared" si="8"/>
        <v>-1007</v>
      </c>
      <c r="D144">
        <v>520</v>
      </c>
      <c r="E144">
        <v>177</v>
      </c>
      <c r="F144">
        <v>1.5132098728026775</v>
      </c>
      <c r="G144">
        <f t="shared" si="16"/>
        <v>32.599419963603125</v>
      </c>
      <c r="H144" t="s">
        <v>122</v>
      </c>
      <c r="I144" s="97">
        <f t="shared" si="9"/>
        <v>0</v>
      </c>
    </row>
    <row r="145" spans="1:9" x14ac:dyDescent="0.3">
      <c r="A145">
        <v>32</v>
      </c>
      <c r="B145">
        <v>1894</v>
      </c>
      <c r="C145" s="23">
        <f t="shared" si="8"/>
        <v>-858</v>
      </c>
      <c r="D145">
        <v>393</v>
      </c>
      <c r="E145">
        <v>123</v>
      </c>
      <c r="F145">
        <v>2.2105667211167348</v>
      </c>
      <c r="G145">
        <f t="shared" si="16"/>
        <v>162.39278170527245</v>
      </c>
      <c r="H145" t="s">
        <v>122</v>
      </c>
      <c r="I145" s="97">
        <f t="shared" si="9"/>
        <v>0</v>
      </c>
    </row>
    <row r="146" spans="1:9" x14ac:dyDescent="0.3">
      <c r="A146">
        <v>33</v>
      </c>
      <c r="B146">
        <v>1554</v>
      </c>
      <c r="C146" s="23">
        <f t="shared" si="8"/>
        <v>-340</v>
      </c>
      <c r="D146">
        <v>356</v>
      </c>
      <c r="E146">
        <v>86</v>
      </c>
      <c r="F146">
        <v>1.7982226544593427</v>
      </c>
      <c r="G146">
        <f t="shared" si="16"/>
        <v>62.838043485369013</v>
      </c>
      <c r="H146" t="s">
        <v>122</v>
      </c>
      <c r="I146" s="97">
        <f t="shared" si="9"/>
        <v>0</v>
      </c>
    </row>
    <row r="147" spans="1:9" x14ac:dyDescent="0.3">
      <c r="A147">
        <v>34</v>
      </c>
      <c r="B147">
        <v>946</v>
      </c>
      <c r="C147" s="23">
        <f t="shared" si="8"/>
        <v>-608</v>
      </c>
      <c r="D147">
        <v>249</v>
      </c>
      <c r="E147">
        <v>69</v>
      </c>
      <c r="F147">
        <v>1.726365058637896</v>
      </c>
      <c r="G147">
        <f t="shared" si="16"/>
        <v>53.255572610971882</v>
      </c>
      <c r="H147" t="s">
        <v>122</v>
      </c>
      <c r="I147" s="97">
        <f t="shared" si="9"/>
        <v>0</v>
      </c>
    </row>
    <row r="148" spans="1:9" x14ac:dyDescent="0.3">
      <c r="A148">
        <v>35</v>
      </c>
      <c r="B148">
        <v>633</v>
      </c>
      <c r="C148" s="23">
        <f t="shared" si="8"/>
        <v>-313</v>
      </c>
      <c r="D148">
        <v>160</v>
      </c>
      <c r="E148">
        <v>42</v>
      </c>
      <c r="F148">
        <v>1.7707258902882683</v>
      </c>
      <c r="G148">
        <f t="shared" si="16"/>
        <v>58.982868583834907</v>
      </c>
      <c r="H148" t="s">
        <v>122</v>
      </c>
      <c r="I148" s="97">
        <f t="shared" si="9"/>
        <v>0</v>
      </c>
    </row>
    <row r="149" spans="1:9" x14ac:dyDescent="0.3">
      <c r="A149">
        <v>36</v>
      </c>
      <c r="B149">
        <v>386</v>
      </c>
      <c r="C149" s="23">
        <f t="shared" si="8"/>
        <v>-247</v>
      </c>
      <c r="D149">
        <v>141</v>
      </c>
      <c r="E149">
        <v>38</v>
      </c>
      <c r="F149">
        <v>1.2897973902627757</v>
      </c>
      <c r="G149">
        <f t="shared" si="16"/>
        <v>19.489351583986871</v>
      </c>
      <c r="H149" t="s">
        <v>122</v>
      </c>
      <c r="I149" s="97">
        <f t="shared" si="9"/>
        <v>0</v>
      </c>
    </row>
    <row r="150" spans="1:9" x14ac:dyDescent="0.3">
      <c r="A150">
        <v>37</v>
      </c>
      <c r="B150">
        <v>306</v>
      </c>
      <c r="C150" s="23">
        <f t="shared" si="8"/>
        <v>-80</v>
      </c>
      <c r="D150">
        <v>98</v>
      </c>
      <c r="E150">
        <v>33</v>
      </c>
      <c r="F150">
        <v>1.110407137823924</v>
      </c>
      <c r="G150">
        <f t="shared" si="16"/>
        <v>12.894578126012066</v>
      </c>
      <c r="H150" t="s">
        <v>122</v>
      </c>
      <c r="I150" s="97">
        <f t="shared" si="9"/>
        <v>0</v>
      </c>
    </row>
    <row r="151" spans="1:9" x14ac:dyDescent="0.3">
      <c r="A151">
        <v>38</v>
      </c>
      <c r="B151">
        <v>197</v>
      </c>
      <c r="C151" s="23">
        <f t="shared" si="8"/>
        <v>-109</v>
      </c>
      <c r="D151">
        <v>78</v>
      </c>
      <c r="E151">
        <v>15</v>
      </c>
      <c r="F151">
        <v>1.2094900976604854</v>
      </c>
      <c r="G151">
        <f t="shared" si="16"/>
        <v>16.199070580151623</v>
      </c>
      <c r="H151" t="s">
        <v>122</v>
      </c>
      <c r="I151" s="97">
        <f t="shared" si="9"/>
        <v>0</v>
      </c>
    </row>
    <row r="152" spans="1:9" x14ac:dyDescent="0.3">
      <c r="A152">
        <v>39</v>
      </c>
      <c r="B152">
        <v>160</v>
      </c>
      <c r="C152" s="23">
        <f t="shared" si="8"/>
        <v>-37</v>
      </c>
      <c r="D152">
        <v>70</v>
      </c>
      <c r="E152">
        <v>20</v>
      </c>
      <c r="F152">
        <v>1.3424277871956514</v>
      </c>
      <c r="G152">
        <f t="shared" si="16"/>
        <v>22.000258674426963</v>
      </c>
      <c r="H152" t="s">
        <v>122</v>
      </c>
      <c r="I152" s="97">
        <f t="shared" si="9"/>
        <v>0</v>
      </c>
    </row>
    <row r="153" spans="1:9" x14ac:dyDescent="0.3">
      <c r="A153">
        <v>40</v>
      </c>
      <c r="B153">
        <v>116</v>
      </c>
      <c r="C153" s="23">
        <f t="shared" si="8"/>
        <v>-44</v>
      </c>
      <c r="D153">
        <v>50</v>
      </c>
      <c r="E153">
        <v>12</v>
      </c>
      <c r="F153">
        <v>1.4542743426948868</v>
      </c>
      <c r="G153">
        <f t="shared" si="16"/>
        <v>28.462585137814898</v>
      </c>
      <c r="H153" t="s">
        <v>122</v>
      </c>
      <c r="I153" s="97">
        <f t="shared" si="9"/>
        <v>0</v>
      </c>
    </row>
    <row r="154" spans="1:9" x14ac:dyDescent="0.3">
      <c r="A154">
        <v>41</v>
      </c>
      <c r="B154">
        <v>77</v>
      </c>
      <c r="C154" s="23">
        <f t="shared" ref="C154:C231" si="17">B154-B153</f>
        <v>-39</v>
      </c>
      <c r="D154">
        <v>44</v>
      </c>
      <c r="E154">
        <v>7</v>
      </c>
      <c r="F154">
        <v>0.25224574564883279</v>
      </c>
      <c r="G154">
        <f t="shared" si="16"/>
        <v>1.7874987453830484</v>
      </c>
      <c r="H154" t="s">
        <v>122</v>
      </c>
      <c r="I154" s="97">
        <f t="shared" ref="I154:I231" si="18">IF(C154&gt;0, 1,0)</f>
        <v>0</v>
      </c>
    </row>
    <row r="155" spans="1:9" x14ac:dyDescent="0.3">
      <c r="A155">
        <v>42</v>
      </c>
      <c r="B155">
        <v>49</v>
      </c>
      <c r="C155" s="23">
        <f t="shared" si="17"/>
        <v>-28</v>
      </c>
      <c r="D155">
        <v>26</v>
      </c>
      <c r="E155">
        <v>10</v>
      </c>
      <c r="F155">
        <v>0.97466829026073798</v>
      </c>
      <c r="G155">
        <f t="shared" si="16"/>
        <v>9.4334008742351969</v>
      </c>
      <c r="H155" t="s">
        <v>122</v>
      </c>
      <c r="I155" s="97">
        <f t="shared" si="18"/>
        <v>0</v>
      </c>
    </row>
    <row r="156" spans="1:9" x14ac:dyDescent="0.3">
      <c r="A156" s="151">
        <v>43</v>
      </c>
      <c r="B156" s="151">
        <v>44</v>
      </c>
      <c r="C156" s="23">
        <f t="shared" si="17"/>
        <v>-5</v>
      </c>
      <c r="D156" s="151"/>
      <c r="E156" s="151"/>
      <c r="F156" s="151">
        <v>0.42112932933429403</v>
      </c>
      <c r="G156" s="151">
        <f>10^F156</f>
        <v>2.637116580593343</v>
      </c>
      <c r="H156" s="151" t="s">
        <v>122</v>
      </c>
      <c r="I156" s="97">
        <f t="shared" si="18"/>
        <v>0</v>
      </c>
    </row>
    <row r="157" spans="1:9" x14ac:dyDescent="0.3">
      <c r="A157" s="151">
        <v>44</v>
      </c>
      <c r="B157" s="151">
        <v>35</v>
      </c>
      <c r="C157" s="23">
        <f t="shared" si="17"/>
        <v>-9</v>
      </c>
      <c r="D157" s="151"/>
      <c r="E157" s="151"/>
      <c r="F157" s="151">
        <v>0</v>
      </c>
      <c r="G157" s="151">
        <f t="shared" ref="G157:G160" si="19">10^F157</f>
        <v>1</v>
      </c>
      <c r="H157" s="151" t="s">
        <v>122</v>
      </c>
      <c r="I157" s="97">
        <f t="shared" si="18"/>
        <v>0</v>
      </c>
    </row>
    <row r="158" spans="1:9" x14ac:dyDescent="0.3">
      <c r="A158" s="151">
        <v>45</v>
      </c>
      <c r="B158" s="151">
        <v>56</v>
      </c>
      <c r="C158" s="23">
        <f t="shared" si="17"/>
        <v>21</v>
      </c>
      <c r="D158" s="151"/>
      <c r="E158" s="151"/>
      <c r="F158" s="151">
        <v>0.83572419145589971</v>
      </c>
      <c r="G158" s="151">
        <f t="shared" si="19"/>
        <v>6.8505302983887351</v>
      </c>
      <c r="H158" s="151" t="s">
        <v>122</v>
      </c>
      <c r="I158" s="97">
        <f t="shared" si="18"/>
        <v>1</v>
      </c>
    </row>
    <row r="159" spans="1:9" x14ac:dyDescent="0.3">
      <c r="A159" s="151">
        <v>46</v>
      </c>
      <c r="B159" s="151">
        <v>151</v>
      </c>
      <c r="C159" s="23">
        <f t="shared" si="17"/>
        <v>95</v>
      </c>
      <c r="D159" s="151"/>
      <c r="E159" s="151"/>
      <c r="F159" s="151">
        <v>2.146517200717212</v>
      </c>
      <c r="G159" s="151">
        <f t="shared" si="19"/>
        <v>140.1255082110971</v>
      </c>
      <c r="H159" s="151" t="s">
        <v>122</v>
      </c>
      <c r="I159" s="97">
        <f t="shared" si="18"/>
        <v>1</v>
      </c>
    </row>
    <row r="160" spans="1:9" x14ac:dyDescent="0.3">
      <c r="A160" s="151">
        <v>47</v>
      </c>
      <c r="B160" s="151">
        <v>403</v>
      </c>
      <c r="C160" s="23">
        <f t="shared" si="17"/>
        <v>252</v>
      </c>
      <c r="D160" s="151"/>
      <c r="E160" s="151"/>
      <c r="F160" s="151">
        <v>2.6985742780506503</v>
      </c>
      <c r="G160" s="151">
        <f t="shared" si="19"/>
        <v>499.54461078254599</v>
      </c>
      <c r="H160" s="151" t="s">
        <v>122</v>
      </c>
      <c r="I160" s="97">
        <f t="shared" si="18"/>
        <v>1</v>
      </c>
    </row>
    <row r="161" spans="1:9" x14ac:dyDescent="0.3">
      <c r="A161" s="26">
        <v>8</v>
      </c>
      <c r="B161" s="41">
        <v>375</v>
      </c>
      <c r="C161" s="23">
        <f>B161-B155</f>
        <v>326</v>
      </c>
      <c r="D161" s="41">
        <v>146</v>
      </c>
      <c r="E161" s="41">
        <v>51</v>
      </c>
      <c r="F161" s="93">
        <f xml:space="preserve"> LOG(16.4138504437038)</f>
        <v>1.2152104719914509</v>
      </c>
      <c r="G161" s="98">
        <f>10^F161</f>
        <v>16.413850443703804</v>
      </c>
      <c r="H161" s="97" t="s">
        <v>121</v>
      </c>
      <c r="I161" s="97">
        <f t="shared" si="18"/>
        <v>1</v>
      </c>
    </row>
    <row r="162" spans="1:9" x14ac:dyDescent="0.3">
      <c r="A162" s="26">
        <v>12</v>
      </c>
      <c r="B162" s="41">
        <v>145</v>
      </c>
      <c r="C162" s="23">
        <f t="shared" si="17"/>
        <v>-230</v>
      </c>
      <c r="D162" s="41">
        <v>73</v>
      </c>
      <c r="E162" s="41">
        <v>16</v>
      </c>
      <c r="F162" s="93">
        <f xml:space="preserve"> LOG(0.298506903405092)</f>
        <v>-0.52504562072868344</v>
      </c>
      <c r="G162" s="98">
        <f t="shared" ref="G162:G185" si="20">10^F162</f>
        <v>0.29850690340509201</v>
      </c>
      <c r="H162" s="97" t="s">
        <v>121</v>
      </c>
      <c r="I162" s="97">
        <f t="shared" si="18"/>
        <v>0</v>
      </c>
    </row>
    <row r="163" spans="1:9" x14ac:dyDescent="0.3">
      <c r="A163" s="26">
        <v>17</v>
      </c>
      <c r="B163" s="41">
        <v>152</v>
      </c>
      <c r="C163" s="23">
        <f t="shared" si="17"/>
        <v>7</v>
      </c>
      <c r="D163" s="41">
        <v>42</v>
      </c>
      <c r="E163" s="41">
        <v>9</v>
      </c>
      <c r="F163" s="94">
        <f xml:space="preserve"> LOG(3.52659517404984)</f>
        <v>0.54735560886881451</v>
      </c>
      <c r="G163" s="98">
        <f t="shared" si="20"/>
        <v>3.5265951740498407</v>
      </c>
      <c r="H163" s="97" t="s">
        <v>121</v>
      </c>
      <c r="I163" s="97">
        <f t="shared" si="18"/>
        <v>1</v>
      </c>
    </row>
    <row r="164" spans="1:9" x14ac:dyDescent="0.3">
      <c r="A164" s="26">
        <v>18</v>
      </c>
      <c r="B164" s="41">
        <v>216</v>
      </c>
      <c r="C164" s="23">
        <f t="shared" si="17"/>
        <v>64</v>
      </c>
      <c r="D164" s="41">
        <v>56</v>
      </c>
      <c r="E164" s="41">
        <v>7</v>
      </c>
      <c r="F164" s="94">
        <f xml:space="preserve"> LOG(0.639501807032799)</f>
        <v>-0.19415822400274016</v>
      </c>
      <c r="G164" s="98">
        <f t="shared" si="20"/>
        <v>0.63950180703279902</v>
      </c>
      <c r="H164" s="97" t="s">
        <v>121</v>
      </c>
      <c r="I164" s="97">
        <f t="shared" si="18"/>
        <v>1</v>
      </c>
    </row>
    <row r="165" spans="1:9" x14ac:dyDescent="0.3">
      <c r="A165" s="26">
        <v>21</v>
      </c>
      <c r="B165" s="41">
        <v>351</v>
      </c>
      <c r="C165" s="23">
        <f t="shared" si="17"/>
        <v>135</v>
      </c>
      <c r="D165" s="41">
        <v>90</v>
      </c>
      <c r="E165" s="41">
        <v>9</v>
      </c>
      <c r="F165" s="94">
        <f xml:space="preserve"> LOG(1.14414795320861)</f>
        <v>5.8482188012407205E-2</v>
      </c>
      <c r="G165" s="98">
        <f t="shared" si="20"/>
        <v>1.1441479532086101</v>
      </c>
      <c r="H165" s="97" t="s">
        <v>121</v>
      </c>
      <c r="I165" s="97">
        <f t="shared" si="18"/>
        <v>1</v>
      </c>
    </row>
    <row r="166" spans="1:9" x14ac:dyDescent="0.3">
      <c r="A166" s="26">
        <v>22</v>
      </c>
      <c r="B166" s="41">
        <v>426</v>
      </c>
      <c r="C166" s="23">
        <f t="shared" si="17"/>
        <v>75</v>
      </c>
      <c r="D166" s="41">
        <v>86</v>
      </c>
      <c r="E166" s="41">
        <v>23</v>
      </c>
      <c r="F166" s="94">
        <f xml:space="preserve"> LOG(4.7806264186392)</f>
        <v>0.67948480714221227</v>
      </c>
      <c r="G166" s="98">
        <f t="shared" si="20"/>
        <v>4.7806264186391996</v>
      </c>
      <c r="H166" s="97" t="s">
        <v>121</v>
      </c>
      <c r="I166" s="97">
        <f t="shared" si="18"/>
        <v>1</v>
      </c>
    </row>
    <row r="167" spans="1:9" x14ac:dyDescent="0.3">
      <c r="A167" s="26">
        <v>23</v>
      </c>
      <c r="B167" s="41">
        <v>1028</v>
      </c>
      <c r="C167" s="23">
        <f t="shared" si="17"/>
        <v>602</v>
      </c>
      <c r="D167" s="41">
        <v>154</v>
      </c>
      <c r="E167" s="41">
        <v>23</v>
      </c>
      <c r="F167" s="94">
        <f xml:space="preserve"> LOG(5.15256061845896)</f>
        <v>0.71202310983647443</v>
      </c>
      <c r="G167" s="98">
        <f t="shared" si="20"/>
        <v>5.1525606184589599</v>
      </c>
      <c r="H167" s="97" t="s">
        <v>121</v>
      </c>
      <c r="I167" s="97">
        <f t="shared" si="18"/>
        <v>1</v>
      </c>
    </row>
    <row r="168" spans="1:9" x14ac:dyDescent="0.3">
      <c r="A168" s="26">
        <v>24</v>
      </c>
      <c r="B168" s="41">
        <v>1333</v>
      </c>
      <c r="C168" s="23">
        <f t="shared" si="17"/>
        <v>305</v>
      </c>
      <c r="D168" s="41">
        <v>167</v>
      </c>
      <c r="E168" s="41">
        <v>18</v>
      </c>
      <c r="F168" s="94">
        <f xml:space="preserve"> LOG(8.26067158154079)</f>
        <v>0.91701535631566533</v>
      </c>
      <c r="G168" s="98">
        <f t="shared" si="20"/>
        <v>8.2606715815407927</v>
      </c>
      <c r="H168" s="97" t="s">
        <v>121</v>
      </c>
      <c r="I168" s="97">
        <f t="shared" si="18"/>
        <v>1</v>
      </c>
    </row>
    <row r="169" spans="1:9" x14ac:dyDescent="0.3">
      <c r="A169" s="26">
        <v>25</v>
      </c>
      <c r="B169" s="41">
        <v>1724</v>
      </c>
      <c r="C169" s="23">
        <f t="shared" si="17"/>
        <v>391</v>
      </c>
      <c r="D169" s="41">
        <v>265</v>
      </c>
      <c r="E169" s="41">
        <v>26</v>
      </c>
      <c r="F169" s="94">
        <f xml:space="preserve"> LOG(18.9623187999336)</f>
        <v>1.2778914437847697</v>
      </c>
      <c r="G169" s="98">
        <f t="shared" si="20"/>
        <v>18.962318799933605</v>
      </c>
      <c r="H169" s="97" t="s">
        <v>121</v>
      </c>
      <c r="I169" s="97">
        <f t="shared" si="18"/>
        <v>1</v>
      </c>
    </row>
    <row r="170" spans="1:9" x14ac:dyDescent="0.3">
      <c r="A170" s="26">
        <v>26</v>
      </c>
      <c r="B170" s="95">
        <v>2717</v>
      </c>
      <c r="C170" s="23">
        <f t="shared" si="17"/>
        <v>993</v>
      </c>
      <c r="D170" s="95">
        <v>343</v>
      </c>
      <c r="E170" s="95">
        <v>39</v>
      </c>
      <c r="F170" s="94">
        <f xml:space="preserve"> LOG(30.650866274931)</f>
        <v>1.4864427533440203</v>
      </c>
      <c r="G170" s="98">
        <f t="shared" si="20"/>
        <v>30.650866274931008</v>
      </c>
      <c r="H170" s="97" t="s">
        <v>121</v>
      </c>
      <c r="I170" s="97">
        <f t="shared" si="18"/>
        <v>1</v>
      </c>
    </row>
    <row r="171" spans="1:9" x14ac:dyDescent="0.3">
      <c r="A171" s="26">
        <v>27</v>
      </c>
      <c r="B171" s="95">
        <v>3087</v>
      </c>
      <c r="C171" s="23">
        <f t="shared" si="17"/>
        <v>370</v>
      </c>
      <c r="D171" s="95">
        <v>482</v>
      </c>
      <c r="E171" s="95">
        <v>51</v>
      </c>
      <c r="F171" s="93">
        <f xml:space="preserve"> LOG(182.538713727679)</f>
        <v>2.2613549859172566</v>
      </c>
      <c r="G171" s="98">
        <f t="shared" si="20"/>
        <v>182.53871372767907</v>
      </c>
      <c r="H171" s="97" t="s">
        <v>121</v>
      </c>
      <c r="I171" s="97">
        <f t="shared" si="18"/>
        <v>1</v>
      </c>
    </row>
    <row r="172" spans="1:9" x14ac:dyDescent="0.3">
      <c r="A172" s="26">
        <v>29</v>
      </c>
      <c r="B172" s="95">
        <v>2667</v>
      </c>
      <c r="C172" s="23">
        <f t="shared" si="17"/>
        <v>-420</v>
      </c>
      <c r="D172" s="95">
        <v>559</v>
      </c>
      <c r="E172" s="95">
        <v>81</v>
      </c>
      <c r="F172" s="93">
        <f xml:space="preserve"> LOG(101.049783278485)</f>
        <v>2.0045353864207538</v>
      </c>
      <c r="G172" s="98">
        <f t="shared" si="20"/>
        <v>101.04978327848508</v>
      </c>
      <c r="H172" s="97" t="s">
        <v>121</v>
      </c>
      <c r="I172" s="97">
        <f t="shared" si="18"/>
        <v>0</v>
      </c>
    </row>
    <row r="173" spans="1:9" x14ac:dyDescent="0.3">
      <c r="A173" s="26">
        <v>30</v>
      </c>
      <c r="B173" s="99">
        <v>4352</v>
      </c>
      <c r="C173" s="23">
        <f t="shared" si="17"/>
        <v>1685</v>
      </c>
      <c r="D173" s="99">
        <v>584</v>
      </c>
      <c r="E173" s="99">
        <v>106</v>
      </c>
      <c r="F173" s="93">
        <v>1.9419212872686464</v>
      </c>
      <c r="G173" s="98">
        <f t="shared" si="20"/>
        <v>87.482520512172172</v>
      </c>
      <c r="H173" s="97" t="s">
        <v>121</v>
      </c>
      <c r="I173" s="97">
        <f t="shared" si="18"/>
        <v>1</v>
      </c>
    </row>
    <row r="174" spans="1:9" x14ac:dyDescent="0.3">
      <c r="A174" s="26">
        <v>31</v>
      </c>
      <c r="B174" s="99">
        <v>6310</v>
      </c>
      <c r="C174" s="23">
        <f t="shared" si="17"/>
        <v>1958</v>
      </c>
      <c r="D174" s="99">
        <v>739</v>
      </c>
      <c r="E174" s="99">
        <v>149</v>
      </c>
      <c r="F174" s="93">
        <v>2.1257851094317481</v>
      </c>
      <c r="G174" s="98">
        <f t="shared" si="20"/>
        <v>133.59343275731925</v>
      </c>
      <c r="H174" s="97" t="s">
        <v>121</v>
      </c>
      <c r="I174" s="97">
        <f t="shared" si="18"/>
        <v>1</v>
      </c>
    </row>
    <row r="175" spans="1:9" x14ac:dyDescent="0.3">
      <c r="A175" s="26">
        <v>32</v>
      </c>
      <c r="B175" s="99">
        <v>7241</v>
      </c>
      <c r="C175" s="23">
        <f t="shared" si="17"/>
        <v>931</v>
      </c>
      <c r="D175" s="99">
        <v>883</v>
      </c>
      <c r="E175" s="99">
        <v>157</v>
      </c>
      <c r="F175" s="93">
        <v>2.2481734719818856</v>
      </c>
      <c r="G175" s="98">
        <f t="shared" si="20"/>
        <v>177.08161412453174</v>
      </c>
      <c r="H175" s="97" t="s">
        <v>121</v>
      </c>
      <c r="I175" s="97">
        <f t="shared" si="18"/>
        <v>1</v>
      </c>
    </row>
    <row r="176" spans="1:9" x14ac:dyDescent="0.3">
      <c r="A176" s="26">
        <v>33</v>
      </c>
      <c r="B176" s="99">
        <v>9003</v>
      </c>
      <c r="C176" s="23">
        <f t="shared" si="17"/>
        <v>1762</v>
      </c>
      <c r="D176" s="99">
        <v>971</v>
      </c>
      <c r="E176" s="99">
        <v>187</v>
      </c>
      <c r="F176" s="93">
        <v>2.2513966049095324</v>
      </c>
      <c r="G176" s="98">
        <f t="shared" si="20"/>
        <v>178.40072086879195</v>
      </c>
      <c r="H176" s="97" t="s">
        <v>121</v>
      </c>
      <c r="I176" s="97">
        <f t="shared" si="18"/>
        <v>1</v>
      </c>
    </row>
    <row r="177" spans="1:17" x14ac:dyDescent="0.3">
      <c r="A177" s="26">
        <v>34</v>
      </c>
      <c r="B177" s="99">
        <v>6724</v>
      </c>
      <c r="C177" s="23">
        <f t="shared" si="17"/>
        <v>-2279</v>
      </c>
      <c r="D177" s="99">
        <v>881</v>
      </c>
      <c r="E177" s="99">
        <v>192</v>
      </c>
      <c r="F177" s="93">
        <v>1.8457861452812623</v>
      </c>
      <c r="G177" s="98">
        <f t="shared" si="20"/>
        <v>70.110997375176893</v>
      </c>
      <c r="H177" s="97" t="s">
        <v>121</v>
      </c>
      <c r="I177" s="97">
        <f t="shared" si="18"/>
        <v>0</v>
      </c>
    </row>
    <row r="178" spans="1:17" x14ac:dyDescent="0.3">
      <c r="A178" s="26">
        <v>35</v>
      </c>
      <c r="B178" s="99">
        <v>4826</v>
      </c>
      <c r="C178" s="23">
        <f t="shared" si="17"/>
        <v>-1898</v>
      </c>
      <c r="D178" s="99">
        <v>703</v>
      </c>
      <c r="E178" s="99">
        <v>187</v>
      </c>
      <c r="F178" s="93">
        <v>1.6562634158763998</v>
      </c>
      <c r="G178" s="98">
        <f t="shared" si="20"/>
        <v>45.317236258059161</v>
      </c>
      <c r="H178" s="97" t="s">
        <v>121</v>
      </c>
      <c r="I178" s="97">
        <f t="shared" si="18"/>
        <v>0</v>
      </c>
    </row>
    <row r="179" spans="1:17" x14ac:dyDescent="0.3">
      <c r="A179" s="26">
        <v>36</v>
      </c>
      <c r="B179" s="99">
        <v>2853</v>
      </c>
      <c r="C179" s="23">
        <f t="shared" si="17"/>
        <v>-1973</v>
      </c>
      <c r="D179" s="99">
        <v>479</v>
      </c>
      <c r="E179" s="99">
        <v>133</v>
      </c>
      <c r="F179" s="93">
        <v>1.8378684113962098</v>
      </c>
      <c r="G179" s="98">
        <f t="shared" si="20"/>
        <v>68.844367046745489</v>
      </c>
      <c r="H179" s="97" t="s">
        <v>121</v>
      </c>
      <c r="I179" s="97">
        <f t="shared" si="18"/>
        <v>0</v>
      </c>
    </row>
    <row r="180" spans="1:17" x14ac:dyDescent="0.3">
      <c r="A180" s="26">
        <v>37</v>
      </c>
      <c r="B180" s="99">
        <v>1876</v>
      </c>
      <c r="C180" s="23">
        <f t="shared" si="17"/>
        <v>-977</v>
      </c>
      <c r="D180" s="99">
        <v>359</v>
      </c>
      <c r="E180" s="99">
        <v>103</v>
      </c>
      <c r="F180" s="93">
        <v>1.7979040097777559</v>
      </c>
      <c r="G180" s="98">
        <f t="shared" si="20"/>
        <v>62.791955714323102</v>
      </c>
      <c r="H180" s="97" t="s">
        <v>121</v>
      </c>
      <c r="I180" s="97">
        <f t="shared" si="18"/>
        <v>0</v>
      </c>
    </row>
    <row r="181" spans="1:17" x14ac:dyDescent="0.3">
      <c r="A181" s="26">
        <v>38</v>
      </c>
      <c r="B181" s="99">
        <v>961</v>
      </c>
      <c r="C181" s="23">
        <f t="shared" si="17"/>
        <v>-915</v>
      </c>
      <c r="D181" s="99">
        <v>190</v>
      </c>
      <c r="E181" s="99">
        <v>76</v>
      </c>
      <c r="F181" s="103">
        <v>1.2882877924430678</v>
      </c>
      <c r="G181" s="98">
        <f t="shared" si="20"/>
        <v>19.421724640593244</v>
      </c>
      <c r="H181" s="97" t="s">
        <v>121</v>
      </c>
      <c r="I181" s="97">
        <f t="shared" si="18"/>
        <v>0</v>
      </c>
    </row>
    <row r="182" spans="1:17" x14ac:dyDescent="0.3">
      <c r="A182" s="26">
        <v>39</v>
      </c>
      <c r="B182" s="97">
        <v>623</v>
      </c>
      <c r="C182" s="23">
        <f t="shared" si="17"/>
        <v>-338</v>
      </c>
      <c r="D182" s="97">
        <v>149</v>
      </c>
      <c r="E182" s="97">
        <v>44</v>
      </c>
      <c r="F182" s="93">
        <v>2.004091024958957</v>
      </c>
      <c r="G182" s="98">
        <f t="shared" si="20"/>
        <v>100.94644402971082</v>
      </c>
      <c r="H182" s="97" t="s">
        <v>121</v>
      </c>
      <c r="I182" s="97">
        <f t="shared" si="18"/>
        <v>0</v>
      </c>
    </row>
    <row r="183" spans="1:17" x14ac:dyDescent="0.3">
      <c r="A183" s="26">
        <v>40</v>
      </c>
      <c r="B183" s="97">
        <v>406</v>
      </c>
      <c r="C183" s="23">
        <f t="shared" si="17"/>
        <v>-217</v>
      </c>
      <c r="D183" s="97">
        <v>84</v>
      </c>
      <c r="E183" s="97">
        <v>40</v>
      </c>
      <c r="F183" s="93">
        <v>1.3775749940335247</v>
      </c>
      <c r="G183" s="98">
        <f t="shared" si="20"/>
        <v>23.854756841854172</v>
      </c>
      <c r="H183" s="97" t="s">
        <v>121</v>
      </c>
      <c r="I183" s="97">
        <f t="shared" si="18"/>
        <v>0</v>
      </c>
    </row>
    <row r="184" spans="1:17" x14ac:dyDescent="0.3">
      <c r="A184" s="26">
        <v>41</v>
      </c>
      <c r="B184" s="97">
        <v>257</v>
      </c>
      <c r="C184" s="23">
        <f t="shared" si="17"/>
        <v>-149</v>
      </c>
      <c r="D184" s="97">
        <v>44</v>
      </c>
      <c r="E184" s="97">
        <v>22</v>
      </c>
      <c r="F184" s="93">
        <v>0.69752581862193153</v>
      </c>
      <c r="G184" s="98">
        <f t="shared" si="20"/>
        <v>4.9834008119544224</v>
      </c>
      <c r="H184" s="97" t="s">
        <v>121</v>
      </c>
      <c r="I184" s="97">
        <f t="shared" si="18"/>
        <v>0</v>
      </c>
    </row>
    <row r="185" spans="1:17" x14ac:dyDescent="0.3">
      <c r="A185" s="26">
        <v>42</v>
      </c>
      <c r="B185" s="97">
        <v>171</v>
      </c>
      <c r="C185" s="23">
        <f t="shared" si="17"/>
        <v>-86</v>
      </c>
      <c r="D185" s="97">
        <v>29</v>
      </c>
      <c r="E185" s="97">
        <v>13</v>
      </c>
      <c r="F185" s="93">
        <v>-2.0864642147305056E-2</v>
      </c>
      <c r="G185" s="98">
        <f t="shared" si="20"/>
        <v>0.95309317111968994</v>
      </c>
      <c r="H185" s="97" t="s">
        <v>121</v>
      </c>
      <c r="I185" s="97">
        <f t="shared" si="18"/>
        <v>0</v>
      </c>
    </row>
    <row r="186" spans="1:17" s="151" customFormat="1" x14ac:dyDescent="0.3">
      <c r="A186" s="26">
        <v>43</v>
      </c>
      <c r="B186" s="97">
        <v>112</v>
      </c>
      <c r="C186" s="23">
        <f t="shared" si="17"/>
        <v>-59</v>
      </c>
      <c r="D186" s="97"/>
      <c r="E186" s="97"/>
      <c r="F186" s="93">
        <v>1.6196349789796238</v>
      </c>
      <c r="G186" s="98">
        <f>10^F186</f>
        <v>41.651915530769202</v>
      </c>
      <c r="H186" s="97" t="s">
        <v>121</v>
      </c>
      <c r="I186" s="97">
        <f t="shared" si="18"/>
        <v>0</v>
      </c>
      <c r="L186" s="97"/>
      <c r="M186" s="97"/>
      <c r="N186" s="97"/>
      <c r="O186" s="97"/>
      <c r="P186" s="97"/>
      <c r="Q186" s="97"/>
    </row>
    <row r="187" spans="1:17" s="151" customFormat="1" x14ac:dyDescent="0.3">
      <c r="A187" s="26">
        <v>44</v>
      </c>
      <c r="B187" s="97">
        <v>108</v>
      </c>
      <c r="C187" s="23">
        <f t="shared" si="17"/>
        <v>-4</v>
      </c>
      <c r="D187" s="97"/>
      <c r="E187" s="97"/>
      <c r="F187" s="93">
        <v>0.59513578309140058</v>
      </c>
      <c r="G187" s="98">
        <f t="shared" ref="G187:G189" si="21">10^F187</f>
        <v>3.9367313895906726</v>
      </c>
      <c r="H187" s="97" t="s">
        <v>121</v>
      </c>
      <c r="I187" s="97">
        <f t="shared" si="18"/>
        <v>0</v>
      </c>
      <c r="L187" s="97"/>
      <c r="M187" s="97"/>
      <c r="N187" s="97"/>
      <c r="O187" s="97"/>
      <c r="P187" s="97"/>
      <c r="Q187" s="97"/>
    </row>
    <row r="188" spans="1:17" s="151" customFormat="1" x14ac:dyDescent="0.3">
      <c r="A188" s="26">
        <v>45</v>
      </c>
      <c r="B188" s="97">
        <v>72</v>
      </c>
      <c r="C188" s="23">
        <f t="shared" si="17"/>
        <v>-36</v>
      </c>
      <c r="D188" s="97"/>
      <c r="E188" s="97"/>
      <c r="F188" s="93">
        <v>0.51249360551956624</v>
      </c>
      <c r="G188" s="98">
        <f t="shared" si="21"/>
        <v>3.2545699148761984</v>
      </c>
      <c r="H188" s="97" t="s">
        <v>121</v>
      </c>
      <c r="I188" s="97">
        <f t="shared" si="18"/>
        <v>0</v>
      </c>
      <c r="L188" s="97"/>
      <c r="M188" s="97"/>
      <c r="N188" s="97"/>
      <c r="O188" s="97"/>
      <c r="P188" s="97"/>
      <c r="Q188" s="97"/>
    </row>
    <row r="189" spans="1:17" s="151" customFormat="1" x14ac:dyDescent="0.3">
      <c r="A189" s="26">
        <v>46</v>
      </c>
      <c r="B189" s="97">
        <v>79</v>
      </c>
      <c r="C189" s="23">
        <f t="shared" si="17"/>
        <v>7</v>
      </c>
      <c r="D189" s="97"/>
      <c r="E189" s="97"/>
      <c r="F189" s="93">
        <v>0.88989452598817198</v>
      </c>
      <c r="G189" s="98">
        <f t="shared" si="21"/>
        <v>7.7605861790326198</v>
      </c>
      <c r="H189" s="97" t="s">
        <v>121</v>
      </c>
      <c r="I189" s="97">
        <f t="shared" si="18"/>
        <v>1</v>
      </c>
      <c r="L189" s="97"/>
      <c r="M189" s="97"/>
      <c r="N189" s="97"/>
      <c r="O189" s="97"/>
      <c r="P189" s="97"/>
      <c r="Q189" s="97"/>
    </row>
    <row r="190" spans="1:17" x14ac:dyDescent="0.3">
      <c r="A190" s="26">
        <v>8</v>
      </c>
      <c r="B190" s="41">
        <v>375</v>
      </c>
      <c r="C190" s="23">
        <f>B190-B185</f>
        <v>204</v>
      </c>
      <c r="D190" s="41">
        <v>146</v>
      </c>
      <c r="E190" s="41">
        <v>51</v>
      </c>
      <c r="F190" s="93">
        <f xml:space="preserve"> LOG(0.353152274477239)</f>
        <v>-0.45203799233017711</v>
      </c>
      <c r="G190" s="98">
        <f>10^F190</f>
        <v>0.35315227447723901</v>
      </c>
      <c r="H190" s="97" t="s">
        <v>120</v>
      </c>
      <c r="I190" s="97">
        <f t="shared" si="18"/>
        <v>1</v>
      </c>
    </row>
    <row r="191" spans="1:17" x14ac:dyDescent="0.3">
      <c r="A191" s="26">
        <v>12</v>
      </c>
      <c r="B191" s="41">
        <v>145</v>
      </c>
      <c r="C191" s="23">
        <f t="shared" si="17"/>
        <v>-230</v>
      </c>
      <c r="D191" s="41">
        <v>73</v>
      </c>
      <c r="E191" s="41">
        <v>16</v>
      </c>
      <c r="F191" s="93">
        <f xml:space="preserve"> LOG(1.13800890287574)</f>
        <v>5.6145659646647146E-2</v>
      </c>
      <c r="G191" s="98">
        <f t="shared" ref="G191:G218" si="22">10^F191</f>
        <v>1.1380089028757401</v>
      </c>
      <c r="H191" s="97" t="s">
        <v>120</v>
      </c>
      <c r="I191" s="97">
        <f t="shared" si="18"/>
        <v>0</v>
      </c>
    </row>
    <row r="192" spans="1:17" x14ac:dyDescent="0.3">
      <c r="A192" s="26">
        <v>17</v>
      </c>
      <c r="B192" s="41">
        <v>152</v>
      </c>
      <c r="C192" s="23">
        <f t="shared" si="17"/>
        <v>7</v>
      </c>
      <c r="D192" s="41">
        <v>42</v>
      </c>
      <c r="E192" s="41">
        <v>9</v>
      </c>
      <c r="F192" s="94">
        <f xml:space="preserve"> LOG(0.84037250097917)</f>
        <v>-7.5528167199448465E-2</v>
      </c>
      <c r="G192" s="98">
        <f t="shared" si="22"/>
        <v>0.84037250097917005</v>
      </c>
      <c r="H192" s="97" t="s">
        <v>120</v>
      </c>
      <c r="I192" s="97">
        <f t="shared" si="18"/>
        <v>1</v>
      </c>
    </row>
    <row r="193" spans="1:9" x14ac:dyDescent="0.3">
      <c r="A193" s="26">
        <v>21</v>
      </c>
      <c r="B193" s="41">
        <v>351</v>
      </c>
      <c r="C193" s="23">
        <f t="shared" si="17"/>
        <v>199</v>
      </c>
      <c r="D193" s="41">
        <v>90</v>
      </c>
      <c r="E193" s="41">
        <v>9</v>
      </c>
      <c r="F193" s="94">
        <f xml:space="preserve"> LOG(22.7578635118446)</f>
        <v>1.3571314884537562</v>
      </c>
      <c r="G193" s="98">
        <f t="shared" si="22"/>
        <v>22.757863511844604</v>
      </c>
      <c r="H193" s="97" t="s">
        <v>120</v>
      </c>
      <c r="I193" s="97">
        <f t="shared" si="18"/>
        <v>1</v>
      </c>
    </row>
    <row r="194" spans="1:9" x14ac:dyDescent="0.3">
      <c r="A194" s="26">
        <v>22</v>
      </c>
      <c r="B194" s="41">
        <v>426</v>
      </c>
      <c r="C194" s="23">
        <f t="shared" si="17"/>
        <v>75</v>
      </c>
      <c r="D194" s="41">
        <v>86</v>
      </c>
      <c r="E194" s="41">
        <v>23</v>
      </c>
      <c r="F194" s="94">
        <f xml:space="preserve"> LOG(17.8850633757455)</f>
        <v>1.2524904834107804</v>
      </c>
      <c r="G194" s="98">
        <f t="shared" si="22"/>
        <v>17.885063375745503</v>
      </c>
      <c r="H194" s="97" t="s">
        <v>120</v>
      </c>
      <c r="I194" s="97">
        <f t="shared" si="18"/>
        <v>1</v>
      </c>
    </row>
    <row r="195" spans="1:9" x14ac:dyDescent="0.3">
      <c r="A195" s="26">
        <v>23</v>
      </c>
      <c r="B195" s="41">
        <v>1028</v>
      </c>
      <c r="C195" s="23">
        <f t="shared" si="17"/>
        <v>602</v>
      </c>
      <c r="D195" s="41">
        <v>154</v>
      </c>
      <c r="E195" s="41">
        <v>23</v>
      </c>
      <c r="F195" s="94">
        <f xml:space="preserve"> LOG(32.0589177462519)</f>
        <v>1.5059488572332163</v>
      </c>
      <c r="G195" s="98">
        <f t="shared" si="22"/>
        <v>32.058917746251922</v>
      </c>
      <c r="H195" s="97" t="s">
        <v>120</v>
      </c>
      <c r="I195" s="97">
        <f t="shared" si="18"/>
        <v>1</v>
      </c>
    </row>
    <row r="196" spans="1:9" x14ac:dyDescent="0.3">
      <c r="A196" s="26">
        <v>24</v>
      </c>
      <c r="B196" s="41">
        <v>1333</v>
      </c>
      <c r="C196" s="23">
        <f t="shared" si="17"/>
        <v>305</v>
      </c>
      <c r="D196" s="41">
        <v>167</v>
      </c>
      <c r="E196" s="41">
        <v>18</v>
      </c>
      <c r="F196" s="94">
        <f xml:space="preserve"> LOG(70.4958049618468)</f>
        <v>1.848163273925751</v>
      </c>
      <c r="G196" s="98">
        <f t="shared" si="22"/>
        <v>70.495804961846815</v>
      </c>
      <c r="H196" s="97" t="s">
        <v>120</v>
      </c>
      <c r="I196" s="97">
        <f t="shared" si="18"/>
        <v>1</v>
      </c>
    </row>
    <row r="197" spans="1:9" x14ac:dyDescent="0.3">
      <c r="A197" s="26">
        <v>25</v>
      </c>
      <c r="B197" s="41">
        <v>1724</v>
      </c>
      <c r="C197" s="23">
        <f t="shared" si="17"/>
        <v>391</v>
      </c>
      <c r="D197" s="41">
        <v>265</v>
      </c>
      <c r="E197" s="41">
        <v>26</v>
      </c>
      <c r="F197" s="94">
        <f xml:space="preserve"> LOG(25.3381923753388)</f>
        <v>1.4037756291181627</v>
      </c>
      <c r="G197" s="98">
        <f t="shared" si="22"/>
        <v>25.338192375338807</v>
      </c>
      <c r="H197" s="97" t="s">
        <v>120</v>
      </c>
      <c r="I197" s="97">
        <f t="shared" si="18"/>
        <v>1</v>
      </c>
    </row>
    <row r="198" spans="1:9" x14ac:dyDescent="0.3">
      <c r="A198" s="26">
        <v>26</v>
      </c>
      <c r="B198" s="95">
        <v>2717</v>
      </c>
      <c r="C198" s="23">
        <f t="shared" si="17"/>
        <v>993</v>
      </c>
      <c r="D198" s="95">
        <v>343</v>
      </c>
      <c r="E198" s="95">
        <v>39</v>
      </c>
      <c r="F198" s="94">
        <f xml:space="preserve"> LOG(37.5105677818765)</f>
        <v>1.5741536379355709</v>
      </c>
      <c r="G198" s="98">
        <f t="shared" si="22"/>
        <v>37.51056778187651</v>
      </c>
      <c r="H198" s="97" t="s">
        <v>120</v>
      </c>
      <c r="I198" s="97">
        <f t="shared" si="18"/>
        <v>1</v>
      </c>
    </row>
    <row r="199" spans="1:9" x14ac:dyDescent="0.3">
      <c r="A199" s="26">
        <v>27</v>
      </c>
      <c r="B199" s="95">
        <v>3087</v>
      </c>
      <c r="C199" s="23">
        <f t="shared" si="17"/>
        <v>370</v>
      </c>
      <c r="D199" s="95">
        <v>482</v>
      </c>
      <c r="E199" s="95">
        <v>51</v>
      </c>
      <c r="F199" s="93">
        <f>LOG(55.381930604273)</f>
        <v>1.7433680911020117</v>
      </c>
      <c r="G199" s="98">
        <f t="shared" si="22"/>
        <v>55.381930604273052</v>
      </c>
      <c r="H199" s="97" t="s">
        <v>120</v>
      </c>
      <c r="I199" s="97">
        <f t="shared" si="18"/>
        <v>1</v>
      </c>
    </row>
    <row r="200" spans="1:9" x14ac:dyDescent="0.3">
      <c r="A200" s="26">
        <v>29</v>
      </c>
      <c r="B200" s="95">
        <v>2667</v>
      </c>
      <c r="C200" s="23">
        <f t="shared" si="17"/>
        <v>-420</v>
      </c>
      <c r="D200" s="95">
        <v>559</v>
      </c>
      <c r="E200" s="95">
        <v>81</v>
      </c>
      <c r="F200" s="93">
        <f xml:space="preserve"> LOG(287.990900934959)</f>
        <v>2.4593787664531073</v>
      </c>
      <c r="G200" s="98">
        <f t="shared" si="22"/>
        <v>287.99090093495937</v>
      </c>
      <c r="H200" s="97" t="s">
        <v>120</v>
      </c>
      <c r="I200" s="97">
        <f t="shared" si="18"/>
        <v>0</v>
      </c>
    </row>
    <row r="201" spans="1:9" x14ac:dyDescent="0.3">
      <c r="A201" s="26">
        <v>30</v>
      </c>
      <c r="B201" s="99">
        <v>4352</v>
      </c>
      <c r="C201" s="23">
        <f t="shared" si="17"/>
        <v>1685</v>
      </c>
      <c r="D201" s="99">
        <v>584</v>
      </c>
      <c r="E201" s="99">
        <v>106</v>
      </c>
      <c r="F201" s="93">
        <v>2.405608102499901</v>
      </c>
      <c r="G201" s="98">
        <f t="shared" si="22"/>
        <v>254.45330872827677</v>
      </c>
      <c r="H201" s="97" t="s">
        <v>120</v>
      </c>
      <c r="I201" s="97">
        <f t="shared" si="18"/>
        <v>1</v>
      </c>
    </row>
    <row r="202" spans="1:9" x14ac:dyDescent="0.3">
      <c r="A202" s="26">
        <v>31</v>
      </c>
      <c r="B202" s="99">
        <v>6310</v>
      </c>
      <c r="C202" s="23">
        <f t="shared" si="17"/>
        <v>1958</v>
      </c>
      <c r="D202" s="99">
        <v>739</v>
      </c>
      <c r="E202" s="99">
        <v>149</v>
      </c>
      <c r="F202" s="93">
        <v>2.3622047938543083</v>
      </c>
      <c r="G202" s="98">
        <f t="shared" si="22"/>
        <v>230.25273303596339</v>
      </c>
      <c r="H202" s="97" t="s">
        <v>120</v>
      </c>
      <c r="I202" s="97">
        <f t="shared" si="18"/>
        <v>1</v>
      </c>
    </row>
    <row r="203" spans="1:9" x14ac:dyDescent="0.3">
      <c r="A203" s="26">
        <v>32</v>
      </c>
      <c r="B203" s="99">
        <v>7241</v>
      </c>
      <c r="C203" s="23">
        <f t="shared" si="17"/>
        <v>931</v>
      </c>
      <c r="D203" s="99">
        <v>883</v>
      </c>
      <c r="E203" s="99">
        <v>157</v>
      </c>
      <c r="F203" s="93">
        <v>2.377677048067357</v>
      </c>
      <c r="G203" s="98">
        <f t="shared" si="22"/>
        <v>238.60363084442761</v>
      </c>
      <c r="H203" s="97" t="s">
        <v>120</v>
      </c>
      <c r="I203" s="97">
        <f t="shared" si="18"/>
        <v>1</v>
      </c>
    </row>
    <row r="204" spans="1:9" x14ac:dyDescent="0.3">
      <c r="A204" s="26">
        <v>33</v>
      </c>
      <c r="B204" s="99">
        <v>9003</v>
      </c>
      <c r="C204" s="23">
        <f t="shared" si="17"/>
        <v>1762</v>
      </c>
      <c r="D204" s="99">
        <v>971</v>
      </c>
      <c r="E204" s="99">
        <v>187</v>
      </c>
      <c r="F204" s="93">
        <v>2.1471310793715412</v>
      </c>
      <c r="G204" s="98">
        <f t="shared" si="22"/>
        <v>140.32371676698031</v>
      </c>
      <c r="H204" s="97" t="s">
        <v>120</v>
      </c>
      <c r="I204" s="97">
        <f t="shared" si="18"/>
        <v>1</v>
      </c>
    </row>
    <row r="205" spans="1:9" x14ac:dyDescent="0.3">
      <c r="A205" s="26">
        <v>34</v>
      </c>
      <c r="B205" s="99">
        <v>6724</v>
      </c>
      <c r="C205" s="23">
        <f t="shared" si="17"/>
        <v>-2279</v>
      </c>
      <c r="D205" s="99">
        <v>881</v>
      </c>
      <c r="E205" s="99">
        <v>192</v>
      </c>
      <c r="F205" s="93">
        <v>1.8926221097436506</v>
      </c>
      <c r="G205" s="98">
        <f t="shared" si="22"/>
        <v>78.094798691418731</v>
      </c>
      <c r="H205" s="97" t="s">
        <v>120</v>
      </c>
      <c r="I205" s="97">
        <f t="shared" si="18"/>
        <v>0</v>
      </c>
    </row>
    <row r="206" spans="1:9" x14ac:dyDescent="0.3">
      <c r="A206" s="26">
        <v>35</v>
      </c>
      <c r="B206" s="99">
        <v>4826</v>
      </c>
      <c r="C206" s="23">
        <f t="shared" si="17"/>
        <v>-1898</v>
      </c>
      <c r="D206" s="99">
        <v>703</v>
      </c>
      <c r="E206" s="99">
        <v>187</v>
      </c>
      <c r="F206" s="93">
        <v>2.2193337247873464</v>
      </c>
      <c r="G206" s="98">
        <f t="shared" si="22"/>
        <v>165.70427952980509</v>
      </c>
      <c r="H206" s="97" t="s">
        <v>120</v>
      </c>
      <c r="I206" s="97">
        <f t="shared" si="18"/>
        <v>0</v>
      </c>
    </row>
    <row r="207" spans="1:9" x14ac:dyDescent="0.3">
      <c r="A207" s="26">
        <v>36</v>
      </c>
      <c r="B207" s="99">
        <v>2853</v>
      </c>
      <c r="C207" s="23">
        <f t="shared" si="17"/>
        <v>-1973</v>
      </c>
      <c r="D207" s="99">
        <v>479</v>
      </c>
      <c r="E207" s="99">
        <v>133</v>
      </c>
      <c r="F207" s="93">
        <v>1.8307293348734353</v>
      </c>
      <c r="G207" s="98">
        <f t="shared" si="22"/>
        <v>67.721931301817662</v>
      </c>
      <c r="H207" s="97" t="s">
        <v>120</v>
      </c>
      <c r="I207" s="97">
        <f t="shared" si="18"/>
        <v>0</v>
      </c>
    </row>
    <row r="208" spans="1:9" x14ac:dyDescent="0.3">
      <c r="A208" s="26">
        <v>37</v>
      </c>
      <c r="B208" s="99">
        <v>1876</v>
      </c>
      <c r="C208" s="23">
        <f t="shared" si="17"/>
        <v>-977</v>
      </c>
      <c r="D208" s="99">
        <v>359</v>
      </c>
      <c r="E208" s="99">
        <v>103</v>
      </c>
      <c r="F208" s="93">
        <v>1.1035135865435559</v>
      </c>
      <c r="G208" s="98">
        <f t="shared" si="22"/>
        <v>12.69151848189685</v>
      </c>
      <c r="H208" s="97" t="s">
        <v>120</v>
      </c>
      <c r="I208" s="97">
        <f t="shared" si="18"/>
        <v>0</v>
      </c>
    </row>
    <row r="209" spans="1:9" x14ac:dyDescent="0.3">
      <c r="A209" s="26">
        <v>38</v>
      </c>
      <c r="B209" s="99">
        <v>961</v>
      </c>
      <c r="C209" s="23">
        <f t="shared" si="17"/>
        <v>-915</v>
      </c>
      <c r="D209" s="99">
        <v>190</v>
      </c>
      <c r="E209" s="99">
        <v>76</v>
      </c>
      <c r="F209" s="103">
        <v>1.1391208158314403</v>
      </c>
      <c r="G209" s="98">
        <f t="shared" si="22"/>
        <v>13.77592646345801</v>
      </c>
      <c r="H209" s="97" t="s">
        <v>120</v>
      </c>
      <c r="I209" s="97">
        <f t="shared" si="18"/>
        <v>0</v>
      </c>
    </row>
    <row r="210" spans="1:9" x14ac:dyDescent="0.3">
      <c r="A210" s="26">
        <v>39</v>
      </c>
      <c r="B210" s="97">
        <v>623</v>
      </c>
      <c r="C210" s="23">
        <f t="shared" si="17"/>
        <v>-338</v>
      </c>
      <c r="D210" s="97">
        <v>149</v>
      </c>
      <c r="E210" s="97">
        <v>44</v>
      </c>
      <c r="F210" s="93">
        <v>1.567342556350541</v>
      </c>
      <c r="G210" s="98">
        <f t="shared" si="22"/>
        <v>36.926875004963023</v>
      </c>
      <c r="H210" s="97" t="s">
        <v>120</v>
      </c>
      <c r="I210" s="97">
        <f t="shared" si="18"/>
        <v>0</v>
      </c>
    </row>
    <row r="211" spans="1:9" x14ac:dyDescent="0.3">
      <c r="A211" s="26">
        <v>40</v>
      </c>
      <c r="B211" s="97">
        <v>406</v>
      </c>
      <c r="C211" s="23">
        <f t="shared" si="17"/>
        <v>-217</v>
      </c>
      <c r="D211" s="97">
        <v>84</v>
      </c>
      <c r="E211" s="97">
        <v>40</v>
      </c>
      <c r="F211" s="93">
        <v>1.1528871297096088</v>
      </c>
      <c r="G211" s="98">
        <f t="shared" si="22"/>
        <v>14.219591812211645</v>
      </c>
      <c r="H211" s="97" t="s">
        <v>120</v>
      </c>
      <c r="I211" s="97">
        <f t="shared" si="18"/>
        <v>0</v>
      </c>
    </row>
    <row r="212" spans="1:9" x14ac:dyDescent="0.3">
      <c r="A212" s="26">
        <v>41</v>
      </c>
      <c r="B212" s="97">
        <v>257</v>
      </c>
      <c r="C212" s="23">
        <f t="shared" si="17"/>
        <v>-149</v>
      </c>
      <c r="D212" s="97">
        <v>44</v>
      </c>
      <c r="E212" s="97">
        <v>22</v>
      </c>
      <c r="F212" s="93">
        <v>1.2664757392918575</v>
      </c>
      <c r="G212" s="98">
        <f t="shared" si="22"/>
        <v>18.470376121754555</v>
      </c>
      <c r="H212" s="97" t="s">
        <v>120</v>
      </c>
      <c r="I212" s="97">
        <f t="shared" si="18"/>
        <v>0</v>
      </c>
    </row>
    <row r="213" spans="1:9" x14ac:dyDescent="0.3">
      <c r="A213" s="26">
        <v>42</v>
      </c>
      <c r="B213" s="97">
        <v>171</v>
      </c>
      <c r="C213" s="23">
        <f t="shared" si="17"/>
        <v>-86</v>
      </c>
      <c r="D213" s="97">
        <v>29</v>
      </c>
      <c r="E213" s="97">
        <v>13</v>
      </c>
      <c r="F213" s="93">
        <v>1.1251944785839401</v>
      </c>
      <c r="G213" s="98">
        <f t="shared" si="22"/>
        <v>13.341187214364815</v>
      </c>
      <c r="H213" s="97" t="s">
        <v>120</v>
      </c>
      <c r="I213" s="97">
        <f t="shared" si="18"/>
        <v>0</v>
      </c>
    </row>
    <row r="214" spans="1:9" x14ac:dyDescent="0.3">
      <c r="A214" s="26">
        <v>43</v>
      </c>
      <c r="B214" s="97">
        <v>112</v>
      </c>
      <c r="C214" s="23">
        <f t="shared" si="17"/>
        <v>-59</v>
      </c>
      <c r="D214" s="97"/>
      <c r="E214" s="97"/>
      <c r="F214" s="93">
        <v>1.2123002986161826</v>
      </c>
      <c r="G214" s="98">
        <f t="shared" si="22"/>
        <v>16.304230203433917</v>
      </c>
      <c r="H214" s="97" t="s">
        <v>120</v>
      </c>
      <c r="I214" s="97">
        <f t="shared" si="18"/>
        <v>0</v>
      </c>
    </row>
    <row r="215" spans="1:9" x14ac:dyDescent="0.3">
      <c r="A215" s="26">
        <v>44</v>
      </c>
      <c r="B215" s="97">
        <v>108</v>
      </c>
      <c r="C215" s="23">
        <f t="shared" si="17"/>
        <v>-4</v>
      </c>
      <c r="D215" s="97"/>
      <c r="E215" s="97"/>
      <c r="F215" s="93">
        <v>1.0053228771273917</v>
      </c>
      <c r="G215" s="98">
        <f t="shared" si="22"/>
        <v>10.123317947193065</v>
      </c>
      <c r="H215" s="97" t="s">
        <v>120</v>
      </c>
      <c r="I215" s="97">
        <f t="shared" si="18"/>
        <v>0</v>
      </c>
    </row>
    <row r="216" spans="1:9" x14ac:dyDescent="0.3">
      <c r="A216" s="26">
        <v>45</v>
      </c>
      <c r="B216" s="97">
        <v>72</v>
      </c>
      <c r="C216" s="23">
        <f t="shared" si="17"/>
        <v>-36</v>
      </c>
      <c r="D216" s="97"/>
      <c r="E216" s="97"/>
      <c r="F216" s="93">
        <v>1.1319105382712777</v>
      </c>
      <c r="G216" s="98">
        <f t="shared" si="22"/>
        <v>13.549102812397241</v>
      </c>
      <c r="H216" s="97" t="s">
        <v>120</v>
      </c>
      <c r="I216" s="97">
        <f t="shared" si="18"/>
        <v>0</v>
      </c>
    </row>
    <row r="217" spans="1:9" x14ac:dyDescent="0.3">
      <c r="A217" s="26">
        <v>46</v>
      </c>
      <c r="B217" s="97">
        <v>79</v>
      </c>
      <c r="C217" s="23">
        <f t="shared" si="17"/>
        <v>7</v>
      </c>
      <c r="D217" s="97"/>
      <c r="E217" s="97"/>
      <c r="F217" s="93">
        <v>1.690268528648883</v>
      </c>
      <c r="G217" s="98">
        <f t="shared" si="22"/>
        <v>49.0081748183893</v>
      </c>
      <c r="H217" s="97" t="s">
        <v>120</v>
      </c>
      <c r="I217" s="97">
        <f t="shared" si="18"/>
        <v>1</v>
      </c>
    </row>
    <row r="218" spans="1:9" x14ac:dyDescent="0.3">
      <c r="A218" s="26">
        <v>47</v>
      </c>
      <c r="B218" s="97">
        <v>74</v>
      </c>
      <c r="C218" s="23">
        <f t="shared" si="17"/>
        <v>-5</v>
      </c>
      <c r="D218" s="97"/>
      <c r="E218" s="97"/>
      <c r="F218" s="93">
        <v>1.4674832217320122</v>
      </c>
      <c r="G218" s="98">
        <f t="shared" si="22"/>
        <v>29.341561453683045</v>
      </c>
      <c r="H218" s="97" t="s">
        <v>120</v>
      </c>
      <c r="I218" s="97">
        <f t="shared" si="18"/>
        <v>0</v>
      </c>
    </row>
    <row r="219" spans="1:9" x14ac:dyDescent="0.3">
      <c r="A219" s="41">
        <v>11</v>
      </c>
      <c r="B219" s="26">
        <v>182</v>
      </c>
      <c r="C219" s="23">
        <f>B219-B213</f>
        <v>11</v>
      </c>
      <c r="D219" s="26">
        <v>60</v>
      </c>
      <c r="E219" s="26">
        <v>8</v>
      </c>
      <c r="F219" s="93">
        <f xml:space="preserve"> LOG(4.86143267884546)</f>
        <v>0.68676427601643797</v>
      </c>
      <c r="G219" s="98">
        <f>10^F219</f>
        <v>4.8614326788454596</v>
      </c>
      <c r="H219" s="97" t="s">
        <v>119</v>
      </c>
      <c r="I219" s="97">
        <f t="shared" si="18"/>
        <v>1</v>
      </c>
    </row>
    <row r="220" spans="1:9" x14ac:dyDescent="0.3">
      <c r="A220" s="41">
        <v>16</v>
      </c>
      <c r="B220" s="26">
        <v>532</v>
      </c>
      <c r="C220" s="23">
        <f t="shared" si="17"/>
        <v>350</v>
      </c>
      <c r="D220" s="26">
        <v>153</v>
      </c>
      <c r="E220" s="26">
        <v>21</v>
      </c>
      <c r="F220" s="94">
        <f xml:space="preserve"> LOG(16.9657383646284)</f>
        <v>1.229572765290053</v>
      </c>
      <c r="G220" s="98">
        <f t="shared" ref="G220:G247" si="23">10^F220</f>
        <v>16.965738364628404</v>
      </c>
      <c r="H220" s="97" t="s">
        <v>119</v>
      </c>
      <c r="I220" s="97">
        <f t="shared" si="18"/>
        <v>1</v>
      </c>
    </row>
    <row r="221" spans="1:9" x14ac:dyDescent="0.3">
      <c r="A221" s="41">
        <v>21</v>
      </c>
      <c r="B221" s="26">
        <v>1350</v>
      </c>
      <c r="C221" s="23">
        <f t="shared" si="17"/>
        <v>818</v>
      </c>
      <c r="D221" s="26">
        <v>330</v>
      </c>
      <c r="E221" s="26">
        <v>83</v>
      </c>
      <c r="F221" s="94">
        <f xml:space="preserve"> LOG(24.7018848146711)</f>
        <v>1.3927300922629462</v>
      </c>
      <c r="G221" s="98">
        <f t="shared" si="23"/>
        <v>24.701884814671111</v>
      </c>
      <c r="H221" s="97" t="s">
        <v>119</v>
      </c>
      <c r="I221" s="97">
        <f t="shared" si="18"/>
        <v>1</v>
      </c>
    </row>
    <row r="222" spans="1:9" x14ac:dyDescent="0.3">
      <c r="A222" s="41">
        <v>22</v>
      </c>
      <c r="B222" s="26">
        <v>1188</v>
      </c>
      <c r="C222" s="23">
        <f t="shared" si="17"/>
        <v>-162</v>
      </c>
      <c r="D222" s="26">
        <v>274</v>
      </c>
      <c r="E222" s="26">
        <v>68</v>
      </c>
      <c r="F222" s="94">
        <f xml:space="preserve"> LOG(18.1810807208626)</f>
        <v>1.2596196950112089</v>
      </c>
      <c r="G222" s="98">
        <f t="shared" si="23"/>
        <v>18.181080720862603</v>
      </c>
      <c r="H222" s="97" t="s">
        <v>119</v>
      </c>
      <c r="I222" s="97">
        <f t="shared" si="18"/>
        <v>0</v>
      </c>
    </row>
    <row r="223" spans="1:9" x14ac:dyDescent="0.3">
      <c r="A223" s="41">
        <v>23</v>
      </c>
      <c r="B223" s="26">
        <v>1222</v>
      </c>
      <c r="C223" s="23">
        <f t="shared" si="17"/>
        <v>34</v>
      </c>
      <c r="D223" s="26">
        <v>256</v>
      </c>
      <c r="E223" s="26">
        <v>66</v>
      </c>
      <c r="F223" s="94">
        <f xml:space="preserve"> LOG(37.1344454434453)</f>
        <v>1.5697769426544728</v>
      </c>
      <c r="G223" s="98">
        <f t="shared" si="23"/>
        <v>37.13444544344533</v>
      </c>
      <c r="H223" s="97" t="s">
        <v>119</v>
      </c>
      <c r="I223" s="97">
        <f t="shared" si="18"/>
        <v>1</v>
      </c>
    </row>
    <row r="224" spans="1:9" x14ac:dyDescent="0.3">
      <c r="A224" s="41">
        <v>24</v>
      </c>
      <c r="B224" s="26">
        <v>1121</v>
      </c>
      <c r="C224" s="23">
        <f t="shared" si="17"/>
        <v>-101</v>
      </c>
      <c r="D224" s="26">
        <v>243</v>
      </c>
      <c r="E224" s="26">
        <v>64</v>
      </c>
      <c r="F224" s="94">
        <f xml:space="preserve"> LOG(2.9669890598375)</f>
        <v>0.47231594494813123</v>
      </c>
      <c r="G224" s="98">
        <f t="shared" si="23"/>
        <v>2.9669890598375006</v>
      </c>
      <c r="H224" s="97" t="s">
        <v>119</v>
      </c>
      <c r="I224" s="97">
        <f t="shared" si="18"/>
        <v>0</v>
      </c>
    </row>
    <row r="225" spans="1:9" x14ac:dyDescent="0.3">
      <c r="A225" s="41">
        <v>25</v>
      </c>
      <c r="B225" s="26">
        <v>947</v>
      </c>
      <c r="C225" s="23">
        <f t="shared" si="17"/>
        <v>-174</v>
      </c>
      <c r="D225" s="26">
        <v>218</v>
      </c>
      <c r="E225" s="26">
        <v>60</v>
      </c>
      <c r="F225" s="94">
        <f>LOG(86.5639776599649)</f>
        <v>1.9373372042791743</v>
      </c>
      <c r="G225" s="98">
        <f t="shared" si="23"/>
        <v>86.563977659964934</v>
      </c>
      <c r="H225" s="97" t="s">
        <v>119</v>
      </c>
      <c r="I225" s="97">
        <f t="shared" si="18"/>
        <v>0</v>
      </c>
    </row>
    <row r="226" spans="1:9" x14ac:dyDescent="0.3">
      <c r="A226" s="41">
        <v>26</v>
      </c>
      <c r="B226" s="97">
        <v>1030</v>
      </c>
      <c r="C226" s="23">
        <f t="shared" si="17"/>
        <v>83</v>
      </c>
      <c r="D226" s="97">
        <v>194</v>
      </c>
      <c r="E226" s="97">
        <v>58</v>
      </c>
      <c r="F226" s="94">
        <f xml:space="preserve"> LOG(32.8613471011726)</f>
        <v>1.5166853627087287</v>
      </c>
      <c r="G226" s="98">
        <f t="shared" si="23"/>
        <v>32.861347101172598</v>
      </c>
      <c r="H226" s="97" t="s">
        <v>119</v>
      </c>
      <c r="I226" s="97">
        <f t="shared" si="18"/>
        <v>1</v>
      </c>
    </row>
    <row r="227" spans="1:9" x14ac:dyDescent="0.3">
      <c r="A227" s="41">
        <v>27</v>
      </c>
      <c r="B227" s="96">
        <v>923</v>
      </c>
      <c r="C227" s="23">
        <f t="shared" si="17"/>
        <v>-107</v>
      </c>
      <c r="D227" s="95">
        <v>238</v>
      </c>
      <c r="E227" s="95">
        <v>45</v>
      </c>
      <c r="F227" s="93">
        <f xml:space="preserve"> LOG(70.976160010513)</f>
        <v>1.8511124992189989</v>
      </c>
      <c r="G227" s="98">
        <f t="shared" si="23"/>
        <v>70.976160010513041</v>
      </c>
      <c r="H227" s="97" t="s">
        <v>119</v>
      </c>
      <c r="I227" s="97">
        <f t="shared" si="18"/>
        <v>0</v>
      </c>
    </row>
    <row r="228" spans="1:9" x14ac:dyDescent="0.3">
      <c r="A228" s="41">
        <v>28</v>
      </c>
      <c r="B228" s="96">
        <v>877</v>
      </c>
      <c r="C228" s="23">
        <f t="shared" si="17"/>
        <v>-46</v>
      </c>
      <c r="D228" s="95">
        <v>209</v>
      </c>
      <c r="E228" s="95">
        <v>54</v>
      </c>
      <c r="F228" s="93">
        <f xml:space="preserve"> LOG(95.8025017563178)</f>
        <v>1.9813768502557627</v>
      </c>
      <c r="G228" s="98">
        <f t="shared" si="23"/>
        <v>95.802501756317824</v>
      </c>
      <c r="H228" s="97" t="s">
        <v>119</v>
      </c>
      <c r="I228" s="97">
        <f t="shared" si="18"/>
        <v>0</v>
      </c>
    </row>
    <row r="229" spans="1:9" x14ac:dyDescent="0.3">
      <c r="A229" s="41">
        <v>29</v>
      </c>
      <c r="B229" s="96">
        <v>809</v>
      </c>
      <c r="C229" s="23">
        <f t="shared" si="17"/>
        <v>-68</v>
      </c>
      <c r="D229" s="95">
        <v>186</v>
      </c>
      <c r="E229" s="95">
        <v>52</v>
      </c>
      <c r="F229" s="93">
        <f xml:space="preserve"> LOG(3.15626482574307)</f>
        <v>0.4991734354542719</v>
      </c>
      <c r="G229" s="98">
        <f t="shared" si="23"/>
        <v>3.1562648257430701</v>
      </c>
      <c r="H229" s="97" t="s">
        <v>119</v>
      </c>
      <c r="I229" s="97">
        <f t="shared" si="18"/>
        <v>0</v>
      </c>
    </row>
    <row r="230" spans="1:9" x14ac:dyDescent="0.3">
      <c r="A230" s="41">
        <v>30</v>
      </c>
      <c r="B230" s="96">
        <v>955</v>
      </c>
      <c r="C230" s="23">
        <f t="shared" si="17"/>
        <v>146</v>
      </c>
      <c r="D230" s="95">
        <v>205</v>
      </c>
      <c r="E230" s="95">
        <v>48</v>
      </c>
      <c r="F230" s="93">
        <v>0.42302707938992756</v>
      </c>
      <c r="G230" s="98">
        <f t="shared" si="23"/>
        <v>2.6486652846239047</v>
      </c>
      <c r="H230" s="97" t="s">
        <v>119</v>
      </c>
      <c r="I230" s="97">
        <f t="shared" si="18"/>
        <v>1</v>
      </c>
    </row>
    <row r="231" spans="1:9" x14ac:dyDescent="0.3">
      <c r="A231" s="41">
        <v>31</v>
      </c>
      <c r="B231" s="97">
        <v>1200</v>
      </c>
      <c r="C231" s="23">
        <f t="shared" si="17"/>
        <v>245</v>
      </c>
      <c r="D231" s="99">
        <v>226</v>
      </c>
      <c r="E231" s="99">
        <v>42</v>
      </c>
      <c r="F231" s="93">
        <v>0.50425258195309419</v>
      </c>
      <c r="G231" s="98">
        <f t="shared" si="23"/>
        <v>3.1933945660688443</v>
      </c>
      <c r="H231" s="97" t="s">
        <v>119</v>
      </c>
      <c r="I231" s="97">
        <f t="shared" si="18"/>
        <v>1</v>
      </c>
    </row>
    <row r="232" spans="1:9" x14ac:dyDescent="0.3">
      <c r="A232" s="41">
        <v>32</v>
      </c>
      <c r="B232" s="97">
        <v>1490</v>
      </c>
      <c r="C232" s="23">
        <f t="shared" ref="C232:C305" si="24">B232-B231</f>
        <v>290</v>
      </c>
      <c r="D232" s="99">
        <v>214</v>
      </c>
      <c r="E232" s="99">
        <v>48</v>
      </c>
      <c r="F232" s="93">
        <v>-4.8176666707801477E-2</v>
      </c>
      <c r="G232" s="98">
        <f t="shared" si="23"/>
        <v>0.89500061407381182</v>
      </c>
      <c r="H232" s="97" t="s">
        <v>119</v>
      </c>
      <c r="I232" s="97">
        <f t="shared" ref="I232:I305" si="25">IF(C232&gt;0, 1,0)</f>
        <v>1</v>
      </c>
    </row>
    <row r="233" spans="1:9" x14ac:dyDescent="0.3">
      <c r="A233" s="41">
        <v>33</v>
      </c>
      <c r="B233" s="96">
        <v>1916</v>
      </c>
      <c r="C233" s="23">
        <f t="shared" si="24"/>
        <v>426</v>
      </c>
      <c r="D233" s="95">
        <v>272</v>
      </c>
      <c r="E233" s="95">
        <v>48</v>
      </c>
      <c r="F233" s="93">
        <v>1.7459816272643751</v>
      </c>
      <c r="G233" s="98">
        <f t="shared" si="23"/>
        <v>55.71621778059982</v>
      </c>
      <c r="H233" s="97" t="s">
        <v>119</v>
      </c>
      <c r="I233" s="97">
        <f t="shared" si="25"/>
        <v>1</v>
      </c>
    </row>
    <row r="234" spans="1:9" x14ac:dyDescent="0.3">
      <c r="A234" s="41">
        <v>34</v>
      </c>
      <c r="B234" s="97">
        <v>1965</v>
      </c>
      <c r="C234" s="23">
        <f t="shared" si="24"/>
        <v>49</v>
      </c>
      <c r="D234" s="99">
        <v>278</v>
      </c>
      <c r="E234" s="99">
        <v>43</v>
      </c>
      <c r="F234" s="93">
        <v>1.8461018065408126</v>
      </c>
      <c r="G234" s="98">
        <f t="shared" si="23"/>
        <v>70.161975159937072</v>
      </c>
      <c r="H234" s="97" t="s">
        <v>119</v>
      </c>
      <c r="I234" s="97">
        <f t="shared" si="25"/>
        <v>1</v>
      </c>
    </row>
    <row r="235" spans="1:9" x14ac:dyDescent="0.3">
      <c r="A235" s="41">
        <v>35</v>
      </c>
      <c r="B235" s="97">
        <v>1539</v>
      </c>
      <c r="C235" s="23">
        <f t="shared" si="24"/>
        <v>-426</v>
      </c>
      <c r="D235" s="99">
        <v>260</v>
      </c>
      <c r="E235" s="99">
        <v>32</v>
      </c>
      <c r="F235" s="93">
        <v>1.8564243791124495</v>
      </c>
      <c r="G235" s="98">
        <f t="shared" si="23"/>
        <v>71.849604042208966</v>
      </c>
      <c r="H235" s="97" t="s">
        <v>119</v>
      </c>
      <c r="I235" s="97">
        <f t="shared" si="25"/>
        <v>0</v>
      </c>
    </row>
    <row r="236" spans="1:9" x14ac:dyDescent="0.3">
      <c r="A236" s="41">
        <v>36</v>
      </c>
      <c r="B236" s="97">
        <v>1289</v>
      </c>
      <c r="C236" s="23">
        <f t="shared" si="24"/>
        <v>-250</v>
      </c>
      <c r="D236" s="99">
        <v>232</v>
      </c>
      <c r="E236" s="99">
        <v>45</v>
      </c>
      <c r="F236" s="93">
        <v>1.2920494722926359</v>
      </c>
      <c r="G236" s="98">
        <f t="shared" si="23"/>
        <v>19.590678263683714</v>
      </c>
      <c r="H236" s="97" t="s">
        <v>119</v>
      </c>
      <c r="I236" s="97">
        <f t="shared" si="25"/>
        <v>0</v>
      </c>
    </row>
    <row r="237" spans="1:9" x14ac:dyDescent="0.3">
      <c r="A237" s="41">
        <v>37</v>
      </c>
      <c r="B237" s="97">
        <v>881</v>
      </c>
      <c r="C237" s="23">
        <f t="shared" si="24"/>
        <v>-408</v>
      </c>
      <c r="D237" s="99">
        <v>158</v>
      </c>
      <c r="E237" s="99">
        <v>34</v>
      </c>
      <c r="F237" s="93">
        <v>1.3985054210829326</v>
      </c>
      <c r="G237" s="98">
        <f t="shared" si="23"/>
        <v>25.032568951042336</v>
      </c>
      <c r="H237" s="97" t="s">
        <v>119</v>
      </c>
      <c r="I237" s="97">
        <f t="shared" si="25"/>
        <v>0</v>
      </c>
    </row>
    <row r="238" spans="1:9" x14ac:dyDescent="0.3">
      <c r="A238" s="41">
        <v>38</v>
      </c>
      <c r="B238" s="97">
        <v>449</v>
      </c>
      <c r="C238" s="23">
        <f t="shared" si="24"/>
        <v>-432</v>
      </c>
      <c r="D238" s="99">
        <v>126</v>
      </c>
      <c r="E238" s="99">
        <v>33</v>
      </c>
      <c r="F238" s="103">
        <v>2.5872314885361138</v>
      </c>
      <c r="G238" s="98">
        <f t="shared" si="23"/>
        <v>386.57297406877819</v>
      </c>
      <c r="H238" s="97" t="s">
        <v>119</v>
      </c>
      <c r="I238" s="97">
        <f t="shared" si="25"/>
        <v>0</v>
      </c>
    </row>
    <row r="239" spans="1:9" x14ac:dyDescent="0.3">
      <c r="A239" s="41">
        <v>39</v>
      </c>
      <c r="B239" s="97">
        <v>350</v>
      </c>
      <c r="C239" s="23">
        <f t="shared" si="24"/>
        <v>-99</v>
      </c>
      <c r="D239" s="97">
        <v>111</v>
      </c>
      <c r="E239" s="97">
        <v>11</v>
      </c>
      <c r="F239" s="93">
        <v>1.3788651727567693</v>
      </c>
      <c r="G239" s="98">
        <f t="shared" si="23"/>
        <v>23.925728639777837</v>
      </c>
      <c r="H239" s="97" t="s">
        <v>119</v>
      </c>
      <c r="I239" s="97">
        <f t="shared" si="25"/>
        <v>0</v>
      </c>
    </row>
    <row r="240" spans="1:9" x14ac:dyDescent="0.3">
      <c r="A240" s="41">
        <v>40</v>
      </c>
      <c r="B240" s="97">
        <v>178</v>
      </c>
      <c r="C240" s="23">
        <f t="shared" si="24"/>
        <v>-172</v>
      </c>
      <c r="D240" s="97">
        <v>72</v>
      </c>
      <c r="E240" s="97">
        <v>18</v>
      </c>
      <c r="F240" s="93">
        <v>0.98716758979410668</v>
      </c>
      <c r="G240" s="98">
        <f t="shared" si="23"/>
        <v>9.7088454937448301</v>
      </c>
      <c r="H240" s="97" t="s">
        <v>119</v>
      </c>
      <c r="I240" s="97">
        <f t="shared" si="25"/>
        <v>0</v>
      </c>
    </row>
    <row r="241" spans="1:17" x14ac:dyDescent="0.3">
      <c r="A241" s="41">
        <v>41</v>
      </c>
      <c r="B241" s="97">
        <v>97</v>
      </c>
      <c r="C241" s="23">
        <f t="shared" si="24"/>
        <v>-81</v>
      </c>
      <c r="D241" s="97">
        <v>60</v>
      </c>
      <c r="E241" s="97">
        <v>9</v>
      </c>
      <c r="F241" s="93">
        <v>0.29730436581608355</v>
      </c>
      <c r="G241" s="98">
        <f t="shared" si="23"/>
        <v>1.9829162225431327</v>
      </c>
      <c r="H241" s="97" t="s">
        <v>119</v>
      </c>
      <c r="I241" s="97">
        <f t="shared" si="25"/>
        <v>0</v>
      </c>
    </row>
    <row r="242" spans="1:17" x14ac:dyDescent="0.3">
      <c r="A242" s="41">
        <v>42</v>
      </c>
      <c r="B242" s="97">
        <v>66</v>
      </c>
      <c r="C242" s="23">
        <f t="shared" si="24"/>
        <v>-31</v>
      </c>
      <c r="D242" s="97">
        <v>32</v>
      </c>
      <c r="E242" s="97">
        <v>7</v>
      </c>
      <c r="F242" s="93">
        <v>0.5268966703039254</v>
      </c>
      <c r="G242" s="98">
        <f t="shared" si="23"/>
        <v>3.364315142436904</v>
      </c>
      <c r="H242" s="97" t="s">
        <v>119</v>
      </c>
      <c r="I242" s="97">
        <f t="shared" si="25"/>
        <v>0</v>
      </c>
    </row>
    <row r="243" spans="1:17" s="151" customFormat="1" x14ac:dyDescent="0.3">
      <c r="A243" s="41">
        <v>43</v>
      </c>
      <c r="B243" s="97">
        <v>54</v>
      </c>
      <c r="C243" s="23">
        <f t="shared" si="24"/>
        <v>-12</v>
      </c>
      <c r="D243" s="97"/>
      <c r="E243" s="97"/>
      <c r="F243" s="93">
        <v>0.60675924755725563</v>
      </c>
      <c r="G243" s="98">
        <f t="shared" si="23"/>
        <v>4.0435167599697515</v>
      </c>
      <c r="H243" s="97" t="s">
        <v>119</v>
      </c>
      <c r="I243" s="97">
        <f t="shared" si="25"/>
        <v>0</v>
      </c>
      <c r="L243" s="97"/>
      <c r="M243" s="97"/>
      <c r="N243" s="97"/>
      <c r="O243" s="97"/>
      <c r="P243" s="97"/>
      <c r="Q243" s="97"/>
    </row>
    <row r="244" spans="1:17" s="151" customFormat="1" x14ac:dyDescent="0.3">
      <c r="A244" s="41">
        <v>44</v>
      </c>
      <c r="B244" s="97">
        <v>49</v>
      </c>
      <c r="C244" s="23">
        <f t="shared" si="24"/>
        <v>-5</v>
      </c>
      <c r="D244" s="97"/>
      <c r="E244" s="97"/>
      <c r="F244" s="93">
        <v>0.96054213807019173</v>
      </c>
      <c r="G244" s="98">
        <f t="shared" si="23"/>
        <v>9.1315003073945373</v>
      </c>
      <c r="H244" s="97" t="s">
        <v>119</v>
      </c>
      <c r="I244" s="97">
        <f t="shared" si="25"/>
        <v>0</v>
      </c>
      <c r="L244" s="97"/>
      <c r="M244" s="97"/>
      <c r="N244" s="97"/>
      <c r="O244" s="97"/>
      <c r="P244" s="97"/>
      <c r="Q244" s="97"/>
    </row>
    <row r="245" spans="1:17" s="151" customFormat="1" x14ac:dyDescent="0.3">
      <c r="A245" s="41">
        <v>45</v>
      </c>
      <c r="B245" s="97">
        <v>47</v>
      </c>
      <c r="C245" s="23">
        <f t="shared" si="24"/>
        <v>-2</v>
      </c>
      <c r="D245" s="97"/>
      <c r="E245" s="97"/>
      <c r="F245" s="93">
        <v>0.87925888933852847</v>
      </c>
      <c r="G245" s="98">
        <f t="shared" si="23"/>
        <v>7.5728418875713741</v>
      </c>
      <c r="H245" s="97" t="s">
        <v>119</v>
      </c>
      <c r="I245" s="97">
        <f t="shared" si="25"/>
        <v>0</v>
      </c>
      <c r="L245" s="97"/>
      <c r="M245" s="97"/>
      <c r="N245" s="97"/>
      <c r="O245" s="97"/>
      <c r="P245" s="97"/>
      <c r="Q245" s="97"/>
    </row>
    <row r="246" spans="1:17" s="151" customFormat="1" x14ac:dyDescent="0.3">
      <c r="A246" s="41">
        <v>46</v>
      </c>
      <c r="B246" s="97">
        <v>34</v>
      </c>
      <c r="C246" s="23">
        <f t="shared" si="24"/>
        <v>-13</v>
      </c>
      <c r="D246" s="97"/>
      <c r="E246" s="97"/>
      <c r="F246" s="93">
        <v>0.26668117996092522</v>
      </c>
      <c r="G246" s="98">
        <f t="shared" si="23"/>
        <v>1.8479115500742078</v>
      </c>
      <c r="H246" s="97" t="s">
        <v>119</v>
      </c>
      <c r="I246" s="97">
        <f t="shared" si="25"/>
        <v>0</v>
      </c>
      <c r="L246" s="97"/>
      <c r="M246" s="97"/>
      <c r="N246" s="97"/>
      <c r="O246" s="97"/>
      <c r="P246" s="97"/>
      <c r="Q246" s="97"/>
    </row>
    <row r="247" spans="1:17" s="151" customFormat="1" x14ac:dyDescent="0.3">
      <c r="A247" s="41">
        <v>47</v>
      </c>
      <c r="B247" s="97">
        <v>37</v>
      </c>
      <c r="C247" s="23">
        <f t="shared" si="24"/>
        <v>3</v>
      </c>
      <c r="D247" s="97"/>
      <c r="E247" s="97"/>
      <c r="F247" s="93">
        <v>1.1976405333482829</v>
      </c>
      <c r="G247" s="98">
        <f t="shared" si="23"/>
        <v>15.763060170776992</v>
      </c>
      <c r="H247" s="97" t="s">
        <v>119</v>
      </c>
      <c r="I247" s="97">
        <f t="shared" si="25"/>
        <v>1</v>
      </c>
      <c r="L247" s="97"/>
      <c r="M247" s="97"/>
      <c r="N247" s="97"/>
      <c r="O247" s="97"/>
      <c r="P247" s="97"/>
      <c r="Q247" s="97"/>
    </row>
    <row r="248" spans="1:17" x14ac:dyDescent="0.3">
      <c r="A248" s="41">
        <v>11</v>
      </c>
      <c r="B248" s="26">
        <v>182</v>
      </c>
      <c r="C248" s="23">
        <f>B248-B242</f>
        <v>116</v>
      </c>
      <c r="D248" s="26">
        <v>60</v>
      </c>
      <c r="E248" s="26">
        <v>8</v>
      </c>
      <c r="F248" s="115">
        <f xml:space="preserve"> LOG(0.280308480165443)</f>
        <v>-0.55236376334086335</v>
      </c>
      <c r="G248" s="98">
        <f>10^F248</f>
        <v>0.28030848016544302</v>
      </c>
      <c r="H248" s="97" t="s">
        <v>118</v>
      </c>
      <c r="I248" s="97">
        <f t="shared" si="25"/>
        <v>1</v>
      </c>
    </row>
    <row r="249" spans="1:17" x14ac:dyDescent="0.3">
      <c r="A249" s="41">
        <v>16</v>
      </c>
      <c r="B249" s="26">
        <v>532</v>
      </c>
      <c r="C249" s="23">
        <f t="shared" si="24"/>
        <v>350</v>
      </c>
      <c r="D249" s="26">
        <v>153</v>
      </c>
      <c r="E249" s="26">
        <v>21</v>
      </c>
      <c r="F249" s="94">
        <f xml:space="preserve"> LOG(42.5685619821354)</f>
        <v>1.6290889794284418</v>
      </c>
      <c r="G249" s="98">
        <f t="shared" ref="G249:G276" si="26">10^F249</f>
        <v>42.568561982135414</v>
      </c>
      <c r="H249" s="97" t="s">
        <v>118</v>
      </c>
      <c r="I249" s="97">
        <f t="shared" si="25"/>
        <v>1</v>
      </c>
    </row>
    <row r="250" spans="1:17" x14ac:dyDescent="0.3">
      <c r="A250" s="41">
        <v>21</v>
      </c>
      <c r="B250" s="26">
        <v>1350</v>
      </c>
      <c r="C250" s="23">
        <f t="shared" si="24"/>
        <v>818</v>
      </c>
      <c r="D250" s="26">
        <v>330</v>
      </c>
      <c r="E250" s="26">
        <v>83</v>
      </c>
      <c r="F250" s="94">
        <f xml:space="preserve"> LOG(22.3452606979682)</f>
        <v>1.3491854258582519</v>
      </c>
      <c r="G250" s="98">
        <f t="shared" si="26"/>
        <v>22.345260697968207</v>
      </c>
      <c r="H250" s="97" t="s">
        <v>118</v>
      </c>
      <c r="I250" s="97">
        <f t="shared" si="25"/>
        <v>1</v>
      </c>
    </row>
    <row r="251" spans="1:17" x14ac:dyDescent="0.3">
      <c r="A251" s="41">
        <v>22</v>
      </c>
      <c r="B251" s="26">
        <v>1188</v>
      </c>
      <c r="C251" s="23">
        <f t="shared" si="24"/>
        <v>-162</v>
      </c>
      <c r="D251" s="26">
        <v>274</v>
      </c>
      <c r="E251" s="26">
        <v>68</v>
      </c>
      <c r="F251" s="94">
        <f xml:space="preserve"> LOG(6.12269250714049)</f>
        <v>0.7869424489171265</v>
      </c>
      <c r="G251" s="98">
        <f t="shared" si="26"/>
        <v>6.1226925071404912</v>
      </c>
      <c r="H251" s="97" t="s">
        <v>118</v>
      </c>
      <c r="I251" s="97">
        <f t="shared" si="25"/>
        <v>0</v>
      </c>
    </row>
    <row r="252" spans="1:17" x14ac:dyDescent="0.3">
      <c r="A252" s="41">
        <v>23</v>
      </c>
      <c r="B252" s="26">
        <v>1222</v>
      </c>
      <c r="C252" s="23">
        <f t="shared" si="24"/>
        <v>34</v>
      </c>
      <c r="D252" s="26">
        <v>256</v>
      </c>
      <c r="E252" s="26">
        <v>66</v>
      </c>
      <c r="F252" s="94">
        <f xml:space="preserve"> LOG(21.7665093285697)</f>
        <v>1.3377887872913563</v>
      </c>
      <c r="G252" s="98">
        <f t="shared" si="26"/>
        <v>21.766509328569708</v>
      </c>
      <c r="H252" s="97" t="s">
        <v>118</v>
      </c>
      <c r="I252" s="97">
        <f t="shared" si="25"/>
        <v>1</v>
      </c>
    </row>
    <row r="253" spans="1:17" x14ac:dyDescent="0.3">
      <c r="A253" s="41">
        <v>24</v>
      </c>
      <c r="B253" s="26">
        <v>1121</v>
      </c>
      <c r="C253" s="23">
        <f t="shared" si="24"/>
        <v>-101</v>
      </c>
      <c r="D253" s="26">
        <v>243</v>
      </c>
      <c r="E253" s="26">
        <v>64</v>
      </c>
      <c r="F253" s="94">
        <f xml:space="preserve"> LOG(26.0599632652438)</f>
        <v>1.4159737991849635</v>
      </c>
      <c r="G253" s="98">
        <f t="shared" si="26"/>
        <v>26.059963265243798</v>
      </c>
      <c r="H253" s="97" t="s">
        <v>118</v>
      </c>
      <c r="I253" s="97">
        <f t="shared" si="25"/>
        <v>0</v>
      </c>
    </row>
    <row r="254" spans="1:17" x14ac:dyDescent="0.3">
      <c r="A254" s="41">
        <v>25</v>
      </c>
      <c r="B254" s="26">
        <v>947</v>
      </c>
      <c r="C254" s="23">
        <f t="shared" si="24"/>
        <v>-174</v>
      </c>
      <c r="D254" s="26">
        <v>218</v>
      </c>
      <c r="E254" s="26">
        <v>60</v>
      </c>
      <c r="F254" s="94">
        <f xml:space="preserve"> LOG(3.02716603084486)</f>
        <v>0.48103624134055289</v>
      </c>
      <c r="G254" s="98">
        <f t="shared" si="26"/>
        <v>3.0271660308448602</v>
      </c>
      <c r="H254" s="97" t="s">
        <v>118</v>
      </c>
      <c r="I254" s="97">
        <f t="shared" si="25"/>
        <v>0</v>
      </c>
    </row>
    <row r="255" spans="1:17" x14ac:dyDescent="0.3">
      <c r="A255" s="41">
        <v>26</v>
      </c>
      <c r="B255" s="97">
        <v>1030</v>
      </c>
      <c r="C255" s="23">
        <f t="shared" si="24"/>
        <v>83</v>
      </c>
      <c r="D255" s="97">
        <v>194</v>
      </c>
      <c r="E255" s="97">
        <v>58</v>
      </c>
      <c r="F255" s="94">
        <f xml:space="preserve"> LOG(6.13079813061928)</f>
        <v>0.78751701630641091</v>
      </c>
      <c r="G255" s="98">
        <f t="shared" si="26"/>
        <v>6.1307981306192803</v>
      </c>
      <c r="H255" s="97" t="s">
        <v>118</v>
      </c>
      <c r="I255" s="97">
        <f t="shared" si="25"/>
        <v>1</v>
      </c>
    </row>
    <row r="256" spans="1:17" x14ac:dyDescent="0.3">
      <c r="A256" s="41">
        <v>27</v>
      </c>
      <c r="B256" s="96">
        <v>923</v>
      </c>
      <c r="C256" s="23">
        <f t="shared" si="24"/>
        <v>-107</v>
      </c>
      <c r="D256" s="95">
        <v>238</v>
      </c>
      <c r="E256" s="95">
        <v>45</v>
      </c>
      <c r="F256" s="93">
        <f xml:space="preserve"> LOG(80.7023340341996)</f>
        <v>1.906886095360423</v>
      </c>
      <c r="G256" s="98">
        <f t="shared" si="26"/>
        <v>80.702334034199666</v>
      </c>
      <c r="H256" s="97" t="s">
        <v>118</v>
      </c>
      <c r="I256" s="97">
        <f t="shared" si="25"/>
        <v>0</v>
      </c>
    </row>
    <row r="257" spans="1:9" x14ac:dyDescent="0.3">
      <c r="A257" s="41">
        <v>28</v>
      </c>
      <c r="B257" s="96">
        <v>877</v>
      </c>
      <c r="C257" s="23">
        <f t="shared" si="24"/>
        <v>-46</v>
      </c>
      <c r="D257" s="95">
        <v>209</v>
      </c>
      <c r="E257" s="95">
        <v>54</v>
      </c>
      <c r="F257" s="93">
        <f xml:space="preserve"> LOG(40.7364125154456)</f>
        <v>1.6099827798593289</v>
      </c>
      <c r="G257" s="98">
        <f t="shared" si="26"/>
        <v>40.736412515445608</v>
      </c>
      <c r="H257" s="97" t="s">
        <v>118</v>
      </c>
      <c r="I257" s="97">
        <f t="shared" si="25"/>
        <v>0</v>
      </c>
    </row>
    <row r="258" spans="1:9" x14ac:dyDescent="0.3">
      <c r="A258" s="41">
        <v>29</v>
      </c>
      <c r="B258" s="96">
        <v>809</v>
      </c>
      <c r="C258" s="23">
        <f t="shared" si="24"/>
        <v>-68</v>
      </c>
      <c r="D258" s="95">
        <v>186</v>
      </c>
      <c r="E258" s="95">
        <v>52</v>
      </c>
      <c r="F258" s="93">
        <f xml:space="preserve"> LOG(48.2231889452253)</f>
        <v>1.6832559263964977</v>
      </c>
      <c r="G258" s="98">
        <f t="shared" si="26"/>
        <v>48.223188945225338</v>
      </c>
      <c r="H258" s="97" t="s">
        <v>118</v>
      </c>
      <c r="I258" s="97">
        <f t="shared" si="25"/>
        <v>0</v>
      </c>
    </row>
    <row r="259" spans="1:9" x14ac:dyDescent="0.3">
      <c r="A259" s="41">
        <v>30</v>
      </c>
      <c r="B259" s="96">
        <v>955</v>
      </c>
      <c r="C259" s="23">
        <f t="shared" si="24"/>
        <v>146</v>
      </c>
      <c r="D259" s="95">
        <v>205</v>
      </c>
      <c r="E259" s="95">
        <v>48</v>
      </c>
      <c r="F259" s="93">
        <v>2.0174156659298532</v>
      </c>
      <c r="G259" s="98">
        <f t="shared" si="26"/>
        <v>104.09159563025656</v>
      </c>
      <c r="H259" s="97" t="s">
        <v>118</v>
      </c>
      <c r="I259" s="97">
        <f t="shared" si="25"/>
        <v>1</v>
      </c>
    </row>
    <row r="260" spans="1:9" x14ac:dyDescent="0.3">
      <c r="A260" s="41">
        <v>31</v>
      </c>
      <c r="B260" s="97">
        <v>1200</v>
      </c>
      <c r="C260" s="23">
        <f t="shared" si="24"/>
        <v>245</v>
      </c>
      <c r="D260" s="99">
        <v>226</v>
      </c>
      <c r="E260" s="99">
        <v>42</v>
      </c>
      <c r="F260" s="93">
        <v>2.04343606895912</v>
      </c>
      <c r="G260" s="98">
        <f t="shared" si="26"/>
        <v>110.51877664060014</v>
      </c>
      <c r="H260" s="97" t="s">
        <v>118</v>
      </c>
      <c r="I260" s="97">
        <f t="shared" si="25"/>
        <v>1</v>
      </c>
    </row>
    <row r="261" spans="1:9" x14ac:dyDescent="0.3">
      <c r="A261" s="41">
        <v>32</v>
      </c>
      <c r="B261" s="97">
        <v>1490</v>
      </c>
      <c r="C261" s="23">
        <f t="shared" si="24"/>
        <v>290</v>
      </c>
      <c r="D261" s="99">
        <v>214</v>
      </c>
      <c r="E261" s="99">
        <v>48</v>
      </c>
      <c r="F261" s="93">
        <v>2.5220180816140765</v>
      </c>
      <c r="G261" s="98">
        <f t="shared" si="26"/>
        <v>332.67340368154134</v>
      </c>
      <c r="H261" s="97" t="s">
        <v>118</v>
      </c>
      <c r="I261" s="97">
        <f t="shared" si="25"/>
        <v>1</v>
      </c>
    </row>
    <row r="262" spans="1:9" x14ac:dyDescent="0.3">
      <c r="A262" s="41">
        <v>33</v>
      </c>
      <c r="B262" s="96">
        <v>1916</v>
      </c>
      <c r="C262" s="23">
        <f t="shared" si="24"/>
        <v>426</v>
      </c>
      <c r="D262" s="95">
        <v>272</v>
      </c>
      <c r="E262" s="95">
        <v>48</v>
      </c>
      <c r="F262" s="93">
        <v>1.4706124393485056</v>
      </c>
      <c r="G262" s="98">
        <f t="shared" si="26"/>
        <v>29.55373939202757</v>
      </c>
      <c r="H262" s="97" t="s">
        <v>118</v>
      </c>
      <c r="I262" s="97">
        <f t="shared" si="25"/>
        <v>1</v>
      </c>
    </row>
    <row r="263" spans="1:9" x14ac:dyDescent="0.3">
      <c r="A263" s="41">
        <v>34</v>
      </c>
      <c r="B263" s="97">
        <v>1965</v>
      </c>
      <c r="C263" s="23">
        <f t="shared" si="24"/>
        <v>49</v>
      </c>
      <c r="D263" s="99">
        <v>278</v>
      </c>
      <c r="E263" s="99">
        <v>43</v>
      </c>
      <c r="F263" s="93">
        <v>1.637181321319529</v>
      </c>
      <c r="G263" s="98">
        <f t="shared" si="26"/>
        <v>43.369191033499618</v>
      </c>
      <c r="H263" s="97" t="s">
        <v>118</v>
      </c>
      <c r="I263" s="97">
        <f t="shared" si="25"/>
        <v>1</v>
      </c>
    </row>
    <row r="264" spans="1:9" x14ac:dyDescent="0.3">
      <c r="A264" s="41">
        <v>35</v>
      </c>
      <c r="B264" s="97">
        <v>1539</v>
      </c>
      <c r="C264" s="23">
        <f t="shared" si="24"/>
        <v>-426</v>
      </c>
      <c r="D264" s="99">
        <v>260</v>
      </c>
      <c r="E264" s="99">
        <v>32</v>
      </c>
      <c r="F264" s="93">
        <v>2.3916692713310508</v>
      </c>
      <c r="G264" s="98">
        <f t="shared" si="26"/>
        <v>246.4162086953925</v>
      </c>
      <c r="H264" s="97" t="s">
        <v>118</v>
      </c>
      <c r="I264" s="97">
        <f t="shared" si="25"/>
        <v>0</v>
      </c>
    </row>
    <row r="265" spans="1:9" x14ac:dyDescent="0.3">
      <c r="A265" s="41">
        <v>36</v>
      </c>
      <c r="B265" s="97">
        <v>1289</v>
      </c>
      <c r="C265" s="23">
        <f t="shared" si="24"/>
        <v>-250</v>
      </c>
      <c r="D265" s="99">
        <v>232</v>
      </c>
      <c r="E265" s="99">
        <v>45</v>
      </c>
      <c r="F265" s="93">
        <v>2.2177048861043991</v>
      </c>
      <c r="G265" s="98">
        <f t="shared" si="26"/>
        <v>165.08396304383578</v>
      </c>
      <c r="H265" s="97" t="s">
        <v>118</v>
      </c>
      <c r="I265" s="97">
        <f t="shared" si="25"/>
        <v>0</v>
      </c>
    </row>
    <row r="266" spans="1:9" x14ac:dyDescent="0.3">
      <c r="A266" s="41">
        <v>37</v>
      </c>
      <c r="B266" s="97">
        <v>881</v>
      </c>
      <c r="C266" s="23">
        <f t="shared" si="24"/>
        <v>-408</v>
      </c>
      <c r="D266" s="99">
        <v>158</v>
      </c>
      <c r="E266" s="99">
        <v>34</v>
      </c>
      <c r="F266" s="93">
        <v>1.5893831737371114</v>
      </c>
      <c r="G266" s="98">
        <f t="shared" si="26"/>
        <v>38.849297834902409</v>
      </c>
      <c r="H266" s="97" t="s">
        <v>118</v>
      </c>
      <c r="I266" s="97">
        <f t="shared" si="25"/>
        <v>0</v>
      </c>
    </row>
    <row r="267" spans="1:9" x14ac:dyDescent="0.3">
      <c r="A267" s="41">
        <v>38</v>
      </c>
      <c r="B267" s="97">
        <v>449</v>
      </c>
      <c r="C267" s="23">
        <f t="shared" si="24"/>
        <v>-432</v>
      </c>
      <c r="D267" s="99">
        <v>126</v>
      </c>
      <c r="E267" s="99">
        <v>33</v>
      </c>
      <c r="F267" s="93">
        <v>1.3952760688773103</v>
      </c>
      <c r="G267" s="98">
        <f t="shared" si="26"/>
        <v>24.847120654826259</v>
      </c>
      <c r="H267" s="97" t="s">
        <v>118</v>
      </c>
      <c r="I267" s="97">
        <f t="shared" si="25"/>
        <v>0</v>
      </c>
    </row>
    <row r="268" spans="1:9" x14ac:dyDescent="0.3">
      <c r="A268" s="41">
        <v>39</v>
      </c>
      <c r="B268" s="97">
        <v>350</v>
      </c>
      <c r="C268" s="23">
        <f t="shared" si="24"/>
        <v>-99</v>
      </c>
      <c r="D268" s="97">
        <v>111</v>
      </c>
      <c r="E268" s="97">
        <v>11</v>
      </c>
      <c r="F268" s="93">
        <v>2.3024589466521035</v>
      </c>
      <c r="G268" s="98">
        <f t="shared" si="26"/>
        <v>200.65914003216517</v>
      </c>
      <c r="H268" s="97" t="s">
        <v>118</v>
      </c>
      <c r="I268" s="97">
        <f t="shared" si="25"/>
        <v>0</v>
      </c>
    </row>
    <row r="269" spans="1:9" x14ac:dyDescent="0.3">
      <c r="A269" s="41">
        <v>40</v>
      </c>
      <c r="B269" s="97">
        <v>178</v>
      </c>
      <c r="C269" s="23">
        <f t="shared" si="24"/>
        <v>-172</v>
      </c>
      <c r="D269" s="97">
        <v>72</v>
      </c>
      <c r="E269" s="97">
        <v>18</v>
      </c>
      <c r="F269" s="93">
        <v>0.11517559141957788</v>
      </c>
      <c r="G269" s="98">
        <f t="shared" si="26"/>
        <v>1.3036937737951473</v>
      </c>
      <c r="H269" s="97" t="s">
        <v>118</v>
      </c>
      <c r="I269" s="97">
        <f t="shared" si="25"/>
        <v>0</v>
      </c>
    </row>
    <row r="270" spans="1:9" x14ac:dyDescent="0.3">
      <c r="A270" s="41">
        <v>41</v>
      </c>
      <c r="B270" s="97">
        <v>97</v>
      </c>
      <c r="C270" s="23">
        <f t="shared" si="24"/>
        <v>-81</v>
      </c>
      <c r="D270" s="97">
        <v>60</v>
      </c>
      <c r="E270" s="97">
        <v>9</v>
      </c>
      <c r="F270" s="93">
        <v>0.99112217852996953</v>
      </c>
      <c r="G270" s="98">
        <f t="shared" si="26"/>
        <v>9.7976558062495069</v>
      </c>
      <c r="H270" s="97" t="s">
        <v>118</v>
      </c>
      <c r="I270" s="97">
        <f t="shared" si="25"/>
        <v>0</v>
      </c>
    </row>
    <row r="271" spans="1:9" x14ac:dyDescent="0.3">
      <c r="A271" s="41">
        <v>42</v>
      </c>
      <c r="B271" s="97">
        <v>66</v>
      </c>
      <c r="C271" s="23">
        <f t="shared" si="24"/>
        <v>-31</v>
      </c>
      <c r="D271" s="97">
        <v>32</v>
      </c>
      <c r="E271" s="97">
        <v>7</v>
      </c>
      <c r="F271" s="93">
        <v>-5.1576755743192267E-2</v>
      </c>
      <c r="G271" s="98">
        <f t="shared" si="26"/>
        <v>0.88802101660747901</v>
      </c>
      <c r="H271" s="97" t="s">
        <v>118</v>
      </c>
      <c r="I271" s="97">
        <f t="shared" si="25"/>
        <v>0</v>
      </c>
    </row>
    <row r="272" spans="1:9" x14ac:dyDescent="0.3">
      <c r="A272" s="41">
        <v>43</v>
      </c>
      <c r="B272" s="97">
        <v>54</v>
      </c>
      <c r="C272" s="23">
        <f t="shared" si="24"/>
        <v>-12</v>
      </c>
      <c r="D272" s="97"/>
      <c r="E272" s="97"/>
      <c r="F272" s="93">
        <v>0.19451799295493144</v>
      </c>
      <c r="G272" s="98">
        <f t="shared" si="26"/>
        <v>1.5650131568616752</v>
      </c>
      <c r="H272" s="97" t="s">
        <v>118</v>
      </c>
      <c r="I272" s="97">
        <f t="shared" si="25"/>
        <v>0</v>
      </c>
    </row>
    <row r="273" spans="1:17" x14ac:dyDescent="0.3">
      <c r="A273" s="41">
        <v>44</v>
      </c>
      <c r="B273" s="97">
        <v>49</v>
      </c>
      <c r="C273" s="23">
        <f t="shared" si="24"/>
        <v>-5</v>
      </c>
      <c r="D273" s="97"/>
      <c r="E273" s="97"/>
      <c r="F273" s="93">
        <v>0.7033672563235287</v>
      </c>
      <c r="G273" s="98">
        <f t="shared" si="26"/>
        <v>5.0508823930000784</v>
      </c>
      <c r="H273" s="97" t="s">
        <v>118</v>
      </c>
      <c r="I273" s="97">
        <f t="shared" si="25"/>
        <v>0</v>
      </c>
    </row>
    <row r="274" spans="1:17" x14ac:dyDescent="0.3">
      <c r="A274" s="41">
        <v>45</v>
      </c>
      <c r="B274" s="97">
        <v>47</v>
      </c>
      <c r="C274" s="23">
        <f t="shared" si="24"/>
        <v>-2</v>
      </c>
      <c r="D274" s="97"/>
      <c r="E274" s="97"/>
      <c r="F274" s="93">
        <v>0.50061399781974025</v>
      </c>
      <c r="G274" s="98">
        <f t="shared" si="26"/>
        <v>3.1667515939595754</v>
      </c>
      <c r="H274" s="97" t="s">
        <v>118</v>
      </c>
      <c r="I274" s="97">
        <f t="shared" si="25"/>
        <v>0</v>
      </c>
    </row>
    <row r="275" spans="1:17" x14ac:dyDescent="0.3">
      <c r="A275" s="41">
        <v>46</v>
      </c>
      <c r="B275" s="97">
        <v>34</v>
      </c>
      <c r="C275" s="23">
        <f t="shared" si="24"/>
        <v>-13</v>
      </c>
      <c r="D275" s="97"/>
      <c r="E275" s="97"/>
      <c r="F275" s="93">
        <v>0</v>
      </c>
      <c r="G275" s="98">
        <f t="shared" si="26"/>
        <v>1</v>
      </c>
      <c r="H275" s="97" t="s">
        <v>118</v>
      </c>
      <c r="I275" s="97">
        <f t="shared" si="25"/>
        <v>0</v>
      </c>
    </row>
    <row r="276" spans="1:17" s="151" customFormat="1" x14ac:dyDescent="0.3">
      <c r="A276" s="41">
        <v>47</v>
      </c>
      <c r="B276" s="97">
        <v>37</v>
      </c>
      <c r="C276" s="23">
        <f t="shared" si="24"/>
        <v>3</v>
      </c>
      <c r="D276" s="97"/>
      <c r="E276" s="97"/>
      <c r="F276" s="93">
        <v>1.4238292872111948</v>
      </c>
      <c r="G276" s="98">
        <f t="shared" si="26"/>
        <v>26.535622927607339</v>
      </c>
      <c r="H276" s="97" t="s">
        <v>118</v>
      </c>
      <c r="I276" s="97">
        <f t="shared" si="25"/>
        <v>1</v>
      </c>
      <c r="L276" s="97"/>
      <c r="M276" s="97"/>
      <c r="N276" s="97"/>
      <c r="O276" s="97"/>
      <c r="P276" s="97"/>
      <c r="Q276" s="97"/>
    </row>
    <row r="277" spans="1:17" x14ac:dyDescent="0.3">
      <c r="A277" s="23">
        <v>10</v>
      </c>
      <c r="B277" s="41">
        <v>544</v>
      </c>
      <c r="C277" s="23">
        <f>B277-B271</f>
        <v>478</v>
      </c>
      <c r="D277" s="41">
        <v>233</v>
      </c>
      <c r="E277" s="41">
        <v>31</v>
      </c>
      <c r="F277" s="93">
        <f>LOG(47.0172775035002)</f>
        <v>1.6722574780548045</v>
      </c>
      <c r="G277" s="98">
        <f>10^F277</f>
        <v>47.017277503500232</v>
      </c>
      <c r="H277" s="97" t="s">
        <v>117</v>
      </c>
      <c r="I277" s="97">
        <f t="shared" si="25"/>
        <v>1</v>
      </c>
    </row>
    <row r="278" spans="1:17" x14ac:dyDescent="0.3">
      <c r="A278" s="23">
        <v>15</v>
      </c>
      <c r="B278" s="41">
        <v>589</v>
      </c>
      <c r="C278" s="23">
        <f t="shared" si="24"/>
        <v>45</v>
      </c>
      <c r="D278" s="41">
        <v>158</v>
      </c>
      <c r="E278" s="41">
        <v>17</v>
      </c>
      <c r="F278" s="94">
        <f xml:space="preserve"> LOG(3.23454640349563)</f>
        <v>0.50981338600287429</v>
      </c>
      <c r="G278" s="98">
        <f t="shared" ref="G278:G300" si="27">10^F278</f>
        <v>3.2345464034956306</v>
      </c>
      <c r="H278" s="97" t="s">
        <v>117</v>
      </c>
      <c r="I278" s="97">
        <f t="shared" si="25"/>
        <v>1</v>
      </c>
    </row>
    <row r="279" spans="1:17" x14ac:dyDescent="0.3">
      <c r="A279" s="23">
        <v>19</v>
      </c>
      <c r="B279" s="41">
        <v>975</v>
      </c>
      <c r="C279" s="23">
        <f t="shared" si="24"/>
        <v>386</v>
      </c>
      <c r="D279" s="41">
        <v>204</v>
      </c>
      <c r="E279" s="41">
        <v>24</v>
      </c>
      <c r="F279" s="94">
        <f xml:space="preserve"> LOG(1.23644270459)</f>
        <v>9.2173996429689778E-2</v>
      </c>
      <c r="G279" s="98">
        <f t="shared" si="27"/>
        <v>1.2364427045899999</v>
      </c>
      <c r="H279" s="97" t="s">
        <v>117</v>
      </c>
      <c r="I279" s="97">
        <f t="shared" si="25"/>
        <v>1</v>
      </c>
    </row>
    <row r="280" spans="1:17" x14ac:dyDescent="0.3">
      <c r="A280" s="23">
        <v>22</v>
      </c>
      <c r="B280" s="41">
        <v>1723</v>
      </c>
      <c r="C280" s="23">
        <f t="shared" si="24"/>
        <v>748</v>
      </c>
      <c r="D280" s="41">
        <v>376</v>
      </c>
      <c r="E280" s="41">
        <v>28</v>
      </c>
      <c r="F280" s="94">
        <f xml:space="preserve"> LOG(67.8730254270592)</f>
        <v>1.8316972082159662</v>
      </c>
      <c r="G280" s="98">
        <f t="shared" si="27"/>
        <v>67.873025427059261</v>
      </c>
      <c r="H280" s="97" t="s">
        <v>117</v>
      </c>
      <c r="I280" s="97">
        <f t="shared" si="25"/>
        <v>1</v>
      </c>
    </row>
    <row r="281" spans="1:17" x14ac:dyDescent="0.3">
      <c r="A281" s="23">
        <v>23</v>
      </c>
      <c r="B281" s="41">
        <v>5065</v>
      </c>
      <c r="C281" s="23">
        <f t="shared" si="24"/>
        <v>3342</v>
      </c>
      <c r="D281" s="41">
        <v>544</v>
      </c>
      <c r="E281" s="41">
        <v>73</v>
      </c>
      <c r="F281" s="94">
        <f xml:space="preserve"> LOG(223.707958143585)</f>
        <v>2.3496814338792391</v>
      </c>
      <c r="G281" s="98">
        <f t="shared" si="27"/>
        <v>223.70795814358513</v>
      </c>
      <c r="H281" s="97" t="s">
        <v>117</v>
      </c>
      <c r="I281" s="97">
        <f t="shared" si="25"/>
        <v>1</v>
      </c>
    </row>
    <row r="282" spans="1:17" x14ac:dyDescent="0.3">
      <c r="A282" s="23">
        <v>24</v>
      </c>
      <c r="B282" s="41">
        <v>4576</v>
      </c>
      <c r="C282" s="23">
        <f t="shared" si="24"/>
        <v>-489</v>
      </c>
      <c r="D282" s="41">
        <v>632</v>
      </c>
      <c r="E282" s="41">
        <v>68</v>
      </c>
      <c r="F282" s="94">
        <f xml:space="preserve"> LOG(807.402085284798)</f>
        <v>2.9070898667321003</v>
      </c>
      <c r="G282" s="98">
        <f t="shared" si="27"/>
        <v>807.40208528479855</v>
      </c>
      <c r="H282" s="97" t="s">
        <v>117</v>
      </c>
      <c r="I282" s="97">
        <f t="shared" si="25"/>
        <v>0</v>
      </c>
    </row>
    <row r="283" spans="1:17" x14ac:dyDescent="0.3">
      <c r="A283" s="23">
        <v>25</v>
      </c>
      <c r="B283" s="41">
        <v>5990</v>
      </c>
      <c r="C283" s="23">
        <f t="shared" si="24"/>
        <v>1414</v>
      </c>
      <c r="D283" s="41">
        <v>1077</v>
      </c>
      <c r="E283" s="41">
        <v>133</v>
      </c>
      <c r="F283" s="94">
        <f xml:space="preserve"> LOG(71.9517445077702)</f>
        <v>1.8570413280976914</v>
      </c>
      <c r="G283" s="98">
        <f t="shared" si="27"/>
        <v>71.951744507770272</v>
      </c>
      <c r="H283" s="97" t="s">
        <v>117</v>
      </c>
      <c r="I283" s="97">
        <f t="shared" si="25"/>
        <v>1</v>
      </c>
    </row>
    <row r="284" spans="1:17" x14ac:dyDescent="0.3">
      <c r="A284" s="23">
        <v>26</v>
      </c>
      <c r="B284" s="95">
        <v>8417</v>
      </c>
      <c r="C284" s="23">
        <f t="shared" si="24"/>
        <v>2427</v>
      </c>
      <c r="D284" s="95">
        <v>1340</v>
      </c>
      <c r="E284" s="95">
        <v>183</v>
      </c>
      <c r="F284" s="94">
        <f xml:space="preserve"> LOG(61.1092752339889)</f>
        <v>1.7861071329466987</v>
      </c>
      <c r="G284" s="98">
        <f t="shared" si="27"/>
        <v>61.109275233988903</v>
      </c>
      <c r="H284" s="97" t="s">
        <v>117</v>
      </c>
      <c r="I284" s="97">
        <f t="shared" si="25"/>
        <v>1</v>
      </c>
    </row>
    <row r="285" spans="1:17" x14ac:dyDescent="0.3">
      <c r="A285" s="23">
        <v>27</v>
      </c>
      <c r="B285" s="95">
        <v>9488</v>
      </c>
      <c r="C285" s="23">
        <f t="shared" si="24"/>
        <v>1071</v>
      </c>
      <c r="D285" s="95">
        <v>1679</v>
      </c>
      <c r="E285" s="95">
        <v>268</v>
      </c>
      <c r="F285" s="93">
        <f xml:space="preserve"> LOG(80.8160353680046)</f>
        <v>1.9074975412312059</v>
      </c>
      <c r="G285" s="98">
        <f t="shared" si="27"/>
        <v>80.816035368004606</v>
      </c>
      <c r="H285" s="97" t="s">
        <v>117</v>
      </c>
      <c r="I285" s="97">
        <f t="shared" si="25"/>
        <v>1</v>
      </c>
    </row>
    <row r="286" spans="1:17" x14ac:dyDescent="0.3">
      <c r="A286" s="23">
        <v>28</v>
      </c>
      <c r="B286" s="95">
        <v>9806</v>
      </c>
      <c r="C286" s="23">
        <f t="shared" si="24"/>
        <v>318</v>
      </c>
      <c r="D286" s="95">
        <v>1980</v>
      </c>
      <c r="E286" s="95">
        <v>362</v>
      </c>
      <c r="F286" s="93">
        <f xml:space="preserve"> LOG(71.2302704246677)</f>
        <v>1.8526645931402734</v>
      </c>
      <c r="G286" s="98">
        <f t="shared" si="27"/>
        <v>71.230270424667722</v>
      </c>
      <c r="H286" s="97" t="s">
        <v>117</v>
      </c>
      <c r="I286" s="97">
        <f t="shared" si="25"/>
        <v>1</v>
      </c>
    </row>
    <row r="287" spans="1:17" x14ac:dyDescent="0.3">
      <c r="A287" s="23">
        <v>29</v>
      </c>
      <c r="B287" s="95">
        <v>9258</v>
      </c>
      <c r="C287" s="23">
        <f t="shared" si="24"/>
        <v>-548</v>
      </c>
      <c r="D287" s="95">
        <v>2162</v>
      </c>
      <c r="E287" s="95">
        <v>397</v>
      </c>
      <c r="F287" s="93">
        <f xml:space="preserve"> LOG(58.1308676272022)</f>
        <v>1.7644068050292294</v>
      </c>
      <c r="G287" s="98">
        <f t="shared" si="27"/>
        <v>58.130867627202242</v>
      </c>
      <c r="H287" s="97" t="s">
        <v>117</v>
      </c>
      <c r="I287" s="97">
        <f t="shared" si="25"/>
        <v>0</v>
      </c>
    </row>
    <row r="288" spans="1:17" x14ac:dyDescent="0.3">
      <c r="A288" s="23">
        <v>30</v>
      </c>
      <c r="B288" s="99">
        <v>13206</v>
      </c>
      <c r="C288" s="23">
        <f t="shared" si="24"/>
        <v>3948</v>
      </c>
      <c r="D288" s="99">
        <v>2389</v>
      </c>
      <c r="E288" s="99">
        <v>439</v>
      </c>
      <c r="F288" s="93">
        <v>2.1283274659739444</v>
      </c>
      <c r="G288" s="98">
        <f t="shared" si="27"/>
        <v>134.37778122571049</v>
      </c>
      <c r="H288" s="97" t="s">
        <v>117</v>
      </c>
      <c r="I288" s="97">
        <f t="shared" si="25"/>
        <v>1</v>
      </c>
    </row>
    <row r="289" spans="1:9" x14ac:dyDescent="0.3">
      <c r="A289" s="23">
        <v>31</v>
      </c>
      <c r="B289" s="99">
        <v>14051</v>
      </c>
      <c r="C289" s="23">
        <f t="shared" si="24"/>
        <v>845</v>
      </c>
      <c r="D289" s="99">
        <v>2322</v>
      </c>
      <c r="E289" s="99">
        <v>461</v>
      </c>
      <c r="F289" s="93">
        <v>2.237015341744891</v>
      </c>
      <c r="G289" s="98">
        <f t="shared" si="27"/>
        <v>172.58988594522287</v>
      </c>
      <c r="H289" s="97" t="s">
        <v>117</v>
      </c>
      <c r="I289" s="97">
        <f t="shared" si="25"/>
        <v>1</v>
      </c>
    </row>
    <row r="290" spans="1:9" x14ac:dyDescent="0.3">
      <c r="A290" s="23">
        <v>32</v>
      </c>
      <c r="B290" s="99">
        <v>12314</v>
      </c>
      <c r="C290" s="23">
        <f t="shared" si="24"/>
        <v>-1737</v>
      </c>
      <c r="D290" s="99">
        <v>2172</v>
      </c>
      <c r="E290" s="99">
        <v>415</v>
      </c>
      <c r="F290" s="93">
        <v>2.2905354215254201</v>
      </c>
      <c r="G290" s="98">
        <f t="shared" si="27"/>
        <v>195.22499551578457</v>
      </c>
      <c r="H290" s="97" t="s">
        <v>117</v>
      </c>
      <c r="I290" s="97">
        <f t="shared" si="25"/>
        <v>0</v>
      </c>
    </row>
    <row r="291" spans="1:9" x14ac:dyDescent="0.3">
      <c r="A291" s="97">
        <v>33</v>
      </c>
      <c r="B291" s="99">
        <v>11927</v>
      </c>
      <c r="C291" s="23">
        <f t="shared" si="24"/>
        <v>-387</v>
      </c>
      <c r="D291" s="99">
        <v>2032</v>
      </c>
      <c r="E291" s="99">
        <v>430</v>
      </c>
      <c r="F291" s="93">
        <v>2.5209871240588804</v>
      </c>
      <c r="G291" s="98">
        <f t="shared" si="27"/>
        <v>331.8846177081673</v>
      </c>
      <c r="H291" s="97" t="s">
        <v>117</v>
      </c>
      <c r="I291" s="97">
        <f t="shared" si="25"/>
        <v>0</v>
      </c>
    </row>
    <row r="292" spans="1:9" x14ac:dyDescent="0.3">
      <c r="A292" s="97">
        <v>34</v>
      </c>
      <c r="B292" s="99">
        <v>9044</v>
      </c>
      <c r="C292" s="23">
        <f t="shared" si="24"/>
        <v>-2883</v>
      </c>
      <c r="D292" s="99">
        <v>1795</v>
      </c>
      <c r="E292" s="99">
        <v>366</v>
      </c>
      <c r="F292" s="93">
        <v>1.9740841374220843</v>
      </c>
      <c r="G292" s="98">
        <f t="shared" si="27"/>
        <v>94.207208983752224</v>
      </c>
      <c r="H292" s="97" t="s">
        <v>117</v>
      </c>
      <c r="I292" s="97">
        <f t="shared" si="25"/>
        <v>0</v>
      </c>
    </row>
    <row r="293" spans="1:9" x14ac:dyDescent="0.3">
      <c r="A293" s="97">
        <v>35</v>
      </c>
      <c r="B293" s="99">
        <v>5799</v>
      </c>
      <c r="C293" s="23">
        <f t="shared" si="24"/>
        <v>-3245</v>
      </c>
      <c r="D293" s="99">
        <v>1337</v>
      </c>
      <c r="E293" s="99">
        <v>275</v>
      </c>
      <c r="F293" s="93">
        <v>1.9724400840666767</v>
      </c>
      <c r="G293" s="98">
        <f t="shared" si="27"/>
        <v>93.851254910838833</v>
      </c>
      <c r="H293" s="97" t="s">
        <v>117</v>
      </c>
      <c r="I293" s="97">
        <f t="shared" si="25"/>
        <v>0</v>
      </c>
    </row>
    <row r="294" spans="1:9" x14ac:dyDescent="0.3">
      <c r="A294" s="41">
        <v>36</v>
      </c>
      <c r="B294" s="99">
        <v>3989</v>
      </c>
      <c r="C294" s="23">
        <f t="shared" si="24"/>
        <v>-1810</v>
      </c>
      <c r="D294" s="41">
        <v>999</v>
      </c>
      <c r="E294" s="99">
        <v>191</v>
      </c>
      <c r="F294" s="93">
        <v>1.7814519122455588</v>
      </c>
      <c r="G294" s="98">
        <f t="shared" si="27"/>
        <v>60.457740511213053</v>
      </c>
      <c r="H294" s="97" t="s">
        <v>117</v>
      </c>
      <c r="I294" s="97">
        <f t="shared" si="25"/>
        <v>0</v>
      </c>
    </row>
    <row r="295" spans="1:9" x14ac:dyDescent="0.3">
      <c r="A295" s="97">
        <v>37</v>
      </c>
      <c r="B295" s="99">
        <v>2376</v>
      </c>
      <c r="C295" s="23">
        <f t="shared" si="24"/>
        <v>-1613</v>
      </c>
      <c r="D295" s="99">
        <v>627</v>
      </c>
      <c r="E295" s="99">
        <v>134</v>
      </c>
      <c r="F295" s="93">
        <v>1.2772306657702188</v>
      </c>
      <c r="G295" s="98">
        <f t="shared" si="27"/>
        <v>18.93348961460347</v>
      </c>
      <c r="H295" s="97" t="s">
        <v>117</v>
      </c>
      <c r="I295" s="97">
        <f t="shared" si="25"/>
        <v>0</v>
      </c>
    </row>
    <row r="296" spans="1:9" x14ac:dyDescent="0.3">
      <c r="A296" s="97">
        <v>38</v>
      </c>
      <c r="B296" s="99">
        <v>1297</v>
      </c>
      <c r="C296" s="23">
        <f t="shared" si="24"/>
        <v>-1079</v>
      </c>
      <c r="D296" s="99">
        <v>438</v>
      </c>
      <c r="E296" s="99">
        <v>95</v>
      </c>
      <c r="F296" s="103">
        <v>1.385388011131808</v>
      </c>
      <c r="G296" s="98">
        <f t="shared" si="27"/>
        <v>24.287790668254004</v>
      </c>
      <c r="H296" s="97" t="s">
        <v>117</v>
      </c>
      <c r="I296" s="97">
        <f t="shared" si="25"/>
        <v>0</v>
      </c>
    </row>
    <row r="297" spans="1:9" x14ac:dyDescent="0.3">
      <c r="A297" s="97">
        <v>39</v>
      </c>
      <c r="B297" s="99">
        <v>1047</v>
      </c>
      <c r="C297" s="23">
        <f t="shared" si="24"/>
        <v>-250</v>
      </c>
      <c r="D297" s="99">
        <v>395</v>
      </c>
      <c r="E297" s="99">
        <v>71</v>
      </c>
      <c r="F297" s="93">
        <v>1.0439627223204146</v>
      </c>
      <c r="G297" s="98">
        <f t="shared" si="27"/>
        <v>11.065288009692214</v>
      </c>
      <c r="H297" s="97" t="s">
        <v>117</v>
      </c>
      <c r="I297" s="97">
        <f t="shared" si="25"/>
        <v>0</v>
      </c>
    </row>
    <row r="298" spans="1:9" x14ac:dyDescent="0.3">
      <c r="A298" s="97">
        <v>40</v>
      </c>
      <c r="B298" s="99">
        <v>653</v>
      </c>
      <c r="C298" s="23">
        <f t="shared" si="24"/>
        <v>-394</v>
      </c>
      <c r="D298" s="99">
        <v>231</v>
      </c>
      <c r="E298" s="99">
        <v>51</v>
      </c>
      <c r="F298" s="93">
        <v>1.0079938494116381</v>
      </c>
      <c r="G298" s="98">
        <f t="shared" si="27"/>
        <v>10.185769626072478</v>
      </c>
      <c r="H298" s="97" t="s">
        <v>117</v>
      </c>
      <c r="I298" s="97">
        <f t="shared" si="25"/>
        <v>0</v>
      </c>
    </row>
    <row r="299" spans="1:9" x14ac:dyDescent="0.3">
      <c r="A299" s="97">
        <v>41</v>
      </c>
      <c r="B299" s="97">
        <v>336</v>
      </c>
      <c r="C299" s="23">
        <f t="shared" si="24"/>
        <v>-317</v>
      </c>
      <c r="D299" s="97">
        <v>191</v>
      </c>
      <c r="E299" s="97">
        <v>29</v>
      </c>
      <c r="F299" s="93">
        <v>0.28172093599215903</v>
      </c>
      <c r="G299" s="98">
        <f t="shared" si="27"/>
        <v>1.9130262793326867</v>
      </c>
      <c r="H299" s="97" t="s">
        <v>117</v>
      </c>
      <c r="I299" s="97">
        <f t="shared" si="25"/>
        <v>0</v>
      </c>
    </row>
    <row r="300" spans="1:9" x14ac:dyDescent="0.3">
      <c r="A300" s="97">
        <v>42</v>
      </c>
      <c r="B300" s="97">
        <v>204</v>
      </c>
      <c r="C300" s="23">
        <f t="shared" si="24"/>
        <v>-132</v>
      </c>
      <c r="D300" s="97">
        <v>101</v>
      </c>
      <c r="E300" s="97">
        <v>27</v>
      </c>
      <c r="F300" s="93">
        <v>0.77403899772397955</v>
      </c>
      <c r="G300" s="98">
        <f t="shared" si="27"/>
        <v>5.943455258194283</v>
      </c>
      <c r="H300" s="97" t="s">
        <v>117</v>
      </c>
      <c r="I300" s="97">
        <f t="shared" si="25"/>
        <v>0</v>
      </c>
    </row>
    <row r="301" spans="1:9" x14ac:dyDescent="0.3">
      <c r="A301" s="23">
        <v>10</v>
      </c>
      <c r="B301" s="41">
        <v>544</v>
      </c>
      <c r="C301" s="23">
        <f t="shared" si="24"/>
        <v>340</v>
      </c>
      <c r="D301" s="41">
        <v>233</v>
      </c>
      <c r="E301" s="41">
        <v>31</v>
      </c>
      <c r="F301" s="93">
        <f xml:space="preserve"> LOG(0.600412944141699)</f>
        <v>-0.22154995348953427</v>
      </c>
      <c r="G301" s="98">
        <f>10^F301</f>
        <v>0.60041294414169899</v>
      </c>
      <c r="H301" s="97" t="s">
        <v>116</v>
      </c>
      <c r="I301" s="97">
        <f t="shared" si="25"/>
        <v>1</v>
      </c>
    </row>
    <row r="302" spans="1:9" x14ac:dyDescent="0.3">
      <c r="A302" s="23">
        <v>15</v>
      </c>
      <c r="B302" s="41">
        <v>589</v>
      </c>
      <c r="C302" s="23">
        <f t="shared" si="24"/>
        <v>45</v>
      </c>
      <c r="D302" s="41">
        <v>158</v>
      </c>
      <c r="E302" s="41">
        <v>17</v>
      </c>
      <c r="F302" s="94">
        <f xml:space="preserve"> LOG(0.770962283927567)</f>
        <v>-0.11296686745201115</v>
      </c>
      <c r="G302" s="98">
        <f t="shared" ref="G302:G307" si="28">10^F302</f>
        <v>0.77096228392756705</v>
      </c>
      <c r="H302" s="97" t="s">
        <v>116</v>
      </c>
      <c r="I302" s="97">
        <f t="shared" si="25"/>
        <v>1</v>
      </c>
    </row>
    <row r="303" spans="1:9" x14ac:dyDescent="0.3">
      <c r="A303" s="23">
        <v>23</v>
      </c>
      <c r="B303" s="41">
        <v>5065</v>
      </c>
      <c r="C303" s="23">
        <f t="shared" si="24"/>
        <v>4476</v>
      </c>
      <c r="D303" s="41">
        <v>544</v>
      </c>
      <c r="E303" s="41">
        <v>73</v>
      </c>
      <c r="F303" s="94">
        <f xml:space="preserve"> LOG(8.64799168645119)</f>
        <v>0.93691526344639775</v>
      </c>
      <c r="G303" s="98">
        <f t="shared" si="28"/>
        <v>8.6479916864511921</v>
      </c>
      <c r="H303" s="97" t="s">
        <v>116</v>
      </c>
      <c r="I303" s="97">
        <f t="shared" si="25"/>
        <v>1</v>
      </c>
    </row>
    <row r="304" spans="1:9" x14ac:dyDescent="0.3">
      <c r="A304" s="23">
        <v>29</v>
      </c>
      <c r="B304" s="95">
        <v>9258</v>
      </c>
      <c r="C304" s="23">
        <f t="shared" si="24"/>
        <v>4193</v>
      </c>
      <c r="D304" s="95">
        <v>2162</v>
      </c>
      <c r="E304" s="95">
        <v>397</v>
      </c>
      <c r="F304" s="93">
        <f xml:space="preserve"> LOG(8.33152082501626)</f>
        <v>0.92072428419510832</v>
      </c>
      <c r="G304" s="98">
        <f t="shared" si="28"/>
        <v>8.3315208250162609</v>
      </c>
      <c r="H304" s="97" t="s">
        <v>116</v>
      </c>
      <c r="I304" s="97">
        <f t="shared" si="25"/>
        <v>1</v>
      </c>
    </row>
    <row r="305" spans="1:17" x14ac:dyDescent="0.3">
      <c r="A305" s="23">
        <v>32</v>
      </c>
      <c r="B305" s="99">
        <v>12314</v>
      </c>
      <c r="C305" s="23">
        <f t="shared" si="24"/>
        <v>3056</v>
      </c>
      <c r="D305" s="99">
        <v>2172</v>
      </c>
      <c r="E305" s="99">
        <v>415</v>
      </c>
      <c r="F305" s="93">
        <v>1.8989129233145936</v>
      </c>
      <c r="G305" s="98">
        <f t="shared" si="28"/>
        <v>79.234244872112654</v>
      </c>
      <c r="H305" s="97" t="s">
        <v>116</v>
      </c>
      <c r="I305" s="97">
        <f t="shared" si="25"/>
        <v>1</v>
      </c>
    </row>
    <row r="306" spans="1:17" x14ac:dyDescent="0.3">
      <c r="A306" s="97">
        <v>37</v>
      </c>
      <c r="B306" s="99">
        <v>2376</v>
      </c>
      <c r="C306" s="23">
        <f t="shared" ref="C306:C383" si="29">B306-B305</f>
        <v>-9938</v>
      </c>
      <c r="D306" s="99">
        <v>627</v>
      </c>
      <c r="E306" s="99">
        <v>134</v>
      </c>
      <c r="F306" s="93">
        <v>1.290643557333208</v>
      </c>
      <c r="G306" s="98">
        <f t="shared" si="28"/>
        <v>19.527361101033748</v>
      </c>
      <c r="H306" s="97" t="s">
        <v>116</v>
      </c>
      <c r="I306" s="97">
        <f t="shared" ref="I306:I383" si="30">IF(C306&gt;0, 1,0)</f>
        <v>0</v>
      </c>
    </row>
    <row r="307" spans="1:17" x14ac:dyDescent="0.3">
      <c r="A307" s="97">
        <v>41</v>
      </c>
      <c r="B307" s="97">
        <v>336</v>
      </c>
      <c r="C307" s="23">
        <f t="shared" si="29"/>
        <v>-2040</v>
      </c>
      <c r="D307" s="97">
        <v>191</v>
      </c>
      <c r="E307" s="97">
        <v>29</v>
      </c>
      <c r="F307" s="93">
        <v>0</v>
      </c>
      <c r="G307" s="98">
        <f t="shared" si="28"/>
        <v>1</v>
      </c>
      <c r="H307" s="97" t="s">
        <v>116</v>
      </c>
      <c r="I307" s="97">
        <f t="shared" si="30"/>
        <v>0</v>
      </c>
    </row>
    <row r="308" spans="1:17" s="151" customFormat="1" x14ac:dyDescent="0.3">
      <c r="A308" s="141">
        <v>45</v>
      </c>
      <c r="B308" s="141">
        <v>125</v>
      </c>
      <c r="C308" s="142"/>
      <c r="D308" s="141"/>
      <c r="E308" s="141"/>
      <c r="F308" s="143"/>
      <c r="G308" s="144">
        <v>7.4772754746124478E-2</v>
      </c>
      <c r="H308" s="141" t="s">
        <v>116</v>
      </c>
      <c r="I308" s="141">
        <v>0</v>
      </c>
      <c r="L308" s="97"/>
      <c r="M308" s="97"/>
      <c r="N308" s="97"/>
      <c r="O308" s="97"/>
      <c r="P308" s="97"/>
      <c r="Q308" s="97"/>
    </row>
    <row r="309" spans="1:17" x14ac:dyDescent="0.3">
      <c r="A309" s="23">
        <v>22</v>
      </c>
      <c r="B309" s="41">
        <v>88</v>
      </c>
      <c r="C309" s="23">
        <f>B309-B307</f>
        <v>-248</v>
      </c>
      <c r="D309" s="41">
        <v>13</v>
      </c>
      <c r="E309" s="41">
        <v>0</v>
      </c>
      <c r="F309" s="94">
        <f>LOG(1.97530689896369)</f>
        <v>0.29563458055581493</v>
      </c>
      <c r="G309" s="98">
        <f>10^F309</f>
        <v>1.9753068989636899</v>
      </c>
      <c r="H309" s="97" t="s">
        <v>115</v>
      </c>
      <c r="I309" s="97">
        <f t="shared" si="30"/>
        <v>0</v>
      </c>
    </row>
    <row r="310" spans="1:17" x14ac:dyDescent="0.3">
      <c r="A310" s="23">
        <v>23</v>
      </c>
      <c r="B310" s="41">
        <v>146</v>
      </c>
      <c r="C310" s="23">
        <f t="shared" si="29"/>
        <v>58</v>
      </c>
      <c r="D310" s="41">
        <v>23</v>
      </c>
      <c r="E310" s="41">
        <v>2</v>
      </c>
      <c r="F310" s="94">
        <f>LOG(6.76401233186527)</f>
        <v>0.83020439071401819</v>
      </c>
      <c r="G310" s="98">
        <f t="shared" ref="G310:G334" si="31">10^F310</f>
        <v>6.7640123318652723</v>
      </c>
      <c r="H310" s="97" t="s">
        <v>115</v>
      </c>
      <c r="I310" s="97">
        <f t="shared" si="30"/>
        <v>1</v>
      </c>
    </row>
    <row r="311" spans="1:17" x14ac:dyDescent="0.3">
      <c r="A311" s="23">
        <v>24</v>
      </c>
      <c r="B311" s="41">
        <v>233</v>
      </c>
      <c r="C311" s="23">
        <f t="shared" si="29"/>
        <v>87</v>
      </c>
      <c r="D311" s="41">
        <v>34</v>
      </c>
      <c r="E311" s="41">
        <v>1</v>
      </c>
      <c r="F311" s="94">
        <f>LOG(396.812555741291)</f>
        <v>2.598585405424906</v>
      </c>
      <c r="G311" s="98">
        <f t="shared" si="31"/>
        <v>396.81255574129102</v>
      </c>
      <c r="H311" s="97" t="s">
        <v>115</v>
      </c>
      <c r="I311" s="97">
        <f t="shared" si="30"/>
        <v>1</v>
      </c>
    </row>
    <row r="312" spans="1:17" x14ac:dyDescent="0.3">
      <c r="A312" s="23">
        <v>25</v>
      </c>
      <c r="B312" s="41">
        <v>289</v>
      </c>
      <c r="C312" s="23">
        <f t="shared" si="29"/>
        <v>56</v>
      </c>
      <c r="D312" s="41">
        <v>46</v>
      </c>
      <c r="E312" s="41">
        <v>3</v>
      </c>
      <c r="F312" s="94">
        <f>LOG(17.2909133288325)</f>
        <v>1.2378179338867652</v>
      </c>
      <c r="G312" s="98">
        <f t="shared" si="31"/>
        <v>17.290913328832506</v>
      </c>
      <c r="H312" s="97" t="s">
        <v>115</v>
      </c>
      <c r="I312" s="97">
        <f t="shared" si="30"/>
        <v>1</v>
      </c>
    </row>
    <row r="313" spans="1:17" x14ac:dyDescent="0.3">
      <c r="A313" s="23">
        <v>26</v>
      </c>
      <c r="B313" s="95">
        <v>369</v>
      </c>
      <c r="C313" s="23">
        <f t="shared" si="29"/>
        <v>80</v>
      </c>
      <c r="D313" s="95">
        <v>70</v>
      </c>
      <c r="E313" s="95">
        <v>10</v>
      </c>
      <c r="F313" s="94">
        <f>LOG(2.65589934222552)</f>
        <v>0.42421161137956365</v>
      </c>
      <c r="G313" s="98">
        <f t="shared" si="31"/>
        <v>2.6558993422255206</v>
      </c>
      <c r="H313" s="97" t="s">
        <v>115</v>
      </c>
      <c r="I313" s="97">
        <f t="shared" si="30"/>
        <v>1</v>
      </c>
    </row>
    <row r="314" spans="1:17" x14ac:dyDescent="0.3">
      <c r="A314" s="41">
        <v>27</v>
      </c>
      <c r="B314" s="97">
        <v>418</v>
      </c>
      <c r="C314" s="23">
        <f t="shared" si="29"/>
        <v>49</v>
      </c>
      <c r="D314" s="97">
        <v>86</v>
      </c>
      <c r="E314" s="97">
        <v>19</v>
      </c>
      <c r="F314" s="93">
        <f>LOG(0.379610008427075)</f>
        <v>-0.42066234590925622</v>
      </c>
      <c r="G314" s="98">
        <f t="shared" si="31"/>
        <v>0.37961000842707493</v>
      </c>
      <c r="H314" s="97" t="s">
        <v>115</v>
      </c>
      <c r="I314" s="97">
        <f t="shared" si="30"/>
        <v>1</v>
      </c>
    </row>
    <row r="315" spans="1:17" x14ac:dyDescent="0.3">
      <c r="A315" s="41">
        <v>28</v>
      </c>
      <c r="B315" s="97">
        <v>424</v>
      </c>
      <c r="C315" s="23">
        <f t="shared" si="29"/>
        <v>6</v>
      </c>
      <c r="D315" s="97">
        <v>101</v>
      </c>
      <c r="E315" s="97">
        <v>22</v>
      </c>
      <c r="F315" s="93">
        <v>0</v>
      </c>
      <c r="G315" s="98">
        <f t="shared" si="31"/>
        <v>1</v>
      </c>
      <c r="H315" s="97" t="s">
        <v>115</v>
      </c>
      <c r="I315" s="97">
        <f t="shared" si="30"/>
        <v>1</v>
      </c>
    </row>
    <row r="316" spans="1:17" x14ac:dyDescent="0.3">
      <c r="A316" s="41">
        <v>29</v>
      </c>
      <c r="B316" s="97">
        <v>488</v>
      </c>
      <c r="C316" s="23">
        <f t="shared" si="29"/>
        <v>64</v>
      </c>
      <c r="D316" s="97">
        <v>97</v>
      </c>
      <c r="E316" s="97">
        <v>16</v>
      </c>
      <c r="F316" s="93">
        <f>LOG(10.2976962011688)</f>
        <v>1.0127400752847511</v>
      </c>
      <c r="G316" s="98">
        <f t="shared" si="31"/>
        <v>10.297696201168803</v>
      </c>
      <c r="H316" s="97" t="s">
        <v>115</v>
      </c>
      <c r="I316" s="97">
        <f t="shared" si="30"/>
        <v>1</v>
      </c>
    </row>
    <row r="317" spans="1:17" x14ac:dyDescent="0.3">
      <c r="A317" s="41">
        <v>30</v>
      </c>
      <c r="B317" s="97">
        <v>601</v>
      </c>
      <c r="C317" s="23">
        <f t="shared" si="29"/>
        <v>113</v>
      </c>
      <c r="D317" s="97">
        <v>84</v>
      </c>
      <c r="E317" s="97">
        <v>17</v>
      </c>
      <c r="F317" s="93">
        <v>0.37020054242805694</v>
      </c>
      <c r="G317" s="98">
        <f t="shared" si="31"/>
        <v>2.3453115504615165</v>
      </c>
      <c r="H317" s="97" t="s">
        <v>115</v>
      </c>
      <c r="I317" s="97">
        <f t="shared" si="30"/>
        <v>1</v>
      </c>
    </row>
    <row r="318" spans="1:17" x14ac:dyDescent="0.3">
      <c r="A318" s="41">
        <v>31</v>
      </c>
      <c r="B318" s="97">
        <v>785</v>
      </c>
      <c r="C318" s="23">
        <f t="shared" si="29"/>
        <v>184</v>
      </c>
      <c r="D318" s="97">
        <v>114</v>
      </c>
      <c r="E318" s="97">
        <v>23</v>
      </c>
      <c r="F318" s="93">
        <v>0.27518695688758665</v>
      </c>
      <c r="G318" s="98">
        <f t="shared" si="31"/>
        <v>1.8844601451134197</v>
      </c>
      <c r="H318" s="97" t="s">
        <v>115</v>
      </c>
      <c r="I318" s="97">
        <f t="shared" si="30"/>
        <v>1</v>
      </c>
    </row>
    <row r="319" spans="1:17" x14ac:dyDescent="0.3">
      <c r="A319" s="41">
        <v>32</v>
      </c>
      <c r="B319" s="97">
        <v>889</v>
      </c>
      <c r="C319" s="23">
        <f t="shared" si="29"/>
        <v>104</v>
      </c>
      <c r="D319" s="97">
        <v>107</v>
      </c>
      <c r="E319" s="97">
        <v>15</v>
      </c>
      <c r="F319" s="93">
        <v>0.25886598205337968</v>
      </c>
      <c r="G319" s="98">
        <f t="shared" si="31"/>
        <v>1.8149555033567004</v>
      </c>
      <c r="H319" s="97" t="s">
        <v>115</v>
      </c>
      <c r="I319" s="97">
        <f t="shared" si="30"/>
        <v>1</v>
      </c>
    </row>
    <row r="320" spans="1:17" x14ac:dyDescent="0.3">
      <c r="A320" s="41">
        <v>33</v>
      </c>
      <c r="B320" s="99">
        <v>1743</v>
      </c>
      <c r="C320" s="23">
        <f t="shared" si="29"/>
        <v>854</v>
      </c>
      <c r="D320" s="99">
        <v>152</v>
      </c>
      <c r="E320" s="99">
        <v>24</v>
      </c>
      <c r="F320" s="93">
        <v>0.24052099286851042</v>
      </c>
      <c r="G320" s="98">
        <f t="shared" si="31"/>
        <v>1.7398867984207309</v>
      </c>
      <c r="H320" s="97" t="s">
        <v>115</v>
      </c>
      <c r="I320" s="97">
        <f t="shared" si="30"/>
        <v>1</v>
      </c>
    </row>
    <row r="321" spans="1:17" x14ac:dyDescent="0.3">
      <c r="A321" s="41">
        <v>34</v>
      </c>
      <c r="B321" s="99">
        <v>1847</v>
      </c>
      <c r="C321" s="23">
        <f t="shared" si="29"/>
        <v>104</v>
      </c>
      <c r="D321" s="99">
        <v>210</v>
      </c>
      <c r="E321" s="99">
        <v>47</v>
      </c>
      <c r="F321" s="93">
        <v>0</v>
      </c>
      <c r="G321" s="98">
        <f t="shared" si="31"/>
        <v>1</v>
      </c>
      <c r="H321" s="97" t="s">
        <v>115</v>
      </c>
      <c r="I321" s="97">
        <f t="shared" si="30"/>
        <v>1</v>
      </c>
    </row>
    <row r="322" spans="1:17" x14ac:dyDescent="0.3">
      <c r="A322" s="41">
        <v>35</v>
      </c>
      <c r="B322" s="99">
        <v>1428</v>
      </c>
      <c r="C322" s="23">
        <f t="shared" si="29"/>
        <v>-419</v>
      </c>
      <c r="D322" s="99">
        <v>205</v>
      </c>
      <c r="E322" s="99">
        <v>62</v>
      </c>
      <c r="F322" s="93">
        <v>0.18422603741438187</v>
      </c>
      <c r="G322" s="98">
        <f t="shared" si="31"/>
        <v>1.5283613180627631</v>
      </c>
      <c r="H322" s="97" t="s">
        <v>115</v>
      </c>
      <c r="I322" s="97">
        <f t="shared" si="30"/>
        <v>0</v>
      </c>
    </row>
    <row r="323" spans="1:17" x14ac:dyDescent="0.3">
      <c r="A323" s="41">
        <v>36</v>
      </c>
      <c r="B323" s="99">
        <v>1149</v>
      </c>
      <c r="C323" s="23">
        <f t="shared" si="29"/>
        <v>-279</v>
      </c>
      <c r="D323" s="99">
        <v>171</v>
      </c>
      <c r="E323" s="99">
        <v>46</v>
      </c>
      <c r="F323" s="93">
        <v>0</v>
      </c>
      <c r="G323" s="98">
        <f t="shared" si="31"/>
        <v>1</v>
      </c>
      <c r="H323" s="97" t="s">
        <v>115</v>
      </c>
      <c r="I323" s="97">
        <f t="shared" si="30"/>
        <v>0</v>
      </c>
    </row>
    <row r="324" spans="1:17" x14ac:dyDescent="0.3">
      <c r="A324" s="41">
        <v>37</v>
      </c>
      <c r="B324" s="99">
        <v>629</v>
      </c>
      <c r="C324" s="23">
        <f t="shared" si="29"/>
        <v>-520</v>
      </c>
      <c r="D324" s="99">
        <v>135</v>
      </c>
      <c r="E324" s="99">
        <v>25</v>
      </c>
      <c r="F324" s="93">
        <v>0</v>
      </c>
      <c r="G324" s="98">
        <f t="shared" si="31"/>
        <v>1</v>
      </c>
      <c r="H324" s="97" t="s">
        <v>115</v>
      </c>
      <c r="I324" s="97">
        <f t="shared" si="30"/>
        <v>0</v>
      </c>
    </row>
    <row r="325" spans="1:17" x14ac:dyDescent="0.3">
      <c r="A325" s="41">
        <v>38</v>
      </c>
      <c r="B325" s="99">
        <v>313</v>
      </c>
      <c r="C325" s="23">
        <f t="shared" si="29"/>
        <v>-316</v>
      </c>
      <c r="D325" s="99">
        <v>67</v>
      </c>
      <c r="E325" s="99">
        <v>33</v>
      </c>
      <c r="F325" s="103">
        <v>0</v>
      </c>
      <c r="G325" s="98">
        <f t="shared" si="31"/>
        <v>1</v>
      </c>
      <c r="H325" s="97" t="s">
        <v>115</v>
      </c>
      <c r="I325" s="97">
        <f t="shared" si="30"/>
        <v>0</v>
      </c>
    </row>
    <row r="326" spans="1:17" x14ac:dyDescent="0.3">
      <c r="A326" s="41">
        <v>39</v>
      </c>
      <c r="B326" s="97">
        <v>210</v>
      </c>
      <c r="C326" s="23">
        <f t="shared" si="29"/>
        <v>-103</v>
      </c>
      <c r="D326" s="97">
        <v>70</v>
      </c>
      <c r="E326" s="97">
        <v>21</v>
      </c>
      <c r="F326" s="93">
        <v>0</v>
      </c>
      <c r="G326" s="98">
        <f t="shared" si="31"/>
        <v>1</v>
      </c>
      <c r="H326" s="97" t="s">
        <v>115</v>
      </c>
      <c r="I326" s="97">
        <f t="shared" si="30"/>
        <v>0</v>
      </c>
    </row>
    <row r="327" spans="1:17" x14ac:dyDescent="0.3">
      <c r="A327" s="41">
        <v>40</v>
      </c>
      <c r="B327" s="97">
        <v>110</v>
      </c>
      <c r="C327" s="23">
        <f t="shared" si="29"/>
        <v>-100</v>
      </c>
      <c r="D327" s="97">
        <v>60</v>
      </c>
      <c r="E327" s="97">
        <v>20</v>
      </c>
      <c r="F327" s="93">
        <v>1.0824872293726395</v>
      </c>
      <c r="G327" s="98">
        <f t="shared" si="31"/>
        <v>12.091696262359617</v>
      </c>
      <c r="H327" s="97" t="s">
        <v>115</v>
      </c>
      <c r="I327" s="97">
        <f t="shared" si="30"/>
        <v>0</v>
      </c>
    </row>
    <row r="328" spans="1:17" x14ac:dyDescent="0.3">
      <c r="A328" s="41">
        <v>41</v>
      </c>
      <c r="B328" s="97">
        <v>83</v>
      </c>
      <c r="C328" s="23">
        <f t="shared" si="29"/>
        <v>-27</v>
      </c>
      <c r="D328" s="97">
        <v>40</v>
      </c>
      <c r="E328" s="97">
        <v>7</v>
      </c>
      <c r="F328" s="93">
        <v>0.64260069971373446</v>
      </c>
      <c r="G328" s="98">
        <f t="shared" si="31"/>
        <v>4.3913767654068625</v>
      </c>
      <c r="H328" s="97" t="s">
        <v>115</v>
      </c>
      <c r="I328" s="97">
        <f t="shared" si="30"/>
        <v>0</v>
      </c>
    </row>
    <row r="329" spans="1:17" x14ac:dyDescent="0.3">
      <c r="A329" s="41">
        <v>42</v>
      </c>
      <c r="B329" s="97">
        <v>25</v>
      </c>
      <c r="C329" s="23">
        <f t="shared" si="29"/>
        <v>-58</v>
      </c>
      <c r="D329" s="97">
        <v>15</v>
      </c>
      <c r="E329" s="97">
        <v>5</v>
      </c>
      <c r="F329" s="93">
        <v>0</v>
      </c>
      <c r="G329" s="98">
        <f t="shared" si="31"/>
        <v>1</v>
      </c>
      <c r="H329" s="97" t="s">
        <v>115</v>
      </c>
      <c r="I329" s="97">
        <f t="shared" si="30"/>
        <v>0</v>
      </c>
    </row>
    <row r="330" spans="1:17" x14ac:dyDescent="0.3">
      <c r="A330" s="149">
        <v>43</v>
      </c>
      <c r="B330" s="141">
        <v>43</v>
      </c>
      <c r="C330" s="142">
        <f t="shared" si="29"/>
        <v>18</v>
      </c>
      <c r="D330" s="141"/>
      <c r="E330" s="141"/>
      <c r="F330" s="143">
        <v>0</v>
      </c>
      <c r="G330" s="144">
        <f t="shared" si="31"/>
        <v>1</v>
      </c>
      <c r="H330" s="141" t="s">
        <v>115</v>
      </c>
      <c r="I330" s="141">
        <f t="shared" si="30"/>
        <v>1</v>
      </c>
    </row>
    <row r="331" spans="1:17" x14ac:dyDescent="0.3">
      <c r="A331" s="149">
        <v>44</v>
      </c>
      <c r="B331" s="141">
        <v>29</v>
      </c>
      <c r="C331" s="142">
        <f t="shared" si="29"/>
        <v>-14</v>
      </c>
      <c r="D331" s="141"/>
      <c r="E331" s="141"/>
      <c r="F331" s="143">
        <v>0</v>
      </c>
      <c r="G331" s="144">
        <f t="shared" si="31"/>
        <v>1</v>
      </c>
      <c r="H331" s="141" t="s">
        <v>115</v>
      </c>
      <c r="I331" s="141">
        <f t="shared" si="30"/>
        <v>0</v>
      </c>
    </row>
    <row r="332" spans="1:17" x14ac:dyDescent="0.3">
      <c r="A332" s="149">
        <v>45</v>
      </c>
      <c r="B332" s="141">
        <v>14</v>
      </c>
      <c r="C332" s="142">
        <f t="shared" si="29"/>
        <v>-15</v>
      </c>
      <c r="D332" s="141"/>
      <c r="E332" s="141"/>
      <c r="F332" s="143">
        <v>0</v>
      </c>
      <c r="G332" s="144">
        <f t="shared" si="31"/>
        <v>1</v>
      </c>
      <c r="H332" s="141" t="s">
        <v>115</v>
      </c>
      <c r="I332" s="141">
        <f t="shared" si="30"/>
        <v>0</v>
      </c>
    </row>
    <row r="333" spans="1:17" x14ac:dyDescent="0.3">
      <c r="A333" s="149">
        <v>46</v>
      </c>
      <c r="B333" s="141">
        <v>15</v>
      </c>
      <c r="C333" s="142">
        <f t="shared" si="29"/>
        <v>1</v>
      </c>
      <c r="D333" s="141"/>
      <c r="E333" s="141"/>
      <c r="F333" s="143">
        <v>0</v>
      </c>
      <c r="G333" s="144">
        <f t="shared" si="31"/>
        <v>1</v>
      </c>
      <c r="H333" s="141" t="s">
        <v>115</v>
      </c>
      <c r="I333" s="141">
        <f t="shared" si="30"/>
        <v>1</v>
      </c>
    </row>
    <row r="334" spans="1:17" s="151" customFormat="1" x14ac:dyDescent="0.3">
      <c r="A334" s="149">
        <v>47</v>
      </c>
      <c r="B334" s="141">
        <v>12</v>
      </c>
      <c r="C334" s="142">
        <f t="shared" si="29"/>
        <v>-3</v>
      </c>
      <c r="D334" s="141"/>
      <c r="E334" s="141"/>
      <c r="F334" s="143">
        <v>0</v>
      </c>
      <c r="G334" s="144">
        <f t="shared" si="31"/>
        <v>1</v>
      </c>
      <c r="H334" s="141" t="s">
        <v>115</v>
      </c>
      <c r="I334" s="141">
        <f t="shared" si="30"/>
        <v>0</v>
      </c>
      <c r="L334" s="97"/>
      <c r="M334" s="97"/>
      <c r="N334" s="97"/>
      <c r="O334" s="97"/>
      <c r="P334" s="97"/>
      <c r="Q334" s="97"/>
    </row>
    <row r="335" spans="1:17" x14ac:dyDescent="0.3">
      <c r="A335" s="23">
        <v>22</v>
      </c>
      <c r="B335" s="41">
        <v>88</v>
      </c>
      <c r="C335" s="23">
        <f>B335-B329</f>
        <v>63</v>
      </c>
      <c r="D335" s="41">
        <v>13</v>
      </c>
      <c r="E335" s="41">
        <v>0</v>
      </c>
      <c r="F335" s="94">
        <f>LOG(1.4188070686496)</f>
        <v>0.15192334350717079</v>
      </c>
      <c r="G335" s="98">
        <f>10^F335</f>
        <v>1.4188070686495999</v>
      </c>
      <c r="H335" s="97" t="s">
        <v>111</v>
      </c>
      <c r="I335" s="97">
        <f t="shared" si="30"/>
        <v>1</v>
      </c>
    </row>
    <row r="336" spans="1:17" x14ac:dyDescent="0.3">
      <c r="A336" s="23">
        <v>23</v>
      </c>
      <c r="B336" s="41">
        <v>146</v>
      </c>
      <c r="C336" s="23">
        <f t="shared" si="29"/>
        <v>58</v>
      </c>
      <c r="D336" s="41">
        <v>23</v>
      </c>
      <c r="E336" s="41">
        <v>2</v>
      </c>
      <c r="F336" s="94">
        <v>0</v>
      </c>
      <c r="G336" s="98">
        <f t="shared" ref="G336:G369" si="32">10^F336</f>
        <v>1</v>
      </c>
      <c r="H336" s="97" t="s">
        <v>111</v>
      </c>
      <c r="I336" s="97">
        <f t="shared" si="30"/>
        <v>1</v>
      </c>
    </row>
    <row r="337" spans="1:9" x14ac:dyDescent="0.3">
      <c r="A337" s="23">
        <v>24</v>
      </c>
      <c r="B337" s="41">
        <v>233</v>
      </c>
      <c r="C337" s="23">
        <f t="shared" si="29"/>
        <v>87</v>
      </c>
      <c r="D337" s="41">
        <v>34</v>
      </c>
      <c r="E337" s="41">
        <v>1</v>
      </c>
      <c r="F337" s="94">
        <v>0</v>
      </c>
      <c r="G337" s="98">
        <f t="shared" si="32"/>
        <v>1</v>
      </c>
      <c r="H337" s="97" t="s">
        <v>111</v>
      </c>
      <c r="I337" s="97">
        <f t="shared" si="30"/>
        <v>1</v>
      </c>
    </row>
    <row r="338" spans="1:9" x14ac:dyDescent="0.3">
      <c r="A338" s="23">
        <v>25</v>
      </c>
      <c r="B338" s="41">
        <v>289</v>
      </c>
      <c r="C338" s="23">
        <f t="shared" si="29"/>
        <v>56</v>
      </c>
      <c r="D338" s="41">
        <v>46</v>
      </c>
      <c r="E338" s="41">
        <v>3</v>
      </c>
      <c r="F338" s="94">
        <f xml:space="preserve"> LOG(0.896660573020273)</f>
        <v>-4.7371926144015704E-2</v>
      </c>
      <c r="G338" s="98">
        <f t="shared" si="32"/>
        <v>0.89666057302027302</v>
      </c>
      <c r="H338" s="97" t="s">
        <v>111</v>
      </c>
      <c r="I338" s="97">
        <f t="shared" si="30"/>
        <v>1</v>
      </c>
    </row>
    <row r="339" spans="1:9" x14ac:dyDescent="0.3">
      <c r="A339" s="23">
        <v>26</v>
      </c>
      <c r="B339" s="95">
        <v>369</v>
      </c>
      <c r="C339" s="23">
        <f t="shared" si="29"/>
        <v>80</v>
      </c>
      <c r="D339" s="95">
        <v>70</v>
      </c>
      <c r="E339" s="95">
        <v>10</v>
      </c>
      <c r="F339" s="94">
        <f xml:space="preserve"> LOG(4.48796122658009)</f>
        <v>0.6520490962082095</v>
      </c>
      <c r="G339" s="98">
        <f t="shared" si="32"/>
        <v>4.4879612265800919</v>
      </c>
      <c r="H339" s="97" t="s">
        <v>111</v>
      </c>
      <c r="I339" s="97">
        <f t="shared" si="30"/>
        <v>1</v>
      </c>
    </row>
    <row r="340" spans="1:9" x14ac:dyDescent="0.3">
      <c r="A340" s="41">
        <v>27</v>
      </c>
      <c r="B340" s="97">
        <v>418</v>
      </c>
      <c r="C340" s="23">
        <f t="shared" si="29"/>
        <v>49</v>
      </c>
      <c r="D340" s="97">
        <v>86</v>
      </c>
      <c r="E340" s="97">
        <v>19</v>
      </c>
      <c r="F340" s="93">
        <f xml:space="preserve"> LOG(15.7117405716254)</f>
        <v>1.196224299538998</v>
      </c>
      <c r="G340" s="98">
        <f t="shared" si="32"/>
        <v>15.711740571625409</v>
      </c>
      <c r="H340" s="97" t="s">
        <v>111</v>
      </c>
      <c r="I340" s="97">
        <f t="shared" si="30"/>
        <v>1</v>
      </c>
    </row>
    <row r="341" spans="1:9" x14ac:dyDescent="0.3">
      <c r="A341" s="41">
        <v>28</v>
      </c>
      <c r="B341" s="97">
        <v>424</v>
      </c>
      <c r="C341" s="23">
        <f t="shared" si="29"/>
        <v>6</v>
      </c>
      <c r="D341" s="97">
        <v>101</v>
      </c>
      <c r="E341" s="97">
        <v>22</v>
      </c>
      <c r="F341" s="93">
        <f>LOG(9.17782041491294)</f>
        <v>0.96273955547507206</v>
      </c>
      <c r="G341" s="98">
        <f t="shared" si="32"/>
        <v>9.1778204149129436</v>
      </c>
      <c r="H341" s="97" t="s">
        <v>111</v>
      </c>
      <c r="I341" s="97">
        <f t="shared" si="30"/>
        <v>1</v>
      </c>
    </row>
    <row r="342" spans="1:9" x14ac:dyDescent="0.3">
      <c r="A342" s="41">
        <v>29</v>
      </c>
      <c r="B342" s="97">
        <v>488</v>
      </c>
      <c r="C342" s="23">
        <f t="shared" si="29"/>
        <v>64</v>
      </c>
      <c r="D342" s="97">
        <v>97</v>
      </c>
      <c r="E342" s="97">
        <v>16</v>
      </c>
      <c r="F342" s="93">
        <f>LOG(37.1942787754292)</f>
        <v>1.5704761418348803</v>
      </c>
      <c r="G342" s="98">
        <f t="shared" si="32"/>
        <v>37.194278775429211</v>
      </c>
      <c r="H342" s="97" t="s">
        <v>111</v>
      </c>
      <c r="I342" s="97">
        <f t="shared" si="30"/>
        <v>1</v>
      </c>
    </row>
    <row r="343" spans="1:9" x14ac:dyDescent="0.3">
      <c r="A343" s="41">
        <v>30</v>
      </c>
      <c r="B343" s="97">
        <v>601</v>
      </c>
      <c r="C343" s="23">
        <f t="shared" si="29"/>
        <v>113</v>
      </c>
      <c r="D343" s="97">
        <v>84</v>
      </c>
      <c r="E343" s="97">
        <v>17</v>
      </c>
      <c r="F343" s="93">
        <v>2.0663165950854596</v>
      </c>
      <c r="G343" s="98">
        <f t="shared" si="32"/>
        <v>116.49749716933897</v>
      </c>
      <c r="H343" s="97" t="s">
        <v>111</v>
      </c>
      <c r="I343" s="97">
        <f t="shared" si="30"/>
        <v>1</v>
      </c>
    </row>
    <row r="344" spans="1:9" x14ac:dyDescent="0.3">
      <c r="A344" s="41">
        <v>31</v>
      </c>
      <c r="B344" s="97">
        <v>785</v>
      </c>
      <c r="C344" s="23">
        <f t="shared" si="29"/>
        <v>184</v>
      </c>
      <c r="D344" s="97">
        <v>114</v>
      </c>
      <c r="E344" s="97">
        <v>23</v>
      </c>
      <c r="F344" s="93">
        <v>1.3568222701216026</v>
      </c>
      <c r="G344" s="98">
        <f t="shared" si="32"/>
        <v>22.741665645521518</v>
      </c>
      <c r="H344" s="97" t="s">
        <v>111</v>
      </c>
      <c r="I344" s="97">
        <f t="shared" si="30"/>
        <v>1</v>
      </c>
    </row>
    <row r="345" spans="1:9" x14ac:dyDescent="0.3">
      <c r="A345" s="41">
        <v>32</v>
      </c>
      <c r="B345" s="97">
        <v>889</v>
      </c>
      <c r="C345" s="23">
        <f t="shared" si="29"/>
        <v>104</v>
      </c>
      <c r="D345" s="97">
        <v>107</v>
      </c>
      <c r="E345" s="97">
        <v>15</v>
      </c>
      <c r="F345" s="93">
        <v>2.7665745038630538</v>
      </c>
      <c r="G345" s="98">
        <f t="shared" si="32"/>
        <v>584.21742186254392</v>
      </c>
      <c r="H345" s="97" t="s">
        <v>111</v>
      </c>
      <c r="I345" s="97">
        <f t="shared" si="30"/>
        <v>1</v>
      </c>
    </row>
    <row r="346" spans="1:9" x14ac:dyDescent="0.3">
      <c r="A346" s="41">
        <v>33</v>
      </c>
      <c r="B346" s="99">
        <v>1743</v>
      </c>
      <c r="C346" s="23">
        <f t="shared" si="29"/>
        <v>854</v>
      </c>
      <c r="D346" s="99">
        <v>152</v>
      </c>
      <c r="E346" s="99">
        <v>24</v>
      </c>
      <c r="F346" s="93">
        <v>3.034503729552267</v>
      </c>
      <c r="G346" s="98">
        <f t="shared" si="32"/>
        <v>1082.6890127999445</v>
      </c>
      <c r="H346" s="97" t="s">
        <v>111</v>
      </c>
      <c r="I346" s="97">
        <f t="shared" si="30"/>
        <v>1</v>
      </c>
    </row>
    <row r="347" spans="1:9" x14ac:dyDescent="0.3">
      <c r="A347" s="41">
        <v>34</v>
      </c>
      <c r="B347" s="99">
        <v>1847</v>
      </c>
      <c r="C347" s="23">
        <f t="shared" si="29"/>
        <v>104</v>
      </c>
      <c r="D347" s="99">
        <v>210</v>
      </c>
      <c r="E347" s="99">
        <v>47</v>
      </c>
      <c r="F347" s="93">
        <v>2.4313786817339236</v>
      </c>
      <c r="G347" s="98">
        <f t="shared" si="32"/>
        <v>270.00927438541339</v>
      </c>
      <c r="H347" s="97" t="s">
        <v>111</v>
      </c>
      <c r="I347" s="97">
        <f t="shared" si="30"/>
        <v>1</v>
      </c>
    </row>
    <row r="348" spans="1:9" x14ac:dyDescent="0.3">
      <c r="A348" s="41">
        <v>35</v>
      </c>
      <c r="B348" s="99">
        <v>1428</v>
      </c>
      <c r="C348" s="23">
        <f t="shared" si="29"/>
        <v>-419</v>
      </c>
      <c r="D348" s="99">
        <v>205</v>
      </c>
      <c r="E348" s="99">
        <v>62</v>
      </c>
      <c r="F348" s="93">
        <v>2.2904578705513252</v>
      </c>
      <c r="G348" s="98">
        <f t="shared" si="32"/>
        <v>195.19013774638276</v>
      </c>
      <c r="H348" s="97" t="s">
        <v>111</v>
      </c>
      <c r="I348" s="97">
        <f t="shared" si="30"/>
        <v>0</v>
      </c>
    </row>
    <row r="349" spans="1:9" x14ac:dyDescent="0.3">
      <c r="A349" s="41">
        <v>36</v>
      </c>
      <c r="B349" s="99">
        <v>1149</v>
      </c>
      <c r="C349" s="23">
        <f t="shared" si="29"/>
        <v>-279</v>
      </c>
      <c r="D349" s="99">
        <v>171</v>
      </c>
      <c r="E349" s="99">
        <v>46</v>
      </c>
      <c r="F349" s="93">
        <v>1.0583179896101353</v>
      </c>
      <c r="G349" s="98">
        <f t="shared" si="32"/>
        <v>11.437154546075936</v>
      </c>
      <c r="H349" s="97" t="s">
        <v>111</v>
      </c>
      <c r="I349" s="97">
        <f t="shared" si="30"/>
        <v>0</v>
      </c>
    </row>
    <row r="350" spans="1:9" x14ac:dyDescent="0.3">
      <c r="A350" s="41">
        <v>37</v>
      </c>
      <c r="B350" s="99">
        <v>629</v>
      </c>
      <c r="C350" s="23">
        <f t="shared" si="29"/>
        <v>-520</v>
      </c>
      <c r="D350" s="99">
        <v>135</v>
      </c>
      <c r="E350" s="99">
        <v>25</v>
      </c>
      <c r="F350" s="93">
        <v>1.8067449920152958</v>
      </c>
      <c r="G350" s="98">
        <f t="shared" si="32"/>
        <v>64.08331832107234</v>
      </c>
      <c r="H350" s="97" t="s">
        <v>111</v>
      </c>
      <c r="I350" s="97">
        <f t="shared" si="30"/>
        <v>0</v>
      </c>
    </row>
    <row r="351" spans="1:9" x14ac:dyDescent="0.3">
      <c r="A351" s="41">
        <v>38</v>
      </c>
      <c r="B351" s="99">
        <v>313</v>
      </c>
      <c r="C351" s="23">
        <f t="shared" si="29"/>
        <v>-316</v>
      </c>
      <c r="D351" s="99">
        <v>67</v>
      </c>
      <c r="E351" s="99">
        <v>33</v>
      </c>
      <c r="F351" s="103">
        <v>1.3646581231533264</v>
      </c>
      <c r="G351" s="98">
        <f t="shared" si="32"/>
        <v>23.155711135085756</v>
      </c>
      <c r="H351" s="97" t="s">
        <v>111</v>
      </c>
      <c r="I351" s="97">
        <f t="shared" si="30"/>
        <v>0</v>
      </c>
    </row>
    <row r="352" spans="1:9" x14ac:dyDescent="0.3">
      <c r="A352" s="41">
        <v>39</v>
      </c>
      <c r="B352" s="97">
        <v>210</v>
      </c>
      <c r="C352" s="23">
        <f t="shared" si="29"/>
        <v>-103</v>
      </c>
      <c r="D352" s="97">
        <v>70</v>
      </c>
      <c r="E352" s="97">
        <v>21</v>
      </c>
      <c r="F352" s="93">
        <v>0.76811550803672257</v>
      </c>
      <c r="G352" s="98">
        <f t="shared" si="32"/>
        <v>5.8629407870526222</v>
      </c>
      <c r="H352" s="97" t="s">
        <v>111</v>
      </c>
      <c r="I352" s="97">
        <f t="shared" si="30"/>
        <v>0</v>
      </c>
    </row>
    <row r="353" spans="1:17" x14ac:dyDescent="0.3">
      <c r="A353" s="41">
        <v>40</v>
      </c>
      <c r="B353" s="97">
        <v>110</v>
      </c>
      <c r="C353" s="23">
        <f t="shared" si="29"/>
        <v>-100</v>
      </c>
      <c r="D353" s="97">
        <v>60</v>
      </c>
      <c r="E353" s="97">
        <v>20</v>
      </c>
      <c r="F353" s="93">
        <v>0.49618723538634268</v>
      </c>
      <c r="G353" s="98">
        <f t="shared" si="32"/>
        <v>3.1346368546388583</v>
      </c>
      <c r="H353" s="97" t="s">
        <v>111</v>
      </c>
      <c r="I353" s="97">
        <f t="shared" si="30"/>
        <v>0</v>
      </c>
    </row>
    <row r="354" spans="1:17" x14ac:dyDescent="0.3">
      <c r="A354" s="41">
        <v>41</v>
      </c>
      <c r="B354" s="97">
        <v>83</v>
      </c>
      <c r="C354" s="23">
        <f t="shared" si="29"/>
        <v>-27</v>
      </c>
      <c r="D354" s="97">
        <v>40</v>
      </c>
      <c r="E354" s="97">
        <v>7</v>
      </c>
      <c r="F354" s="93">
        <v>0</v>
      </c>
      <c r="G354" s="98">
        <f t="shared" si="32"/>
        <v>1</v>
      </c>
      <c r="H354" s="97" t="s">
        <v>111</v>
      </c>
      <c r="I354" s="97">
        <f t="shared" si="30"/>
        <v>0</v>
      </c>
    </row>
    <row r="355" spans="1:17" x14ac:dyDescent="0.3">
      <c r="A355" s="41">
        <v>42</v>
      </c>
      <c r="B355" s="97">
        <v>25</v>
      </c>
      <c r="C355" s="23">
        <f t="shared" si="29"/>
        <v>-58</v>
      </c>
      <c r="D355" s="97">
        <v>15</v>
      </c>
      <c r="E355" s="97">
        <v>5</v>
      </c>
      <c r="F355" s="93">
        <v>-1.6782436458658897E-3</v>
      </c>
      <c r="G355" s="98">
        <f t="shared" si="32"/>
        <v>0.9961431579930442</v>
      </c>
      <c r="H355" s="97" t="s">
        <v>111</v>
      </c>
      <c r="I355" s="97">
        <f t="shared" si="30"/>
        <v>0</v>
      </c>
    </row>
    <row r="356" spans="1:17" x14ac:dyDescent="0.3">
      <c r="A356" s="149">
        <v>43</v>
      </c>
      <c r="B356" s="141">
        <v>43</v>
      </c>
      <c r="C356" s="142">
        <f t="shared" si="29"/>
        <v>18</v>
      </c>
      <c r="D356" s="141"/>
      <c r="E356" s="141"/>
      <c r="F356" s="143">
        <v>0.48098000032681121</v>
      </c>
      <c r="G356" s="144">
        <f t="shared" si="32"/>
        <v>3.0267740390738673</v>
      </c>
      <c r="H356" s="141" t="s">
        <v>111</v>
      </c>
      <c r="I356" s="141">
        <f t="shared" si="30"/>
        <v>1</v>
      </c>
    </row>
    <row r="357" spans="1:17" x14ac:dyDescent="0.3">
      <c r="A357" s="149">
        <v>44</v>
      </c>
      <c r="B357" s="141">
        <v>29</v>
      </c>
      <c r="C357" s="142">
        <f t="shared" si="29"/>
        <v>-14</v>
      </c>
      <c r="D357" s="141"/>
      <c r="E357" s="141"/>
      <c r="F357" s="143">
        <v>0.47019947314810284</v>
      </c>
      <c r="G357" s="144">
        <f t="shared" si="32"/>
        <v>2.9525650399071832</v>
      </c>
      <c r="H357" s="141" t="s">
        <v>111</v>
      </c>
      <c r="I357" s="141">
        <f t="shared" si="30"/>
        <v>0</v>
      </c>
    </row>
    <row r="358" spans="1:17" x14ac:dyDescent="0.3">
      <c r="A358" s="149">
        <v>45</v>
      </c>
      <c r="B358" s="141">
        <v>14</v>
      </c>
      <c r="C358" s="142">
        <f t="shared" si="29"/>
        <v>-15</v>
      </c>
      <c r="D358" s="141"/>
      <c r="E358" s="141"/>
      <c r="F358" s="143">
        <v>0.25094951382617048</v>
      </c>
      <c r="G358" s="144">
        <f t="shared" si="32"/>
        <v>1.7821715802562481</v>
      </c>
      <c r="H358" s="141" t="s">
        <v>111</v>
      </c>
      <c r="I358" s="141">
        <f t="shared" si="30"/>
        <v>0</v>
      </c>
    </row>
    <row r="359" spans="1:17" x14ac:dyDescent="0.3">
      <c r="A359" s="149">
        <v>46</v>
      </c>
      <c r="B359" s="141">
        <v>15</v>
      </c>
      <c r="C359" s="142">
        <f t="shared" si="29"/>
        <v>1</v>
      </c>
      <c r="D359" s="141"/>
      <c r="E359" s="141"/>
      <c r="F359" s="143">
        <v>0.31559418939102762</v>
      </c>
      <c r="G359" s="144">
        <f t="shared" si="32"/>
        <v>2.0682078843214078</v>
      </c>
      <c r="H359" s="141" t="s">
        <v>111</v>
      </c>
      <c r="I359" s="141">
        <f t="shared" si="30"/>
        <v>1</v>
      </c>
    </row>
    <row r="360" spans="1:17" s="151" customFormat="1" x14ac:dyDescent="0.3">
      <c r="A360" s="149">
        <v>47</v>
      </c>
      <c r="B360" s="141">
        <v>12</v>
      </c>
      <c r="C360" s="142">
        <f t="shared" si="29"/>
        <v>-3</v>
      </c>
      <c r="D360" s="141"/>
      <c r="E360" s="141"/>
      <c r="F360" s="143">
        <v>5.9540591725798245E-2</v>
      </c>
      <c r="G360" s="144">
        <f t="shared" si="32"/>
        <v>1.1469397161688124</v>
      </c>
      <c r="H360" s="141" t="s">
        <v>111</v>
      </c>
      <c r="I360" s="141">
        <f t="shared" si="30"/>
        <v>0</v>
      </c>
      <c r="L360" s="97"/>
      <c r="M360" s="97"/>
      <c r="N360" s="97"/>
      <c r="O360" s="97"/>
      <c r="P360" s="97"/>
      <c r="Q360" s="97"/>
    </row>
    <row r="361" spans="1:17" x14ac:dyDescent="0.3">
      <c r="A361" s="116">
        <v>10</v>
      </c>
      <c r="B361" s="41">
        <v>31</v>
      </c>
      <c r="C361" s="23">
        <f>B361-B355</f>
        <v>6</v>
      </c>
      <c r="D361" s="41">
        <v>15</v>
      </c>
      <c r="E361" s="41">
        <v>1</v>
      </c>
      <c r="F361" s="93">
        <f xml:space="preserve"> LOG(442.423100374183)</f>
        <v>2.6458377948407681</v>
      </c>
      <c r="G361">
        <f t="shared" si="32"/>
        <v>442.42310037418292</v>
      </c>
      <c r="H361" t="s">
        <v>112</v>
      </c>
      <c r="I361" s="97">
        <f t="shared" si="30"/>
        <v>1</v>
      </c>
    </row>
    <row r="362" spans="1:17" x14ac:dyDescent="0.3">
      <c r="A362" s="116">
        <v>15</v>
      </c>
      <c r="B362" s="41">
        <v>66</v>
      </c>
      <c r="C362" s="23">
        <f t="shared" si="29"/>
        <v>35</v>
      </c>
      <c r="D362" s="41">
        <v>18</v>
      </c>
      <c r="E362" s="41">
        <v>3</v>
      </c>
      <c r="F362" s="94">
        <f xml:space="preserve"> LOG(0.530486052133599)</f>
        <v>-0.27532603035084996</v>
      </c>
      <c r="G362">
        <f t="shared" si="32"/>
        <v>0.5304860521335989</v>
      </c>
      <c r="H362" t="s">
        <v>112</v>
      </c>
      <c r="I362" s="97">
        <f t="shared" si="30"/>
        <v>1</v>
      </c>
    </row>
    <row r="363" spans="1:17" x14ac:dyDescent="0.3">
      <c r="A363" s="116">
        <v>18</v>
      </c>
      <c r="B363" s="41">
        <v>68</v>
      </c>
      <c r="C363" s="23">
        <f t="shared" si="29"/>
        <v>2</v>
      </c>
      <c r="D363" s="41">
        <v>21</v>
      </c>
      <c r="E363" s="41">
        <v>6</v>
      </c>
      <c r="F363" s="94">
        <f xml:space="preserve"> LOG(1.56425851948407)</f>
        <v>0.19430852897149883</v>
      </c>
      <c r="G363">
        <f t="shared" si="32"/>
        <v>1.5642585194840699</v>
      </c>
      <c r="H363" t="s">
        <v>112</v>
      </c>
      <c r="I363" s="97">
        <f t="shared" si="30"/>
        <v>1</v>
      </c>
    </row>
    <row r="364" spans="1:17" x14ac:dyDescent="0.3">
      <c r="A364" s="116">
        <v>23</v>
      </c>
      <c r="B364" s="41">
        <v>899</v>
      </c>
      <c r="C364" s="23">
        <f t="shared" si="29"/>
        <v>831</v>
      </c>
      <c r="D364" s="41">
        <v>130</v>
      </c>
      <c r="E364" s="41">
        <v>24</v>
      </c>
      <c r="F364" s="94">
        <f xml:space="preserve"> LOG(4.19135087606858)</f>
        <v>0.62235401902088716</v>
      </c>
      <c r="G364">
        <f t="shared" si="32"/>
        <v>4.1913508760685803</v>
      </c>
      <c r="H364" t="s">
        <v>112</v>
      </c>
      <c r="I364" s="97">
        <f t="shared" si="30"/>
        <v>1</v>
      </c>
    </row>
    <row r="365" spans="1:17" x14ac:dyDescent="0.3">
      <c r="A365" s="116">
        <v>28</v>
      </c>
      <c r="B365" s="99">
        <v>2109</v>
      </c>
      <c r="C365" s="23">
        <f t="shared" si="29"/>
        <v>1210</v>
      </c>
      <c r="D365" s="99">
        <v>256</v>
      </c>
      <c r="E365" s="99">
        <v>90</v>
      </c>
      <c r="F365" s="93">
        <f xml:space="preserve"> LOG(84.7437819656061)</f>
        <v>1.9281078418946413</v>
      </c>
      <c r="G365">
        <f t="shared" si="32"/>
        <v>84.743781965606118</v>
      </c>
      <c r="H365" t="s">
        <v>112</v>
      </c>
      <c r="I365" s="97">
        <f t="shared" si="30"/>
        <v>1</v>
      </c>
    </row>
    <row r="366" spans="1:17" x14ac:dyDescent="0.3">
      <c r="A366" s="116">
        <v>32</v>
      </c>
      <c r="B366" s="99">
        <v>3099</v>
      </c>
      <c r="C366" s="23">
        <f t="shared" si="29"/>
        <v>990</v>
      </c>
      <c r="D366" s="99">
        <v>253</v>
      </c>
      <c r="E366" s="99">
        <v>66</v>
      </c>
      <c r="F366" s="93">
        <v>2.5034435268061954</v>
      </c>
      <c r="G366">
        <f t="shared" si="32"/>
        <v>318.74510706687471</v>
      </c>
      <c r="H366" t="s">
        <v>112</v>
      </c>
      <c r="I366" s="97">
        <f t="shared" si="30"/>
        <v>1</v>
      </c>
    </row>
    <row r="367" spans="1:17" x14ac:dyDescent="0.3">
      <c r="A367" s="97">
        <v>37</v>
      </c>
      <c r="B367" s="99">
        <v>832</v>
      </c>
      <c r="C367" s="23">
        <f t="shared" si="29"/>
        <v>-2267</v>
      </c>
      <c r="D367" s="99">
        <v>90</v>
      </c>
      <c r="E367" s="99">
        <v>46</v>
      </c>
      <c r="F367" s="93">
        <v>0.99997750292599297</v>
      </c>
      <c r="G367">
        <f t="shared" si="32"/>
        <v>9.9994819991442636</v>
      </c>
      <c r="H367" t="s">
        <v>112</v>
      </c>
      <c r="I367" s="97">
        <f t="shared" si="30"/>
        <v>0</v>
      </c>
    </row>
    <row r="368" spans="1:17" x14ac:dyDescent="0.3">
      <c r="A368" s="97">
        <v>41</v>
      </c>
      <c r="B368" s="97">
        <v>125</v>
      </c>
      <c r="C368" s="23">
        <f t="shared" si="29"/>
        <v>-707</v>
      </c>
      <c r="D368" s="97">
        <v>12</v>
      </c>
      <c r="E368" s="97">
        <v>11</v>
      </c>
      <c r="F368" s="93">
        <v>1.6867782288401338</v>
      </c>
      <c r="G368">
        <f t="shared" si="32"/>
        <v>48.615888673432039</v>
      </c>
      <c r="H368" t="s">
        <v>112</v>
      </c>
      <c r="I368" s="97">
        <f t="shared" si="30"/>
        <v>0</v>
      </c>
    </row>
    <row r="369" spans="1:17" s="151" customFormat="1" x14ac:dyDescent="0.3">
      <c r="A369" s="141">
        <v>45</v>
      </c>
      <c r="B369" s="141">
        <v>18</v>
      </c>
      <c r="C369" s="142">
        <f t="shared" si="29"/>
        <v>-107</v>
      </c>
      <c r="D369" s="141"/>
      <c r="E369" s="141"/>
      <c r="F369" s="143">
        <v>0.32813026219810459</v>
      </c>
      <c r="G369" s="145">
        <f t="shared" si="32"/>
        <v>2.1287774553104324</v>
      </c>
      <c r="H369" s="145" t="s">
        <v>112</v>
      </c>
      <c r="I369" s="141">
        <f t="shared" si="30"/>
        <v>0</v>
      </c>
      <c r="L369" s="97"/>
      <c r="M369" s="97"/>
      <c r="N369" s="97"/>
      <c r="O369" s="97"/>
      <c r="P369" s="97"/>
      <c r="Q369" s="97"/>
    </row>
    <row r="370" spans="1:17" x14ac:dyDescent="0.3">
      <c r="A370" s="116">
        <v>15</v>
      </c>
      <c r="B370" s="41">
        <v>66</v>
      </c>
      <c r="C370" s="23">
        <f>B370-B368</f>
        <v>-59</v>
      </c>
      <c r="D370" s="41">
        <v>18</v>
      </c>
      <c r="E370" s="41">
        <v>3</v>
      </c>
      <c r="F370" s="94">
        <f xml:space="preserve"> LOG(1262.19060469647)</f>
        <v>3.1011249431152068</v>
      </c>
      <c r="G370" s="98">
        <f>10^F370</f>
        <v>1262.1906046964718</v>
      </c>
      <c r="H370" s="97" t="s">
        <v>113</v>
      </c>
      <c r="I370" s="97">
        <f t="shared" si="30"/>
        <v>0</v>
      </c>
    </row>
    <row r="371" spans="1:17" x14ac:dyDescent="0.3">
      <c r="A371" s="116">
        <v>23</v>
      </c>
      <c r="B371" s="41">
        <v>899</v>
      </c>
      <c r="C371" s="23">
        <f t="shared" si="29"/>
        <v>833</v>
      </c>
      <c r="D371" s="41">
        <v>130</v>
      </c>
      <c r="E371" s="41">
        <v>24</v>
      </c>
      <c r="F371" s="94">
        <f xml:space="preserve"> LOG(25.8593388966152)</f>
        <v>1.4126174177902362</v>
      </c>
      <c r="G371" s="98">
        <f t="shared" ref="G371:G376" si="33">10^F371</f>
        <v>25.859338896615206</v>
      </c>
      <c r="H371" s="97" t="s">
        <v>113</v>
      </c>
      <c r="I371" s="97">
        <f t="shared" si="30"/>
        <v>1</v>
      </c>
    </row>
    <row r="372" spans="1:17" x14ac:dyDescent="0.3">
      <c r="A372" s="116">
        <v>28</v>
      </c>
      <c r="B372" s="99">
        <v>2109</v>
      </c>
      <c r="C372" s="23">
        <f t="shared" si="29"/>
        <v>1210</v>
      </c>
      <c r="D372" s="99">
        <v>256</v>
      </c>
      <c r="E372" s="99">
        <v>90</v>
      </c>
      <c r="F372" s="93">
        <f xml:space="preserve"> LOG(1856.95352359694)</f>
        <v>3.2688010342201377</v>
      </c>
      <c r="G372" s="98">
        <f t="shared" si="33"/>
        <v>1856.9535235969422</v>
      </c>
      <c r="H372" s="97" t="s">
        <v>113</v>
      </c>
      <c r="I372" s="97">
        <f t="shared" si="30"/>
        <v>1</v>
      </c>
    </row>
    <row r="373" spans="1:17" x14ac:dyDescent="0.3">
      <c r="A373" s="116">
        <v>32</v>
      </c>
      <c r="B373" s="99">
        <v>3099</v>
      </c>
      <c r="C373" s="23">
        <f t="shared" si="29"/>
        <v>990</v>
      </c>
      <c r="D373" s="99">
        <v>253</v>
      </c>
      <c r="E373" s="99">
        <v>66</v>
      </c>
      <c r="F373" s="93">
        <v>3.176607257368913</v>
      </c>
      <c r="G373" s="98">
        <f t="shared" si="33"/>
        <v>1501.7832541952341</v>
      </c>
      <c r="H373" s="97" t="s">
        <v>113</v>
      </c>
      <c r="I373" s="97">
        <f t="shared" si="30"/>
        <v>1</v>
      </c>
    </row>
    <row r="374" spans="1:17" x14ac:dyDescent="0.3">
      <c r="A374" s="97">
        <v>37</v>
      </c>
      <c r="B374" s="99">
        <v>832</v>
      </c>
      <c r="C374" s="23">
        <f t="shared" si="29"/>
        <v>-2267</v>
      </c>
      <c r="D374" s="99">
        <v>90</v>
      </c>
      <c r="E374" s="99">
        <v>46</v>
      </c>
      <c r="F374" s="93">
        <v>1.958256463721594</v>
      </c>
      <c r="G374" s="98">
        <f t="shared" si="33"/>
        <v>90.83567833413889</v>
      </c>
      <c r="H374" s="97" t="s">
        <v>113</v>
      </c>
      <c r="I374" s="97">
        <f t="shared" si="30"/>
        <v>0</v>
      </c>
    </row>
    <row r="375" spans="1:17" x14ac:dyDescent="0.3">
      <c r="A375" s="97">
        <v>41</v>
      </c>
      <c r="B375" s="97">
        <v>125</v>
      </c>
      <c r="C375" s="23">
        <f t="shared" si="29"/>
        <v>-707</v>
      </c>
      <c r="D375" s="97">
        <v>12</v>
      </c>
      <c r="E375" s="97">
        <v>11</v>
      </c>
      <c r="F375" s="93">
        <v>2.7817853904060019</v>
      </c>
      <c r="G375" s="98">
        <f t="shared" si="33"/>
        <v>605.04181531010909</v>
      </c>
      <c r="H375" s="97" t="s">
        <v>113</v>
      </c>
      <c r="I375" s="97">
        <f t="shared" si="30"/>
        <v>0</v>
      </c>
    </row>
    <row r="376" spans="1:17" s="151" customFormat="1" x14ac:dyDescent="0.3">
      <c r="A376" s="141">
        <v>45</v>
      </c>
      <c r="B376" s="141">
        <v>18</v>
      </c>
      <c r="C376" s="142">
        <f t="shared" si="29"/>
        <v>-107</v>
      </c>
      <c r="D376" s="141"/>
      <c r="E376" s="141"/>
      <c r="F376" s="143">
        <v>0.3</v>
      </c>
      <c r="G376" s="144">
        <f t="shared" si="33"/>
        <v>1.9952623149688797</v>
      </c>
      <c r="H376" s="141" t="s">
        <v>113</v>
      </c>
      <c r="I376" s="141">
        <f t="shared" si="30"/>
        <v>0</v>
      </c>
      <c r="L376" s="97"/>
      <c r="M376" s="97"/>
      <c r="N376" s="97"/>
      <c r="O376" s="97"/>
      <c r="P376" s="97"/>
      <c r="Q376" s="97"/>
    </row>
    <row r="377" spans="1:17" x14ac:dyDescent="0.3">
      <c r="A377" s="116">
        <v>27</v>
      </c>
      <c r="B377" s="117">
        <v>145</v>
      </c>
      <c r="C377" s="23">
        <f>B377-B375</f>
        <v>20</v>
      </c>
      <c r="D377" s="117">
        <v>34</v>
      </c>
      <c r="E377" s="117">
        <v>4</v>
      </c>
      <c r="F377" s="93">
        <v>0.999023353507831</v>
      </c>
      <c r="G377" s="98">
        <f>10^F377</f>
        <v>9.977537150285686</v>
      </c>
      <c r="H377" s="97" t="s">
        <v>114</v>
      </c>
      <c r="I377" s="97">
        <f t="shared" si="30"/>
        <v>1</v>
      </c>
    </row>
    <row r="378" spans="1:17" x14ac:dyDescent="0.3">
      <c r="A378" s="116">
        <v>29</v>
      </c>
      <c r="B378" s="99">
        <v>245</v>
      </c>
      <c r="C378" s="23">
        <f t="shared" si="29"/>
        <v>100</v>
      </c>
      <c r="D378" s="99">
        <v>44</v>
      </c>
      <c r="E378" s="99">
        <v>13</v>
      </c>
      <c r="F378" s="93">
        <v>2.3250441493153531</v>
      </c>
      <c r="G378" s="98">
        <f t="shared" ref="G378:G385" si="34">10^F378</f>
        <v>211.37039028868392</v>
      </c>
      <c r="H378" s="97" t="s">
        <v>114</v>
      </c>
      <c r="I378" s="97">
        <f t="shared" si="30"/>
        <v>1</v>
      </c>
    </row>
    <row r="379" spans="1:17" x14ac:dyDescent="0.3">
      <c r="A379" s="116">
        <v>31</v>
      </c>
      <c r="B379" s="99">
        <v>403</v>
      </c>
      <c r="C379" s="23">
        <f t="shared" si="29"/>
        <v>158</v>
      </c>
      <c r="D379" s="99">
        <v>37</v>
      </c>
      <c r="E379" s="99">
        <v>6</v>
      </c>
      <c r="F379" s="93">
        <v>2.3819779351279671</v>
      </c>
      <c r="G379" s="98">
        <f t="shared" si="34"/>
        <v>240.97829935502037</v>
      </c>
      <c r="H379" s="97" t="s">
        <v>114</v>
      </c>
      <c r="I379" s="97">
        <f t="shared" si="30"/>
        <v>1</v>
      </c>
    </row>
    <row r="380" spans="1:17" x14ac:dyDescent="0.3">
      <c r="A380" s="118">
        <v>33</v>
      </c>
      <c r="B380" s="99">
        <v>507</v>
      </c>
      <c r="C380" s="23">
        <f t="shared" si="29"/>
        <v>104</v>
      </c>
      <c r="D380" s="99">
        <v>45</v>
      </c>
      <c r="E380" s="99">
        <v>11</v>
      </c>
      <c r="F380" s="93">
        <v>3.4321577639727185</v>
      </c>
      <c r="G380" s="98">
        <f t="shared" si="34"/>
        <v>2704.9407958984375</v>
      </c>
      <c r="H380" s="97" t="s">
        <v>114</v>
      </c>
      <c r="I380" s="97">
        <f t="shared" si="30"/>
        <v>1</v>
      </c>
    </row>
    <row r="381" spans="1:17" x14ac:dyDescent="0.3">
      <c r="A381" s="97">
        <v>38</v>
      </c>
      <c r="B381" s="97">
        <v>138</v>
      </c>
      <c r="C381" s="23">
        <f t="shared" si="29"/>
        <v>-369</v>
      </c>
      <c r="D381" s="97">
        <v>8</v>
      </c>
      <c r="E381" s="97">
        <v>4</v>
      </c>
      <c r="F381" s="93">
        <v>2.5210674820736085</v>
      </c>
      <c r="G381" s="98">
        <f t="shared" si="34"/>
        <v>331.94603238786982</v>
      </c>
      <c r="H381" s="97" t="s">
        <v>114</v>
      </c>
      <c r="I381" s="97">
        <f t="shared" si="30"/>
        <v>0</v>
      </c>
    </row>
    <row r="382" spans="1:17" x14ac:dyDescent="0.3">
      <c r="A382" s="97">
        <v>41</v>
      </c>
      <c r="B382" s="97">
        <v>50</v>
      </c>
      <c r="C382" s="23">
        <f t="shared" si="29"/>
        <v>-88</v>
      </c>
      <c r="D382" s="97">
        <v>11</v>
      </c>
      <c r="E382" s="97">
        <v>2</v>
      </c>
      <c r="F382" s="93">
        <v>1.2862969028654661</v>
      </c>
      <c r="G382" s="98">
        <f t="shared" si="34"/>
        <v>19.332895473558093</v>
      </c>
      <c r="H382" s="97" t="s">
        <v>114</v>
      </c>
      <c r="I382" s="97">
        <f t="shared" si="30"/>
        <v>0</v>
      </c>
    </row>
    <row r="383" spans="1:17" x14ac:dyDescent="0.3">
      <c r="A383" s="145">
        <v>43</v>
      </c>
      <c r="B383" s="145">
        <v>24</v>
      </c>
      <c r="C383" s="142">
        <f t="shared" si="29"/>
        <v>-26</v>
      </c>
      <c r="D383" s="145"/>
      <c r="E383" s="145"/>
      <c r="F383" s="145">
        <v>0</v>
      </c>
      <c r="G383" s="144">
        <f t="shared" si="34"/>
        <v>1</v>
      </c>
      <c r="H383" s="141" t="s">
        <v>114</v>
      </c>
      <c r="I383" s="141">
        <f t="shared" si="30"/>
        <v>0</v>
      </c>
    </row>
    <row r="384" spans="1:17" x14ac:dyDescent="0.3">
      <c r="A384" s="145">
        <v>45</v>
      </c>
      <c r="B384" s="145">
        <v>13</v>
      </c>
      <c r="C384" s="142">
        <f t="shared" ref="C384:C385" si="35">B384-B383</f>
        <v>-11</v>
      </c>
      <c r="D384" s="145"/>
      <c r="E384" s="145"/>
      <c r="F384" s="145">
        <v>0.93862962809120187</v>
      </c>
      <c r="G384" s="144">
        <f t="shared" si="34"/>
        <v>8.6821968458136745</v>
      </c>
      <c r="H384" s="141" t="s">
        <v>114</v>
      </c>
      <c r="I384" s="141">
        <f t="shared" ref="I384:I385" si="36">IF(C384&gt;0, 1,0)</f>
        <v>0</v>
      </c>
    </row>
    <row r="385" spans="1:9" x14ac:dyDescent="0.3">
      <c r="A385" s="145">
        <v>46</v>
      </c>
      <c r="B385" s="145">
        <v>11</v>
      </c>
      <c r="C385" s="142">
        <f t="shared" si="35"/>
        <v>-2</v>
      </c>
      <c r="D385" s="145"/>
      <c r="E385" s="145"/>
      <c r="F385" s="145">
        <v>0.41855346613074002</v>
      </c>
      <c r="G385" s="144">
        <f t="shared" si="34"/>
        <v>2.6215217551406553</v>
      </c>
      <c r="H385" s="141" t="s">
        <v>114</v>
      </c>
      <c r="I385" s="141">
        <f t="shared" si="36"/>
        <v>0</v>
      </c>
    </row>
  </sheetData>
  <autoFilter ref="A1:Q69">
    <filterColumn colId="0">
      <filters>
        <filter val="46"/>
      </filters>
    </filterColumn>
  </autoFilter>
  <mergeCells count="2">
    <mergeCell ref="M5:N5"/>
    <mergeCell ref="L5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09"/>
  <sheetViews>
    <sheetView topLeftCell="B1" zoomScale="65" zoomScaleNormal="65" workbookViewId="0">
      <pane ySplit="2" topLeftCell="A21" activePane="bottomLeft" state="frozen"/>
      <selection pane="bottomLeft" activeCell="Q10" sqref="Q10"/>
    </sheetView>
  </sheetViews>
  <sheetFormatPr defaultRowHeight="14.4" x14ac:dyDescent="0.3"/>
  <cols>
    <col min="2" max="2" width="10.5546875" customWidth="1"/>
    <col min="3" max="3" width="9.6640625" customWidth="1"/>
    <col min="4" max="4" width="10.5546875" customWidth="1"/>
    <col min="5" max="5" width="10.6640625" customWidth="1"/>
    <col min="6" max="6" width="7.109375" customWidth="1"/>
    <col min="7" max="7" width="13.109375" bestFit="1" customWidth="1"/>
    <col min="8" max="8" width="12.44140625" bestFit="1" customWidth="1"/>
    <col min="9" max="9" width="13.33203125" customWidth="1"/>
    <col min="10" max="11" width="13.6640625" customWidth="1"/>
    <col min="12" max="12" width="14" customWidth="1"/>
    <col min="13" max="13" width="13.5546875" customWidth="1"/>
    <col min="14" max="14" width="17.6640625" style="90" customWidth="1"/>
    <col min="16" max="16" width="24.109375" customWidth="1"/>
    <col min="17" max="17" width="26.6640625" customWidth="1"/>
    <col min="23" max="23" width="19.109375" customWidth="1"/>
  </cols>
  <sheetData>
    <row r="2" spans="1:27" s="129" customFormat="1" ht="72" x14ac:dyDescent="0.3">
      <c r="A2" s="127" t="s">
        <v>107</v>
      </c>
      <c r="B2" s="127" t="s">
        <v>108</v>
      </c>
      <c r="C2" s="127" t="s">
        <v>164</v>
      </c>
      <c r="D2" s="127" t="s">
        <v>174</v>
      </c>
      <c r="E2" s="127" t="s">
        <v>104</v>
      </c>
      <c r="F2" s="127" t="s">
        <v>105</v>
      </c>
      <c r="G2" s="128" t="s">
        <v>106</v>
      </c>
      <c r="H2" s="127" t="s">
        <v>109</v>
      </c>
      <c r="I2" s="127" t="s">
        <v>185</v>
      </c>
      <c r="J2" s="127" t="s">
        <v>110</v>
      </c>
      <c r="K2" s="127" t="s">
        <v>165</v>
      </c>
      <c r="L2" s="129" t="s">
        <v>184</v>
      </c>
      <c r="M2" s="129" t="s">
        <v>183</v>
      </c>
      <c r="N2" s="134" t="s">
        <v>175</v>
      </c>
    </row>
    <row r="3" spans="1:27" x14ac:dyDescent="0.3">
      <c r="A3" s="268">
        <v>12</v>
      </c>
      <c r="B3" s="268">
        <v>454</v>
      </c>
      <c r="C3" s="268"/>
      <c r="D3" s="268"/>
      <c r="E3" s="268">
        <v>153</v>
      </c>
      <c r="F3" s="268">
        <v>20</v>
      </c>
      <c r="G3" s="272">
        <f xml:space="preserve"> LOG(6.21952268542076)</f>
        <v>0.79375705622746207</v>
      </c>
      <c r="H3" s="271">
        <f t="shared" ref="H3:H15" si="0">10^G3</f>
        <v>6.2195226854207615</v>
      </c>
      <c r="I3" s="271"/>
      <c r="J3" s="267" t="s">
        <v>129</v>
      </c>
      <c r="K3" s="267">
        <v>1</v>
      </c>
      <c r="L3" s="267"/>
      <c r="M3" s="267"/>
      <c r="N3" s="273"/>
      <c r="P3" s="415" t="s">
        <v>187</v>
      </c>
      <c r="Q3" s="415"/>
    </row>
    <row r="4" spans="1:27" ht="14.4" customHeight="1" x14ac:dyDescent="0.3">
      <c r="A4" s="268">
        <v>17</v>
      </c>
      <c r="B4" s="268">
        <v>537</v>
      </c>
      <c r="C4" s="268">
        <f t="shared" ref="C4:C33" si="1">B4-B3</f>
        <v>83</v>
      </c>
      <c r="D4" s="268"/>
      <c r="E4" s="268">
        <v>159</v>
      </c>
      <c r="F4" s="268">
        <v>32</v>
      </c>
      <c r="G4" s="270">
        <f xml:space="preserve"> LOG(11.8886098569753)</f>
        <v>1.0751310752460534</v>
      </c>
      <c r="H4" s="271">
        <f t="shared" si="0"/>
        <v>11.888609856975304</v>
      </c>
      <c r="I4" s="271">
        <f>H4-H3</f>
        <v>5.6690871715545423</v>
      </c>
      <c r="J4" s="267" t="s">
        <v>129</v>
      </c>
      <c r="K4" s="267">
        <f t="shared" ref="K4:K10" si="2">IF(C4&gt;0, 1,0)</f>
        <v>1</v>
      </c>
      <c r="L4" s="267"/>
      <c r="M4" s="267">
        <f>IF((I4&gt;0), 1,0)</f>
        <v>1</v>
      </c>
      <c r="N4" s="273"/>
      <c r="P4" s="401" t="s">
        <v>139</v>
      </c>
      <c r="Q4" s="402" t="s">
        <v>186</v>
      </c>
      <c r="R4" s="402"/>
      <c r="V4" s="160"/>
      <c r="W4" s="161"/>
      <c r="X4" s="161" t="s">
        <v>191</v>
      </c>
      <c r="AA4" t="s">
        <v>190</v>
      </c>
    </row>
    <row r="5" spans="1:27" x14ac:dyDescent="0.3">
      <c r="A5" s="268">
        <v>21</v>
      </c>
      <c r="B5" s="268">
        <v>3350</v>
      </c>
      <c r="C5" s="268">
        <f t="shared" si="1"/>
        <v>2813</v>
      </c>
      <c r="D5" s="268"/>
      <c r="E5" s="268">
        <v>479</v>
      </c>
      <c r="F5" s="268">
        <v>62</v>
      </c>
      <c r="G5" s="270">
        <f xml:space="preserve"> LOG(31.6541438200036)</f>
        <v>1.5004305712368426</v>
      </c>
      <c r="H5" s="271">
        <f t="shared" si="0"/>
        <v>31.654143820003597</v>
      </c>
      <c r="I5" s="271">
        <f t="shared" ref="I5:I29" si="3">H5-H4</f>
        <v>19.765533963028293</v>
      </c>
      <c r="J5" s="267" t="s">
        <v>129</v>
      </c>
      <c r="K5" s="267">
        <f t="shared" si="2"/>
        <v>1</v>
      </c>
      <c r="L5" s="267"/>
      <c r="M5" s="267">
        <f t="shared" ref="M5:M81" si="4">IF((I5&gt;0), 1,0)</f>
        <v>1</v>
      </c>
      <c r="N5" s="273"/>
      <c r="P5" s="401"/>
      <c r="Q5" s="120" t="s">
        <v>137</v>
      </c>
      <c r="R5" s="137" t="s">
        <v>138</v>
      </c>
      <c r="S5" s="120" t="s">
        <v>140</v>
      </c>
      <c r="V5" s="160"/>
      <c r="W5" s="158" t="s">
        <v>110</v>
      </c>
      <c r="X5" s="158" t="s">
        <v>192</v>
      </c>
      <c r="Y5" t="s">
        <v>178</v>
      </c>
    </row>
    <row r="6" spans="1:27" x14ac:dyDescent="0.3">
      <c r="A6" s="268">
        <v>22</v>
      </c>
      <c r="B6" s="268">
        <v>4877</v>
      </c>
      <c r="C6" s="268">
        <f t="shared" si="1"/>
        <v>1527</v>
      </c>
      <c r="D6" s="268">
        <f>B6-B3</f>
        <v>4423</v>
      </c>
      <c r="E6" s="268">
        <v>645</v>
      </c>
      <c r="F6" s="268">
        <v>85</v>
      </c>
      <c r="G6" s="270">
        <f xml:space="preserve"> LOG(78.4945390662369)</f>
        <v>1.8948394435491196</v>
      </c>
      <c r="H6" s="271">
        <f t="shared" si="0"/>
        <v>78.494539066236911</v>
      </c>
      <c r="I6" s="271">
        <f t="shared" si="3"/>
        <v>46.840395246233314</v>
      </c>
      <c r="J6" s="267" t="s">
        <v>129</v>
      </c>
      <c r="K6" s="267">
        <f t="shared" si="2"/>
        <v>1</v>
      </c>
      <c r="L6" s="267">
        <f>IF((D6&gt;0),1,0)</f>
        <v>1</v>
      </c>
      <c r="M6" s="267">
        <f t="shared" si="4"/>
        <v>1</v>
      </c>
      <c r="N6" s="424"/>
      <c r="P6" s="135" t="s">
        <v>137</v>
      </c>
      <c r="Q6" s="136">
        <v>6</v>
      </c>
      <c r="R6" s="138">
        <v>1</v>
      </c>
      <c r="S6" s="121" t="s">
        <v>141</v>
      </c>
      <c r="V6" s="159"/>
      <c r="W6" s="131" t="s">
        <v>187</v>
      </c>
      <c r="X6" s="94">
        <v>0.8571428571428571</v>
      </c>
      <c r="Y6" s="266">
        <v>1</v>
      </c>
    </row>
    <row r="7" spans="1:27" x14ac:dyDescent="0.3">
      <c r="A7" s="268">
        <v>23</v>
      </c>
      <c r="B7" s="268">
        <v>9494</v>
      </c>
      <c r="C7" s="268">
        <f t="shared" si="1"/>
        <v>4617</v>
      </c>
      <c r="D7" s="268">
        <f>B7-B4</f>
        <v>8957</v>
      </c>
      <c r="E7" s="268">
        <v>861</v>
      </c>
      <c r="F7" s="268">
        <v>109</v>
      </c>
      <c r="G7" s="270">
        <f xml:space="preserve"> LOG(481.873609581772)</f>
        <v>2.682933142265413</v>
      </c>
      <c r="H7" s="271">
        <f t="shared" si="0"/>
        <v>481.87360958177214</v>
      </c>
      <c r="I7" s="271">
        <f t="shared" si="3"/>
        <v>403.3790705155352</v>
      </c>
      <c r="J7" s="267" t="s">
        <v>129</v>
      </c>
      <c r="K7" s="267">
        <f t="shared" si="2"/>
        <v>1</v>
      </c>
      <c r="L7" s="267">
        <f>IF((D7&gt;0),1,0)</f>
        <v>1</v>
      </c>
      <c r="M7" s="267">
        <f t="shared" si="4"/>
        <v>1</v>
      </c>
      <c r="N7" s="424"/>
      <c r="P7" s="139" t="s">
        <v>138</v>
      </c>
      <c r="Q7" s="140">
        <v>0</v>
      </c>
      <c r="R7" s="140">
        <v>0</v>
      </c>
      <c r="S7" s="121" t="s">
        <v>142</v>
      </c>
      <c r="V7" s="159"/>
      <c r="W7" s="131" t="s">
        <v>188</v>
      </c>
      <c r="X7" s="94">
        <v>0.7142857142857143</v>
      </c>
      <c r="Y7" s="266">
        <v>1</v>
      </c>
    </row>
    <row r="8" spans="1:27" x14ac:dyDescent="0.3">
      <c r="A8" s="268">
        <v>24</v>
      </c>
      <c r="B8" s="268">
        <v>14956</v>
      </c>
      <c r="C8" s="268">
        <f t="shared" si="1"/>
        <v>5462</v>
      </c>
      <c r="D8" s="268">
        <f>B8-B5</f>
        <v>11606</v>
      </c>
      <c r="E8" s="268">
        <v>1190</v>
      </c>
      <c r="F8" s="268">
        <v>152</v>
      </c>
      <c r="G8" s="270">
        <f xml:space="preserve"> LOG(117.876957873909)</f>
        <v>2.0714289192068773</v>
      </c>
      <c r="H8" s="271">
        <f t="shared" si="0"/>
        <v>117.87695787390908</v>
      </c>
      <c r="I8" s="271">
        <f t="shared" si="3"/>
        <v>-363.99665170786307</v>
      </c>
      <c r="J8" s="267" t="s">
        <v>129</v>
      </c>
      <c r="K8" s="267">
        <f t="shared" si="2"/>
        <v>1</v>
      </c>
      <c r="L8" s="267">
        <f>IF((D8&gt;0),1,0)</f>
        <v>1</v>
      </c>
      <c r="M8" s="267">
        <f t="shared" si="4"/>
        <v>0</v>
      </c>
      <c r="N8" s="267"/>
      <c r="P8" s="132" t="s">
        <v>140</v>
      </c>
      <c r="Q8" s="121" t="s">
        <v>143</v>
      </c>
      <c r="R8" s="121" t="s">
        <v>144</v>
      </c>
      <c r="V8" s="151"/>
      <c r="W8" s="157" t="s">
        <v>189</v>
      </c>
      <c r="X8" s="266">
        <v>0.66666666666666663</v>
      </c>
      <c r="Y8" s="266">
        <v>1</v>
      </c>
    </row>
    <row r="9" spans="1:27" x14ac:dyDescent="0.3">
      <c r="A9" s="274">
        <v>25</v>
      </c>
      <c r="B9" s="274">
        <v>17702</v>
      </c>
      <c r="C9" s="268">
        <f t="shared" si="1"/>
        <v>2746</v>
      </c>
      <c r="D9" s="268">
        <f>B9-B6</f>
        <v>12825</v>
      </c>
      <c r="E9" s="274">
        <v>1556</v>
      </c>
      <c r="F9" s="274">
        <v>272</v>
      </c>
      <c r="G9" s="270">
        <f xml:space="preserve"> LOG(375.278745378767)</f>
        <v>2.5743539680205632</v>
      </c>
      <c r="H9" s="271">
        <f t="shared" si="0"/>
        <v>375.27874537876698</v>
      </c>
      <c r="I9" s="271">
        <f t="shared" si="3"/>
        <v>257.40178750485791</v>
      </c>
      <c r="J9" s="267" t="s">
        <v>129</v>
      </c>
      <c r="K9" s="267">
        <f t="shared" si="2"/>
        <v>1</v>
      </c>
      <c r="L9" s="267">
        <f>IF((D9&gt;0),1,0)</f>
        <v>1</v>
      </c>
      <c r="M9" s="267">
        <f t="shared" si="4"/>
        <v>1</v>
      </c>
      <c r="N9" s="267"/>
      <c r="P9" s="133" t="s">
        <v>130</v>
      </c>
      <c r="Q9" s="121" t="s">
        <v>145</v>
      </c>
      <c r="S9">
        <f>Q6/(Q6+R6)</f>
        <v>0.8571428571428571</v>
      </c>
      <c r="V9" s="151"/>
      <c r="W9" s="162" t="s">
        <v>193</v>
      </c>
      <c r="X9" s="266">
        <v>0.5</v>
      </c>
      <c r="Y9" s="266">
        <v>0.5</v>
      </c>
    </row>
    <row r="10" spans="1:27" x14ac:dyDescent="0.3">
      <c r="A10" s="274">
        <v>26</v>
      </c>
      <c r="B10" s="269">
        <v>19581</v>
      </c>
      <c r="C10" s="268">
        <f t="shared" si="1"/>
        <v>1879</v>
      </c>
      <c r="D10" s="268">
        <f>B10-B7</f>
        <v>10087</v>
      </c>
      <c r="E10" s="269">
        <v>1663</v>
      </c>
      <c r="F10" s="269">
        <v>340</v>
      </c>
      <c r="G10" s="270">
        <f>LOG(967.710533920599)</f>
        <v>2.985745468546912</v>
      </c>
      <c r="H10" s="271">
        <f t="shared" si="0"/>
        <v>967.71053392059969</v>
      </c>
      <c r="I10" s="271">
        <f t="shared" si="3"/>
        <v>592.4317885418327</v>
      </c>
      <c r="J10" s="267" t="s">
        <v>129</v>
      </c>
      <c r="K10" s="267">
        <f t="shared" si="2"/>
        <v>1</v>
      </c>
      <c r="L10" s="267">
        <f>IF((D10&gt;0),1,0)</f>
        <v>1</v>
      </c>
      <c r="M10" s="267">
        <f t="shared" si="4"/>
        <v>1</v>
      </c>
      <c r="N10" s="267"/>
      <c r="P10" s="133" t="s">
        <v>135</v>
      </c>
      <c r="Q10" s="121" t="s">
        <v>176</v>
      </c>
      <c r="S10">
        <v>0</v>
      </c>
      <c r="W10" s="157" t="s">
        <v>194</v>
      </c>
      <c r="X10" s="94">
        <v>0</v>
      </c>
      <c r="Y10" s="266">
        <v>1</v>
      </c>
    </row>
    <row r="11" spans="1:27" x14ac:dyDescent="0.3">
      <c r="A11" s="25"/>
      <c r="B11" s="99"/>
      <c r="C11" s="23"/>
      <c r="D11" s="23"/>
      <c r="E11" s="99"/>
      <c r="F11" s="99"/>
      <c r="G11" s="94"/>
      <c r="H11" s="98"/>
      <c r="I11" s="98"/>
      <c r="J11" s="97"/>
      <c r="K11" s="97"/>
      <c r="P11" s="133" t="s">
        <v>178</v>
      </c>
      <c r="Q11" s="122"/>
      <c r="S11">
        <f>1-S10</f>
        <v>1</v>
      </c>
      <c r="W11" s="157" t="s">
        <v>196</v>
      </c>
      <c r="X11" s="94">
        <v>1</v>
      </c>
      <c r="Y11" s="266">
        <v>1</v>
      </c>
    </row>
    <row r="12" spans="1:27" x14ac:dyDescent="0.3">
      <c r="A12" s="267">
        <v>43</v>
      </c>
      <c r="B12" s="267">
        <v>83</v>
      </c>
      <c r="C12" s="268"/>
      <c r="D12" s="268"/>
      <c r="E12" s="269"/>
      <c r="F12" s="269"/>
      <c r="G12" s="270">
        <v>0.31018981181038319</v>
      </c>
      <c r="H12" s="271">
        <f t="shared" si="0"/>
        <v>2.0426304972901637</v>
      </c>
      <c r="I12" s="271"/>
      <c r="J12" s="267" t="s">
        <v>129</v>
      </c>
      <c r="K12" s="267">
        <f>IF(C12&gt;0, 1,0)</f>
        <v>0</v>
      </c>
      <c r="L12" s="267"/>
      <c r="M12" s="267"/>
      <c r="N12" s="267"/>
      <c r="P12" s="132"/>
      <c r="Q12" s="122"/>
      <c r="W12" s="163" t="s">
        <v>195</v>
      </c>
      <c r="X12" s="94">
        <v>0</v>
      </c>
      <c r="Y12" s="266">
        <v>1</v>
      </c>
    </row>
    <row r="13" spans="1:27" ht="12.6" customHeight="1" x14ac:dyDescent="0.3">
      <c r="A13" s="267">
        <v>44</v>
      </c>
      <c r="B13" s="267">
        <v>73</v>
      </c>
      <c r="C13" s="268">
        <f t="shared" si="1"/>
        <v>-10</v>
      </c>
      <c r="D13" s="268"/>
      <c r="E13" s="269"/>
      <c r="F13" s="269"/>
      <c r="G13" s="270">
        <v>0.54257234280520605</v>
      </c>
      <c r="H13" s="271">
        <f t="shared" si="0"/>
        <v>3.4879668026554351</v>
      </c>
      <c r="I13" s="271">
        <f t="shared" si="3"/>
        <v>1.4453363053652715</v>
      </c>
      <c r="J13" s="267" t="s">
        <v>129</v>
      </c>
      <c r="K13" s="267">
        <f>IF(C13&gt;0, 1,0)</f>
        <v>0</v>
      </c>
      <c r="L13" s="267"/>
      <c r="M13" s="267">
        <f t="shared" si="4"/>
        <v>1</v>
      </c>
      <c r="N13" s="267"/>
      <c r="W13" s="157" t="s">
        <v>197</v>
      </c>
      <c r="X13" s="94">
        <v>1</v>
      </c>
      <c r="Y13" s="266">
        <v>0.5</v>
      </c>
    </row>
    <row r="14" spans="1:27" x14ac:dyDescent="0.3">
      <c r="A14" s="267">
        <v>45</v>
      </c>
      <c r="B14" s="267">
        <v>162</v>
      </c>
      <c r="C14" s="268">
        <f t="shared" si="1"/>
        <v>89</v>
      </c>
      <c r="D14" s="268"/>
      <c r="E14" s="269"/>
      <c r="F14" s="269"/>
      <c r="G14" s="270">
        <v>1.1584671602827832</v>
      </c>
      <c r="H14" s="271">
        <f t="shared" si="0"/>
        <v>14.4034709249224</v>
      </c>
      <c r="I14" s="271">
        <f t="shared" si="3"/>
        <v>10.915504122266965</v>
      </c>
      <c r="J14" s="267" t="s">
        <v>129</v>
      </c>
      <c r="K14" s="267">
        <f>IF(C14&gt;0, 1,0)</f>
        <v>1</v>
      </c>
      <c r="L14" s="267"/>
      <c r="M14" s="267">
        <f t="shared" si="4"/>
        <v>1</v>
      </c>
      <c r="N14" s="267"/>
      <c r="W14" s="163" t="s">
        <v>198</v>
      </c>
      <c r="X14" s="266">
        <v>0.88888888888888884</v>
      </c>
      <c r="Y14" s="266">
        <v>0.4</v>
      </c>
    </row>
    <row r="15" spans="1:27" x14ac:dyDescent="0.3">
      <c r="A15" s="267">
        <v>46</v>
      </c>
      <c r="B15" s="267">
        <v>931</v>
      </c>
      <c r="C15" s="268">
        <f t="shared" si="1"/>
        <v>769</v>
      </c>
      <c r="D15" s="268">
        <f>B15-B12</f>
        <v>848</v>
      </c>
      <c r="E15" s="269"/>
      <c r="F15" s="269"/>
      <c r="G15" s="270">
        <v>1.7883623645245568</v>
      </c>
      <c r="H15" s="271">
        <f t="shared" si="0"/>
        <v>61.427432663586714</v>
      </c>
      <c r="I15" s="271">
        <f t="shared" si="3"/>
        <v>47.023961738664312</v>
      </c>
      <c r="J15" s="267" t="s">
        <v>129</v>
      </c>
      <c r="K15" s="267">
        <f>IF(C15&gt;0, 1,0)</f>
        <v>1</v>
      </c>
      <c r="L15" s="267">
        <f>IF((D15&gt;0),1,0)</f>
        <v>1</v>
      </c>
      <c r="M15" s="267">
        <f t="shared" si="4"/>
        <v>1</v>
      </c>
      <c r="N15" s="267"/>
      <c r="W15" s="157" t="s">
        <v>199</v>
      </c>
      <c r="X15" s="94">
        <v>0.6</v>
      </c>
      <c r="Y15" s="266">
        <v>0.4</v>
      </c>
    </row>
    <row r="16" spans="1:27" x14ac:dyDescent="0.3">
      <c r="A16" s="278">
        <v>47</v>
      </c>
      <c r="B16" s="278">
        <v>1885</v>
      </c>
      <c r="C16" s="279">
        <f t="shared" si="1"/>
        <v>954</v>
      </c>
      <c r="D16" s="279">
        <f t="shared" ref="D16:D35" si="5">B16-B13</f>
        <v>1812</v>
      </c>
      <c r="E16" s="280">
        <v>162</v>
      </c>
      <c r="F16" s="280">
        <v>57</v>
      </c>
      <c r="G16" s="281">
        <v>2.1977338467374192</v>
      </c>
      <c r="H16" s="282">
        <f t="shared" ref="H16:H30" si="6">10^G16</f>
        <v>157.66447417590098</v>
      </c>
      <c r="I16" s="283">
        <f t="shared" si="3"/>
        <v>96.237041512314264</v>
      </c>
      <c r="J16" s="278" t="s">
        <v>129</v>
      </c>
      <c r="K16" s="278">
        <f>IF(C16&gt;0, 1,0)</f>
        <v>1</v>
      </c>
      <c r="L16" s="278">
        <f>IF((D16&gt;0),1,0)</f>
        <v>1</v>
      </c>
      <c r="M16" s="278">
        <f t="shared" si="4"/>
        <v>1</v>
      </c>
      <c r="N16" s="284"/>
      <c r="W16" s="157" t="s">
        <v>200</v>
      </c>
      <c r="X16" s="94">
        <v>0.6</v>
      </c>
      <c r="Y16" s="266">
        <v>0.4285714285714286</v>
      </c>
    </row>
    <row r="17" spans="1:25" x14ac:dyDescent="0.3">
      <c r="A17" s="97"/>
      <c r="B17" s="97"/>
      <c r="C17" s="23"/>
      <c r="D17" s="23"/>
      <c r="E17" s="105"/>
      <c r="F17" s="105"/>
      <c r="G17" s="106"/>
      <c r="H17" s="114"/>
      <c r="I17" s="98"/>
      <c r="J17" s="97"/>
      <c r="K17" s="97"/>
      <c r="L17" s="97"/>
      <c r="M17" s="97"/>
      <c r="N17" s="285"/>
      <c r="P17" s="415" t="s">
        <v>188</v>
      </c>
      <c r="Q17" s="415"/>
      <c r="W17" s="157" t="s">
        <v>201</v>
      </c>
      <c r="X17" s="94">
        <v>0.5</v>
      </c>
      <c r="Y17" s="266">
        <v>0.33333333333333337</v>
      </c>
    </row>
    <row r="18" spans="1:25" x14ac:dyDescent="0.3">
      <c r="A18" s="294">
        <v>14</v>
      </c>
      <c r="B18" s="294">
        <v>446</v>
      </c>
      <c r="C18" s="288"/>
      <c r="D18" s="288"/>
      <c r="E18" s="294">
        <v>150</v>
      </c>
      <c r="F18" s="294">
        <v>20</v>
      </c>
      <c r="G18" s="295">
        <v>0</v>
      </c>
      <c r="H18" s="290">
        <f t="shared" si="6"/>
        <v>1</v>
      </c>
      <c r="I18" s="291"/>
      <c r="J18" s="292" t="s">
        <v>128</v>
      </c>
      <c r="K18" s="293"/>
      <c r="L18" s="293"/>
      <c r="M18" s="293"/>
      <c r="N18" s="296"/>
      <c r="P18" s="401" t="s">
        <v>139</v>
      </c>
      <c r="Q18" s="402" t="s">
        <v>186</v>
      </c>
      <c r="R18" s="402"/>
      <c r="W18" s="157" t="s">
        <v>202</v>
      </c>
      <c r="X18" s="94">
        <v>0.75</v>
      </c>
      <c r="Y18" s="266">
        <v>0.3</v>
      </c>
    </row>
    <row r="19" spans="1:25" x14ac:dyDescent="0.3">
      <c r="A19" s="294">
        <v>18</v>
      </c>
      <c r="B19" s="294">
        <v>958</v>
      </c>
      <c r="C19" s="288">
        <f t="shared" si="1"/>
        <v>512</v>
      </c>
      <c r="D19" s="288"/>
      <c r="E19" s="294">
        <v>183</v>
      </c>
      <c r="F19" s="294">
        <v>32</v>
      </c>
      <c r="G19" s="289">
        <f xml:space="preserve"> LOG(1.7618330157533)</f>
        <v>0.2459647441591791</v>
      </c>
      <c r="H19" s="290">
        <f t="shared" si="6"/>
        <v>1.7618330157533</v>
      </c>
      <c r="I19" s="291">
        <f t="shared" si="3"/>
        <v>0.76183301575329998</v>
      </c>
      <c r="J19" s="292" t="s">
        <v>128</v>
      </c>
      <c r="K19" s="293"/>
      <c r="L19" s="293"/>
      <c r="M19" s="293">
        <f t="shared" si="4"/>
        <v>1</v>
      </c>
      <c r="N19" s="296"/>
      <c r="P19" s="401"/>
      <c r="Q19" s="120" t="s">
        <v>137</v>
      </c>
      <c r="R19" s="137" t="s">
        <v>138</v>
      </c>
      <c r="S19" s="120" t="s">
        <v>140</v>
      </c>
      <c r="W19" s="157" t="s">
        <v>206</v>
      </c>
      <c r="X19" s="94">
        <v>0.6</v>
      </c>
      <c r="Y19" s="266">
        <v>0.4</v>
      </c>
    </row>
    <row r="20" spans="1:25" x14ac:dyDescent="0.3">
      <c r="A20" s="294">
        <v>22</v>
      </c>
      <c r="B20" s="294">
        <v>4877</v>
      </c>
      <c r="C20" s="288">
        <f t="shared" si="1"/>
        <v>3919</v>
      </c>
      <c r="D20" s="288">
        <f>B20-B16</f>
        <v>2992</v>
      </c>
      <c r="E20" s="294">
        <v>645</v>
      </c>
      <c r="F20" s="294">
        <v>85</v>
      </c>
      <c r="G20" s="289">
        <f xml:space="preserve"> LOG(83.7112835475377)</f>
        <v>1.9227840010297328</v>
      </c>
      <c r="H20" s="290">
        <f t="shared" si="6"/>
        <v>83.711283547537761</v>
      </c>
      <c r="I20" s="291">
        <f t="shared" si="3"/>
        <v>81.949450531784464</v>
      </c>
      <c r="J20" s="292" t="s">
        <v>128</v>
      </c>
      <c r="K20" s="293">
        <f>IF(C20&gt;0, 1,0)</f>
        <v>1</v>
      </c>
      <c r="L20" s="293">
        <f>IF((D20&gt;0),1,0)</f>
        <v>1</v>
      </c>
      <c r="M20" s="293">
        <f t="shared" si="4"/>
        <v>1</v>
      </c>
      <c r="N20" s="293"/>
      <c r="P20" s="135" t="s">
        <v>137</v>
      </c>
      <c r="Q20" s="136">
        <v>5</v>
      </c>
      <c r="R20" s="138">
        <v>2</v>
      </c>
      <c r="S20" s="121" t="s">
        <v>141</v>
      </c>
    </row>
    <row r="21" spans="1:25" x14ac:dyDescent="0.3">
      <c r="A21" s="294">
        <v>23</v>
      </c>
      <c r="B21" s="294">
        <v>9494</v>
      </c>
      <c r="C21" s="288">
        <f t="shared" si="1"/>
        <v>4617</v>
      </c>
      <c r="D21" s="288">
        <f t="shared" si="5"/>
        <v>9048</v>
      </c>
      <c r="E21" s="294">
        <v>861</v>
      </c>
      <c r="F21" s="294">
        <v>109</v>
      </c>
      <c r="G21" s="289">
        <f>LOG(169.486960586236)</f>
        <v>2.2291362915463124</v>
      </c>
      <c r="H21" s="290">
        <f t="shared" si="6"/>
        <v>169.48696058623602</v>
      </c>
      <c r="I21" s="291">
        <f t="shared" si="3"/>
        <v>85.775677038698262</v>
      </c>
      <c r="J21" s="292" t="s">
        <v>128</v>
      </c>
      <c r="K21" s="293">
        <f>IF(C21&gt;0, 1,0)</f>
        <v>1</v>
      </c>
      <c r="L21" s="293">
        <f>IF((D21&gt;0),1,0)</f>
        <v>1</v>
      </c>
      <c r="M21" s="293">
        <f t="shared" si="4"/>
        <v>1</v>
      </c>
      <c r="N21" s="293"/>
      <c r="P21" s="139" t="s">
        <v>138</v>
      </c>
      <c r="Q21" s="140">
        <v>0</v>
      </c>
      <c r="R21" s="140">
        <v>0</v>
      </c>
      <c r="S21" s="121" t="s">
        <v>142</v>
      </c>
    </row>
    <row r="22" spans="1:25" x14ac:dyDescent="0.3">
      <c r="A22" s="294">
        <v>24</v>
      </c>
      <c r="B22" s="294">
        <v>14956</v>
      </c>
      <c r="C22" s="288">
        <f t="shared" si="1"/>
        <v>5462</v>
      </c>
      <c r="D22" s="288">
        <f t="shared" si="5"/>
        <v>13998</v>
      </c>
      <c r="E22" s="294">
        <v>1190</v>
      </c>
      <c r="F22" s="294">
        <v>152</v>
      </c>
      <c r="G22" s="289">
        <f>LOG(433.128473710041)</f>
        <v>2.6366167350313288</v>
      </c>
      <c r="H22" s="290">
        <f t="shared" si="6"/>
        <v>433.12847371004102</v>
      </c>
      <c r="I22" s="291">
        <f t="shared" si="3"/>
        <v>263.641513123805</v>
      </c>
      <c r="J22" s="292" t="s">
        <v>128</v>
      </c>
      <c r="K22" s="293">
        <f>IF(C22&gt;0, 1,0)</f>
        <v>1</v>
      </c>
      <c r="L22" s="293">
        <f>IF((D22&gt;0),1,0)</f>
        <v>1</v>
      </c>
      <c r="M22" s="293">
        <f t="shared" si="4"/>
        <v>1</v>
      </c>
      <c r="N22" s="293"/>
      <c r="P22" s="132" t="s">
        <v>140</v>
      </c>
      <c r="Q22" s="121" t="s">
        <v>143</v>
      </c>
      <c r="R22" s="121" t="s">
        <v>144</v>
      </c>
    </row>
    <row r="23" spans="1:25" x14ac:dyDescent="0.3">
      <c r="A23" s="286">
        <v>25</v>
      </c>
      <c r="B23" s="286">
        <v>17702</v>
      </c>
      <c r="C23" s="288">
        <f t="shared" si="1"/>
        <v>2746</v>
      </c>
      <c r="D23" s="288">
        <f t="shared" si="5"/>
        <v>12825</v>
      </c>
      <c r="E23" s="286">
        <v>1556</v>
      </c>
      <c r="F23" s="286">
        <v>272</v>
      </c>
      <c r="G23" s="289">
        <f>LOG(411.337365909499)</f>
        <v>2.6141981626363737</v>
      </c>
      <c r="H23" s="290">
        <f t="shared" si="6"/>
        <v>411.33736590949911</v>
      </c>
      <c r="I23" s="291">
        <f t="shared" si="3"/>
        <v>-21.791107800541909</v>
      </c>
      <c r="J23" s="292" t="s">
        <v>128</v>
      </c>
      <c r="K23" s="293">
        <f>IF(C23&gt;0, 1,0)</f>
        <v>1</v>
      </c>
      <c r="L23" s="293">
        <f>IF((D23&gt;0),1,0)</f>
        <v>1</v>
      </c>
      <c r="M23" s="293">
        <f t="shared" si="4"/>
        <v>0</v>
      </c>
      <c r="N23" s="297"/>
      <c r="P23" s="133" t="s">
        <v>130</v>
      </c>
      <c r="Q23" s="121" t="s">
        <v>145</v>
      </c>
      <c r="S23">
        <f>Q20/(Q20+R20)</f>
        <v>0.7142857142857143</v>
      </c>
    </row>
    <row r="24" spans="1:25" x14ac:dyDescent="0.3">
      <c r="A24" s="286">
        <v>26</v>
      </c>
      <c r="B24" s="287">
        <v>19581</v>
      </c>
      <c r="C24" s="288">
        <f t="shared" si="1"/>
        <v>1879</v>
      </c>
      <c r="D24" s="288">
        <f t="shared" si="5"/>
        <v>10087</v>
      </c>
      <c r="E24" s="287">
        <v>1663</v>
      </c>
      <c r="F24" s="287">
        <v>340</v>
      </c>
      <c r="G24" s="289">
        <f>LOG(210.95355676145)</f>
        <v>2.3241868521585216</v>
      </c>
      <c r="H24" s="290">
        <f t="shared" si="6"/>
        <v>210.95355676145024</v>
      </c>
      <c r="I24" s="291">
        <f t="shared" si="3"/>
        <v>-200.38380914804887</v>
      </c>
      <c r="J24" s="292" t="s">
        <v>128</v>
      </c>
      <c r="K24" s="293">
        <f>IF(C24&gt;0, 1,0)</f>
        <v>1</v>
      </c>
      <c r="L24" s="293">
        <f>IF((D24&gt;0),1,0)</f>
        <v>1</v>
      </c>
      <c r="M24" s="293">
        <f t="shared" si="4"/>
        <v>0</v>
      </c>
      <c r="N24" s="293"/>
      <c r="P24" s="133" t="s">
        <v>135</v>
      </c>
      <c r="Q24" s="121" t="s">
        <v>176</v>
      </c>
      <c r="S24">
        <v>0</v>
      </c>
    </row>
    <row r="25" spans="1:25" x14ac:dyDescent="0.3">
      <c r="A25" s="108"/>
      <c r="B25" s="109"/>
      <c r="C25" s="23"/>
      <c r="D25" s="23"/>
      <c r="E25" s="109"/>
      <c r="F25" s="109"/>
      <c r="G25" s="107"/>
      <c r="H25" s="114"/>
      <c r="I25" s="98"/>
      <c r="J25" s="119"/>
      <c r="K25" s="97"/>
      <c r="P25" s="133" t="s">
        <v>146</v>
      </c>
      <c r="Q25" s="122" t="s">
        <v>147</v>
      </c>
      <c r="S25">
        <f>1-S24</f>
        <v>1</v>
      </c>
    </row>
    <row r="26" spans="1:25" x14ac:dyDescent="0.3">
      <c r="A26" s="286">
        <v>43</v>
      </c>
      <c r="B26" s="287">
        <v>83</v>
      </c>
      <c r="C26" s="288"/>
      <c r="D26" s="288"/>
      <c r="E26" s="287"/>
      <c r="F26" s="287"/>
      <c r="G26" s="289">
        <v>0.77347630128357758</v>
      </c>
      <c r="H26" s="290">
        <f t="shared" si="6"/>
        <v>5.9357595687009859</v>
      </c>
      <c r="I26" s="291"/>
      <c r="J26" s="292" t="s">
        <v>128</v>
      </c>
      <c r="K26" s="293"/>
      <c r="L26" s="293"/>
      <c r="M26" s="293"/>
      <c r="N26" s="293"/>
    </row>
    <row r="27" spans="1:25" x14ac:dyDescent="0.3">
      <c r="A27" s="286">
        <v>44</v>
      </c>
      <c r="B27" s="287">
        <v>73</v>
      </c>
      <c r="C27" s="288">
        <f t="shared" si="1"/>
        <v>-10</v>
      </c>
      <c r="D27" s="288"/>
      <c r="E27" s="287"/>
      <c r="F27" s="287"/>
      <c r="G27" s="289">
        <v>1.125031502010704</v>
      </c>
      <c r="H27" s="290">
        <f t="shared" si="6"/>
        <v>13.336181640625005</v>
      </c>
      <c r="I27" s="291">
        <f t="shared" si="3"/>
        <v>7.4004220719240195</v>
      </c>
      <c r="J27" s="292" t="s">
        <v>128</v>
      </c>
      <c r="K27" s="293">
        <f>IF(C27&gt;0, 1,0)</f>
        <v>0</v>
      </c>
      <c r="L27" s="293"/>
      <c r="M27" s="293">
        <f t="shared" si="4"/>
        <v>1</v>
      </c>
      <c r="N27" s="293"/>
    </row>
    <row r="28" spans="1:25" x14ac:dyDescent="0.3">
      <c r="A28" s="286">
        <v>45</v>
      </c>
      <c r="B28" s="287">
        <v>162</v>
      </c>
      <c r="C28" s="288">
        <f t="shared" si="1"/>
        <v>89</v>
      </c>
      <c r="D28" s="288"/>
      <c r="E28" s="287"/>
      <c r="F28" s="287"/>
      <c r="G28" s="289">
        <v>1.9746375555227558</v>
      </c>
      <c r="H28" s="290">
        <f t="shared" si="6"/>
        <v>94.32733302213714</v>
      </c>
      <c r="I28" s="291">
        <f t="shared" si="3"/>
        <v>80.99115138151214</v>
      </c>
      <c r="J28" s="292" t="s">
        <v>128</v>
      </c>
      <c r="K28" s="293">
        <f>IF(C28&gt;0, 1,0)</f>
        <v>1</v>
      </c>
      <c r="L28" s="293"/>
      <c r="M28" s="293">
        <f t="shared" si="4"/>
        <v>1</v>
      </c>
      <c r="N28" s="293"/>
    </row>
    <row r="29" spans="1:25" x14ac:dyDescent="0.3">
      <c r="A29" s="286">
        <v>46</v>
      </c>
      <c r="B29" s="287">
        <v>931</v>
      </c>
      <c r="C29" s="288">
        <f t="shared" si="1"/>
        <v>769</v>
      </c>
      <c r="D29" s="288">
        <f t="shared" si="5"/>
        <v>848</v>
      </c>
      <c r="E29" s="287"/>
      <c r="F29" s="287"/>
      <c r="G29" s="289">
        <v>2.5085723534312923</v>
      </c>
      <c r="H29" s="290">
        <f t="shared" si="6"/>
        <v>322.53166120879507</v>
      </c>
      <c r="I29" s="291">
        <f t="shared" si="3"/>
        <v>228.20432818665793</v>
      </c>
      <c r="J29" s="292" t="s">
        <v>128</v>
      </c>
      <c r="K29" s="293">
        <f>IF(C29&gt;0, 1,0)</f>
        <v>1</v>
      </c>
      <c r="L29" s="293">
        <f>IF((D29&gt;0),1,0)</f>
        <v>1</v>
      </c>
      <c r="M29" s="293">
        <f t="shared" si="4"/>
        <v>1</v>
      </c>
      <c r="N29" s="293"/>
    </row>
    <row r="30" spans="1:25" x14ac:dyDescent="0.3">
      <c r="A30" s="286">
        <v>47</v>
      </c>
      <c r="B30" s="287">
        <v>1885</v>
      </c>
      <c r="C30" s="288">
        <f t="shared" si="1"/>
        <v>954</v>
      </c>
      <c r="D30" s="288">
        <f t="shared" si="5"/>
        <v>1812</v>
      </c>
      <c r="E30" s="287"/>
      <c r="F30" s="287"/>
      <c r="G30" s="289">
        <v>2.9004044450572617</v>
      </c>
      <c r="H30" s="290">
        <f t="shared" si="6"/>
        <v>795.06831266442168</v>
      </c>
      <c r="I30" s="291">
        <f>H30-H29</f>
        <v>472.53665145562661</v>
      </c>
      <c r="J30" s="292" t="s">
        <v>128</v>
      </c>
      <c r="K30" s="293">
        <f>IF(C30&gt;0, 1,0)</f>
        <v>1</v>
      </c>
      <c r="L30" s="293">
        <f t="shared" ref="L30:L97" si="7">IF((D30&gt;0),1,0)</f>
        <v>1</v>
      </c>
      <c r="M30" s="293">
        <f t="shared" si="4"/>
        <v>1</v>
      </c>
      <c r="N30" s="293"/>
    </row>
    <row r="31" spans="1:25" x14ac:dyDescent="0.3">
      <c r="A31" s="108"/>
      <c r="B31" s="109"/>
      <c r="C31" s="23"/>
      <c r="D31" s="23"/>
      <c r="E31" s="109"/>
      <c r="F31" s="109"/>
      <c r="G31" s="107"/>
      <c r="H31" s="114"/>
      <c r="I31" s="98"/>
      <c r="J31" s="119"/>
      <c r="K31" s="97"/>
    </row>
    <row r="32" spans="1:25" x14ac:dyDescent="0.3">
      <c r="A32" s="108"/>
      <c r="B32" s="109"/>
      <c r="C32" s="23"/>
      <c r="D32" s="23"/>
      <c r="E32" s="109"/>
      <c r="F32" s="109"/>
      <c r="G32" s="102"/>
      <c r="H32" s="98"/>
      <c r="I32" s="98"/>
      <c r="J32" s="119"/>
      <c r="K32" s="97"/>
    </row>
    <row r="33" spans="1:19" x14ac:dyDescent="0.3">
      <c r="A33" s="298">
        <v>9</v>
      </c>
      <c r="B33" s="298">
        <v>466</v>
      </c>
      <c r="C33" s="298">
        <f t="shared" si="1"/>
        <v>466</v>
      </c>
      <c r="D33" s="298"/>
      <c r="E33" s="298">
        <v>209</v>
      </c>
      <c r="F33" s="298">
        <v>52</v>
      </c>
      <c r="G33" s="299">
        <f xml:space="preserve"> LOG(28.8503388969266)</f>
        <v>1.4601509190584991</v>
      </c>
      <c r="H33" s="300">
        <f t="shared" ref="H33:H41" si="8">10^G33</f>
        <v>28.850338896926615</v>
      </c>
      <c r="I33" s="300">
        <f t="shared" ref="I33" si="9">H33-H32</f>
        <v>28.850338896926615</v>
      </c>
      <c r="J33" s="301" t="s">
        <v>127</v>
      </c>
      <c r="K33" s="301"/>
      <c r="L33" s="301"/>
      <c r="M33" s="301"/>
      <c r="N33" s="301"/>
      <c r="P33" s="415" t="s">
        <v>189</v>
      </c>
      <c r="Q33" s="415"/>
    </row>
    <row r="34" spans="1:19" x14ac:dyDescent="0.3">
      <c r="A34" s="298">
        <v>14</v>
      </c>
      <c r="B34" s="298">
        <v>498</v>
      </c>
      <c r="C34" s="298">
        <f>B34-B33</f>
        <v>32</v>
      </c>
      <c r="D34" s="298"/>
      <c r="E34" s="298">
        <v>189</v>
      </c>
      <c r="F34" s="298">
        <v>30</v>
      </c>
      <c r="G34" s="299">
        <f xml:space="preserve"> LOG(1.72582740078167)</f>
        <v>0.23699735995608603</v>
      </c>
      <c r="H34" s="300">
        <f t="shared" si="8"/>
        <v>1.7258274007816703</v>
      </c>
      <c r="I34" s="300">
        <f t="shared" ref="I34:I101" si="10">H34-H33</f>
        <v>-27.124511496144944</v>
      </c>
      <c r="J34" s="301" t="s">
        <v>127</v>
      </c>
      <c r="K34" s="301">
        <f t="shared" ref="K34:K51" si="11">IF(C34&gt;0, 1,0)</f>
        <v>1</v>
      </c>
      <c r="L34" s="301"/>
      <c r="M34" s="301"/>
      <c r="N34" s="301"/>
      <c r="P34" s="401" t="s">
        <v>139</v>
      </c>
      <c r="Q34" s="402" t="s">
        <v>186</v>
      </c>
      <c r="R34" s="402"/>
    </row>
    <row r="35" spans="1:19" x14ac:dyDescent="0.3">
      <c r="A35" s="298">
        <v>18</v>
      </c>
      <c r="B35" s="298">
        <v>1205</v>
      </c>
      <c r="C35" s="298">
        <f>B35-B34</f>
        <v>707</v>
      </c>
      <c r="D35" s="298">
        <f t="shared" si="5"/>
        <v>1205</v>
      </c>
      <c r="E35" s="298">
        <v>308</v>
      </c>
      <c r="F35" s="298">
        <v>47</v>
      </c>
      <c r="G35" s="302">
        <f xml:space="preserve"> LOG(19.5745485169547)</f>
        <v>1.2916917539301618</v>
      </c>
      <c r="H35" s="300">
        <f t="shared" si="8"/>
        <v>19.57454851695471</v>
      </c>
      <c r="I35" s="300">
        <f t="shared" si="10"/>
        <v>17.848721116173039</v>
      </c>
      <c r="J35" s="301" t="s">
        <v>127</v>
      </c>
      <c r="K35" s="301">
        <f t="shared" si="11"/>
        <v>1</v>
      </c>
      <c r="L35" s="301"/>
      <c r="M35" s="301">
        <f t="shared" si="4"/>
        <v>1</v>
      </c>
      <c r="N35" s="301"/>
      <c r="P35" s="401"/>
      <c r="Q35" s="120" t="s">
        <v>137</v>
      </c>
      <c r="R35" s="137" t="s">
        <v>138</v>
      </c>
      <c r="S35" s="120" t="s">
        <v>140</v>
      </c>
    </row>
    <row r="36" spans="1:19" x14ac:dyDescent="0.3">
      <c r="A36" s="298">
        <v>21</v>
      </c>
      <c r="B36" s="298">
        <v>4330</v>
      </c>
      <c r="C36" s="298">
        <f>B36-B35</f>
        <v>3125</v>
      </c>
      <c r="D36" s="298">
        <f>B36-B33</f>
        <v>3864</v>
      </c>
      <c r="E36" s="298">
        <v>768</v>
      </c>
      <c r="F36" s="298">
        <v>105</v>
      </c>
      <c r="G36" s="300">
        <v>0</v>
      </c>
      <c r="H36" s="300">
        <f t="shared" si="8"/>
        <v>1</v>
      </c>
      <c r="I36" s="300">
        <f t="shared" si="10"/>
        <v>-18.57454851695471</v>
      </c>
      <c r="J36" s="301" t="s">
        <v>127</v>
      </c>
      <c r="K36" s="301">
        <f t="shared" si="11"/>
        <v>1</v>
      </c>
      <c r="L36" s="301">
        <f t="shared" si="7"/>
        <v>1</v>
      </c>
      <c r="M36" s="301">
        <f t="shared" si="4"/>
        <v>0</v>
      </c>
      <c r="N36" s="301"/>
      <c r="P36" s="135" t="s">
        <v>137</v>
      </c>
      <c r="Q36" s="136">
        <v>2</v>
      </c>
      <c r="R36" s="138">
        <v>0</v>
      </c>
      <c r="S36" s="121" t="s">
        <v>141</v>
      </c>
    </row>
    <row r="37" spans="1:19" x14ac:dyDescent="0.3">
      <c r="A37" s="298">
        <v>22</v>
      </c>
      <c r="B37" s="298">
        <v>5817</v>
      </c>
      <c r="C37" s="298">
        <f>B37-B36</f>
        <v>1487</v>
      </c>
      <c r="D37" s="298">
        <f>B37-B34</f>
        <v>5319</v>
      </c>
      <c r="E37" s="298">
        <v>879</v>
      </c>
      <c r="F37" s="298">
        <v>133</v>
      </c>
      <c r="G37" s="302">
        <f xml:space="preserve"> LOG(63.536819146604)</f>
        <v>1.8030254688849539</v>
      </c>
      <c r="H37" s="300">
        <f t="shared" si="8"/>
        <v>63.53681914660401</v>
      </c>
      <c r="I37" s="300">
        <f t="shared" si="10"/>
        <v>62.53681914660401</v>
      </c>
      <c r="J37" s="301" t="s">
        <v>127</v>
      </c>
      <c r="K37" s="301">
        <f t="shared" si="11"/>
        <v>1</v>
      </c>
      <c r="L37" s="301">
        <f t="shared" si="7"/>
        <v>1</v>
      </c>
      <c r="M37" s="301">
        <f t="shared" si="4"/>
        <v>1</v>
      </c>
      <c r="N37" s="301"/>
      <c r="P37" s="139" t="s">
        <v>138</v>
      </c>
      <c r="Q37" s="140">
        <v>1</v>
      </c>
      <c r="R37" s="140">
        <v>1</v>
      </c>
      <c r="S37" s="121" t="s">
        <v>142</v>
      </c>
    </row>
    <row r="38" spans="1:19" x14ac:dyDescent="0.3">
      <c r="A38" s="303">
        <v>31</v>
      </c>
      <c r="B38" s="304">
        <v>3853</v>
      </c>
      <c r="C38" s="298">
        <f>B38-B33</f>
        <v>3387</v>
      </c>
      <c r="D38" s="298">
        <f>B38-B35</f>
        <v>2648</v>
      </c>
      <c r="E38" s="304">
        <v>756</v>
      </c>
      <c r="F38" s="304">
        <v>250</v>
      </c>
      <c r="G38" s="299">
        <v>1.8039441941671694</v>
      </c>
      <c r="H38" s="300">
        <f t="shared" si="8"/>
        <v>63.671369941867148</v>
      </c>
      <c r="I38" s="300">
        <f t="shared" si="10"/>
        <v>0.13455079526313796</v>
      </c>
      <c r="J38" s="301" t="s">
        <v>127</v>
      </c>
      <c r="K38" s="301">
        <f t="shared" si="11"/>
        <v>1</v>
      </c>
      <c r="L38" s="301">
        <f t="shared" si="7"/>
        <v>1</v>
      </c>
      <c r="M38" s="301">
        <f t="shared" si="4"/>
        <v>1</v>
      </c>
      <c r="N38" s="301"/>
      <c r="P38" s="132" t="s">
        <v>140</v>
      </c>
      <c r="Q38" s="121" t="s">
        <v>143</v>
      </c>
      <c r="R38" s="121" t="s">
        <v>144</v>
      </c>
    </row>
    <row r="39" spans="1:19" x14ac:dyDescent="0.3">
      <c r="A39" s="303">
        <v>36</v>
      </c>
      <c r="B39" s="301">
        <v>680</v>
      </c>
      <c r="C39" s="298">
        <f t="shared" ref="C39:C41" si="12">B39-B34</f>
        <v>182</v>
      </c>
      <c r="D39" s="298">
        <f t="shared" ref="D39:D41" si="13">B39-B36</f>
        <v>-3650</v>
      </c>
      <c r="E39" s="304"/>
      <c r="F39" s="304"/>
      <c r="G39" s="299">
        <v>1.1186631326482328</v>
      </c>
      <c r="H39" s="300">
        <f t="shared" si="8"/>
        <v>13.142050529012881</v>
      </c>
      <c r="I39" s="300">
        <f t="shared" si="10"/>
        <v>-50.529319412854264</v>
      </c>
      <c r="J39" s="301" t="s">
        <v>127</v>
      </c>
      <c r="K39" s="301">
        <f t="shared" si="11"/>
        <v>1</v>
      </c>
      <c r="L39" s="301">
        <f t="shared" si="7"/>
        <v>0</v>
      </c>
      <c r="M39" s="301">
        <f t="shared" si="4"/>
        <v>0</v>
      </c>
      <c r="N39" s="301"/>
      <c r="P39" s="133" t="s">
        <v>130</v>
      </c>
      <c r="Q39" s="121" t="s">
        <v>145</v>
      </c>
      <c r="S39">
        <f>Q36/(Q36+R36)</f>
        <v>1</v>
      </c>
    </row>
    <row r="40" spans="1:19" x14ac:dyDescent="0.3">
      <c r="A40" s="303">
        <v>40</v>
      </c>
      <c r="B40" s="301">
        <v>214</v>
      </c>
      <c r="C40" s="298">
        <f t="shared" si="12"/>
        <v>-991</v>
      </c>
      <c r="D40" s="298">
        <f t="shared" si="13"/>
        <v>-5603</v>
      </c>
      <c r="E40" s="304"/>
      <c r="F40" s="304"/>
      <c r="G40" s="299">
        <v>1.6691188770346759</v>
      </c>
      <c r="H40" s="300">
        <f t="shared" si="8"/>
        <v>46.678713389805417</v>
      </c>
      <c r="I40" s="300">
        <f t="shared" si="10"/>
        <v>33.536662860792532</v>
      </c>
      <c r="J40" s="301" t="s">
        <v>127</v>
      </c>
      <c r="K40" s="301">
        <f t="shared" si="11"/>
        <v>0</v>
      </c>
      <c r="L40" s="301">
        <f t="shared" si="7"/>
        <v>0</v>
      </c>
      <c r="M40" s="301">
        <f t="shared" si="4"/>
        <v>1</v>
      </c>
      <c r="N40" s="301"/>
      <c r="P40" s="133" t="s">
        <v>135</v>
      </c>
      <c r="Q40" s="121" t="s">
        <v>176</v>
      </c>
      <c r="S40">
        <v>0</v>
      </c>
    </row>
    <row r="41" spans="1:19" x14ac:dyDescent="0.3">
      <c r="A41" s="303">
        <v>44</v>
      </c>
      <c r="B41" s="301">
        <v>50</v>
      </c>
      <c r="C41" s="298">
        <f t="shared" si="12"/>
        <v>-4280</v>
      </c>
      <c r="D41" s="298">
        <f t="shared" si="13"/>
        <v>-3803</v>
      </c>
      <c r="E41" s="304"/>
      <c r="F41" s="304"/>
      <c r="G41" s="299">
        <v>1.4698718021475068</v>
      </c>
      <c r="H41" s="300">
        <f t="shared" si="8"/>
        <v>29.503381982141629</v>
      </c>
      <c r="I41" s="300">
        <f t="shared" si="10"/>
        <v>-17.175331407663787</v>
      </c>
      <c r="J41" s="301" t="s">
        <v>127</v>
      </c>
      <c r="K41" s="301">
        <f t="shared" si="11"/>
        <v>0</v>
      </c>
      <c r="L41" s="301">
        <f t="shared" si="7"/>
        <v>0</v>
      </c>
      <c r="M41" s="301">
        <f t="shared" si="4"/>
        <v>0</v>
      </c>
      <c r="N41" s="301"/>
      <c r="P41" s="133" t="s">
        <v>146</v>
      </c>
      <c r="Q41" s="122" t="s">
        <v>147</v>
      </c>
      <c r="S41">
        <f>1-S40</f>
        <v>1</v>
      </c>
    </row>
    <row r="42" spans="1:19" x14ac:dyDescent="0.3">
      <c r="A42" s="25"/>
      <c r="B42" s="97"/>
      <c r="C42" s="23"/>
      <c r="D42" s="23"/>
      <c r="E42" s="99"/>
      <c r="F42" s="99"/>
      <c r="G42" s="93"/>
      <c r="H42" s="98"/>
      <c r="I42" s="98"/>
      <c r="J42" s="97"/>
      <c r="K42" s="97"/>
      <c r="P42" s="133"/>
      <c r="Q42" s="122"/>
    </row>
    <row r="43" spans="1:19" x14ac:dyDescent="0.3">
      <c r="A43" s="165">
        <v>21</v>
      </c>
      <c r="B43" s="165">
        <v>4330</v>
      </c>
      <c r="C43" s="165">
        <f>B43-B37</f>
        <v>-1487</v>
      </c>
      <c r="D43" s="165">
        <f>B43-B36</f>
        <v>0</v>
      </c>
      <c r="E43" s="165">
        <v>768</v>
      </c>
      <c r="F43" s="165">
        <v>105</v>
      </c>
      <c r="G43" s="166">
        <f xml:space="preserve"> LOG(4.04960190763279)</f>
        <v>0.6074123323959153</v>
      </c>
      <c r="H43" s="167">
        <f>10^G43</f>
        <v>4.0496019076327912</v>
      </c>
      <c r="I43" s="167">
        <f>H43-H38</f>
        <v>-59.621768034234357</v>
      </c>
      <c r="J43" s="168" t="s">
        <v>126</v>
      </c>
      <c r="K43" s="168">
        <f t="shared" si="11"/>
        <v>0</v>
      </c>
      <c r="L43" s="168">
        <f t="shared" si="7"/>
        <v>0</v>
      </c>
      <c r="M43" s="168">
        <f t="shared" si="4"/>
        <v>0</v>
      </c>
      <c r="N43" s="305"/>
      <c r="P43" s="415" t="s">
        <v>196</v>
      </c>
      <c r="Q43" s="415"/>
    </row>
    <row r="44" spans="1:19" x14ac:dyDescent="0.3">
      <c r="A44" s="165">
        <v>22</v>
      </c>
      <c r="B44" s="165">
        <v>5817</v>
      </c>
      <c r="C44" s="165">
        <f>B44-B43</f>
        <v>1487</v>
      </c>
      <c r="D44" s="165">
        <f>B44-B37</f>
        <v>0</v>
      </c>
      <c r="E44" s="165">
        <v>879</v>
      </c>
      <c r="F44" s="165">
        <v>133</v>
      </c>
      <c r="G44" s="167"/>
      <c r="H44" s="167">
        <f>10^G44</f>
        <v>1</v>
      </c>
      <c r="I44" s="167">
        <f t="shared" si="10"/>
        <v>-3.0496019076327912</v>
      </c>
      <c r="J44" s="168" t="s">
        <v>126</v>
      </c>
      <c r="K44" s="168">
        <f t="shared" si="11"/>
        <v>1</v>
      </c>
      <c r="L44" s="168">
        <f t="shared" si="7"/>
        <v>0</v>
      </c>
      <c r="M44" s="168">
        <f t="shared" si="4"/>
        <v>0</v>
      </c>
      <c r="N44" s="168"/>
      <c r="P44" s="401" t="s">
        <v>139</v>
      </c>
      <c r="Q44" s="402" t="s">
        <v>186</v>
      </c>
      <c r="R44" s="402"/>
    </row>
    <row r="45" spans="1:19" x14ac:dyDescent="0.3">
      <c r="A45" s="165">
        <v>24</v>
      </c>
      <c r="B45" s="165">
        <v>17218</v>
      </c>
      <c r="C45" s="165">
        <f>B45-B44</f>
        <v>11401</v>
      </c>
      <c r="D45" s="165">
        <f>B45-B38</f>
        <v>13365</v>
      </c>
      <c r="E45" s="165">
        <v>1668</v>
      </c>
      <c r="F45" s="165">
        <v>292</v>
      </c>
      <c r="G45" s="166">
        <f>LOG(470.684129364636)</f>
        <v>2.6727295549125829</v>
      </c>
      <c r="H45" s="167">
        <f>10^G45</f>
        <v>470.68412936463648</v>
      </c>
      <c r="I45" s="167">
        <f t="shared" si="10"/>
        <v>469.68412936463648</v>
      </c>
      <c r="J45" s="168" t="s">
        <v>126</v>
      </c>
      <c r="K45" s="168">
        <f t="shared" si="11"/>
        <v>1</v>
      </c>
      <c r="L45" s="168">
        <f t="shared" si="7"/>
        <v>1</v>
      </c>
      <c r="M45" s="168">
        <f t="shared" si="4"/>
        <v>1</v>
      </c>
      <c r="N45" s="168"/>
      <c r="P45" s="401"/>
      <c r="Q45" s="120" t="s">
        <v>137</v>
      </c>
      <c r="R45" s="137" t="s">
        <v>138</v>
      </c>
      <c r="S45" s="120" t="s">
        <v>140</v>
      </c>
    </row>
    <row r="46" spans="1:19" x14ac:dyDescent="0.3">
      <c r="A46" s="169">
        <v>25</v>
      </c>
      <c r="B46" s="169">
        <v>22412</v>
      </c>
      <c r="C46" s="165">
        <f>B46-B45</f>
        <v>5194</v>
      </c>
      <c r="D46" s="165">
        <f t="shared" ref="D46:D47" si="14">B46-B43</f>
        <v>18082</v>
      </c>
      <c r="E46" s="169">
        <v>2135</v>
      </c>
      <c r="F46" s="169">
        <v>417</v>
      </c>
      <c r="G46" s="166">
        <f xml:space="preserve"> LOG(59.8190706603381)</f>
        <v>1.7768396616170288</v>
      </c>
      <c r="H46" s="167">
        <f>10^G46</f>
        <v>59.81907066033812</v>
      </c>
      <c r="I46" s="167">
        <f t="shared" si="10"/>
        <v>-410.86505870429835</v>
      </c>
      <c r="J46" s="168" t="s">
        <v>126</v>
      </c>
      <c r="K46" s="168">
        <f t="shared" si="11"/>
        <v>1</v>
      </c>
      <c r="L46" s="168">
        <f t="shared" si="7"/>
        <v>1</v>
      </c>
      <c r="M46" s="168">
        <f t="shared" si="4"/>
        <v>0</v>
      </c>
      <c r="N46" s="168"/>
      <c r="P46" s="135" t="s">
        <v>137</v>
      </c>
      <c r="Q46" s="136">
        <v>2</v>
      </c>
      <c r="R46" s="138">
        <v>1</v>
      </c>
      <c r="S46" s="121" t="s">
        <v>141</v>
      </c>
    </row>
    <row r="47" spans="1:19" x14ac:dyDescent="0.3">
      <c r="A47" s="169">
        <v>26</v>
      </c>
      <c r="B47" s="170">
        <v>26824</v>
      </c>
      <c r="C47" s="165">
        <f>B47-B46</f>
        <v>4412</v>
      </c>
      <c r="D47" s="165">
        <f t="shared" si="14"/>
        <v>21007</v>
      </c>
      <c r="E47" s="170">
        <v>2416</v>
      </c>
      <c r="F47" s="170">
        <v>556</v>
      </c>
      <c r="G47" s="166">
        <f xml:space="preserve"> LOG(969.328043412189)</f>
        <v>2.9864707773952972</v>
      </c>
      <c r="H47" s="167">
        <f>10^G47</f>
        <v>969.32804341218946</v>
      </c>
      <c r="I47" s="167">
        <f t="shared" si="10"/>
        <v>909.50897275185139</v>
      </c>
      <c r="J47" s="168" t="s">
        <v>126</v>
      </c>
      <c r="K47" s="168">
        <f t="shared" si="11"/>
        <v>1</v>
      </c>
      <c r="L47" s="168">
        <f t="shared" si="7"/>
        <v>1</v>
      </c>
      <c r="M47" s="168">
        <f t="shared" si="4"/>
        <v>1</v>
      </c>
      <c r="N47" s="168"/>
      <c r="P47" s="139" t="s">
        <v>138</v>
      </c>
      <c r="Q47" s="140">
        <v>1</v>
      </c>
      <c r="R47" s="140">
        <v>1</v>
      </c>
      <c r="S47" s="121" t="s">
        <v>142</v>
      </c>
    </row>
    <row r="48" spans="1:19" x14ac:dyDescent="0.3">
      <c r="A48" s="169">
        <v>43</v>
      </c>
      <c r="B48" s="169">
        <v>85</v>
      </c>
      <c r="C48" s="165"/>
      <c r="D48" s="165"/>
      <c r="E48" s="170"/>
      <c r="F48" s="170"/>
      <c r="G48" s="166">
        <v>0.1504285567281905</v>
      </c>
      <c r="H48" s="167">
        <v>1.4139321081492364</v>
      </c>
      <c r="I48" s="167"/>
      <c r="J48" s="168" t="s">
        <v>126</v>
      </c>
      <c r="K48" s="168">
        <f t="shared" si="11"/>
        <v>0</v>
      </c>
      <c r="L48" s="168">
        <f t="shared" si="7"/>
        <v>0</v>
      </c>
      <c r="M48" s="168">
        <f t="shared" si="4"/>
        <v>0</v>
      </c>
      <c r="N48" s="168"/>
      <c r="P48" s="132" t="s">
        <v>140</v>
      </c>
      <c r="Q48" s="121" t="s">
        <v>143</v>
      </c>
      <c r="R48" s="121" t="s">
        <v>144</v>
      </c>
    </row>
    <row r="49" spans="1:19" x14ac:dyDescent="0.3">
      <c r="A49" s="169">
        <v>44</v>
      </c>
      <c r="B49" s="170">
        <v>50</v>
      </c>
      <c r="C49" s="165">
        <f t="shared" ref="C49:C51" si="15">B49-B48</f>
        <v>-35</v>
      </c>
      <c r="D49" s="165"/>
      <c r="E49" s="170"/>
      <c r="F49" s="170"/>
      <c r="G49" s="166">
        <v>0.73010177885768224</v>
      </c>
      <c r="H49" s="167">
        <v>5.3715766692648126</v>
      </c>
      <c r="I49" s="167">
        <f t="shared" si="10"/>
        <v>3.9576445611155764</v>
      </c>
      <c r="J49" s="168" t="s">
        <v>126</v>
      </c>
      <c r="K49" s="168">
        <f t="shared" si="11"/>
        <v>0</v>
      </c>
      <c r="L49" s="168">
        <f t="shared" si="7"/>
        <v>0</v>
      </c>
      <c r="M49" s="168">
        <f t="shared" si="4"/>
        <v>1</v>
      </c>
      <c r="N49" s="168"/>
      <c r="P49" s="133" t="s">
        <v>130</v>
      </c>
      <c r="Q49" s="121" t="s">
        <v>145</v>
      </c>
      <c r="S49">
        <f>Q46/(Q46+R46)</f>
        <v>0.66666666666666663</v>
      </c>
    </row>
    <row r="50" spans="1:19" x14ac:dyDescent="0.3">
      <c r="A50" s="169">
        <v>45</v>
      </c>
      <c r="B50" s="170">
        <v>86</v>
      </c>
      <c r="C50" s="165">
        <f t="shared" si="15"/>
        <v>36</v>
      </c>
      <c r="D50" s="165"/>
      <c r="E50" s="170"/>
      <c r="F50" s="170"/>
      <c r="G50" s="166">
        <v>1.3615152656702794</v>
      </c>
      <c r="H50" s="167">
        <v>22.988745144435352</v>
      </c>
      <c r="I50" s="167">
        <f t="shared" si="10"/>
        <v>17.617168475170541</v>
      </c>
      <c r="J50" s="168" t="s">
        <v>126</v>
      </c>
      <c r="K50" s="168">
        <f t="shared" si="11"/>
        <v>1</v>
      </c>
      <c r="L50" s="168">
        <f t="shared" si="7"/>
        <v>0</v>
      </c>
      <c r="M50" s="168">
        <f t="shared" si="4"/>
        <v>1</v>
      </c>
      <c r="N50" s="168"/>
      <c r="P50" s="133" t="s">
        <v>135</v>
      </c>
      <c r="Q50" s="121" t="s">
        <v>176</v>
      </c>
      <c r="S50">
        <v>0</v>
      </c>
    </row>
    <row r="51" spans="1:19" x14ac:dyDescent="0.3">
      <c r="A51" s="307">
        <v>46</v>
      </c>
      <c r="B51" s="308">
        <v>421</v>
      </c>
      <c r="C51" s="309">
        <f t="shared" si="15"/>
        <v>335</v>
      </c>
      <c r="D51" s="309">
        <f>B51-B48</f>
        <v>336</v>
      </c>
      <c r="E51" s="308"/>
      <c r="F51" s="308"/>
      <c r="G51" s="310">
        <v>1.5381205623610741</v>
      </c>
      <c r="H51" s="311">
        <v>34.52395662969473</v>
      </c>
      <c r="I51" s="311">
        <f t="shared" si="10"/>
        <v>11.535211485259378</v>
      </c>
      <c r="J51" s="312" t="s">
        <v>126</v>
      </c>
      <c r="K51" s="312">
        <f t="shared" si="11"/>
        <v>1</v>
      </c>
      <c r="L51" s="312">
        <f t="shared" si="7"/>
        <v>1</v>
      </c>
      <c r="M51" s="312">
        <f t="shared" si="4"/>
        <v>1</v>
      </c>
      <c r="N51" s="312"/>
      <c r="P51" s="133" t="s">
        <v>146</v>
      </c>
      <c r="Q51" s="122" t="s">
        <v>147</v>
      </c>
      <c r="S51">
        <f>1-S50</f>
        <v>1</v>
      </c>
    </row>
    <row r="52" spans="1:19" x14ac:dyDescent="0.3">
      <c r="A52" s="25"/>
      <c r="B52" s="99"/>
      <c r="C52" s="23"/>
      <c r="D52" s="23"/>
      <c r="E52" s="99"/>
      <c r="F52" s="99"/>
      <c r="G52" s="94"/>
      <c r="H52" s="98"/>
      <c r="I52" s="98"/>
      <c r="J52" s="97"/>
      <c r="K52" s="97"/>
      <c r="L52" s="97"/>
      <c r="M52" s="97"/>
      <c r="N52" s="97"/>
    </row>
    <row r="53" spans="1:19" x14ac:dyDescent="0.3">
      <c r="A53" s="313">
        <v>9</v>
      </c>
      <c r="B53" s="313">
        <v>324</v>
      </c>
      <c r="C53" s="313"/>
      <c r="D53" s="313"/>
      <c r="E53" s="313">
        <v>141</v>
      </c>
      <c r="F53" s="313">
        <v>32</v>
      </c>
      <c r="G53" s="314">
        <f>LOG(32.9169326899003)</f>
        <v>1.5174193594103973</v>
      </c>
      <c r="H53" s="315">
        <f t="shared" ref="H53:H58" si="16">10^G53</f>
        <v>32.916932689900307</v>
      </c>
      <c r="I53" s="315"/>
      <c r="J53" s="316" t="s">
        <v>125</v>
      </c>
      <c r="K53" s="316"/>
      <c r="L53" s="316"/>
      <c r="M53" s="316"/>
      <c r="N53" s="316"/>
      <c r="P53" s="423" t="s">
        <v>193</v>
      </c>
      <c r="Q53" s="423"/>
    </row>
    <row r="54" spans="1:19" ht="14.4" customHeight="1" x14ac:dyDescent="0.3">
      <c r="A54" s="313">
        <v>11</v>
      </c>
      <c r="B54" s="313">
        <v>334</v>
      </c>
      <c r="C54" s="313">
        <f>B54-B53</f>
        <v>10</v>
      </c>
      <c r="D54" s="313"/>
      <c r="E54" s="313">
        <v>114</v>
      </c>
      <c r="F54" s="313">
        <v>21</v>
      </c>
      <c r="G54" s="314">
        <f>LOG(5.47658971377781)</f>
        <v>0.73851020638129206</v>
      </c>
      <c r="H54" s="315">
        <f t="shared" si="16"/>
        <v>5.4765897137778099</v>
      </c>
      <c r="I54" s="315">
        <f t="shared" si="10"/>
        <v>-27.440342976122498</v>
      </c>
      <c r="J54" s="316" t="s">
        <v>125</v>
      </c>
      <c r="K54" s="316">
        <f t="shared" ref="K54:K60" si="17">IF(C54&gt;0, 1,0)</f>
        <v>1</v>
      </c>
      <c r="L54" s="316"/>
      <c r="M54" s="316">
        <f t="shared" si="4"/>
        <v>0</v>
      </c>
      <c r="N54" s="317"/>
      <c r="P54" s="401" t="s">
        <v>139</v>
      </c>
      <c r="Q54" s="402" t="s">
        <v>186</v>
      </c>
      <c r="R54" s="402"/>
    </row>
    <row r="55" spans="1:19" x14ac:dyDescent="0.3">
      <c r="A55" s="313">
        <v>15</v>
      </c>
      <c r="B55" s="313">
        <v>355</v>
      </c>
      <c r="C55" s="313">
        <f>B55-B54</f>
        <v>21</v>
      </c>
      <c r="D55" s="313"/>
      <c r="E55" s="313">
        <v>108</v>
      </c>
      <c r="F55" s="313">
        <v>21</v>
      </c>
      <c r="G55" s="314">
        <f xml:space="preserve"> LOG(1.39299232740791)</f>
        <v>0.1439487243395533</v>
      </c>
      <c r="H55" s="315">
        <f t="shared" si="16"/>
        <v>1.3929923274079099</v>
      </c>
      <c r="I55" s="315">
        <f t="shared" si="10"/>
        <v>-4.0835973863698998</v>
      </c>
      <c r="J55" s="316" t="s">
        <v>125</v>
      </c>
      <c r="K55" s="316">
        <f t="shared" si="17"/>
        <v>1</v>
      </c>
      <c r="L55" s="316">
        <f t="shared" si="7"/>
        <v>0</v>
      </c>
      <c r="M55" s="316">
        <f t="shared" si="4"/>
        <v>0</v>
      </c>
      <c r="N55" s="316"/>
      <c r="P55" s="401"/>
      <c r="Q55" s="120" t="s">
        <v>137</v>
      </c>
      <c r="R55" s="137" t="s">
        <v>138</v>
      </c>
      <c r="S55" s="120" t="s">
        <v>140</v>
      </c>
    </row>
    <row r="56" spans="1:19" x14ac:dyDescent="0.3">
      <c r="A56" s="313">
        <v>20</v>
      </c>
      <c r="B56" s="313">
        <v>1449</v>
      </c>
      <c r="C56" s="313">
        <f>B56-B55</f>
        <v>1094</v>
      </c>
      <c r="D56" s="313">
        <f t="shared" ref="D56:D60" si="18">B56-B53</f>
        <v>1125</v>
      </c>
      <c r="E56" s="313">
        <v>276</v>
      </c>
      <c r="F56" s="313">
        <v>37</v>
      </c>
      <c r="G56" s="318">
        <f xml:space="preserve"> LOG(12.982428073883)</f>
        <v>1.1133559251664007</v>
      </c>
      <c r="H56" s="315">
        <f t="shared" si="16"/>
        <v>12.982428073882998</v>
      </c>
      <c r="I56" s="315">
        <f t="shared" si="10"/>
        <v>11.589435746475088</v>
      </c>
      <c r="J56" s="316" t="s">
        <v>125</v>
      </c>
      <c r="K56" s="316">
        <f t="shared" si="17"/>
        <v>1</v>
      </c>
      <c r="L56" s="316">
        <f t="shared" si="7"/>
        <v>1</v>
      </c>
      <c r="M56" s="316">
        <f t="shared" si="4"/>
        <v>1</v>
      </c>
      <c r="N56" s="316"/>
      <c r="P56" s="135" t="s">
        <v>137</v>
      </c>
      <c r="Q56" s="136">
        <v>2</v>
      </c>
      <c r="R56" s="138">
        <v>2</v>
      </c>
      <c r="S56" s="121" t="s">
        <v>141</v>
      </c>
    </row>
    <row r="57" spans="1:19" x14ac:dyDescent="0.3">
      <c r="A57" s="313">
        <v>22</v>
      </c>
      <c r="B57" s="313">
        <v>3089</v>
      </c>
      <c r="C57" s="313">
        <f>B57-B56</f>
        <v>1640</v>
      </c>
      <c r="D57" s="313">
        <f t="shared" si="18"/>
        <v>2755</v>
      </c>
      <c r="E57" s="313">
        <v>489</v>
      </c>
      <c r="F57" s="313">
        <v>72</v>
      </c>
      <c r="G57" s="318">
        <f xml:space="preserve"> LOG(0.875927735956348)</f>
        <v>-5.7531721651493978E-2</v>
      </c>
      <c r="H57" s="315">
        <f t="shared" si="16"/>
        <v>0.87592773595634787</v>
      </c>
      <c r="I57" s="315">
        <f t="shared" si="10"/>
        <v>-12.106500337926651</v>
      </c>
      <c r="J57" s="316" t="s">
        <v>125</v>
      </c>
      <c r="K57" s="316">
        <f t="shared" si="17"/>
        <v>1</v>
      </c>
      <c r="L57" s="316">
        <f t="shared" si="7"/>
        <v>1</v>
      </c>
      <c r="M57" s="316">
        <f t="shared" si="4"/>
        <v>0</v>
      </c>
      <c r="N57" s="316"/>
      <c r="P57" s="139" t="s">
        <v>138</v>
      </c>
      <c r="Q57" s="140">
        <v>1</v>
      </c>
      <c r="R57" s="140">
        <v>1</v>
      </c>
      <c r="S57" s="121" t="s">
        <v>142</v>
      </c>
    </row>
    <row r="58" spans="1:19" x14ac:dyDescent="0.3">
      <c r="A58" s="319">
        <v>26</v>
      </c>
      <c r="B58" s="319">
        <v>14104</v>
      </c>
      <c r="C58" s="313">
        <f>B58-B57</f>
        <v>11015</v>
      </c>
      <c r="D58" s="313">
        <f t="shared" si="18"/>
        <v>13749</v>
      </c>
      <c r="E58" s="319">
        <v>1384</v>
      </c>
      <c r="F58" s="319">
        <v>361</v>
      </c>
      <c r="G58" s="318">
        <f xml:space="preserve"> LOG(147.665072460564)</f>
        <v>2.1692777828443726</v>
      </c>
      <c r="H58" s="315">
        <f t="shared" si="16"/>
        <v>147.66507246056406</v>
      </c>
      <c r="I58" s="315">
        <f t="shared" si="10"/>
        <v>146.78914472460772</v>
      </c>
      <c r="J58" s="316" t="s">
        <v>125</v>
      </c>
      <c r="K58" s="316">
        <f t="shared" si="17"/>
        <v>1</v>
      </c>
      <c r="L58" s="316">
        <f t="shared" si="7"/>
        <v>1</v>
      </c>
      <c r="M58" s="316">
        <f t="shared" si="4"/>
        <v>1</v>
      </c>
      <c r="N58" s="316">
        <f>SUM(L56:L58)/SUM(M56:M58)*100</f>
        <v>150</v>
      </c>
      <c r="P58" s="132" t="s">
        <v>140</v>
      </c>
      <c r="Q58" s="121" t="s">
        <v>143</v>
      </c>
      <c r="R58" s="121" t="s">
        <v>144</v>
      </c>
    </row>
    <row r="59" spans="1:19" x14ac:dyDescent="0.3">
      <c r="A59" s="319">
        <v>29</v>
      </c>
      <c r="B59" s="320">
        <v>4308</v>
      </c>
      <c r="C59" s="313">
        <f t="shared" ref="C59:C60" si="19">B59-B58</f>
        <v>-9796</v>
      </c>
      <c r="D59" s="313">
        <f t="shared" si="18"/>
        <v>2859</v>
      </c>
      <c r="E59" s="319"/>
      <c r="F59" s="319"/>
      <c r="G59" s="318">
        <v>2.0089317379113751</v>
      </c>
      <c r="H59" s="315">
        <v>102.07790257979404</v>
      </c>
      <c r="I59" s="315">
        <f t="shared" si="10"/>
        <v>-45.58716988077002</v>
      </c>
      <c r="J59" s="316" t="s">
        <v>125</v>
      </c>
      <c r="K59" s="316">
        <f t="shared" si="17"/>
        <v>0</v>
      </c>
      <c r="L59" s="316">
        <f t="shared" si="7"/>
        <v>1</v>
      </c>
      <c r="M59" s="316">
        <f t="shared" si="4"/>
        <v>0</v>
      </c>
      <c r="N59" s="316"/>
      <c r="P59" s="133" t="s">
        <v>130</v>
      </c>
      <c r="Q59" s="121" t="s">
        <v>145</v>
      </c>
      <c r="S59">
        <f>Q56/(Q56+R56)</f>
        <v>0.5</v>
      </c>
    </row>
    <row r="60" spans="1:19" x14ac:dyDescent="0.3">
      <c r="A60" s="319">
        <v>32</v>
      </c>
      <c r="B60" s="320">
        <v>1894</v>
      </c>
      <c r="C60" s="313">
        <f t="shared" si="19"/>
        <v>-2414</v>
      </c>
      <c r="D60" s="313">
        <f t="shared" si="18"/>
        <v>-1195</v>
      </c>
      <c r="E60" s="319"/>
      <c r="F60" s="319"/>
      <c r="G60" s="314">
        <v>1.5633521246470228</v>
      </c>
      <c r="H60" s="315">
        <f t="shared" ref="H60" si="20">10^G60</f>
        <v>36.589133496187181</v>
      </c>
      <c r="I60" s="315">
        <f t="shared" si="10"/>
        <v>-65.488769083606854</v>
      </c>
      <c r="J60" s="316" t="s">
        <v>125</v>
      </c>
      <c r="K60" s="316">
        <f t="shared" si="17"/>
        <v>0</v>
      </c>
      <c r="L60" s="316">
        <f t="shared" si="7"/>
        <v>0</v>
      </c>
      <c r="M60" s="316">
        <f t="shared" si="4"/>
        <v>0</v>
      </c>
      <c r="N60" s="316"/>
      <c r="P60" s="133" t="s">
        <v>135</v>
      </c>
      <c r="Q60" s="121" t="s">
        <v>176</v>
      </c>
      <c r="S60">
        <f>R57/(Q57+R57)</f>
        <v>0.5</v>
      </c>
    </row>
    <row r="61" spans="1:19" x14ac:dyDescent="0.3">
      <c r="A61" s="25"/>
      <c r="B61" s="99"/>
      <c r="C61" s="23"/>
      <c r="D61" s="23"/>
      <c r="E61" s="25"/>
      <c r="F61" s="25"/>
      <c r="G61" s="94"/>
      <c r="H61" s="98"/>
      <c r="I61" s="98"/>
      <c r="J61" s="151"/>
      <c r="K61" s="97"/>
      <c r="P61" s="133" t="s">
        <v>146</v>
      </c>
      <c r="Q61" s="122" t="s">
        <v>147</v>
      </c>
      <c r="S61">
        <f>1-S60</f>
        <v>0.5</v>
      </c>
    </row>
    <row r="62" spans="1:19" x14ac:dyDescent="0.3">
      <c r="A62" s="321">
        <v>21</v>
      </c>
      <c r="B62" s="321">
        <v>2160</v>
      </c>
      <c r="C62" s="225"/>
      <c r="D62" s="225"/>
      <c r="E62" s="321">
        <v>380</v>
      </c>
      <c r="F62" s="321">
        <v>49</v>
      </c>
      <c r="G62" s="230">
        <f xml:space="preserve"> LOG(4.93402779102325)</f>
        <v>0.69320159133410897</v>
      </c>
      <c r="H62" s="228">
        <f>10^G62</f>
        <v>4.9340277910232508</v>
      </c>
      <c r="I62" s="228"/>
      <c r="J62" s="229" t="s">
        <v>124</v>
      </c>
      <c r="K62" s="229"/>
      <c r="L62" s="229"/>
      <c r="M62" s="229"/>
      <c r="N62" s="229"/>
    </row>
    <row r="63" spans="1:19" x14ac:dyDescent="0.3">
      <c r="A63" s="321">
        <v>23</v>
      </c>
      <c r="B63" s="321">
        <v>5783</v>
      </c>
      <c r="C63" s="225">
        <f>B63-B62</f>
        <v>3623</v>
      </c>
      <c r="D63" s="225"/>
      <c r="E63" s="321">
        <v>675</v>
      </c>
      <c r="F63" s="321">
        <v>120</v>
      </c>
      <c r="G63" s="230">
        <f xml:space="preserve"> LOG(29.97367236079)</f>
        <v>1.4767399557691452</v>
      </c>
      <c r="H63" s="228">
        <f>10^G63</f>
        <v>29.973672360790005</v>
      </c>
      <c r="I63" s="228">
        <f t="shared" si="10"/>
        <v>25.039644569766754</v>
      </c>
      <c r="J63" s="229" t="s">
        <v>124</v>
      </c>
      <c r="K63" s="229"/>
      <c r="L63" s="229"/>
      <c r="M63" s="229">
        <f t="shared" si="4"/>
        <v>1</v>
      </c>
      <c r="N63" s="229"/>
      <c r="P63" s="422" t="s">
        <v>194</v>
      </c>
      <c r="Q63" s="422"/>
    </row>
    <row r="64" spans="1:19" x14ac:dyDescent="0.3">
      <c r="A64" s="321">
        <v>24</v>
      </c>
      <c r="B64" s="321">
        <v>9089</v>
      </c>
      <c r="C64" s="225">
        <f>B64-B63</f>
        <v>3306</v>
      </c>
      <c r="D64" s="225"/>
      <c r="E64" s="321">
        <v>907</v>
      </c>
      <c r="F64" s="321">
        <v>187</v>
      </c>
      <c r="G64" s="230">
        <f xml:space="preserve"> LOG(23.9111355372838)</f>
        <v>1.3786002012042802</v>
      </c>
      <c r="H64" s="228">
        <f>10^G64</f>
        <v>23.911135537283812</v>
      </c>
      <c r="I64" s="228">
        <f t="shared" si="10"/>
        <v>-6.0625368235061927</v>
      </c>
      <c r="J64" s="229" t="s">
        <v>124</v>
      </c>
      <c r="K64" s="229"/>
      <c r="L64" s="229"/>
      <c r="M64" s="229">
        <f t="shared" si="4"/>
        <v>0</v>
      </c>
      <c r="N64" s="229"/>
      <c r="P64" s="401" t="s">
        <v>139</v>
      </c>
      <c r="Q64" s="402" t="s">
        <v>186</v>
      </c>
      <c r="R64" s="402"/>
    </row>
    <row r="65" spans="1:25" x14ac:dyDescent="0.3">
      <c r="A65" s="322">
        <v>25</v>
      </c>
      <c r="B65" s="322">
        <v>12206</v>
      </c>
      <c r="C65" s="225">
        <f>B65-B64</f>
        <v>3117</v>
      </c>
      <c r="D65" s="225">
        <f>B65-B62</f>
        <v>10046</v>
      </c>
      <c r="E65" s="322">
        <v>1162</v>
      </c>
      <c r="F65" s="322">
        <v>266</v>
      </c>
      <c r="G65" s="230">
        <f xml:space="preserve"> LOG(1.20668972329218)</f>
        <v>8.1595614103199515E-2</v>
      </c>
      <c r="H65" s="228">
        <f>10^G65</f>
        <v>1.20668972329218</v>
      </c>
      <c r="I65" s="228">
        <f t="shared" si="10"/>
        <v>-22.704445813991633</v>
      </c>
      <c r="J65" s="229" t="s">
        <v>124</v>
      </c>
      <c r="K65" s="229">
        <f>IF(C65&gt;0, 1,0)</f>
        <v>1</v>
      </c>
      <c r="L65" s="229">
        <f t="shared" si="7"/>
        <v>1</v>
      </c>
      <c r="M65" s="229">
        <f t="shared" si="4"/>
        <v>0</v>
      </c>
      <c r="N65" s="229"/>
      <c r="P65" s="401"/>
      <c r="Q65" s="120" t="s">
        <v>137</v>
      </c>
      <c r="R65" s="137" t="s">
        <v>138</v>
      </c>
      <c r="S65" s="120" t="s">
        <v>140</v>
      </c>
    </row>
    <row r="66" spans="1:25" x14ac:dyDescent="0.3">
      <c r="A66" s="322">
        <v>26</v>
      </c>
      <c r="B66" s="322">
        <v>14104</v>
      </c>
      <c r="C66" s="225">
        <f>B66-B65</f>
        <v>1898</v>
      </c>
      <c r="D66" s="225">
        <f>B66-B63</f>
        <v>8321</v>
      </c>
      <c r="E66" s="322">
        <v>1384</v>
      </c>
      <c r="F66" s="322">
        <v>361</v>
      </c>
      <c r="G66" s="230"/>
      <c r="H66" s="228">
        <f>10^G66</f>
        <v>1</v>
      </c>
      <c r="I66" s="228">
        <f t="shared" si="10"/>
        <v>-0.20668972329218005</v>
      </c>
      <c r="J66" s="229" t="s">
        <v>124</v>
      </c>
      <c r="K66" s="229">
        <f>IF(C66&gt;0, 1,0)</f>
        <v>1</v>
      </c>
      <c r="L66" s="229">
        <f t="shared" si="7"/>
        <v>1</v>
      </c>
      <c r="M66" s="229">
        <f t="shared" si="4"/>
        <v>0</v>
      </c>
      <c r="N66" s="229">
        <f>SUM(L63,L65,L66)/SUM(M63,M65,M66)*100</f>
        <v>200</v>
      </c>
      <c r="P66" s="135" t="s">
        <v>137</v>
      </c>
      <c r="Q66" s="136">
        <v>0</v>
      </c>
      <c r="R66" s="138">
        <v>3</v>
      </c>
      <c r="S66" s="121" t="s">
        <v>141</v>
      </c>
    </row>
    <row r="67" spans="1:25" x14ac:dyDescent="0.3">
      <c r="A67" s="322"/>
      <c r="B67" s="322"/>
      <c r="C67" s="225"/>
      <c r="D67" s="225"/>
      <c r="E67" s="322"/>
      <c r="F67" s="322"/>
      <c r="G67" s="230"/>
      <c r="H67" s="228"/>
      <c r="I67" s="228">
        <f t="shared" si="10"/>
        <v>-1</v>
      </c>
      <c r="J67" s="229" t="s">
        <v>124</v>
      </c>
      <c r="K67" s="229">
        <f t="shared" ref="K67:K150" si="21">IF(C67&gt;0, 1,0)</f>
        <v>0</v>
      </c>
      <c r="L67" s="229"/>
      <c r="M67" s="229"/>
      <c r="N67" s="229"/>
      <c r="P67" s="139" t="s">
        <v>138</v>
      </c>
      <c r="Q67" s="140">
        <v>2</v>
      </c>
      <c r="R67" s="140">
        <v>0</v>
      </c>
      <c r="S67" s="121" t="s">
        <v>142</v>
      </c>
    </row>
    <row r="68" spans="1:25" x14ac:dyDescent="0.3">
      <c r="A68" s="322">
        <v>45</v>
      </c>
      <c r="B68" s="323">
        <v>56</v>
      </c>
      <c r="C68" s="225">
        <f t="shared" ref="C68:C70" si="22">B68-B67</f>
        <v>56</v>
      </c>
      <c r="D68" s="225">
        <f t="shared" ref="D68:D70" si="23">B68-B65</f>
        <v>-12150</v>
      </c>
      <c r="E68" s="322"/>
      <c r="F68" s="322"/>
      <c r="G68" s="227">
        <v>0</v>
      </c>
      <c r="H68" s="228">
        <f t="shared" ref="H68:H70" si="24">10^G68</f>
        <v>1</v>
      </c>
      <c r="I68" s="228">
        <f t="shared" si="10"/>
        <v>1</v>
      </c>
      <c r="J68" s="229" t="s">
        <v>124</v>
      </c>
      <c r="K68" s="229">
        <f t="shared" si="21"/>
        <v>1</v>
      </c>
      <c r="L68" s="229">
        <f t="shared" si="7"/>
        <v>0</v>
      </c>
      <c r="M68" s="229">
        <f t="shared" si="4"/>
        <v>1</v>
      </c>
      <c r="N68" s="229"/>
      <c r="P68" s="132" t="s">
        <v>140</v>
      </c>
      <c r="Q68" s="121" t="s">
        <v>143</v>
      </c>
      <c r="R68" s="121" t="s">
        <v>144</v>
      </c>
    </row>
    <row r="69" spans="1:25" x14ac:dyDescent="0.3">
      <c r="A69" s="322">
        <v>46</v>
      </c>
      <c r="B69" s="323">
        <v>151</v>
      </c>
      <c r="C69" s="225">
        <f t="shared" si="22"/>
        <v>95</v>
      </c>
      <c r="D69" s="225">
        <f t="shared" si="23"/>
        <v>-13953</v>
      </c>
      <c r="E69" s="322"/>
      <c r="F69" s="322"/>
      <c r="G69" s="227">
        <v>1.0141204489331759</v>
      </c>
      <c r="H69" s="228">
        <f t="shared" si="24"/>
        <v>10.33047875579523</v>
      </c>
      <c r="I69" s="228">
        <f t="shared" si="10"/>
        <v>9.3304787557952302</v>
      </c>
      <c r="J69" s="229" t="s">
        <v>124</v>
      </c>
      <c r="K69" s="229">
        <f t="shared" si="21"/>
        <v>1</v>
      </c>
      <c r="L69" s="229">
        <f t="shared" si="7"/>
        <v>0</v>
      </c>
      <c r="M69" s="229">
        <f t="shared" si="4"/>
        <v>1</v>
      </c>
      <c r="N69" s="229"/>
      <c r="P69" s="133" t="s">
        <v>130</v>
      </c>
      <c r="Q69" s="121" t="s">
        <v>145</v>
      </c>
      <c r="S69">
        <v>0</v>
      </c>
    </row>
    <row r="70" spans="1:25" x14ac:dyDescent="0.3">
      <c r="A70" s="322">
        <v>47</v>
      </c>
      <c r="B70" s="323">
        <v>403</v>
      </c>
      <c r="C70" s="225">
        <f t="shared" si="22"/>
        <v>252</v>
      </c>
      <c r="D70" s="225">
        <f t="shared" si="23"/>
        <v>403</v>
      </c>
      <c r="E70" s="322"/>
      <c r="F70" s="322"/>
      <c r="G70" s="227">
        <v>0.58987376179199458</v>
      </c>
      <c r="H70" s="228">
        <f t="shared" si="24"/>
        <v>3.8893207603571365</v>
      </c>
      <c r="I70" s="228">
        <f t="shared" si="10"/>
        <v>-6.4411579954380933</v>
      </c>
      <c r="J70" s="229" t="s">
        <v>124</v>
      </c>
      <c r="K70" s="229">
        <f t="shared" si="21"/>
        <v>1</v>
      </c>
      <c r="L70" s="229">
        <f t="shared" si="7"/>
        <v>1</v>
      </c>
      <c r="M70" s="229">
        <f t="shared" si="4"/>
        <v>0</v>
      </c>
      <c r="N70" s="229"/>
      <c r="P70" s="133" t="s">
        <v>135</v>
      </c>
      <c r="Q70" s="121" t="s">
        <v>176</v>
      </c>
      <c r="S70">
        <f>R67/(Q67+R67)</f>
        <v>0</v>
      </c>
    </row>
    <row r="71" spans="1:25" x14ac:dyDescent="0.3">
      <c r="A71" s="92"/>
      <c r="B71" s="92"/>
      <c r="C71" s="23"/>
      <c r="D71" s="23"/>
      <c r="E71" s="92"/>
      <c r="F71" s="92"/>
      <c r="G71" s="94"/>
      <c r="H71" s="91"/>
      <c r="I71" s="98"/>
      <c r="J71" s="90"/>
      <c r="K71" s="97"/>
      <c r="P71" s="133" t="s">
        <v>146</v>
      </c>
      <c r="Q71" s="122" t="s">
        <v>147</v>
      </c>
      <c r="S71">
        <f>1-S70</f>
        <v>1</v>
      </c>
    </row>
    <row r="72" spans="1:25" x14ac:dyDescent="0.3">
      <c r="A72" s="293">
        <v>9</v>
      </c>
      <c r="B72" s="293">
        <v>324</v>
      </c>
      <c r="C72" s="288"/>
      <c r="D72" s="288"/>
      <c r="E72" s="293">
        <v>141</v>
      </c>
      <c r="F72" s="293">
        <v>32</v>
      </c>
      <c r="G72" s="293">
        <v>-0.29149209809023602</v>
      </c>
      <c r="H72" s="291">
        <f>10^G72</f>
        <v>0.51110237836837702</v>
      </c>
      <c r="I72" s="291"/>
      <c r="J72" s="293" t="s">
        <v>123</v>
      </c>
      <c r="K72" s="293"/>
      <c r="L72" s="293"/>
      <c r="M72" s="293"/>
      <c r="N72" s="293"/>
    </row>
    <row r="73" spans="1:25" x14ac:dyDescent="0.3">
      <c r="A73" s="293">
        <v>11</v>
      </c>
      <c r="B73" s="293">
        <v>334</v>
      </c>
      <c r="C73" s="288">
        <f>B73-B72</f>
        <v>10</v>
      </c>
      <c r="D73" s="288"/>
      <c r="E73" s="293">
        <v>114</v>
      </c>
      <c r="F73" s="293">
        <v>21</v>
      </c>
      <c r="G73" s="291">
        <v>-7.00681538835735E-2</v>
      </c>
      <c r="H73" s="291">
        <f>10^G73</f>
        <v>0.85100447949098112</v>
      </c>
      <c r="I73" s="291">
        <f t="shared" si="10"/>
        <v>0.33990210112260411</v>
      </c>
      <c r="J73" s="293" t="s">
        <v>123</v>
      </c>
      <c r="K73" s="293">
        <f t="shared" si="21"/>
        <v>1</v>
      </c>
      <c r="L73" s="293"/>
      <c r="M73" s="293">
        <f t="shared" si="4"/>
        <v>1</v>
      </c>
      <c r="N73" s="293"/>
    </row>
    <row r="74" spans="1:25" x14ac:dyDescent="0.3">
      <c r="A74" s="293">
        <v>20</v>
      </c>
      <c r="B74" s="293">
        <v>1449</v>
      </c>
      <c r="C74" s="288">
        <f>B74-B73</f>
        <v>1115</v>
      </c>
      <c r="D74" s="288"/>
      <c r="E74" s="293">
        <v>276</v>
      </c>
      <c r="F74" s="293">
        <v>37</v>
      </c>
      <c r="G74" s="291">
        <v>0.25397919544098768</v>
      </c>
      <c r="H74" s="291">
        <f>10^G74</f>
        <v>1.7946476534921303</v>
      </c>
      <c r="I74" s="291">
        <f t="shared" si="10"/>
        <v>0.94364317400114917</v>
      </c>
      <c r="J74" s="293" t="s">
        <v>123</v>
      </c>
      <c r="K74" s="293">
        <f t="shared" si="21"/>
        <v>1</v>
      </c>
      <c r="L74" s="293"/>
      <c r="M74" s="293">
        <f t="shared" si="4"/>
        <v>1</v>
      </c>
      <c r="N74" s="293"/>
      <c r="P74" s="420" t="s">
        <v>195</v>
      </c>
      <c r="Q74" s="421"/>
      <c r="V74" s="415" t="s">
        <v>197</v>
      </c>
      <c r="W74" s="415"/>
      <c r="X74" s="415"/>
    </row>
    <row r="75" spans="1:25" x14ac:dyDescent="0.3">
      <c r="A75" s="293">
        <v>22</v>
      </c>
      <c r="B75" s="293">
        <v>3089</v>
      </c>
      <c r="C75" s="288">
        <f>B75-B74</f>
        <v>1640</v>
      </c>
      <c r="D75" s="288">
        <f>B75-B72</f>
        <v>2765</v>
      </c>
      <c r="E75" s="293">
        <v>489</v>
      </c>
      <c r="F75" s="293">
        <v>72</v>
      </c>
      <c r="G75" s="291">
        <v>1.3595234727775889</v>
      </c>
      <c r="H75" s="291">
        <f>10^G75</f>
        <v>22.883553894198698</v>
      </c>
      <c r="I75" s="291">
        <f t="shared" si="10"/>
        <v>21.088906240706567</v>
      </c>
      <c r="J75" s="293" t="s">
        <v>123</v>
      </c>
      <c r="K75" s="293">
        <f t="shared" si="21"/>
        <v>1</v>
      </c>
      <c r="L75" s="293">
        <f t="shared" si="7"/>
        <v>1</v>
      </c>
      <c r="M75" s="293">
        <f t="shared" si="4"/>
        <v>1</v>
      </c>
      <c r="N75" s="293"/>
      <c r="P75" s="401" t="s">
        <v>139</v>
      </c>
      <c r="Q75" s="402" t="s">
        <v>186</v>
      </c>
      <c r="R75" s="402"/>
      <c r="V75" s="401" t="s">
        <v>139</v>
      </c>
      <c r="W75" s="402" t="s">
        <v>186</v>
      </c>
      <c r="X75" s="402"/>
    </row>
    <row r="76" spans="1:25" x14ac:dyDescent="0.3">
      <c r="A76" s="293">
        <v>26</v>
      </c>
      <c r="B76" s="293">
        <v>14104</v>
      </c>
      <c r="C76" s="288">
        <f>B76-B75</f>
        <v>11015</v>
      </c>
      <c r="D76" s="288">
        <f>B76-B73</f>
        <v>13770</v>
      </c>
      <c r="E76" s="293">
        <v>1384</v>
      </c>
      <c r="F76" s="293">
        <v>361</v>
      </c>
      <c r="G76" s="291">
        <v>2.8821439183159021</v>
      </c>
      <c r="H76" s="291">
        <f>10^G76</f>
        <v>762.33159279336758</v>
      </c>
      <c r="I76" s="291">
        <f t="shared" si="10"/>
        <v>739.44803889916886</v>
      </c>
      <c r="J76" s="293" t="s">
        <v>123</v>
      </c>
      <c r="K76" s="293">
        <f t="shared" si="21"/>
        <v>1</v>
      </c>
      <c r="L76" s="293">
        <f t="shared" si="7"/>
        <v>1</v>
      </c>
      <c r="M76" s="293">
        <f t="shared" si="4"/>
        <v>1</v>
      </c>
      <c r="N76" s="293">
        <v>100</v>
      </c>
      <c r="P76" s="401"/>
      <c r="Q76" s="120" t="s">
        <v>137</v>
      </c>
      <c r="R76" s="137" t="s">
        <v>138</v>
      </c>
      <c r="S76" s="120" t="s">
        <v>140</v>
      </c>
      <c r="V76" s="401"/>
      <c r="W76" s="120" t="s">
        <v>137</v>
      </c>
      <c r="X76" s="137" t="s">
        <v>138</v>
      </c>
      <c r="Y76" s="120" t="s">
        <v>140</v>
      </c>
    </row>
    <row r="77" spans="1:25" x14ac:dyDescent="0.3">
      <c r="C77" s="23"/>
      <c r="D77" s="23"/>
      <c r="G77" s="164"/>
      <c r="H77" s="164"/>
      <c r="I77" s="98"/>
      <c r="K77" s="97"/>
      <c r="P77" s="135" t="s">
        <v>137</v>
      </c>
      <c r="Q77" s="136">
        <v>0</v>
      </c>
      <c r="R77" s="138">
        <v>3</v>
      </c>
      <c r="S77" s="121" t="s">
        <v>141</v>
      </c>
      <c r="V77" s="135" t="s">
        <v>137</v>
      </c>
      <c r="W77" s="136">
        <v>4</v>
      </c>
      <c r="X77" s="138">
        <v>0</v>
      </c>
      <c r="Y77" s="121" t="s">
        <v>141</v>
      </c>
    </row>
    <row r="78" spans="1:25" x14ac:dyDescent="0.3">
      <c r="A78" s="301">
        <v>22</v>
      </c>
      <c r="B78" s="301">
        <v>3089</v>
      </c>
      <c r="C78" s="298"/>
      <c r="D78" s="298"/>
      <c r="E78" s="301">
        <v>489</v>
      </c>
      <c r="F78" s="301">
        <v>72</v>
      </c>
      <c r="G78" s="300">
        <v>1.6598015136744675</v>
      </c>
      <c r="H78" s="300">
        <f t="shared" ref="H78:H83" si="25">10^G78</f>
        <v>45.68793335739452</v>
      </c>
      <c r="I78" s="300"/>
      <c r="J78" s="301" t="s">
        <v>122</v>
      </c>
      <c r="K78" s="301"/>
      <c r="L78" s="301"/>
      <c r="M78" s="301"/>
      <c r="N78" s="301"/>
      <c r="P78" s="139" t="s">
        <v>138</v>
      </c>
      <c r="Q78" s="140">
        <v>2</v>
      </c>
      <c r="R78" s="140">
        <v>0</v>
      </c>
      <c r="S78" s="121" t="s">
        <v>142</v>
      </c>
      <c r="V78" s="139" t="s">
        <v>138</v>
      </c>
      <c r="W78" s="140">
        <v>1</v>
      </c>
      <c r="X78" s="140">
        <v>1</v>
      </c>
      <c r="Y78" s="121" t="s">
        <v>142</v>
      </c>
    </row>
    <row r="79" spans="1:25" x14ac:dyDescent="0.3">
      <c r="A79" s="301">
        <v>23</v>
      </c>
      <c r="B79" s="301">
        <v>5783</v>
      </c>
      <c r="C79" s="298">
        <f>B79-B78</f>
        <v>2694</v>
      </c>
      <c r="D79" s="298"/>
      <c r="E79" s="301">
        <v>675</v>
      </c>
      <c r="F79" s="301">
        <v>120</v>
      </c>
      <c r="G79" s="300">
        <v>0.71534898264966362</v>
      </c>
      <c r="H79" s="300">
        <f t="shared" si="25"/>
        <v>5.1921709459655112</v>
      </c>
      <c r="I79" s="300">
        <f t="shared" si="10"/>
        <v>-40.495762411429013</v>
      </c>
      <c r="J79" s="301" t="s">
        <v>122</v>
      </c>
      <c r="K79" s="301">
        <f t="shared" si="21"/>
        <v>1</v>
      </c>
      <c r="L79" s="301"/>
      <c r="M79" s="301">
        <f t="shared" si="4"/>
        <v>0</v>
      </c>
      <c r="N79" s="301"/>
      <c r="P79" s="132" t="s">
        <v>140</v>
      </c>
      <c r="Q79" s="121" t="s">
        <v>143</v>
      </c>
      <c r="R79" s="121" t="s">
        <v>144</v>
      </c>
      <c r="V79" s="132" t="s">
        <v>140</v>
      </c>
      <c r="W79" s="121" t="s">
        <v>143</v>
      </c>
      <c r="X79" s="121" t="s">
        <v>144</v>
      </c>
    </row>
    <row r="80" spans="1:25" x14ac:dyDescent="0.3">
      <c r="A80" s="301">
        <v>24</v>
      </c>
      <c r="B80" s="301">
        <v>9089</v>
      </c>
      <c r="C80" s="298">
        <f>B80-B79</f>
        <v>3306</v>
      </c>
      <c r="D80" s="298"/>
      <c r="E80" s="301">
        <v>907</v>
      </c>
      <c r="F80" s="301">
        <v>187</v>
      </c>
      <c r="G80" s="300">
        <v>1.9667978665137058</v>
      </c>
      <c r="H80" s="300">
        <f t="shared" si="25"/>
        <v>92.639854976109135</v>
      </c>
      <c r="I80" s="300">
        <f t="shared" si="10"/>
        <v>87.44768403014362</v>
      </c>
      <c r="J80" s="301" t="s">
        <v>122</v>
      </c>
      <c r="K80" s="301">
        <f t="shared" si="21"/>
        <v>1</v>
      </c>
      <c r="L80" s="301"/>
      <c r="M80" s="301">
        <f t="shared" si="4"/>
        <v>1</v>
      </c>
      <c r="N80" s="301"/>
      <c r="P80" s="133" t="s">
        <v>130</v>
      </c>
      <c r="Q80" s="121" t="s">
        <v>145</v>
      </c>
      <c r="S80">
        <f>Q77/(R77+Q77)</f>
        <v>0</v>
      </c>
      <c r="V80" s="133" t="s">
        <v>130</v>
      </c>
      <c r="W80" s="121" t="s">
        <v>145</v>
      </c>
      <c r="Y80">
        <f>W77/(X77+W77)</f>
        <v>1</v>
      </c>
    </row>
    <row r="81" spans="1:25" x14ac:dyDescent="0.3">
      <c r="A81" s="301">
        <v>25</v>
      </c>
      <c r="B81" s="301">
        <v>12206</v>
      </c>
      <c r="C81" s="298">
        <f>B81-B80</f>
        <v>3117</v>
      </c>
      <c r="D81" s="298">
        <f>B81-B78</f>
        <v>9117</v>
      </c>
      <c r="E81" s="301">
        <v>1162</v>
      </c>
      <c r="F81" s="301">
        <v>266</v>
      </c>
      <c r="G81" s="300">
        <v>2.4734269416518102</v>
      </c>
      <c r="H81" s="300">
        <f t="shared" si="25"/>
        <v>297.4588822345342</v>
      </c>
      <c r="I81" s="300">
        <f t="shared" si="10"/>
        <v>204.81902725842508</v>
      </c>
      <c r="J81" s="301" t="s">
        <v>122</v>
      </c>
      <c r="K81" s="301">
        <f t="shared" si="21"/>
        <v>1</v>
      </c>
      <c r="L81" s="301">
        <f t="shared" si="7"/>
        <v>1</v>
      </c>
      <c r="M81" s="301">
        <f t="shared" si="4"/>
        <v>1</v>
      </c>
      <c r="N81" s="301"/>
      <c r="P81" s="133" t="s">
        <v>135</v>
      </c>
      <c r="Q81" s="121" t="s">
        <v>176</v>
      </c>
      <c r="S81">
        <f>R78/(Q78+R78)</f>
        <v>0</v>
      </c>
      <c r="V81" s="133" t="s">
        <v>135</v>
      </c>
      <c r="W81" s="121" t="s">
        <v>176</v>
      </c>
      <c r="Y81">
        <f>X78/(W78+X78)</f>
        <v>0.5</v>
      </c>
    </row>
    <row r="82" spans="1:25" x14ac:dyDescent="0.3">
      <c r="A82" s="301">
        <v>26</v>
      </c>
      <c r="B82" s="301">
        <v>14104</v>
      </c>
      <c r="C82" s="298">
        <f>B82-B81</f>
        <v>1898</v>
      </c>
      <c r="D82" s="298">
        <f>B82-B79</f>
        <v>8321</v>
      </c>
      <c r="E82" s="301">
        <v>1384</v>
      </c>
      <c r="F82" s="301">
        <v>361</v>
      </c>
      <c r="G82" s="300">
        <v>2.8343532636904545</v>
      </c>
      <c r="H82" s="300">
        <f t="shared" si="25"/>
        <v>682.89394767916906</v>
      </c>
      <c r="I82" s="300">
        <f t="shared" si="10"/>
        <v>385.43506544463486</v>
      </c>
      <c r="J82" s="301" t="s">
        <v>122</v>
      </c>
      <c r="K82" s="301">
        <f t="shared" si="21"/>
        <v>1</v>
      </c>
      <c r="L82" s="301">
        <f t="shared" si="7"/>
        <v>1</v>
      </c>
      <c r="M82" s="301">
        <f t="shared" ref="M82:M170" si="26">IF((I82&gt;0), 1,0)</f>
        <v>1</v>
      </c>
      <c r="N82" s="301">
        <f>SUM(M78,M79,M81,M82)/SUM(L78,L79,L81,L82)*100</f>
        <v>100</v>
      </c>
      <c r="P82" s="133" t="s">
        <v>146</v>
      </c>
      <c r="Q82" s="122" t="s">
        <v>147</v>
      </c>
      <c r="S82">
        <f>1-S81</f>
        <v>1</v>
      </c>
      <c r="V82" s="133" t="s">
        <v>146</v>
      </c>
      <c r="W82" s="122" t="s">
        <v>147</v>
      </c>
    </row>
    <row r="83" spans="1:25" x14ac:dyDescent="0.3">
      <c r="A83" s="301">
        <v>43</v>
      </c>
      <c r="B83" s="301">
        <v>44</v>
      </c>
      <c r="C83" s="298">
        <f t="shared" ref="C83:C87" si="27">B83-B82</f>
        <v>-14060</v>
      </c>
      <c r="D83" s="298">
        <f t="shared" ref="D83:D87" si="28">B83-B80</f>
        <v>-9045</v>
      </c>
      <c r="E83" s="301">
        <v>1384</v>
      </c>
      <c r="F83" s="301">
        <v>361</v>
      </c>
      <c r="G83" s="301">
        <v>0.42112932933429403</v>
      </c>
      <c r="H83" s="301">
        <f t="shared" si="25"/>
        <v>2.637116580593343</v>
      </c>
      <c r="I83" s="300">
        <f t="shared" si="10"/>
        <v>-680.25683109857573</v>
      </c>
      <c r="J83" s="301" t="s">
        <v>122</v>
      </c>
      <c r="K83" s="301">
        <f t="shared" si="21"/>
        <v>0</v>
      </c>
      <c r="L83" s="301">
        <f t="shared" si="7"/>
        <v>0</v>
      </c>
      <c r="M83" s="301">
        <f t="shared" si="26"/>
        <v>0</v>
      </c>
      <c r="N83" s="301"/>
      <c r="P83" s="133"/>
      <c r="Q83" s="122"/>
      <c r="V83" s="133"/>
      <c r="W83" s="122"/>
    </row>
    <row r="84" spans="1:25" x14ac:dyDescent="0.3">
      <c r="A84" s="301">
        <v>44</v>
      </c>
      <c r="B84" s="301">
        <v>35</v>
      </c>
      <c r="C84" s="298">
        <f t="shared" si="27"/>
        <v>-9</v>
      </c>
      <c r="D84" s="298">
        <f t="shared" si="28"/>
        <v>-12171</v>
      </c>
      <c r="E84" s="301">
        <v>1384</v>
      </c>
      <c r="F84" s="301">
        <v>361</v>
      </c>
      <c r="G84" s="301">
        <v>0</v>
      </c>
      <c r="H84" s="301">
        <f t="shared" ref="H84:H87" si="29">10^G84</f>
        <v>1</v>
      </c>
      <c r="I84" s="300">
        <f t="shared" si="10"/>
        <v>-1.637116580593343</v>
      </c>
      <c r="J84" s="301" t="s">
        <v>122</v>
      </c>
      <c r="K84" s="301">
        <f t="shared" si="21"/>
        <v>0</v>
      </c>
      <c r="L84" s="301">
        <f t="shared" si="7"/>
        <v>0</v>
      </c>
      <c r="M84" s="301">
        <f t="shared" si="26"/>
        <v>0</v>
      </c>
      <c r="N84" s="301"/>
      <c r="P84" s="133"/>
      <c r="Q84" s="122"/>
      <c r="V84" s="133"/>
      <c r="W84" s="122"/>
    </row>
    <row r="85" spans="1:25" x14ac:dyDescent="0.3">
      <c r="A85" s="301">
        <v>45</v>
      </c>
      <c r="B85" s="301">
        <v>56</v>
      </c>
      <c r="C85" s="298">
        <f t="shared" si="27"/>
        <v>21</v>
      </c>
      <c r="D85" s="298">
        <f t="shared" si="28"/>
        <v>-14048</v>
      </c>
      <c r="E85" s="301">
        <v>1384</v>
      </c>
      <c r="F85" s="301">
        <v>361</v>
      </c>
      <c r="G85" s="301">
        <v>0.83572419145589971</v>
      </c>
      <c r="H85" s="301">
        <f t="shared" si="29"/>
        <v>6.8505302983887351</v>
      </c>
      <c r="I85" s="300">
        <f t="shared" si="10"/>
        <v>5.8505302983887351</v>
      </c>
      <c r="J85" s="301" t="s">
        <v>122</v>
      </c>
      <c r="K85" s="301">
        <f t="shared" si="21"/>
        <v>1</v>
      </c>
      <c r="L85" s="301">
        <f t="shared" si="7"/>
        <v>0</v>
      </c>
      <c r="M85" s="301">
        <f t="shared" si="26"/>
        <v>1</v>
      </c>
      <c r="N85" s="301"/>
      <c r="P85" s="133"/>
      <c r="Q85" s="122"/>
      <c r="V85" s="133"/>
      <c r="W85" s="122"/>
    </row>
    <row r="86" spans="1:25" x14ac:dyDescent="0.3">
      <c r="A86" s="301">
        <v>46</v>
      </c>
      <c r="B86" s="301">
        <v>151</v>
      </c>
      <c r="C86" s="298">
        <f t="shared" si="27"/>
        <v>95</v>
      </c>
      <c r="D86" s="298">
        <f t="shared" si="28"/>
        <v>107</v>
      </c>
      <c r="E86" s="301">
        <v>1384</v>
      </c>
      <c r="F86" s="301">
        <v>361</v>
      </c>
      <c r="G86" s="301">
        <v>2.146517200717212</v>
      </c>
      <c r="H86" s="301">
        <f t="shared" si="29"/>
        <v>140.1255082110971</v>
      </c>
      <c r="I86" s="300">
        <f t="shared" si="10"/>
        <v>133.27497791270835</v>
      </c>
      <c r="J86" s="301" t="s">
        <v>122</v>
      </c>
      <c r="K86" s="301">
        <f t="shared" si="21"/>
        <v>1</v>
      </c>
      <c r="L86" s="301">
        <f t="shared" si="7"/>
        <v>1</v>
      </c>
      <c r="M86" s="301">
        <f t="shared" si="26"/>
        <v>1</v>
      </c>
      <c r="N86" s="301"/>
      <c r="P86" s="133"/>
      <c r="Q86" s="122"/>
      <c r="V86" s="133"/>
      <c r="W86" s="122"/>
    </row>
    <row r="87" spans="1:25" x14ac:dyDescent="0.3">
      <c r="A87" s="301">
        <v>47</v>
      </c>
      <c r="B87" s="301">
        <v>403</v>
      </c>
      <c r="C87" s="298">
        <f t="shared" si="27"/>
        <v>252</v>
      </c>
      <c r="D87" s="298">
        <f t="shared" si="28"/>
        <v>368</v>
      </c>
      <c r="E87" s="301">
        <v>1384</v>
      </c>
      <c r="F87" s="301">
        <v>361</v>
      </c>
      <c r="G87" s="301">
        <v>2.6985742780506503</v>
      </c>
      <c r="H87" s="301">
        <f t="shared" si="29"/>
        <v>499.54461078254599</v>
      </c>
      <c r="I87" s="300">
        <f t="shared" si="10"/>
        <v>359.41910257144889</v>
      </c>
      <c r="J87" s="301" t="s">
        <v>122</v>
      </c>
      <c r="K87" s="301">
        <f t="shared" si="21"/>
        <v>1</v>
      </c>
      <c r="L87" s="301">
        <f t="shared" si="7"/>
        <v>1</v>
      </c>
      <c r="M87" s="301">
        <f t="shared" si="26"/>
        <v>1</v>
      </c>
      <c r="N87" s="301"/>
      <c r="P87" s="133"/>
      <c r="Q87" s="122"/>
      <c r="V87" s="133"/>
      <c r="W87" s="122"/>
    </row>
    <row r="88" spans="1:25" x14ac:dyDescent="0.3">
      <c r="C88" s="23"/>
      <c r="D88" s="23"/>
      <c r="I88" s="98"/>
      <c r="K88" s="97"/>
    </row>
    <row r="89" spans="1:25" x14ac:dyDescent="0.3">
      <c r="A89" s="171">
        <v>8</v>
      </c>
      <c r="B89" s="172">
        <v>375</v>
      </c>
      <c r="C89" s="173"/>
      <c r="D89" s="173"/>
      <c r="E89" s="172">
        <v>146</v>
      </c>
      <c r="F89" s="172">
        <v>51</v>
      </c>
      <c r="G89" s="174">
        <f xml:space="preserve"> LOG(16.4138504437038)</f>
        <v>1.2152104719914509</v>
      </c>
      <c r="H89" s="175">
        <f t="shared" ref="H89:H102" si="30">10^G89</f>
        <v>16.413850443703804</v>
      </c>
      <c r="I89" s="175"/>
      <c r="J89" s="176" t="s">
        <v>121</v>
      </c>
      <c r="K89" s="176"/>
      <c r="L89" s="176"/>
      <c r="M89" s="176"/>
      <c r="N89" s="176"/>
      <c r="P89" s="190" t="s">
        <v>198</v>
      </c>
      <c r="Q89" s="191"/>
    </row>
    <row r="90" spans="1:25" x14ac:dyDescent="0.3">
      <c r="A90" s="171">
        <v>17</v>
      </c>
      <c r="B90" s="172">
        <v>152</v>
      </c>
      <c r="C90" s="173">
        <f t="shared" ref="C90:C106" si="31">B90-B89</f>
        <v>-223</v>
      </c>
      <c r="D90" s="173"/>
      <c r="E90" s="172">
        <v>42</v>
      </c>
      <c r="F90" s="172">
        <v>9</v>
      </c>
      <c r="G90" s="177">
        <f xml:space="preserve"> LOG(3.52659517404984)</f>
        <v>0.54735560886881451</v>
      </c>
      <c r="H90" s="175">
        <f t="shared" si="30"/>
        <v>3.5265951740498407</v>
      </c>
      <c r="I90" s="175">
        <f t="shared" si="10"/>
        <v>-12.887255269653963</v>
      </c>
      <c r="J90" s="176" t="s">
        <v>121</v>
      </c>
      <c r="K90" s="176">
        <f t="shared" si="21"/>
        <v>0</v>
      </c>
      <c r="L90" s="176"/>
      <c r="M90" s="176">
        <f t="shared" si="26"/>
        <v>0</v>
      </c>
      <c r="N90" s="176"/>
      <c r="P90" s="189" t="s">
        <v>139</v>
      </c>
      <c r="Q90" s="156" t="s">
        <v>186</v>
      </c>
      <c r="R90" s="156"/>
    </row>
    <row r="91" spans="1:25" x14ac:dyDescent="0.3">
      <c r="A91" s="171">
        <v>18</v>
      </c>
      <c r="B91" s="172">
        <v>216</v>
      </c>
      <c r="C91" s="173">
        <f t="shared" si="31"/>
        <v>64</v>
      </c>
      <c r="D91" s="173"/>
      <c r="E91" s="172">
        <v>56</v>
      </c>
      <c r="F91" s="172">
        <v>7</v>
      </c>
      <c r="G91" s="177">
        <f xml:space="preserve"> LOG(0.639501807032799)</f>
        <v>-0.19415822400274016</v>
      </c>
      <c r="H91" s="175">
        <f t="shared" si="30"/>
        <v>0.63950180703279902</v>
      </c>
      <c r="I91" s="175">
        <f t="shared" si="10"/>
        <v>-2.8870933670170418</v>
      </c>
      <c r="J91" s="176" t="s">
        <v>121</v>
      </c>
      <c r="K91" s="176">
        <f t="shared" si="21"/>
        <v>1</v>
      </c>
      <c r="L91" s="176"/>
      <c r="M91" s="176">
        <f t="shared" si="26"/>
        <v>0</v>
      </c>
      <c r="N91" s="176"/>
      <c r="P91" s="155"/>
      <c r="Q91" s="120" t="s">
        <v>137</v>
      </c>
      <c r="R91" s="137" t="s">
        <v>138</v>
      </c>
      <c r="S91" s="120" t="s">
        <v>140</v>
      </c>
    </row>
    <row r="92" spans="1:25" x14ac:dyDescent="0.3">
      <c r="A92" s="171">
        <v>21</v>
      </c>
      <c r="B92" s="172">
        <v>351</v>
      </c>
      <c r="C92" s="173">
        <f t="shared" si="31"/>
        <v>135</v>
      </c>
      <c r="D92" s="173">
        <f t="shared" ref="D92:D106" si="32">B92-B89</f>
        <v>-24</v>
      </c>
      <c r="E92" s="172">
        <v>90</v>
      </c>
      <c r="F92" s="172">
        <v>9</v>
      </c>
      <c r="G92" s="177">
        <f xml:space="preserve"> LOG(1.14414795320861)</f>
        <v>5.8482188012407205E-2</v>
      </c>
      <c r="H92" s="175">
        <f t="shared" si="30"/>
        <v>1.1441479532086101</v>
      </c>
      <c r="I92" s="175">
        <f t="shared" si="10"/>
        <v>0.50464614617581105</v>
      </c>
      <c r="J92" s="176" t="s">
        <v>121</v>
      </c>
      <c r="K92" s="176">
        <f t="shared" si="21"/>
        <v>1</v>
      </c>
      <c r="L92" s="176">
        <f t="shared" si="7"/>
        <v>0</v>
      </c>
      <c r="M92" s="176">
        <f t="shared" si="26"/>
        <v>1</v>
      </c>
      <c r="N92" s="176"/>
      <c r="P92" s="135" t="s">
        <v>137</v>
      </c>
      <c r="Q92" s="136">
        <v>8</v>
      </c>
      <c r="R92" s="138">
        <v>1</v>
      </c>
      <c r="S92" s="121" t="s">
        <v>141</v>
      </c>
    </row>
    <row r="93" spans="1:25" x14ac:dyDescent="0.3">
      <c r="A93" s="171">
        <v>22</v>
      </c>
      <c r="B93" s="172">
        <v>426</v>
      </c>
      <c r="C93" s="173">
        <f t="shared" si="31"/>
        <v>75</v>
      </c>
      <c r="D93" s="173">
        <f t="shared" si="32"/>
        <v>274</v>
      </c>
      <c r="E93" s="172">
        <v>86</v>
      </c>
      <c r="F93" s="172">
        <v>23</v>
      </c>
      <c r="G93" s="177">
        <f xml:space="preserve"> LOG(4.7806264186392)</f>
        <v>0.67948480714221227</v>
      </c>
      <c r="H93" s="175">
        <f t="shared" si="30"/>
        <v>4.7806264186391996</v>
      </c>
      <c r="I93" s="175">
        <f t="shared" si="10"/>
        <v>3.6364784654305895</v>
      </c>
      <c r="J93" s="176" t="s">
        <v>121</v>
      </c>
      <c r="K93" s="176">
        <f t="shared" si="21"/>
        <v>1</v>
      </c>
      <c r="L93" s="176">
        <f t="shared" si="7"/>
        <v>1</v>
      </c>
      <c r="M93" s="176">
        <f t="shared" si="26"/>
        <v>1</v>
      </c>
      <c r="N93" s="176"/>
      <c r="P93" s="139" t="s">
        <v>138</v>
      </c>
      <c r="Q93" s="140">
        <v>2</v>
      </c>
      <c r="R93" s="140">
        <v>3</v>
      </c>
      <c r="S93" s="121" t="s">
        <v>142</v>
      </c>
    </row>
    <row r="94" spans="1:25" x14ac:dyDescent="0.3">
      <c r="A94" s="171">
        <v>23</v>
      </c>
      <c r="B94" s="172">
        <v>1028</v>
      </c>
      <c r="C94" s="173">
        <f t="shared" si="31"/>
        <v>602</v>
      </c>
      <c r="D94" s="173">
        <f t="shared" si="32"/>
        <v>812</v>
      </c>
      <c r="E94" s="172">
        <v>154</v>
      </c>
      <c r="F94" s="172">
        <v>23</v>
      </c>
      <c r="G94" s="177">
        <f xml:space="preserve"> LOG(5.15256061845896)</f>
        <v>0.71202310983647443</v>
      </c>
      <c r="H94" s="175">
        <f t="shared" si="30"/>
        <v>5.1525606184589599</v>
      </c>
      <c r="I94" s="175">
        <f t="shared" si="10"/>
        <v>0.37193419981976028</v>
      </c>
      <c r="J94" s="176" t="s">
        <v>121</v>
      </c>
      <c r="K94" s="176">
        <f t="shared" si="21"/>
        <v>1</v>
      </c>
      <c r="L94" s="176">
        <f t="shared" si="7"/>
        <v>1</v>
      </c>
      <c r="M94" s="176">
        <f t="shared" si="26"/>
        <v>1</v>
      </c>
      <c r="N94" s="176"/>
      <c r="P94" s="132" t="s">
        <v>140</v>
      </c>
      <c r="Q94" s="121" t="s">
        <v>143</v>
      </c>
      <c r="R94" s="121" t="s">
        <v>144</v>
      </c>
    </row>
    <row r="95" spans="1:25" x14ac:dyDescent="0.3">
      <c r="A95" s="171">
        <v>24</v>
      </c>
      <c r="B95" s="172">
        <v>1333</v>
      </c>
      <c r="C95" s="173">
        <f t="shared" si="31"/>
        <v>305</v>
      </c>
      <c r="D95" s="173">
        <f t="shared" si="32"/>
        <v>982</v>
      </c>
      <c r="E95" s="172">
        <v>167</v>
      </c>
      <c r="F95" s="172">
        <v>18</v>
      </c>
      <c r="G95" s="177">
        <f xml:space="preserve"> LOG(8.26067158154079)</f>
        <v>0.91701535631566533</v>
      </c>
      <c r="H95" s="175">
        <f t="shared" si="30"/>
        <v>8.2606715815407927</v>
      </c>
      <c r="I95" s="175">
        <f t="shared" si="10"/>
        <v>3.1081109630818329</v>
      </c>
      <c r="J95" s="176" t="s">
        <v>121</v>
      </c>
      <c r="K95" s="176">
        <f t="shared" si="21"/>
        <v>1</v>
      </c>
      <c r="L95" s="176">
        <f t="shared" si="7"/>
        <v>1</v>
      </c>
      <c r="M95" s="176">
        <f t="shared" si="26"/>
        <v>1</v>
      </c>
      <c r="N95" s="176"/>
      <c r="P95" s="133" t="s">
        <v>130</v>
      </c>
      <c r="Q95" s="121" t="s">
        <v>145</v>
      </c>
      <c r="S95">
        <f>Q92/(R92+Q92)</f>
        <v>0.88888888888888884</v>
      </c>
    </row>
    <row r="96" spans="1:25" x14ac:dyDescent="0.3">
      <c r="A96" s="171">
        <v>25</v>
      </c>
      <c r="B96" s="172">
        <v>1724</v>
      </c>
      <c r="C96" s="173">
        <f t="shared" si="31"/>
        <v>391</v>
      </c>
      <c r="D96" s="173">
        <f t="shared" si="32"/>
        <v>1298</v>
      </c>
      <c r="E96" s="172">
        <v>265</v>
      </c>
      <c r="F96" s="172">
        <v>26</v>
      </c>
      <c r="G96" s="177">
        <f xml:space="preserve"> LOG(18.9623187999336)</f>
        <v>1.2778914437847697</v>
      </c>
      <c r="H96" s="175">
        <f t="shared" si="30"/>
        <v>18.962318799933605</v>
      </c>
      <c r="I96" s="175">
        <f t="shared" si="10"/>
        <v>10.701647218392813</v>
      </c>
      <c r="J96" s="176" t="s">
        <v>121</v>
      </c>
      <c r="K96" s="176">
        <f t="shared" si="21"/>
        <v>1</v>
      </c>
      <c r="L96" s="176">
        <f t="shared" si="7"/>
        <v>1</v>
      </c>
      <c r="M96" s="176">
        <f t="shared" si="26"/>
        <v>1</v>
      </c>
      <c r="N96" s="176"/>
      <c r="P96" s="133" t="s">
        <v>135</v>
      </c>
      <c r="Q96" s="121" t="s">
        <v>176</v>
      </c>
      <c r="S96">
        <f>R93/(Q93+R93)</f>
        <v>0.6</v>
      </c>
    </row>
    <row r="97" spans="1:19" x14ac:dyDescent="0.3">
      <c r="A97" s="171">
        <v>26</v>
      </c>
      <c r="B97" s="178">
        <v>2717</v>
      </c>
      <c r="C97" s="173">
        <f t="shared" si="31"/>
        <v>993</v>
      </c>
      <c r="D97" s="173">
        <f t="shared" si="32"/>
        <v>1689</v>
      </c>
      <c r="E97" s="178">
        <v>343</v>
      </c>
      <c r="F97" s="178">
        <v>39</v>
      </c>
      <c r="G97" s="177">
        <f xml:space="preserve"> LOG(30.650866274931)</f>
        <v>1.4864427533440203</v>
      </c>
      <c r="H97" s="175">
        <f t="shared" si="30"/>
        <v>30.650866274931008</v>
      </c>
      <c r="I97" s="175">
        <f t="shared" si="10"/>
        <v>11.688547474997403</v>
      </c>
      <c r="J97" s="176" t="s">
        <v>121</v>
      </c>
      <c r="K97" s="176">
        <f t="shared" si="21"/>
        <v>1</v>
      </c>
      <c r="L97" s="176">
        <f t="shared" si="7"/>
        <v>1</v>
      </c>
      <c r="M97" s="176">
        <f t="shared" si="26"/>
        <v>1</v>
      </c>
      <c r="N97" s="176"/>
      <c r="P97" s="133" t="s">
        <v>146</v>
      </c>
      <c r="Q97" s="122" t="s">
        <v>147</v>
      </c>
      <c r="S97">
        <f>1-S96</f>
        <v>0.4</v>
      </c>
    </row>
    <row r="98" spans="1:19" x14ac:dyDescent="0.3">
      <c r="A98" s="171">
        <v>27</v>
      </c>
      <c r="B98" s="178">
        <v>3087</v>
      </c>
      <c r="C98" s="173">
        <f t="shared" si="31"/>
        <v>370</v>
      </c>
      <c r="D98" s="173">
        <f t="shared" si="32"/>
        <v>1754</v>
      </c>
      <c r="E98" s="178">
        <v>482</v>
      </c>
      <c r="F98" s="178">
        <v>51</v>
      </c>
      <c r="G98" s="174">
        <f xml:space="preserve"> LOG(182.538713727679)</f>
        <v>2.2613549859172566</v>
      </c>
      <c r="H98" s="175">
        <f t="shared" si="30"/>
        <v>182.53871372767907</v>
      </c>
      <c r="I98" s="175">
        <f t="shared" si="10"/>
        <v>151.88784745274805</v>
      </c>
      <c r="J98" s="176" t="s">
        <v>121</v>
      </c>
      <c r="K98" s="176">
        <f t="shared" si="21"/>
        <v>1</v>
      </c>
      <c r="L98" s="176">
        <f t="shared" ref="L98:L192" si="33">IF((D98&gt;0),1,0)</f>
        <v>1</v>
      </c>
      <c r="M98" s="176">
        <f t="shared" si="26"/>
        <v>1</v>
      </c>
      <c r="N98" s="176"/>
    </row>
    <row r="99" spans="1:19" x14ac:dyDescent="0.3">
      <c r="A99" s="171">
        <v>30</v>
      </c>
      <c r="B99" s="179">
        <v>4352</v>
      </c>
      <c r="C99" s="173">
        <f t="shared" si="31"/>
        <v>1265</v>
      </c>
      <c r="D99" s="173">
        <f t="shared" si="32"/>
        <v>2628</v>
      </c>
      <c r="E99" s="179">
        <v>584</v>
      </c>
      <c r="F99" s="179">
        <v>106</v>
      </c>
      <c r="G99" s="174">
        <v>1.9419212872686464</v>
      </c>
      <c r="H99" s="175">
        <f t="shared" si="30"/>
        <v>87.482520512172172</v>
      </c>
      <c r="I99" s="175">
        <f t="shared" si="10"/>
        <v>-95.056193215506894</v>
      </c>
      <c r="J99" s="176" t="s">
        <v>121</v>
      </c>
      <c r="K99" s="176">
        <f t="shared" si="21"/>
        <v>1</v>
      </c>
      <c r="L99" s="176">
        <f t="shared" si="33"/>
        <v>1</v>
      </c>
      <c r="M99" s="176">
        <f t="shared" si="26"/>
        <v>0</v>
      </c>
      <c r="N99" s="176"/>
    </row>
    <row r="100" spans="1:19" x14ac:dyDescent="0.3">
      <c r="A100" s="171">
        <v>31</v>
      </c>
      <c r="B100" s="179">
        <v>6310</v>
      </c>
      <c r="C100" s="173">
        <f t="shared" si="31"/>
        <v>1958</v>
      </c>
      <c r="D100" s="173">
        <f t="shared" si="32"/>
        <v>3593</v>
      </c>
      <c r="E100" s="179">
        <v>739</v>
      </c>
      <c r="F100" s="179">
        <v>149</v>
      </c>
      <c r="G100" s="174">
        <v>2.1257851094317481</v>
      </c>
      <c r="H100" s="175">
        <f t="shared" si="30"/>
        <v>133.59343275731925</v>
      </c>
      <c r="I100" s="175">
        <f t="shared" si="10"/>
        <v>46.110912245147077</v>
      </c>
      <c r="J100" s="176" t="s">
        <v>121</v>
      </c>
      <c r="K100" s="176">
        <f t="shared" si="21"/>
        <v>1</v>
      </c>
      <c r="L100" s="176">
        <f t="shared" si="33"/>
        <v>1</v>
      </c>
      <c r="M100" s="176">
        <f t="shared" si="26"/>
        <v>1</v>
      </c>
      <c r="N100" s="176"/>
    </row>
    <row r="101" spans="1:19" x14ac:dyDescent="0.3">
      <c r="A101" s="171">
        <v>32</v>
      </c>
      <c r="B101" s="179">
        <v>7241</v>
      </c>
      <c r="C101" s="173">
        <f t="shared" si="31"/>
        <v>931</v>
      </c>
      <c r="D101" s="173">
        <f t="shared" si="32"/>
        <v>4154</v>
      </c>
      <c r="E101" s="179">
        <v>883</v>
      </c>
      <c r="F101" s="179">
        <v>157</v>
      </c>
      <c r="G101" s="174">
        <v>2.2481734719818856</v>
      </c>
      <c r="H101" s="175">
        <f t="shared" si="30"/>
        <v>177.08161412453174</v>
      </c>
      <c r="I101" s="175">
        <f t="shared" si="10"/>
        <v>43.488181367212491</v>
      </c>
      <c r="J101" s="176" t="s">
        <v>121</v>
      </c>
      <c r="K101" s="176">
        <f t="shared" si="21"/>
        <v>1</v>
      </c>
      <c r="L101" s="176">
        <f t="shared" si="33"/>
        <v>1</v>
      </c>
      <c r="M101" s="176">
        <f t="shared" si="26"/>
        <v>1</v>
      </c>
      <c r="N101" s="176"/>
    </row>
    <row r="102" spans="1:19" x14ac:dyDescent="0.3">
      <c r="A102" s="171">
        <v>33</v>
      </c>
      <c r="B102" s="179">
        <v>9003</v>
      </c>
      <c r="C102" s="173">
        <f t="shared" si="31"/>
        <v>1762</v>
      </c>
      <c r="D102" s="173">
        <f t="shared" si="32"/>
        <v>4651</v>
      </c>
      <c r="E102" s="179">
        <v>971</v>
      </c>
      <c r="F102" s="179">
        <v>187</v>
      </c>
      <c r="G102" s="174">
        <v>2.2513966049095324</v>
      </c>
      <c r="H102" s="175">
        <f t="shared" si="30"/>
        <v>178.40072086879195</v>
      </c>
      <c r="I102" s="175">
        <f t="shared" ref="I102:I196" si="34">H102-H101</f>
        <v>1.3191067442602105</v>
      </c>
      <c r="J102" s="176" t="s">
        <v>121</v>
      </c>
      <c r="K102" s="176">
        <f t="shared" si="21"/>
        <v>1</v>
      </c>
      <c r="L102" s="176">
        <f t="shared" si="33"/>
        <v>1</v>
      </c>
      <c r="M102" s="176">
        <f t="shared" si="26"/>
        <v>1</v>
      </c>
      <c r="N102" s="176">
        <f>SUM(M93:M102)/SUM(L93:L102)*100</f>
        <v>90</v>
      </c>
    </row>
    <row r="103" spans="1:19" x14ac:dyDescent="0.3">
      <c r="A103" s="171">
        <v>43</v>
      </c>
      <c r="B103" s="179">
        <v>112</v>
      </c>
      <c r="C103" s="173">
        <f t="shared" si="31"/>
        <v>-8891</v>
      </c>
      <c r="D103" s="173">
        <f t="shared" si="32"/>
        <v>-6198</v>
      </c>
      <c r="E103" s="179"/>
      <c r="F103" s="179"/>
      <c r="G103" s="174">
        <v>1.6196349789796238</v>
      </c>
      <c r="H103" s="175">
        <f>10^G103</f>
        <v>41.651915530769202</v>
      </c>
      <c r="I103" s="175">
        <f t="shared" si="34"/>
        <v>-136.74880533802275</v>
      </c>
      <c r="J103" s="176" t="s">
        <v>121</v>
      </c>
      <c r="K103" s="176">
        <f t="shared" si="21"/>
        <v>0</v>
      </c>
      <c r="L103" s="176">
        <f t="shared" si="33"/>
        <v>0</v>
      </c>
      <c r="M103" s="176">
        <f t="shared" si="26"/>
        <v>0</v>
      </c>
      <c r="N103" s="176"/>
    </row>
    <row r="104" spans="1:19" x14ac:dyDescent="0.3">
      <c r="A104" s="171">
        <v>44</v>
      </c>
      <c r="B104" s="179">
        <v>108</v>
      </c>
      <c r="C104" s="173">
        <f t="shared" si="31"/>
        <v>-4</v>
      </c>
      <c r="D104" s="173">
        <f t="shared" si="32"/>
        <v>-7133</v>
      </c>
      <c r="E104" s="179"/>
      <c r="F104" s="179"/>
      <c r="G104" s="174">
        <v>0.59513578309140058</v>
      </c>
      <c r="H104" s="175">
        <f t="shared" ref="H104:H106" si="35">10^G104</f>
        <v>3.9367313895906726</v>
      </c>
      <c r="I104" s="175">
        <f t="shared" si="34"/>
        <v>-37.715184141178526</v>
      </c>
      <c r="J104" s="176" t="s">
        <v>121</v>
      </c>
      <c r="K104" s="176">
        <f t="shared" si="21"/>
        <v>0</v>
      </c>
      <c r="L104" s="176">
        <f t="shared" si="33"/>
        <v>0</v>
      </c>
      <c r="M104" s="176">
        <f t="shared" si="26"/>
        <v>0</v>
      </c>
      <c r="N104" s="176"/>
    </row>
    <row r="105" spans="1:19" x14ac:dyDescent="0.3">
      <c r="A105" s="171">
        <v>45</v>
      </c>
      <c r="B105" s="179">
        <v>72</v>
      </c>
      <c r="C105" s="173">
        <f t="shared" si="31"/>
        <v>-36</v>
      </c>
      <c r="D105" s="173">
        <f t="shared" si="32"/>
        <v>-8931</v>
      </c>
      <c r="E105" s="179"/>
      <c r="F105" s="179"/>
      <c r="G105" s="174">
        <v>0.51249360551956624</v>
      </c>
      <c r="H105" s="175">
        <f t="shared" si="35"/>
        <v>3.2545699148761984</v>
      </c>
      <c r="I105" s="175">
        <f t="shared" si="34"/>
        <v>-0.68216147471447419</v>
      </c>
      <c r="J105" s="176" t="s">
        <v>121</v>
      </c>
      <c r="K105" s="176">
        <f t="shared" si="21"/>
        <v>0</v>
      </c>
      <c r="L105" s="176">
        <f t="shared" si="33"/>
        <v>0</v>
      </c>
      <c r="M105" s="176">
        <f t="shared" si="26"/>
        <v>0</v>
      </c>
      <c r="N105" s="176"/>
    </row>
    <row r="106" spans="1:19" x14ac:dyDescent="0.3">
      <c r="A106" s="171">
        <v>46</v>
      </c>
      <c r="B106" s="179">
        <v>79</v>
      </c>
      <c r="C106" s="173">
        <f t="shared" si="31"/>
        <v>7</v>
      </c>
      <c r="D106" s="173">
        <f t="shared" si="32"/>
        <v>-33</v>
      </c>
      <c r="E106" s="179"/>
      <c r="F106" s="179"/>
      <c r="G106" s="174">
        <v>0.88989452598817198</v>
      </c>
      <c r="H106" s="175">
        <f t="shared" si="35"/>
        <v>7.7605861790326198</v>
      </c>
      <c r="I106" s="175">
        <f t="shared" si="34"/>
        <v>4.5060162641564219</v>
      </c>
      <c r="J106" s="176" t="s">
        <v>121</v>
      </c>
      <c r="K106" s="176">
        <f t="shared" si="21"/>
        <v>1</v>
      </c>
      <c r="L106" s="176">
        <f t="shared" si="33"/>
        <v>0</v>
      </c>
      <c r="M106" s="176">
        <f t="shared" si="26"/>
        <v>1</v>
      </c>
      <c r="N106" s="176"/>
    </row>
    <row r="107" spans="1:19" x14ac:dyDescent="0.3">
      <c r="A107" s="26"/>
      <c r="B107" s="99"/>
      <c r="C107" s="23"/>
      <c r="D107" s="23"/>
      <c r="E107" s="99"/>
      <c r="F107" s="99"/>
      <c r="G107" s="93"/>
      <c r="H107" s="98"/>
      <c r="I107" s="98"/>
      <c r="J107" s="97"/>
      <c r="K107" s="97"/>
    </row>
    <row r="108" spans="1:19" x14ac:dyDescent="0.3">
      <c r="A108" s="26"/>
      <c r="B108" s="99"/>
      <c r="C108" s="23"/>
      <c r="D108" s="23"/>
      <c r="E108" s="99"/>
      <c r="F108" s="99"/>
      <c r="G108" s="93"/>
      <c r="H108" s="98"/>
      <c r="I108" s="98"/>
      <c r="J108" s="97"/>
      <c r="K108" s="97"/>
      <c r="P108" s="416" t="s">
        <v>199</v>
      </c>
      <c r="Q108" s="417"/>
      <c r="R108" s="417"/>
    </row>
    <row r="109" spans="1:19" x14ac:dyDescent="0.3">
      <c r="A109" s="180">
        <v>8</v>
      </c>
      <c r="B109" s="181">
        <v>375</v>
      </c>
      <c r="C109" s="182"/>
      <c r="D109" s="182"/>
      <c r="E109" s="181">
        <v>146</v>
      </c>
      <c r="F109" s="181">
        <v>51</v>
      </c>
      <c r="G109" s="183">
        <f xml:space="preserve"> LOG(0.353152274477239)</f>
        <v>-0.45203799233017711</v>
      </c>
      <c r="H109" s="184">
        <f t="shared" ref="H109:H126" si="36">10^G109</f>
        <v>0.35315227447723901</v>
      </c>
      <c r="I109" s="184"/>
      <c r="J109" s="185" t="s">
        <v>120</v>
      </c>
      <c r="K109" s="185"/>
      <c r="L109" s="185"/>
      <c r="M109" s="185"/>
      <c r="N109" s="185"/>
      <c r="P109" s="401" t="s">
        <v>139</v>
      </c>
      <c r="Q109" s="402" t="s">
        <v>186</v>
      </c>
      <c r="R109" s="402"/>
    </row>
    <row r="110" spans="1:19" x14ac:dyDescent="0.3">
      <c r="A110" s="180">
        <v>17</v>
      </c>
      <c r="B110" s="181">
        <v>152</v>
      </c>
      <c r="C110" s="182">
        <f t="shared" ref="C110:C126" si="37">B110-B109</f>
        <v>-223</v>
      </c>
      <c r="D110" s="182"/>
      <c r="E110" s="181">
        <v>42</v>
      </c>
      <c r="F110" s="181">
        <v>9</v>
      </c>
      <c r="G110" s="186">
        <f xml:space="preserve"> LOG(0.84037250097917)</f>
        <v>-7.5528167199448465E-2</v>
      </c>
      <c r="H110" s="184">
        <f t="shared" si="36"/>
        <v>0.84037250097917005</v>
      </c>
      <c r="I110" s="184">
        <f t="shared" si="34"/>
        <v>0.48722022650193103</v>
      </c>
      <c r="J110" s="185" t="s">
        <v>120</v>
      </c>
      <c r="K110" s="185">
        <f t="shared" si="21"/>
        <v>0</v>
      </c>
      <c r="L110" s="185"/>
      <c r="M110" s="185">
        <f t="shared" si="26"/>
        <v>1</v>
      </c>
      <c r="N110" s="185"/>
      <c r="P110" s="401"/>
      <c r="Q110" s="120" t="s">
        <v>137</v>
      </c>
      <c r="R110" s="137" t="s">
        <v>138</v>
      </c>
      <c r="S110" s="120" t="s">
        <v>140</v>
      </c>
    </row>
    <row r="111" spans="1:19" x14ac:dyDescent="0.3">
      <c r="A111" s="180">
        <v>21</v>
      </c>
      <c r="B111" s="181">
        <v>351</v>
      </c>
      <c r="C111" s="182">
        <f t="shared" si="37"/>
        <v>199</v>
      </c>
      <c r="D111" s="182"/>
      <c r="E111" s="181">
        <v>90</v>
      </c>
      <c r="F111" s="181">
        <v>9</v>
      </c>
      <c r="G111" s="186">
        <f xml:space="preserve"> LOG(22.7578635118446)</f>
        <v>1.3571314884537562</v>
      </c>
      <c r="H111" s="184">
        <f t="shared" si="36"/>
        <v>22.757863511844604</v>
      </c>
      <c r="I111" s="184">
        <f t="shared" si="34"/>
        <v>21.917491010865433</v>
      </c>
      <c r="J111" s="185" t="s">
        <v>120</v>
      </c>
      <c r="K111" s="185">
        <f t="shared" si="21"/>
        <v>1</v>
      </c>
      <c r="L111" s="185"/>
      <c r="M111" s="185">
        <f t="shared" si="26"/>
        <v>1</v>
      </c>
      <c r="N111" s="185"/>
      <c r="P111" s="135" t="s">
        <v>137</v>
      </c>
      <c r="Q111" s="136">
        <v>6</v>
      </c>
      <c r="R111" s="138">
        <v>4</v>
      </c>
      <c r="S111" s="121" t="s">
        <v>141</v>
      </c>
    </row>
    <row r="112" spans="1:19" x14ac:dyDescent="0.3">
      <c r="A112" s="180">
        <v>22</v>
      </c>
      <c r="B112" s="181">
        <v>426</v>
      </c>
      <c r="C112" s="182">
        <f t="shared" si="37"/>
        <v>75</v>
      </c>
      <c r="D112" s="182">
        <f t="shared" ref="D112:D126" si="38">B112-B109</f>
        <v>51</v>
      </c>
      <c r="E112" s="181">
        <v>86</v>
      </c>
      <c r="F112" s="181">
        <v>23</v>
      </c>
      <c r="G112" s="186">
        <f xml:space="preserve"> LOG(17.8850633757455)</f>
        <v>1.2524904834107804</v>
      </c>
      <c r="H112" s="184">
        <f t="shared" si="36"/>
        <v>17.885063375745503</v>
      </c>
      <c r="I112" s="184">
        <f t="shared" si="34"/>
        <v>-4.8728001360991016</v>
      </c>
      <c r="J112" s="185" t="s">
        <v>120</v>
      </c>
      <c r="K112" s="185">
        <f t="shared" si="21"/>
        <v>1</v>
      </c>
      <c r="L112" s="185">
        <f t="shared" si="33"/>
        <v>1</v>
      </c>
      <c r="M112" s="185">
        <f t="shared" si="26"/>
        <v>0</v>
      </c>
      <c r="N112" s="185"/>
      <c r="P112" s="139" t="s">
        <v>138</v>
      </c>
      <c r="Q112" s="140">
        <v>2</v>
      </c>
      <c r="R112" s="140">
        <v>3</v>
      </c>
      <c r="S112" s="121" t="s">
        <v>142</v>
      </c>
    </row>
    <row r="113" spans="1:19" x14ac:dyDescent="0.3">
      <c r="A113" s="180">
        <v>23</v>
      </c>
      <c r="B113" s="181">
        <v>1028</v>
      </c>
      <c r="C113" s="182">
        <f t="shared" si="37"/>
        <v>602</v>
      </c>
      <c r="D113" s="182">
        <f t="shared" si="38"/>
        <v>876</v>
      </c>
      <c r="E113" s="181">
        <v>154</v>
      </c>
      <c r="F113" s="181">
        <v>23</v>
      </c>
      <c r="G113" s="186">
        <f xml:space="preserve"> LOG(32.0589177462519)</f>
        <v>1.5059488572332163</v>
      </c>
      <c r="H113" s="184">
        <f t="shared" si="36"/>
        <v>32.058917746251922</v>
      </c>
      <c r="I113" s="184">
        <f t="shared" si="34"/>
        <v>14.173854370506419</v>
      </c>
      <c r="J113" s="185" t="s">
        <v>120</v>
      </c>
      <c r="K113" s="185">
        <f t="shared" si="21"/>
        <v>1</v>
      </c>
      <c r="L113" s="185">
        <f t="shared" si="33"/>
        <v>1</v>
      </c>
      <c r="M113" s="185">
        <f t="shared" si="26"/>
        <v>1</v>
      </c>
      <c r="N113" s="185"/>
      <c r="P113" s="132" t="s">
        <v>140</v>
      </c>
      <c r="Q113" s="121" t="s">
        <v>143</v>
      </c>
      <c r="R113" s="121" t="s">
        <v>144</v>
      </c>
    </row>
    <row r="114" spans="1:19" x14ac:dyDescent="0.3">
      <c r="A114" s="180">
        <v>24</v>
      </c>
      <c r="B114" s="181">
        <v>1333</v>
      </c>
      <c r="C114" s="182">
        <f t="shared" si="37"/>
        <v>305</v>
      </c>
      <c r="D114" s="182">
        <f t="shared" si="38"/>
        <v>982</v>
      </c>
      <c r="E114" s="181">
        <v>167</v>
      </c>
      <c r="F114" s="181">
        <v>18</v>
      </c>
      <c r="G114" s="186">
        <f xml:space="preserve"> LOG(70.4958049618468)</f>
        <v>1.848163273925751</v>
      </c>
      <c r="H114" s="184">
        <f t="shared" si="36"/>
        <v>70.495804961846815</v>
      </c>
      <c r="I114" s="184">
        <f t="shared" si="34"/>
        <v>38.436887215594894</v>
      </c>
      <c r="J114" s="185" t="s">
        <v>120</v>
      </c>
      <c r="K114" s="185">
        <f t="shared" si="21"/>
        <v>1</v>
      </c>
      <c r="L114" s="185">
        <f t="shared" si="33"/>
        <v>1</v>
      </c>
      <c r="M114" s="185">
        <f t="shared" si="26"/>
        <v>1</v>
      </c>
      <c r="N114" s="185"/>
      <c r="P114" s="133" t="s">
        <v>130</v>
      </c>
      <c r="Q114" s="121" t="s">
        <v>145</v>
      </c>
      <c r="S114">
        <f>Q111/(R111+Q111)</f>
        <v>0.6</v>
      </c>
    </row>
    <row r="115" spans="1:19" x14ac:dyDescent="0.3">
      <c r="A115" s="180">
        <v>25</v>
      </c>
      <c r="B115" s="181">
        <v>1724</v>
      </c>
      <c r="C115" s="182">
        <f t="shared" si="37"/>
        <v>391</v>
      </c>
      <c r="D115" s="182">
        <f t="shared" si="38"/>
        <v>1298</v>
      </c>
      <c r="E115" s="181">
        <v>265</v>
      </c>
      <c r="F115" s="181">
        <v>26</v>
      </c>
      <c r="G115" s="186">
        <f xml:space="preserve"> LOG(25.3381923753388)</f>
        <v>1.4037756291181627</v>
      </c>
      <c r="H115" s="184">
        <f t="shared" si="36"/>
        <v>25.338192375338807</v>
      </c>
      <c r="I115" s="184">
        <f t="shared" si="34"/>
        <v>-45.157612586508009</v>
      </c>
      <c r="J115" s="185" t="s">
        <v>120</v>
      </c>
      <c r="K115" s="185">
        <f t="shared" si="21"/>
        <v>1</v>
      </c>
      <c r="L115" s="185">
        <f t="shared" si="33"/>
        <v>1</v>
      </c>
      <c r="M115" s="185">
        <f t="shared" si="26"/>
        <v>0</v>
      </c>
      <c r="N115" s="185"/>
      <c r="P115" s="133" t="s">
        <v>135</v>
      </c>
      <c r="Q115" s="121" t="s">
        <v>176</v>
      </c>
      <c r="S115">
        <f>R112/(Q112+R112)</f>
        <v>0.6</v>
      </c>
    </row>
    <row r="116" spans="1:19" x14ac:dyDescent="0.3">
      <c r="A116" s="180">
        <v>26</v>
      </c>
      <c r="B116" s="187">
        <v>2717</v>
      </c>
      <c r="C116" s="182">
        <f t="shared" si="37"/>
        <v>993</v>
      </c>
      <c r="D116" s="182">
        <f t="shared" si="38"/>
        <v>1689</v>
      </c>
      <c r="E116" s="187">
        <v>343</v>
      </c>
      <c r="F116" s="187">
        <v>39</v>
      </c>
      <c r="G116" s="186">
        <f xml:space="preserve"> LOG(37.5105677818765)</f>
        <v>1.5741536379355709</v>
      </c>
      <c r="H116" s="184">
        <f t="shared" si="36"/>
        <v>37.51056778187651</v>
      </c>
      <c r="I116" s="184">
        <f t="shared" si="34"/>
        <v>12.172375406537704</v>
      </c>
      <c r="J116" s="185" t="s">
        <v>120</v>
      </c>
      <c r="K116" s="185">
        <f t="shared" si="21"/>
        <v>1</v>
      </c>
      <c r="L116" s="185">
        <f t="shared" si="33"/>
        <v>1</v>
      </c>
      <c r="M116" s="185">
        <f t="shared" si="26"/>
        <v>1</v>
      </c>
      <c r="N116" s="185"/>
      <c r="P116" s="133" t="s">
        <v>146</v>
      </c>
      <c r="Q116" s="122" t="s">
        <v>147</v>
      </c>
      <c r="S116">
        <f>1-S115</f>
        <v>0.4</v>
      </c>
    </row>
    <row r="117" spans="1:19" x14ac:dyDescent="0.3">
      <c r="A117" s="180">
        <v>27</v>
      </c>
      <c r="B117" s="187">
        <v>3087</v>
      </c>
      <c r="C117" s="182">
        <f t="shared" si="37"/>
        <v>370</v>
      </c>
      <c r="D117" s="182">
        <f t="shared" si="38"/>
        <v>1754</v>
      </c>
      <c r="E117" s="187">
        <v>482</v>
      </c>
      <c r="F117" s="187">
        <v>51</v>
      </c>
      <c r="G117" s="183">
        <f>LOG(55.381930604273)</f>
        <v>1.7433680911020117</v>
      </c>
      <c r="H117" s="184">
        <f t="shared" si="36"/>
        <v>55.381930604273052</v>
      </c>
      <c r="I117" s="184">
        <f t="shared" si="34"/>
        <v>17.871362822396542</v>
      </c>
      <c r="J117" s="185" t="s">
        <v>120</v>
      </c>
      <c r="K117" s="185">
        <f t="shared" si="21"/>
        <v>1</v>
      </c>
      <c r="L117" s="185">
        <f t="shared" si="33"/>
        <v>1</v>
      </c>
      <c r="M117" s="185">
        <f t="shared" si="26"/>
        <v>1</v>
      </c>
      <c r="N117" s="185"/>
    </row>
    <row r="118" spans="1:19" x14ac:dyDescent="0.3">
      <c r="A118" s="180">
        <v>30</v>
      </c>
      <c r="B118" s="188">
        <v>4352</v>
      </c>
      <c r="C118" s="182">
        <f t="shared" si="37"/>
        <v>1265</v>
      </c>
      <c r="D118" s="182">
        <f t="shared" si="38"/>
        <v>2628</v>
      </c>
      <c r="E118" s="188">
        <v>584</v>
      </c>
      <c r="F118" s="188">
        <v>106</v>
      </c>
      <c r="G118" s="183">
        <v>2.405608102499901</v>
      </c>
      <c r="H118" s="184">
        <f t="shared" si="36"/>
        <v>254.45330872827677</v>
      </c>
      <c r="I118" s="184">
        <f t="shared" si="34"/>
        <v>199.07137812400373</v>
      </c>
      <c r="J118" s="185" t="s">
        <v>120</v>
      </c>
      <c r="K118" s="185">
        <f t="shared" si="21"/>
        <v>1</v>
      </c>
      <c r="L118" s="185">
        <f t="shared" si="33"/>
        <v>1</v>
      </c>
      <c r="M118" s="185">
        <f t="shared" si="26"/>
        <v>1</v>
      </c>
      <c r="N118" s="185"/>
    </row>
    <row r="119" spans="1:19" x14ac:dyDescent="0.3">
      <c r="A119" s="180">
        <v>31</v>
      </c>
      <c r="B119" s="188">
        <v>6310</v>
      </c>
      <c r="C119" s="182">
        <f t="shared" si="37"/>
        <v>1958</v>
      </c>
      <c r="D119" s="182">
        <f t="shared" si="38"/>
        <v>3593</v>
      </c>
      <c r="E119" s="188">
        <v>739</v>
      </c>
      <c r="F119" s="188">
        <v>149</v>
      </c>
      <c r="G119" s="183">
        <v>2.3622047938543083</v>
      </c>
      <c r="H119" s="184">
        <f t="shared" si="36"/>
        <v>230.25273303596339</v>
      </c>
      <c r="I119" s="184">
        <f t="shared" si="34"/>
        <v>-24.200575692313379</v>
      </c>
      <c r="J119" s="185" t="s">
        <v>120</v>
      </c>
      <c r="K119" s="185">
        <f t="shared" si="21"/>
        <v>1</v>
      </c>
      <c r="L119" s="185">
        <f t="shared" si="33"/>
        <v>1</v>
      </c>
      <c r="M119" s="185">
        <f t="shared" si="26"/>
        <v>0</v>
      </c>
      <c r="N119" s="185"/>
    </row>
    <row r="120" spans="1:19" x14ac:dyDescent="0.3">
      <c r="A120" s="180">
        <v>32</v>
      </c>
      <c r="B120" s="188">
        <v>7241</v>
      </c>
      <c r="C120" s="182">
        <f t="shared" si="37"/>
        <v>931</v>
      </c>
      <c r="D120" s="182">
        <f t="shared" si="38"/>
        <v>4154</v>
      </c>
      <c r="E120" s="188">
        <v>883</v>
      </c>
      <c r="F120" s="188">
        <v>157</v>
      </c>
      <c r="G120" s="183">
        <v>2.377677048067357</v>
      </c>
      <c r="H120" s="184">
        <f t="shared" si="36"/>
        <v>238.60363084442761</v>
      </c>
      <c r="I120" s="184">
        <f t="shared" si="34"/>
        <v>8.3508978084642251</v>
      </c>
      <c r="J120" s="185" t="s">
        <v>120</v>
      </c>
      <c r="K120" s="185">
        <f t="shared" si="21"/>
        <v>1</v>
      </c>
      <c r="L120" s="185">
        <f t="shared" si="33"/>
        <v>1</v>
      </c>
      <c r="M120" s="185">
        <f t="shared" si="26"/>
        <v>1</v>
      </c>
      <c r="N120" s="185"/>
    </row>
    <row r="121" spans="1:19" x14ac:dyDescent="0.3">
      <c r="A121" s="180">
        <v>33</v>
      </c>
      <c r="B121" s="188">
        <v>9003</v>
      </c>
      <c r="C121" s="182">
        <f t="shared" si="37"/>
        <v>1762</v>
      </c>
      <c r="D121" s="182">
        <f t="shared" si="38"/>
        <v>4651</v>
      </c>
      <c r="E121" s="188">
        <v>971</v>
      </c>
      <c r="F121" s="188">
        <v>187</v>
      </c>
      <c r="G121" s="183">
        <v>2.1471310793715412</v>
      </c>
      <c r="H121" s="184">
        <f t="shared" si="36"/>
        <v>140.32371676698031</v>
      </c>
      <c r="I121" s="184">
        <f t="shared" si="34"/>
        <v>-98.279914077447302</v>
      </c>
      <c r="J121" s="185" t="s">
        <v>120</v>
      </c>
      <c r="K121" s="185">
        <f t="shared" si="21"/>
        <v>1</v>
      </c>
      <c r="L121" s="185">
        <f t="shared" si="33"/>
        <v>1</v>
      </c>
      <c r="M121" s="185">
        <f t="shared" si="26"/>
        <v>0</v>
      </c>
      <c r="N121" s="185">
        <v>100</v>
      </c>
    </row>
    <row r="122" spans="1:19" x14ac:dyDescent="0.3">
      <c r="A122" s="180">
        <v>43</v>
      </c>
      <c r="B122" s="188">
        <v>112</v>
      </c>
      <c r="C122" s="182">
        <f t="shared" si="37"/>
        <v>-8891</v>
      </c>
      <c r="D122" s="182">
        <f t="shared" si="38"/>
        <v>-6198</v>
      </c>
      <c r="E122" s="188">
        <v>971</v>
      </c>
      <c r="F122" s="188">
        <v>187</v>
      </c>
      <c r="G122" s="183">
        <v>1.2123002986161826</v>
      </c>
      <c r="H122" s="184">
        <f t="shared" si="36"/>
        <v>16.304230203433917</v>
      </c>
      <c r="I122" s="184">
        <f t="shared" si="34"/>
        <v>-124.01948656354639</v>
      </c>
      <c r="J122" s="185" t="s">
        <v>120</v>
      </c>
      <c r="K122" s="185">
        <f t="shared" ref="K122:K126" si="39">IF(C122&gt;0, 1,0)</f>
        <v>0</v>
      </c>
      <c r="L122" s="185">
        <f t="shared" ref="L122:L126" si="40">IF((D122&gt;0),1,0)</f>
        <v>0</v>
      </c>
      <c r="M122" s="185">
        <f t="shared" ref="M122:M126" si="41">IF((I122&gt;0), 1,0)</f>
        <v>0</v>
      </c>
      <c r="N122" s="185"/>
    </row>
    <row r="123" spans="1:19" x14ac:dyDescent="0.3">
      <c r="A123" s="180">
        <v>44</v>
      </c>
      <c r="B123" s="188">
        <v>108</v>
      </c>
      <c r="C123" s="182">
        <f t="shared" si="37"/>
        <v>-4</v>
      </c>
      <c r="D123" s="182">
        <f t="shared" si="38"/>
        <v>-7133</v>
      </c>
      <c r="E123" s="188">
        <v>971</v>
      </c>
      <c r="F123" s="188">
        <v>187</v>
      </c>
      <c r="G123" s="183">
        <v>1.0053228771273917</v>
      </c>
      <c r="H123" s="184">
        <f t="shared" si="36"/>
        <v>10.123317947193065</v>
      </c>
      <c r="I123" s="184">
        <f t="shared" si="34"/>
        <v>-6.1809122562408518</v>
      </c>
      <c r="J123" s="185" t="s">
        <v>120</v>
      </c>
      <c r="K123" s="185">
        <f t="shared" si="39"/>
        <v>0</v>
      </c>
      <c r="L123" s="185">
        <f t="shared" si="40"/>
        <v>0</v>
      </c>
      <c r="M123" s="185">
        <f t="shared" si="41"/>
        <v>0</v>
      </c>
      <c r="N123" s="185"/>
    </row>
    <row r="124" spans="1:19" x14ac:dyDescent="0.3">
      <c r="A124" s="180">
        <v>45</v>
      </c>
      <c r="B124" s="188">
        <v>72</v>
      </c>
      <c r="C124" s="182">
        <f t="shared" si="37"/>
        <v>-36</v>
      </c>
      <c r="D124" s="182">
        <f t="shared" si="38"/>
        <v>-8931</v>
      </c>
      <c r="E124" s="188">
        <v>971</v>
      </c>
      <c r="F124" s="188">
        <v>187</v>
      </c>
      <c r="G124" s="183">
        <v>1.1319105382712777</v>
      </c>
      <c r="H124" s="184">
        <f t="shared" si="36"/>
        <v>13.549102812397241</v>
      </c>
      <c r="I124" s="184">
        <f t="shared" si="34"/>
        <v>3.4257848652041751</v>
      </c>
      <c r="J124" s="185" t="s">
        <v>120</v>
      </c>
      <c r="K124" s="185">
        <f t="shared" si="39"/>
        <v>0</v>
      </c>
      <c r="L124" s="185">
        <f t="shared" si="40"/>
        <v>0</v>
      </c>
      <c r="M124" s="185">
        <f t="shared" si="41"/>
        <v>1</v>
      </c>
      <c r="N124" s="185"/>
    </row>
    <row r="125" spans="1:19" x14ac:dyDescent="0.3">
      <c r="A125" s="180">
        <v>46</v>
      </c>
      <c r="B125" s="188">
        <v>79</v>
      </c>
      <c r="C125" s="182">
        <f t="shared" si="37"/>
        <v>7</v>
      </c>
      <c r="D125" s="182">
        <f t="shared" si="38"/>
        <v>-33</v>
      </c>
      <c r="E125" s="188">
        <v>971</v>
      </c>
      <c r="F125" s="188">
        <v>187</v>
      </c>
      <c r="G125" s="183">
        <v>1.690268528648883</v>
      </c>
      <c r="H125" s="184">
        <f t="shared" si="36"/>
        <v>49.0081748183893</v>
      </c>
      <c r="I125" s="184">
        <f t="shared" si="34"/>
        <v>35.459072005992056</v>
      </c>
      <c r="J125" s="185" t="s">
        <v>120</v>
      </c>
      <c r="K125" s="185">
        <f t="shared" si="39"/>
        <v>1</v>
      </c>
      <c r="L125" s="185">
        <f t="shared" si="40"/>
        <v>0</v>
      </c>
      <c r="M125" s="185">
        <f t="shared" si="41"/>
        <v>1</v>
      </c>
      <c r="N125" s="185"/>
    </row>
    <row r="126" spans="1:19" x14ac:dyDescent="0.3">
      <c r="A126" s="180">
        <v>47</v>
      </c>
      <c r="B126" s="188">
        <v>74</v>
      </c>
      <c r="C126" s="182">
        <f t="shared" si="37"/>
        <v>-5</v>
      </c>
      <c r="D126" s="182">
        <f t="shared" si="38"/>
        <v>-34</v>
      </c>
      <c r="E126" s="188">
        <v>971</v>
      </c>
      <c r="F126" s="188">
        <v>187</v>
      </c>
      <c r="G126" s="183">
        <v>1.4674832217320122</v>
      </c>
      <c r="H126" s="184">
        <f t="shared" si="36"/>
        <v>29.341561453683045</v>
      </c>
      <c r="I126" s="184">
        <f t="shared" si="34"/>
        <v>-19.666613364706254</v>
      </c>
      <c r="J126" s="185" t="s">
        <v>120</v>
      </c>
      <c r="K126" s="185">
        <f t="shared" si="39"/>
        <v>0</v>
      </c>
      <c r="L126" s="185">
        <f t="shared" si="40"/>
        <v>0</v>
      </c>
      <c r="M126" s="185">
        <f t="shared" si="41"/>
        <v>0</v>
      </c>
      <c r="N126" s="185"/>
    </row>
    <row r="127" spans="1:19" x14ac:dyDescent="0.3">
      <c r="A127" s="26"/>
      <c r="B127" s="99"/>
      <c r="C127" s="23"/>
      <c r="D127" s="23"/>
      <c r="E127" s="99"/>
      <c r="F127" s="99"/>
      <c r="G127" s="93"/>
      <c r="H127" s="98"/>
      <c r="I127" s="98"/>
      <c r="J127" s="97"/>
      <c r="K127" s="97"/>
    </row>
    <row r="128" spans="1:19" x14ac:dyDescent="0.3">
      <c r="A128" s="192">
        <v>11</v>
      </c>
      <c r="B128" s="193">
        <v>182</v>
      </c>
      <c r="C128" s="194"/>
      <c r="D128" s="194"/>
      <c r="E128" s="193">
        <v>60</v>
      </c>
      <c r="F128" s="193">
        <v>8</v>
      </c>
      <c r="G128" s="195">
        <f xml:space="preserve"> LOG(4.86143267884546)</f>
        <v>0.68676427601643797</v>
      </c>
      <c r="H128" s="196">
        <f t="shared" ref="H128:H142" si="42">10^G128</f>
        <v>4.8614326788454596</v>
      </c>
      <c r="I128" s="196"/>
      <c r="J128" s="197" t="s">
        <v>119</v>
      </c>
      <c r="K128" s="197"/>
      <c r="L128" s="197"/>
      <c r="M128" s="197"/>
      <c r="N128" s="197"/>
      <c r="P128" s="418" t="s">
        <v>200</v>
      </c>
      <c r="Q128" s="419"/>
      <c r="R128" s="419"/>
    </row>
    <row r="129" spans="1:19" x14ac:dyDescent="0.3">
      <c r="A129" s="192">
        <v>16</v>
      </c>
      <c r="B129" s="193">
        <v>532</v>
      </c>
      <c r="C129" s="194">
        <f t="shared" ref="C129:C137" si="43">B129-B128</f>
        <v>350</v>
      </c>
      <c r="D129" s="194"/>
      <c r="E129" s="193">
        <v>153</v>
      </c>
      <c r="F129" s="193">
        <v>21</v>
      </c>
      <c r="G129" s="198">
        <f xml:space="preserve"> LOG(16.9657383646284)</f>
        <v>1.229572765290053</v>
      </c>
      <c r="H129" s="196">
        <f t="shared" si="42"/>
        <v>16.965738364628404</v>
      </c>
      <c r="I129" s="196">
        <f t="shared" si="34"/>
        <v>12.104305685782943</v>
      </c>
      <c r="J129" s="197" t="s">
        <v>119</v>
      </c>
      <c r="K129" s="197">
        <f t="shared" si="21"/>
        <v>1</v>
      </c>
      <c r="L129" s="197"/>
      <c r="M129" s="197">
        <f t="shared" si="26"/>
        <v>1</v>
      </c>
      <c r="N129" s="197"/>
      <c r="P129" s="401" t="s">
        <v>139</v>
      </c>
      <c r="Q129" s="402" t="s">
        <v>186</v>
      </c>
      <c r="R129" s="402"/>
    </row>
    <row r="130" spans="1:19" x14ac:dyDescent="0.3">
      <c r="A130" s="192">
        <v>21</v>
      </c>
      <c r="B130" s="193">
        <v>1350</v>
      </c>
      <c r="C130" s="194">
        <f t="shared" si="43"/>
        <v>818</v>
      </c>
      <c r="D130" s="194"/>
      <c r="E130" s="193">
        <v>330</v>
      </c>
      <c r="F130" s="193">
        <v>83</v>
      </c>
      <c r="G130" s="198">
        <f xml:space="preserve"> LOG(24.7018848146711)</f>
        <v>1.3927300922629462</v>
      </c>
      <c r="H130" s="196">
        <f t="shared" si="42"/>
        <v>24.701884814671111</v>
      </c>
      <c r="I130" s="196">
        <f t="shared" si="34"/>
        <v>7.7361464500427068</v>
      </c>
      <c r="J130" s="197" t="s">
        <v>119</v>
      </c>
      <c r="K130" s="197">
        <f t="shared" si="21"/>
        <v>1</v>
      </c>
      <c r="L130" s="197"/>
      <c r="M130" s="197">
        <f t="shared" si="26"/>
        <v>1</v>
      </c>
      <c r="N130" s="197"/>
      <c r="P130" s="401"/>
      <c r="Q130" s="120" t="s">
        <v>137</v>
      </c>
      <c r="R130" s="137" t="s">
        <v>138</v>
      </c>
      <c r="S130" s="120" t="s">
        <v>140</v>
      </c>
    </row>
    <row r="131" spans="1:19" x14ac:dyDescent="0.3">
      <c r="A131" s="192">
        <v>23</v>
      </c>
      <c r="B131" s="193">
        <v>1222</v>
      </c>
      <c r="C131" s="194">
        <f t="shared" si="43"/>
        <v>-128</v>
      </c>
      <c r="D131" s="194">
        <f t="shared" ref="D131:D137" si="44">B131-B128</f>
        <v>1040</v>
      </c>
      <c r="E131" s="193">
        <v>256</v>
      </c>
      <c r="F131" s="193">
        <v>66</v>
      </c>
      <c r="G131" s="198">
        <f xml:space="preserve"> LOG(37.1344454434453)</f>
        <v>1.5697769426544728</v>
      </c>
      <c r="H131" s="196">
        <f t="shared" si="42"/>
        <v>37.13444544344533</v>
      </c>
      <c r="I131" s="196">
        <f t="shared" si="34"/>
        <v>12.432560628774219</v>
      </c>
      <c r="J131" s="197" t="s">
        <v>119</v>
      </c>
      <c r="K131" s="197">
        <f t="shared" si="21"/>
        <v>0</v>
      </c>
      <c r="L131" s="197">
        <f t="shared" si="33"/>
        <v>1</v>
      </c>
      <c r="M131" s="197">
        <f t="shared" si="26"/>
        <v>1</v>
      </c>
      <c r="N131" s="197"/>
      <c r="P131" s="135" t="s">
        <v>137</v>
      </c>
      <c r="Q131" s="136">
        <v>3</v>
      </c>
      <c r="R131" s="138">
        <v>2</v>
      </c>
      <c r="S131" s="121" t="s">
        <v>141</v>
      </c>
    </row>
    <row r="132" spans="1:19" x14ac:dyDescent="0.3">
      <c r="A132" s="192">
        <v>26</v>
      </c>
      <c r="B132" s="197">
        <v>1030</v>
      </c>
      <c r="C132" s="194">
        <f t="shared" si="43"/>
        <v>-192</v>
      </c>
      <c r="D132" s="194">
        <f t="shared" si="44"/>
        <v>498</v>
      </c>
      <c r="E132" s="197">
        <v>194</v>
      </c>
      <c r="F132" s="197">
        <v>58</v>
      </c>
      <c r="G132" s="198">
        <f xml:space="preserve"> LOG(32.8613471011726)</f>
        <v>1.5166853627087287</v>
      </c>
      <c r="H132" s="196">
        <f t="shared" si="42"/>
        <v>32.861347101172598</v>
      </c>
      <c r="I132" s="196">
        <f t="shared" si="34"/>
        <v>-4.273098342272732</v>
      </c>
      <c r="J132" s="197" t="s">
        <v>119</v>
      </c>
      <c r="K132" s="197">
        <f t="shared" si="21"/>
        <v>0</v>
      </c>
      <c r="L132" s="197">
        <f t="shared" si="33"/>
        <v>1</v>
      </c>
      <c r="M132" s="197">
        <f t="shared" si="26"/>
        <v>0</v>
      </c>
      <c r="N132" s="197"/>
      <c r="P132" s="139" t="s">
        <v>138</v>
      </c>
      <c r="Q132" s="140">
        <v>3</v>
      </c>
      <c r="R132" s="140">
        <v>4</v>
      </c>
      <c r="S132" s="121" t="s">
        <v>142</v>
      </c>
    </row>
    <row r="133" spans="1:19" x14ac:dyDescent="0.3">
      <c r="A133" s="192">
        <v>30</v>
      </c>
      <c r="B133" s="199">
        <v>955</v>
      </c>
      <c r="C133" s="194">
        <f t="shared" si="43"/>
        <v>-75</v>
      </c>
      <c r="D133" s="194">
        <f t="shared" si="44"/>
        <v>-395</v>
      </c>
      <c r="E133" s="200">
        <v>205</v>
      </c>
      <c r="F133" s="200">
        <v>48</v>
      </c>
      <c r="G133" s="195">
        <v>0.42302707938992756</v>
      </c>
      <c r="H133" s="196">
        <f t="shared" si="42"/>
        <v>2.6486652846239047</v>
      </c>
      <c r="I133" s="196">
        <f t="shared" si="34"/>
        <v>-30.212681816548692</v>
      </c>
      <c r="J133" s="197" t="s">
        <v>119</v>
      </c>
      <c r="K133" s="197">
        <f t="shared" si="21"/>
        <v>0</v>
      </c>
      <c r="L133" s="197">
        <f t="shared" si="33"/>
        <v>0</v>
      </c>
      <c r="M133" s="197">
        <f t="shared" si="26"/>
        <v>0</v>
      </c>
      <c r="N133" s="197"/>
      <c r="P133" s="132" t="s">
        <v>140</v>
      </c>
      <c r="Q133" s="121" t="s">
        <v>143</v>
      </c>
      <c r="R133" s="121" t="s">
        <v>144</v>
      </c>
    </row>
    <row r="134" spans="1:19" x14ac:dyDescent="0.3">
      <c r="A134" s="192">
        <v>31</v>
      </c>
      <c r="B134" s="197">
        <v>1200</v>
      </c>
      <c r="C134" s="194">
        <f t="shared" si="43"/>
        <v>245</v>
      </c>
      <c r="D134" s="194">
        <f t="shared" si="44"/>
        <v>-22</v>
      </c>
      <c r="E134" s="201">
        <v>226</v>
      </c>
      <c r="F134" s="201">
        <v>42</v>
      </c>
      <c r="G134" s="195">
        <v>0.50425258195309419</v>
      </c>
      <c r="H134" s="196">
        <f t="shared" si="42"/>
        <v>3.1933945660688443</v>
      </c>
      <c r="I134" s="196">
        <f t="shared" si="34"/>
        <v>0.54472928144493959</v>
      </c>
      <c r="J134" s="197" t="s">
        <v>119</v>
      </c>
      <c r="K134" s="197">
        <f t="shared" si="21"/>
        <v>1</v>
      </c>
      <c r="L134" s="197">
        <f t="shared" si="33"/>
        <v>0</v>
      </c>
      <c r="M134" s="197">
        <f t="shared" si="26"/>
        <v>1</v>
      </c>
      <c r="N134" s="197"/>
      <c r="P134" s="133" t="s">
        <v>130</v>
      </c>
      <c r="Q134" s="121" t="s">
        <v>145</v>
      </c>
      <c r="S134">
        <f>Q131/(R131+Q131)</f>
        <v>0.6</v>
      </c>
    </row>
    <row r="135" spans="1:19" x14ac:dyDescent="0.3">
      <c r="A135" s="192">
        <v>32</v>
      </c>
      <c r="B135" s="197">
        <v>1490</v>
      </c>
      <c r="C135" s="194">
        <f t="shared" si="43"/>
        <v>290</v>
      </c>
      <c r="D135" s="194">
        <f t="shared" si="44"/>
        <v>460</v>
      </c>
      <c r="E135" s="201">
        <v>214</v>
      </c>
      <c r="F135" s="201">
        <v>48</v>
      </c>
      <c r="G135" s="195">
        <v>-4.8176666707801477E-2</v>
      </c>
      <c r="H135" s="196">
        <f t="shared" si="42"/>
        <v>0.89500061407381182</v>
      </c>
      <c r="I135" s="196">
        <f t="shared" si="34"/>
        <v>-2.2983939519950325</v>
      </c>
      <c r="J135" s="197" t="s">
        <v>119</v>
      </c>
      <c r="K135" s="197">
        <f t="shared" si="21"/>
        <v>1</v>
      </c>
      <c r="L135" s="197">
        <f t="shared" si="33"/>
        <v>1</v>
      </c>
      <c r="M135" s="197">
        <f t="shared" si="26"/>
        <v>0</v>
      </c>
      <c r="N135" s="197"/>
      <c r="P135" s="133" t="s">
        <v>135</v>
      </c>
      <c r="Q135" s="121" t="s">
        <v>176</v>
      </c>
      <c r="S135">
        <f>R132/(Q132+R132)</f>
        <v>0.5714285714285714</v>
      </c>
    </row>
    <row r="136" spans="1:19" x14ac:dyDescent="0.3">
      <c r="A136" s="192">
        <v>33</v>
      </c>
      <c r="B136" s="199">
        <v>1916</v>
      </c>
      <c r="C136" s="194">
        <f t="shared" si="43"/>
        <v>426</v>
      </c>
      <c r="D136" s="194">
        <f t="shared" si="44"/>
        <v>961</v>
      </c>
      <c r="E136" s="200">
        <v>272</v>
      </c>
      <c r="F136" s="200">
        <v>48</v>
      </c>
      <c r="G136" s="195">
        <v>1.7459816272643751</v>
      </c>
      <c r="H136" s="196">
        <f t="shared" si="42"/>
        <v>55.71621778059982</v>
      </c>
      <c r="I136" s="196">
        <f t="shared" si="34"/>
        <v>54.821217166526012</v>
      </c>
      <c r="J136" s="197" t="s">
        <v>119</v>
      </c>
      <c r="K136" s="197">
        <f t="shared" si="21"/>
        <v>1</v>
      </c>
      <c r="L136" s="197">
        <f t="shared" si="33"/>
        <v>1</v>
      </c>
      <c r="M136" s="197">
        <f t="shared" si="26"/>
        <v>1</v>
      </c>
      <c r="N136" s="197"/>
      <c r="P136" s="133" t="s">
        <v>146</v>
      </c>
      <c r="Q136" s="122" t="s">
        <v>147</v>
      </c>
      <c r="S136">
        <f>1-S135</f>
        <v>0.4285714285714286</v>
      </c>
    </row>
    <row r="137" spans="1:19" x14ac:dyDescent="0.3">
      <c r="A137" s="192">
        <v>34</v>
      </c>
      <c r="B137" s="197">
        <v>1965</v>
      </c>
      <c r="C137" s="194">
        <f t="shared" si="43"/>
        <v>49</v>
      </c>
      <c r="D137" s="194">
        <f t="shared" si="44"/>
        <v>765</v>
      </c>
      <c r="E137" s="201">
        <v>278</v>
      </c>
      <c r="F137" s="201">
        <v>43</v>
      </c>
      <c r="G137" s="195">
        <v>1.8461018065408126</v>
      </c>
      <c r="H137" s="196">
        <f t="shared" si="42"/>
        <v>70.161975159937072</v>
      </c>
      <c r="I137" s="196">
        <f t="shared" si="34"/>
        <v>14.445757379337252</v>
      </c>
      <c r="J137" s="197" t="s">
        <v>119</v>
      </c>
      <c r="K137" s="197">
        <f t="shared" si="21"/>
        <v>1</v>
      </c>
      <c r="L137" s="197">
        <f t="shared" si="33"/>
        <v>1</v>
      </c>
      <c r="M137" s="197">
        <f t="shared" si="26"/>
        <v>1</v>
      </c>
      <c r="N137" s="197">
        <v>80</v>
      </c>
    </row>
    <row r="138" spans="1:19" x14ac:dyDescent="0.3">
      <c r="A138" s="192">
        <v>43</v>
      </c>
      <c r="B138" s="197">
        <v>54</v>
      </c>
      <c r="C138" s="194">
        <f t="shared" ref="C138:C142" si="45">B138-B137</f>
        <v>-1911</v>
      </c>
      <c r="D138" s="194">
        <f t="shared" ref="D138:D142" si="46">B138-B135</f>
        <v>-1436</v>
      </c>
      <c r="E138" s="201">
        <v>278</v>
      </c>
      <c r="F138" s="201">
        <v>43</v>
      </c>
      <c r="G138" s="195">
        <v>0.60675924755725563</v>
      </c>
      <c r="H138" s="196">
        <f t="shared" si="42"/>
        <v>4.0435167599697515</v>
      </c>
      <c r="I138" s="196">
        <f t="shared" ref="I138:I142" si="47">H138-H137</f>
        <v>-66.118458399967324</v>
      </c>
      <c r="J138" s="197" t="s">
        <v>119</v>
      </c>
      <c r="K138" s="197">
        <f t="shared" ref="K138:K142" si="48">IF(C138&gt;0, 1,0)</f>
        <v>0</v>
      </c>
      <c r="L138" s="197">
        <f t="shared" ref="L138:L142" si="49">IF((D138&gt;0),1,0)</f>
        <v>0</v>
      </c>
      <c r="M138" s="197">
        <f t="shared" ref="M138:M142" si="50">IF((I138&gt;0), 1,0)</f>
        <v>0</v>
      </c>
      <c r="N138" s="197"/>
    </row>
    <row r="139" spans="1:19" x14ac:dyDescent="0.3">
      <c r="A139" s="192">
        <v>44</v>
      </c>
      <c r="B139" s="197">
        <v>49</v>
      </c>
      <c r="C139" s="194">
        <f t="shared" si="45"/>
        <v>-5</v>
      </c>
      <c r="D139" s="194">
        <f t="shared" si="46"/>
        <v>-1867</v>
      </c>
      <c r="E139" s="201">
        <v>278</v>
      </c>
      <c r="F139" s="201">
        <v>43</v>
      </c>
      <c r="G139" s="195">
        <v>0.96054213807019173</v>
      </c>
      <c r="H139" s="196">
        <f t="shared" si="42"/>
        <v>9.1315003073945373</v>
      </c>
      <c r="I139" s="196">
        <f t="shared" si="47"/>
        <v>5.0879835474247859</v>
      </c>
      <c r="J139" s="197" t="s">
        <v>119</v>
      </c>
      <c r="K139" s="197">
        <f t="shared" si="48"/>
        <v>0</v>
      </c>
      <c r="L139" s="197">
        <f t="shared" si="49"/>
        <v>0</v>
      </c>
      <c r="M139" s="197">
        <f t="shared" si="50"/>
        <v>1</v>
      </c>
      <c r="N139" s="197"/>
    </row>
    <row r="140" spans="1:19" x14ac:dyDescent="0.3">
      <c r="A140" s="192">
        <v>45</v>
      </c>
      <c r="B140" s="197">
        <v>47</v>
      </c>
      <c r="C140" s="194">
        <f t="shared" si="45"/>
        <v>-2</v>
      </c>
      <c r="D140" s="194">
        <f t="shared" si="46"/>
        <v>-1918</v>
      </c>
      <c r="E140" s="201">
        <v>278</v>
      </c>
      <c r="F140" s="201">
        <v>43</v>
      </c>
      <c r="G140" s="195">
        <v>0.87925888933852847</v>
      </c>
      <c r="H140" s="196">
        <f t="shared" si="42"/>
        <v>7.5728418875713741</v>
      </c>
      <c r="I140" s="196">
        <f t="shared" si="47"/>
        <v>-1.5586584198231632</v>
      </c>
      <c r="J140" s="197" t="s">
        <v>119</v>
      </c>
      <c r="K140" s="197">
        <f t="shared" si="48"/>
        <v>0</v>
      </c>
      <c r="L140" s="197">
        <f t="shared" si="49"/>
        <v>0</v>
      </c>
      <c r="M140" s="197">
        <f t="shared" si="50"/>
        <v>0</v>
      </c>
      <c r="N140" s="197"/>
    </row>
    <row r="141" spans="1:19" x14ac:dyDescent="0.3">
      <c r="A141" s="192">
        <v>46</v>
      </c>
      <c r="B141" s="197">
        <v>34</v>
      </c>
      <c r="C141" s="194">
        <f t="shared" si="45"/>
        <v>-13</v>
      </c>
      <c r="D141" s="194">
        <f t="shared" si="46"/>
        <v>-20</v>
      </c>
      <c r="E141" s="201">
        <v>278</v>
      </c>
      <c r="F141" s="201">
        <v>43</v>
      </c>
      <c r="G141" s="195">
        <v>0.26668117996092522</v>
      </c>
      <c r="H141" s="196">
        <f t="shared" si="42"/>
        <v>1.8479115500742078</v>
      </c>
      <c r="I141" s="196">
        <f t="shared" si="47"/>
        <v>-5.7249303374971667</v>
      </c>
      <c r="J141" s="197" t="s">
        <v>119</v>
      </c>
      <c r="K141" s="197">
        <f t="shared" si="48"/>
        <v>0</v>
      </c>
      <c r="L141" s="197">
        <f t="shared" si="49"/>
        <v>0</v>
      </c>
      <c r="M141" s="197">
        <f t="shared" si="50"/>
        <v>0</v>
      </c>
      <c r="N141" s="197"/>
    </row>
    <row r="142" spans="1:19" x14ac:dyDescent="0.3">
      <c r="A142" s="192">
        <v>47</v>
      </c>
      <c r="B142" s="197">
        <v>37</v>
      </c>
      <c r="C142" s="194">
        <f t="shared" si="45"/>
        <v>3</v>
      </c>
      <c r="D142" s="194">
        <f t="shared" si="46"/>
        <v>-12</v>
      </c>
      <c r="E142" s="201">
        <v>278</v>
      </c>
      <c r="F142" s="201">
        <v>43</v>
      </c>
      <c r="G142" s="195">
        <v>1.1976405333482829</v>
      </c>
      <c r="H142" s="196">
        <f t="shared" si="42"/>
        <v>15.763060170776992</v>
      </c>
      <c r="I142" s="196">
        <f t="shared" si="47"/>
        <v>13.915148620702784</v>
      </c>
      <c r="J142" s="197" t="s">
        <v>119</v>
      </c>
      <c r="K142" s="197">
        <f t="shared" si="48"/>
        <v>1</v>
      </c>
      <c r="L142" s="197">
        <f t="shared" si="49"/>
        <v>0</v>
      </c>
      <c r="M142" s="197">
        <f t="shared" si="50"/>
        <v>1</v>
      </c>
      <c r="N142" s="197"/>
    </row>
    <row r="143" spans="1:19" x14ac:dyDescent="0.3">
      <c r="A143" s="41"/>
      <c r="B143" s="97"/>
      <c r="C143" s="23"/>
      <c r="D143" s="23"/>
      <c r="E143" s="99"/>
      <c r="F143" s="99"/>
      <c r="G143" s="93"/>
      <c r="H143" s="98"/>
      <c r="I143" s="98"/>
      <c r="J143" s="97"/>
      <c r="K143" s="97"/>
    </row>
    <row r="144" spans="1:19" x14ac:dyDescent="0.3">
      <c r="A144" s="202">
        <v>11</v>
      </c>
      <c r="B144" s="203">
        <v>182</v>
      </c>
      <c r="C144" s="204">
        <f>B144-B137</f>
        <v>-1783</v>
      </c>
      <c r="D144" s="204"/>
      <c r="E144" s="203">
        <v>60</v>
      </c>
      <c r="F144" s="203">
        <v>8</v>
      </c>
      <c r="G144" s="205">
        <f xml:space="preserve"> LOG(0.280308480165443)</f>
        <v>-0.55236376334086335</v>
      </c>
      <c r="H144" s="206">
        <f t="shared" ref="H144:H157" si="51">10^G144</f>
        <v>0.28030848016544302</v>
      </c>
      <c r="I144" s="206"/>
      <c r="J144" s="207" t="s">
        <v>118</v>
      </c>
      <c r="K144" s="207">
        <f t="shared" si="21"/>
        <v>0</v>
      </c>
      <c r="L144" s="207"/>
      <c r="M144" s="207"/>
      <c r="N144" s="207"/>
      <c r="P144" s="413" t="s">
        <v>201</v>
      </c>
      <c r="Q144" s="414"/>
      <c r="R144" s="414"/>
    </row>
    <row r="145" spans="1:19" x14ac:dyDescent="0.3">
      <c r="A145" s="202">
        <v>16</v>
      </c>
      <c r="B145" s="203">
        <v>532</v>
      </c>
      <c r="C145" s="204">
        <f t="shared" ref="C145:C153" si="52">B145-B144</f>
        <v>350</v>
      </c>
      <c r="D145" s="204"/>
      <c r="E145" s="203">
        <v>153</v>
      </c>
      <c r="F145" s="203">
        <v>21</v>
      </c>
      <c r="G145" s="208">
        <f xml:space="preserve"> LOG(42.5685619821354)</f>
        <v>1.6290889794284418</v>
      </c>
      <c r="H145" s="206">
        <f t="shared" si="51"/>
        <v>42.568561982135414</v>
      </c>
      <c r="I145" s="206">
        <f t="shared" si="34"/>
        <v>42.288253501969969</v>
      </c>
      <c r="J145" s="207" t="s">
        <v>118</v>
      </c>
      <c r="K145" s="207">
        <f t="shared" si="21"/>
        <v>1</v>
      </c>
      <c r="L145" s="207"/>
      <c r="M145" s="207">
        <f t="shared" si="26"/>
        <v>1</v>
      </c>
      <c r="N145" s="207"/>
      <c r="P145" s="401" t="s">
        <v>139</v>
      </c>
      <c r="Q145" s="402" t="s">
        <v>186</v>
      </c>
      <c r="R145" s="402"/>
    </row>
    <row r="146" spans="1:19" x14ac:dyDescent="0.3">
      <c r="A146" s="202">
        <v>21</v>
      </c>
      <c r="B146" s="203">
        <v>1350</v>
      </c>
      <c r="C146" s="204">
        <f t="shared" si="52"/>
        <v>818</v>
      </c>
      <c r="D146" s="204"/>
      <c r="E146" s="203">
        <v>330</v>
      </c>
      <c r="F146" s="203">
        <v>83</v>
      </c>
      <c r="G146" s="208">
        <f xml:space="preserve"> LOG(22.3452606979682)</f>
        <v>1.3491854258582519</v>
      </c>
      <c r="H146" s="206">
        <f t="shared" si="51"/>
        <v>22.345260697968207</v>
      </c>
      <c r="I146" s="206">
        <f t="shared" si="34"/>
        <v>-20.223301284167206</v>
      </c>
      <c r="J146" s="207" t="s">
        <v>118</v>
      </c>
      <c r="K146" s="207">
        <f t="shared" si="21"/>
        <v>1</v>
      </c>
      <c r="L146" s="207"/>
      <c r="M146" s="207">
        <f t="shared" si="26"/>
        <v>0</v>
      </c>
      <c r="N146" s="207"/>
      <c r="P146" s="401"/>
      <c r="Q146" s="120" t="s">
        <v>137</v>
      </c>
      <c r="R146" s="137" t="s">
        <v>138</v>
      </c>
      <c r="S146" s="120" t="s">
        <v>140</v>
      </c>
    </row>
    <row r="147" spans="1:19" x14ac:dyDescent="0.3">
      <c r="A147" s="202">
        <v>23</v>
      </c>
      <c r="B147" s="203">
        <v>1222</v>
      </c>
      <c r="C147" s="204">
        <f t="shared" si="52"/>
        <v>-128</v>
      </c>
      <c r="D147" s="204">
        <f t="shared" ref="D147:D153" si="53">B147-B144</f>
        <v>1040</v>
      </c>
      <c r="E147" s="203">
        <v>256</v>
      </c>
      <c r="F147" s="203">
        <v>66</v>
      </c>
      <c r="G147" s="208">
        <f xml:space="preserve"> LOG(21.7665093285697)</f>
        <v>1.3377887872913563</v>
      </c>
      <c r="H147" s="206">
        <f t="shared" si="51"/>
        <v>21.766509328569708</v>
      </c>
      <c r="I147" s="206">
        <f t="shared" si="34"/>
        <v>-0.5787513693984998</v>
      </c>
      <c r="J147" s="207" t="s">
        <v>118</v>
      </c>
      <c r="K147" s="207">
        <f t="shared" si="21"/>
        <v>0</v>
      </c>
      <c r="L147" s="207">
        <f t="shared" si="33"/>
        <v>1</v>
      </c>
      <c r="M147" s="207">
        <f t="shared" si="26"/>
        <v>0</v>
      </c>
      <c r="N147" s="207"/>
      <c r="P147" s="135" t="s">
        <v>137</v>
      </c>
      <c r="Q147" s="136">
        <v>2</v>
      </c>
      <c r="R147" s="138">
        <v>2</v>
      </c>
      <c r="S147" s="121" t="s">
        <v>141</v>
      </c>
    </row>
    <row r="148" spans="1:19" x14ac:dyDescent="0.3">
      <c r="A148" s="202">
        <v>26</v>
      </c>
      <c r="B148" s="207">
        <v>1030</v>
      </c>
      <c r="C148" s="204">
        <f t="shared" si="52"/>
        <v>-192</v>
      </c>
      <c r="D148" s="204">
        <f t="shared" si="53"/>
        <v>498</v>
      </c>
      <c r="E148" s="207">
        <v>194</v>
      </c>
      <c r="F148" s="207">
        <v>58</v>
      </c>
      <c r="G148" s="208">
        <f xml:space="preserve"> LOG(6.13079813061928)</f>
        <v>0.78751701630641091</v>
      </c>
      <c r="H148" s="206">
        <f t="shared" si="51"/>
        <v>6.1307981306192803</v>
      </c>
      <c r="I148" s="206">
        <f t="shared" si="34"/>
        <v>-15.635711197950428</v>
      </c>
      <c r="J148" s="207" t="s">
        <v>118</v>
      </c>
      <c r="K148" s="207">
        <f t="shared" si="21"/>
        <v>0</v>
      </c>
      <c r="L148" s="207">
        <f t="shared" si="33"/>
        <v>1</v>
      </c>
      <c r="M148" s="207">
        <f t="shared" si="26"/>
        <v>0</v>
      </c>
      <c r="N148" s="207"/>
      <c r="P148" s="139" t="s">
        <v>138</v>
      </c>
      <c r="Q148" s="140">
        <v>2</v>
      </c>
      <c r="R148" s="140">
        <v>4</v>
      </c>
      <c r="S148" s="121" t="s">
        <v>142</v>
      </c>
    </row>
    <row r="149" spans="1:19" x14ac:dyDescent="0.3">
      <c r="A149" s="202">
        <v>30</v>
      </c>
      <c r="B149" s="209">
        <v>955</v>
      </c>
      <c r="C149" s="204">
        <f t="shared" si="52"/>
        <v>-75</v>
      </c>
      <c r="D149" s="204">
        <f t="shared" si="53"/>
        <v>-395</v>
      </c>
      <c r="E149" s="210">
        <v>205</v>
      </c>
      <c r="F149" s="210">
        <v>48</v>
      </c>
      <c r="G149" s="211">
        <v>2.0174156659298532</v>
      </c>
      <c r="H149" s="206">
        <f t="shared" si="51"/>
        <v>104.09159563025656</v>
      </c>
      <c r="I149" s="206">
        <f t="shared" si="34"/>
        <v>97.96079749963728</v>
      </c>
      <c r="J149" s="207" t="s">
        <v>118</v>
      </c>
      <c r="K149" s="207">
        <f t="shared" si="21"/>
        <v>0</v>
      </c>
      <c r="L149" s="207">
        <f t="shared" si="33"/>
        <v>0</v>
      </c>
      <c r="M149" s="207">
        <f t="shared" si="26"/>
        <v>1</v>
      </c>
      <c r="N149" s="207"/>
      <c r="P149" s="132" t="s">
        <v>140</v>
      </c>
      <c r="Q149" s="121" t="s">
        <v>143</v>
      </c>
      <c r="R149" s="121" t="s">
        <v>144</v>
      </c>
    </row>
    <row r="150" spans="1:19" x14ac:dyDescent="0.3">
      <c r="A150" s="202">
        <v>31</v>
      </c>
      <c r="B150" s="207">
        <v>1200</v>
      </c>
      <c r="C150" s="204">
        <f t="shared" si="52"/>
        <v>245</v>
      </c>
      <c r="D150" s="204">
        <f t="shared" si="53"/>
        <v>-22</v>
      </c>
      <c r="E150" s="212">
        <v>226</v>
      </c>
      <c r="F150" s="212">
        <v>42</v>
      </c>
      <c r="G150" s="211">
        <v>2.04343606895912</v>
      </c>
      <c r="H150" s="206">
        <f t="shared" si="51"/>
        <v>110.51877664060014</v>
      </c>
      <c r="I150" s="206">
        <f t="shared" si="34"/>
        <v>6.427181010343574</v>
      </c>
      <c r="J150" s="207" t="s">
        <v>118</v>
      </c>
      <c r="K150" s="207">
        <f t="shared" si="21"/>
        <v>1</v>
      </c>
      <c r="L150" s="207">
        <f t="shared" si="33"/>
        <v>0</v>
      </c>
      <c r="M150" s="207">
        <f t="shared" si="26"/>
        <v>1</v>
      </c>
      <c r="N150" s="207"/>
      <c r="P150" s="133" t="s">
        <v>130</v>
      </c>
      <c r="Q150" s="121" t="s">
        <v>145</v>
      </c>
      <c r="S150">
        <f>Q147/(R147+Q147)</f>
        <v>0.5</v>
      </c>
    </row>
    <row r="151" spans="1:19" x14ac:dyDescent="0.3">
      <c r="A151" s="202">
        <v>32</v>
      </c>
      <c r="B151" s="207">
        <v>1490</v>
      </c>
      <c r="C151" s="204">
        <f t="shared" si="52"/>
        <v>290</v>
      </c>
      <c r="D151" s="204">
        <f t="shared" si="53"/>
        <v>460</v>
      </c>
      <c r="E151" s="212">
        <v>214</v>
      </c>
      <c r="F151" s="212">
        <v>48</v>
      </c>
      <c r="G151" s="211">
        <v>2.5220180816140765</v>
      </c>
      <c r="H151" s="206">
        <f t="shared" si="51"/>
        <v>332.67340368154134</v>
      </c>
      <c r="I151" s="206">
        <f t="shared" si="34"/>
        <v>222.15462704094119</v>
      </c>
      <c r="J151" s="207" t="s">
        <v>118</v>
      </c>
      <c r="K151" s="207">
        <f t="shared" ref="K151:K237" si="54">IF(C151&gt;0, 1,0)</f>
        <v>1</v>
      </c>
      <c r="L151" s="207">
        <f t="shared" si="33"/>
        <v>1</v>
      </c>
      <c r="M151" s="207">
        <f t="shared" si="26"/>
        <v>1</v>
      </c>
      <c r="N151" s="207"/>
      <c r="P151" s="133" t="s">
        <v>135</v>
      </c>
      <c r="Q151" s="121" t="s">
        <v>176</v>
      </c>
      <c r="S151">
        <f>R148/(Q148+R148)</f>
        <v>0.66666666666666663</v>
      </c>
    </row>
    <row r="152" spans="1:19" x14ac:dyDescent="0.3">
      <c r="A152" s="202">
        <v>33</v>
      </c>
      <c r="B152" s="209">
        <v>1916</v>
      </c>
      <c r="C152" s="204">
        <f t="shared" si="52"/>
        <v>426</v>
      </c>
      <c r="D152" s="204">
        <f t="shared" si="53"/>
        <v>961</v>
      </c>
      <c r="E152" s="210">
        <v>272</v>
      </c>
      <c r="F152" s="210">
        <v>48</v>
      </c>
      <c r="G152" s="211">
        <v>1.4706124393485056</v>
      </c>
      <c r="H152" s="206">
        <f t="shared" si="51"/>
        <v>29.55373939202757</v>
      </c>
      <c r="I152" s="206">
        <f t="shared" si="34"/>
        <v>-303.11966428951376</v>
      </c>
      <c r="J152" s="207" t="s">
        <v>118</v>
      </c>
      <c r="K152" s="207">
        <f t="shared" si="54"/>
        <v>1</v>
      </c>
      <c r="L152" s="207">
        <f t="shared" si="33"/>
        <v>1</v>
      </c>
      <c r="M152" s="207">
        <f t="shared" si="26"/>
        <v>0</v>
      </c>
      <c r="N152" s="207"/>
      <c r="P152" s="133" t="s">
        <v>146</v>
      </c>
      <c r="Q152" s="122" t="s">
        <v>147</v>
      </c>
      <c r="S152">
        <f>1-S151</f>
        <v>0.33333333333333337</v>
      </c>
    </row>
    <row r="153" spans="1:19" x14ac:dyDescent="0.3">
      <c r="A153" s="202">
        <v>34</v>
      </c>
      <c r="B153" s="207">
        <v>1965</v>
      </c>
      <c r="C153" s="204">
        <f t="shared" si="52"/>
        <v>49</v>
      </c>
      <c r="D153" s="204">
        <f t="shared" si="53"/>
        <v>765</v>
      </c>
      <c r="E153" s="212">
        <v>278</v>
      </c>
      <c r="F153" s="212">
        <v>43</v>
      </c>
      <c r="G153" s="211">
        <v>1.637181321319529</v>
      </c>
      <c r="H153" s="206">
        <f t="shared" si="51"/>
        <v>43.369191033499618</v>
      </c>
      <c r="I153" s="206">
        <f t="shared" si="34"/>
        <v>13.815451641472048</v>
      </c>
      <c r="J153" s="207" t="s">
        <v>118</v>
      </c>
      <c r="K153" s="207">
        <f t="shared" si="54"/>
        <v>1</v>
      </c>
      <c r="L153" s="207">
        <f t="shared" si="33"/>
        <v>1</v>
      </c>
      <c r="M153" s="207">
        <f t="shared" si="26"/>
        <v>1</v>
      </c>
      <c r="N153" s="207">
        <f>3/5*100</f>
        <v>60</v>
      </c>
    </row>
    <row r="154" spans="1:19" x14ac:dyDescent="0.3">
      <c r="A154" s="202">
        <v>43</v>
      </c>
      <c r="B154" s="207">
        <v>54</v>
      </c>
      <c r="C154" s="204">
        <f t="shared" ref="C154:C157" si="55">B154-B153</f>
        <v>-1911</v>
      </c>
      <c r="D154" s="204">
        <f t="shared" ref="D154:D157" si="56">B154-B151</f>
        <v>-1436</v>
      </c>
      <c r="E154" s="212">
        <v>278</v>
      </c>
      <c r="F154" s="212">
        <v>43</v>
      </c>
      <c r="G154" s="211">
        <v>0.19451799295493144</v>
      </c>
      <c r="H154" s="206">
        <f t="shared" si="51"/>
        <v>1.5650131568616752</v>
      </c>
      <c r="I154" s="206">
        <f t="shared" ref="I154:I157" si="57">H154-H153</f>
        <v>-41.804177876637944</v>
      </c>
      <c r="J154" s="207" t="s">
        <v>118</v>
      </c>
      <c r="K154" s="207">
        <f t="shared" ref="K154:K157" si="58">IF(C154&gt;0, 1,0)</f>
        <v>0</v>
      </c>
      <c r="L154" s="207">
        <f t="shared" ref="L154:L157" si="59">IF((D154&gt;0),1,0)</f>
        <v>0</v>
      </c>
      <c r="M154" s="207">
        <f t="shared" ref="M154:M157" si="60">IF((I154&gt;0), 1,0)</f>
        <v>0</v>
      </c>
      <c r="N154" s="207"/>
    </row>
    <row r="155" spans="1:19" x14ac:dyDescent="0.3">
      <c r="A155" s="202">
        <v>44</v>
      </c>
      <c r="B155" s="207">
        <v>49</v>
      </c>
      <c r="C155" s="204">
        <f t="shared" si="55"/>
        <v>-5</v>
      </c>
      <c r="D155" s="204">
        <f t="shared" si="56"/>
        <v>-1867</v>
      </c>
      <c r="E155" s="212">
        <v>278</v>
      </c>
      <c r="F155" s="212">
        <v>43</v>
      </c>
      <c r="G155" s="211">
        <v>0.7033672563235287</v>
      </c>
      <c r="H155" s="206">
        <f t="shared" si="51"/>
        <v>5.0508823930000784</v>
      </c>
      <c r="I155" s="206">
        <f t="shared" si="57"/>
        <v>3.4858692361384032</v>
      </c>
      <c r="J155" s="207" t="s">
        <v>118</v>
      </c>
      <c r="K155" s="207">
        <f t="shared" si="58"/>
        <v>0</v>
      </c>
      <c r="L155" s="207">
        <f t="shared" si="59"/>
        <v>0</v>
      </c>
      <c r="M155" s="207">
        <f t="shared" si="60"/>
        <v>1</v>
      </c>
      <c r="N155" s="207"/>
    </row>
    <row r="156" spans="1:19" x14ac:dyDescent="0.3">
      <c r="A156" s="202">
        <v>45</v>
      </c>
      <c r="B156" s="207">
        <v>47</v>
      </c>
      <c r="C156" s="204">
        <f t="shared" si="55"/>
        <v>-2</v>
      </c>
      <c r="D156" s="204">
        <f t="shared" si="56"/>
        <v>-1918</v>
      </c>
      <c r="E156" s="212">
        <v>278</v>
      </c>
      <c r="F156" s="212">
        <v>43</v>
      </c>
      <c r="G156" s="211">
        <v>0.50061399781974025</v>
      </c>
      <c r="H156" s="206">
        <f t="shared" si="51"/>
        <v>3.1667515939595754</v>
      </c>
      <c r="I156" s="206">
        <f t="shared" si="57"/>
        <v>-1.884130799040503</v>
      </c>
      <c r="J156" s="207" t="s">
        <v>118</v>
      </c>
      <c r="K156" s="207">
        <f t="shared" si="58"/>
        <v>0</v>
      </c>
      <c r="L156" s="207">
        <f t="shared" si="59"/>
        <v>0</v>
      </c>
      <c r="M156" s="207">
        <f t="shared" si="60"/>
        <v>0</v>
      </c>
      <c r="N156" s="207"/>
    </row>
    <row r="157" spans="1:19" x14ac:dyDescent="0.3">
      <c r="A157" s="202">
        <v>46</v>
      </c>
      <c r="B157" s="207">
        <v>34</v>
      </c>
      <c r="C157" s="204">
        <f t="shared" si="55"/>
        <v>-13</v>
      </c>
      <c r="D157" s="204">
        <f t="shared" si="56"/>
        <v>-20</v>
      </c>
      <c r="E157" s="212">
        <v>278</v>
      </c>
      <c r="F157" s="212">
        <v>43</v>
      </c>
      <c r="G157" s="211">
        <v>0</v>
      </c>
      <c r="H157" s="206">
        <f t="shared" si="51"/>
        <v>1</v>
      </c>
      <c r="I157" s="206">
        <f t="shared" si="57"/>
        <v>-2.1667515939595754</v>
      </c>
      <c r="J157" s="207" t="s">
        <v>118</v>
      </c>
      <c r="K157" s="207">
        <f t="shared" si="58"/>
        <v>0</v>
      </c>
      <c r="L157" s="207">
        <f t="shared" si="59"/>
        <v>0</v>
      </c>
      <c r="M157" s="207">
        <f t="shared" si="60"/>
        <v>0</v>
      </c>
      <c r="N157" s="207"/>
    </row>
    <row r="158" spans="1:19" x14ac:dyDescent="0.3">
      <c r="A158" s="202">
        <v>47</v>
      </c>
      <c r="B158" s="207">
        <v>37</v>
      </c>
      <c r="C158" s="204">
        <f t="shared" ref="C158" si="61">B158-B157</f>
        <v>3</v>
      </c>
      <c r="D158" s="204">
        <f t="shared" ref="D158" si="62">B158-B155</f>
        <v>-12</v>
      </c>
      <c r="E158" s="212">
        <v>278</v>
      </c>
      <c r="F158" s="212">
        <v>43</v>
      </c>
      <c r="G158" s="211">
        <v>0</v>
      </c>
      <c r="H158" s="206">
        <f t="shared" ref="H158" si="63">10^G158</f>
        <v>1</v>
      </c>
      <c r="I158" s="206">
        <f t="shared" ref="I158" si="64">H158-H157</f>
        <v>0</v>
      </c>
      <c r="J158" s="207" t="s">
        <v>118</v>
      </c>
      <c r="K158" s="207">
        <f t="shared" ref="K158" si="65">IF(C158&gt;0, 1,0)</f>
        <v>1</v>
      </c>
      <c r="L158" s="207">
        <f t="shared" ref="L158" si="66">IF((D158&gt;0),1,0)</f>
        <v>0</v>
      </c>
      <c r="M158" s="207">
        <f t="shared" ref="M158" si="67">IF((I158&gt;0), 1,0)</f>
        <v>0</v>
      </c>
      <c r="N158" s="207"/>
    </row>
    <row r="159" spans="1:19" x14ac:dyDescent="0.3">
      <c r="A159" s="41"/>
      <c r="B159" s="97"/>
      <c r="C159" s="23"/>
      <c r="D159" s="23"/>
      <c r="E159" s="99"/>
      <c r="F159" s="99"/>
      <c r="G159" s="93"/>
      <c r="H159" s="98"/>
      <c r="I159" s="98"/>
      <c r="J159" s="97"/>
      <c r="K159" s="97"/>
    </row>
    <row r="160" spans="1:19" x14ac:dyDescent="0.3">
      <c r="A160" s="213">
        <v>10</v>
      </c>
      <c r="B160" s="214">
        <v>544</v>
      </c>
      <c r="C160" s="213"/>
      <c r="D160" s="213"/>
      <c r="E160" s="214">
        <v>233</v>
      </c>
      <c r="F160" s="214">
        <v>31</v>
      </c>
      <c r="G160" s="215">
        <f>LOG(47.0172775035002)</f>
        <v>1.6722574780548045</v>
      </c>
      <c r="H160" s="216">
        <f t="shared" ref="H160:H181" si="68">10^G160</f>
        <v>47.017277503500232</v>
      </c>
      <c r="I160" s="216"/>
      <c r="J160" s="217" t="s">
        <v>117</v>
      </c>
      <c r="K160" s="217">
        <f t="shared" si="54"/>
        <v>0</v>
      </c>
      <c r="L160" s="217"/>
      <c r="M160" s="217"/>
      <c r="N160" s="217"/>
    </row>
    <row r="161" spans="1:19" x14ac:dyDescent="0.3">
      <c r="A161" s="213">
        <v>15</v>
      </c>
      <c r="B161" s="214">
        <v>589</v>
      </c>
      <c r="C161" s="213">
        <f t="shared" ref="C161:C170" si="69">B161-B160</f>
        <v>45</v>
      </c>
      <c r="D161" s="213"/>
      <c r="E161" s="214">
        <v>158</v>
      </c>
      <c r="F161" s="214">
        <v>17</v>
      </c>
      <c r="G161" s="218">
        <f xml:space="preserve"> LOG(3.23454640349563)</f>
        <v>0.50981338600287429</v>
      </c>
      <c r="H161" s="216">
        <f t="shared" si="68"/>
        <v>3.2345464034956306</v>
      </c>
      <c r="I161" s="216">
        <f t="shared" si="34"/>
        <v>-43.782731100004604</v>
      </c>
      <c r="J161" s="217" t="s">
        <v>117</v>
      </c>
      <c r="K161" s="217">
        <f t="shared" si="54"/>
        <v>1</v>
      </c>
      <c r="L161" s="217"/>
      <c r="M161" s="217">
        <f t="shared" si="26"/>
        <v>0</v>
      </c>
      <c r="N161" s="217"/>
    </row>
    <row r="162" spans="1:19" x14ac:dyDescent="0.3">
      <c r="A162" s="213">
        <v>19</v>
      </c>
      <c r="B162" s="214">
        <v>975</v>
      </c>
      <c r="C162" s="213">
        <f t="shared" si="69"/>
        <v>386</v>
      </c>
      <c r="D162" s="213"/>
      <c r="E162" s="214">
        <v>204</v>
      </c>
      <c r="F162" s="214">
        <v>24</v>
      </c>
      <c r="G162" s="218">
        <f xml:space="preserve"> LOG(1.23644270459)</f>
        <v>9.2173996429689778E-2</v>
      </c>
      <c r="H162" s="216">
        <f t="shared" si="68"/>
        <v>1.2364427045899999</v>
      </c>
      <c r="I162" s="216">
        <f t="shared" si="34"/>
        <v>-1.9981036989056307</v>
      </c>
      <c r="J162" s="217" t="s">
        <v>117</v>
      </c>
      <c r="K162" s="217">
        <f t="shared" si="54"/>
        <v>1</v>
      </c>
      <c r="L162" s="217"/>
      <c r="M162" s="217">
        <f t="shared" si="26"/>
        <v>0</v>
      </c>
      <c r="N162" s="217"/>
    </row>
    <row r="163" spans="1:19" x14ac:dyDescent="0.3">
      <c r="A163" s="213">
        <v>22</v>
      </c>
      <c r="B163" s="214">
        <v>1723</v>
      </c>
      <c r="C163" s="213">
        <f t="shared" si="69"/>
        <v>748</v>
      </c>
      <c r="D163" s="213">
        <f t="shared" ref="D163:D170" si="70">B163-B160</f>
        <v>1179</v>
      </c>
      <c r="E163" s="214">
        <v>376</v>
      </c>
      <c r="F163" s="214">
        <v>28</v>
      </c>
      <c r="G163" s="218">
        <f xml:space="preserve"> LOG(67.8730254270592)</f>
        <v>1.8316972082159662</v>
      </c>
      <c r="H163" s="216">
        <f t="shared" si="68"/>
        <v>67.873025427059261</v>
      </c>
      <c r="I163" s="216">
        <f t="shared" si="34"/>
        <v>66.636582722469257</v>
      </c>
      <c r="J163" s="217" t="s">
        <v>117</v>
      </c>
      <c r="K163" s="217">
        <f t="shared" si="54"/>
        <v>1</v>
      </c>
      <c r="L163" s="217">
        <f t="shared" si="33"/>
        <v>1</v>
      </c>
      <c r="M163" s="217">
        <f t="shared" si="26"/>
        <v>1</v>
      </c>
      <c r="N163" s="217"/>
      <c r="P163" s="409" t="s">
        <v>202</v>
      </c>
      <c r="Q163" s="410"/>
      <c r="R163" s="410"/>
    </row>
    <row r="164" spans="1:19" x14ac:dyDescent="0.3">
      <c r="A164" s="213">
        <v>23</v>
      </c>
      <c r="B164" s="214">
        <v>5065</v>
      </c>
      <c r="C164" s="213">
        <f t="shared" si="69"/>
        <v>3342</v>
      </c>
      <c r="D164" s="213">
        <f t="shared" si="70"/>
        <v>4476</v>
      </c>
      <c r="E164" s="214">
        <v>544</v>
      </c>
      <c r="F164" s="214">
        <v>73</v>
      </c>
      <c r="G164" s="218">
        <f xml:space="preserve"> LOG(223.707958143585)</f>
        <v>2.3496814338792391</v>
      </c>
      <c r="H164" s="216">
        <f t="shared" si="68"/>
        <v>223.70795814358513</v>
      </c>
      <c r="I164" s="216">
        <f t="shared" si="34"/>
        <v>155.83493271652588</v>
      </c>
      <c r="J164" s="217" t="s">
        <v>117</v>
      </c>
      <c r="K164" s="217">
        <f t="shared" si="54"/>
        <v>1</v>
      </c>
      <c r="L164" s="217">
        <f t="shared" si="33"/>
        <v>1</v>
      </c>
      <c r="M164" s="217">
        <f t="shared" si="26"/>
        <v>1</v>
      </c>
      <c r="N164" s="217"/>
      <c r="P164" s="401" t="s">
        <v>139</v>
      </c>
      <c r="Q164" s="402" t="s">
        <v>186</v>
      </c>
      <c r="R164" s="402"/>
    </row>
    <row r="165" spans="1:19" x14ac:dyDescent="0.3">
      <c r="A165" s="213">
        <v>25</v>
      </c>
      <c r="B165" s="214">
        <v>5990</v>
      </c>
      <c r="C165" s="213">
        <f t="shared" si="69"/>
        <v>925</v>
      </c>
      <c r="D165" s="213">
        <f t="shared" si="70"/>
        <v>5015</v>
      </c>
      <c r="E165" s="214">
        <v>1077</v>
      </c>
      <c r="F165" s="214">
        <v>133</v>
      </c>
      <c r="G165" s="218">
        <f xml:space="preserve"> LOG(71.9517445077702)</f>
        <v>1.8570413280976914</v>
      </c>
      <c r="H165" s="216">
        <f t="shared" si="68"/>
        <v>71.951744507770272</v>
      </c>
      <c r="I165" s="216">
        <f t="shared" si="34"/>
        <v>-151.75621363581485</v>
      </c>
      <c r="J165" s="217" t="s">
        <v>117</v>
      </c>
      <c r="K165" s="217">
        <f t="shared" si="54"/>
        <v>1</v>
      </c>
      <c r="L165" s="217">
        <f t="shared" si="33"/>
        <v>1</v>
      </c>
      <c r="M165" s="217">
        <f t="shared" si="26"/>
        <v>0</v>
      </c>
      <c r="N165" s="217"/>
      <c r="P165" s="401"/>
      <c r="Q165" s="120" t="s">
        <v>137</v>
      </c>
      <c r="R165" s="137" t="s">
        <v>138</v>
      </c>
      <c r="S165" s="120" t="s">
        <v>140</v>
      </c>
    </row>
    <row r="166" spans="1:19" x14ac:dyDescent="0.3">
      <c r="A166" s="213">
        <v>26</v>
      </c>
      <c r="B166" s="219">
        <v>8417</v>
      </c>
      <c r="C166" s="213">
        <f t="shared" si="69"/>
        <v>2427</v>
      </c>
      <c r="D166" s="213">
        <f t="shared" si="70"/>
        <v>6694</v>
      </c>
      <c r="E166" s="219">
        <v>1340</v>
      </c>
      <c r="F166" s="219">
        <v>183</v>
      </c>
      <c r="G166" s="218">
        <f xml:space="preserve"> LOG(61.1092752339889)</f>
        <v>1.7861071329466987</v>
      </c>
      <c r="H166" s="216">
        <f t="shared" si="68"/>
        <v>61.109275233988903</v>
      </c>
      <c r="I166" s="216">
        <f t="shared" si="34"/>
        <v>-10.842469273781369</v>
      </c>
      <c r="J166" s="217" t="s">
        <v>117</v>
      </c>
      <c r="K166" s="217">
        <f t="shared" si="54"/>
        <v>1</v>
      </c>
      <c r="L166" s="217">
        <f t="shared" si="33"/>
        <v>1</v>
      </c>
      <c r="M166" s="217">
        <f t="shared" si="26"/>
        <v>0</v>
      </c>
      <c r="N166" s="217"/>
      <c r="P166" s="135" t="s">
        <v>137</v>
      </c>
      <c r="Q166" s="136">
        <v>6</v>
      </c>
      <c r="R166" s="138">
        <v>2</v>
      </c>
      <c r="S166" s="121" t="s">
        <v>141</v>
      </c>
    </row>
    <row r="167" spans="1:19" x14ac:dyDescent="0.3">
      <c r="A167" s="213">
        <v>27</v>
      </c>
      <c r="B167" s="219">
        <v>9488</v>
      </c>
      <c r="C167" s="213">
        <f t="shared" si="69"/>
        <v>1071</v>
      </c>
      <c r="D167" s="213">
        <f t="shared" si="70"/>
        <v>4423</v>
      </c>
      <c r="E167" s="219">
        <v>1679</v>
      </c>
      <c r="F167" s="219">
        <v>268</v>
      </c>
      <c r="G167" s="215">
        <f xml:space="preserve"> LOG(80.8160353680046)</f>
        <v>1.9074975412312059</v>
      </c>
      <c r="H167" s="216">
        <f t="shared" si="68"/>
        <v>80.816035368004606</v>
      </c>
      <c r="I167" s="216">
        <f t="shared" si="34"/>
        <v>19.706760134015703</v>
      </c>
      <c r="J167" s="217" t="s">
        <v>117</v>
      </c>
      <c r="K167" s="217">
        <f t="shared" si="54"/>
        <v>1</v>
      </c>
      <c r="L167" s="217">
        <f t="shared" si="33"/>
        <v>1</v>
      </c>
      <c r="M167" s="217">
        <f t="shared" si="26"/>
        <v>1</v>
      </c>
      <c r="N167" s="217"/>
      <c r="P167" s="139" t="s">
        <v>138</v>
      </c>
      <c r="Q167" s="140">
        <v>3</v>
      </c>
      <c r="R167" s="140">
        <v>7</v>
      </c>
      <c r="S167" s="121" t="s">
        <v>142</v>
      </c>
    </row>
    <row r="168" spans="1:19" x14ac:dyDescent="0.3">
      <c r="A168" s="213">
        <v>28</v>
      </c>
      <c r="B168" s="219">
        <v>9806</v>
      </c>
      <c r="C168" s="213">
        <f t="shared" si="69"/>
        <v>318</v>
      </c>
      <c r="D168" s="213">
        <f t="shared" si="70"/>
        <v>3816</v>
      </c>
      <c r="E168" s="219">
        <v>1980</v>
      </c>
      <c r="F168" s="219">
        <v>362</v>
      </c>
      <c r="G168" s="215">
        <f xml:space="preserve"> LOG(71.2302704246677)</f>
        <v>1.8526645931402734</v>
      </c>
      <c r="H168" s="216">
        <f t="shared" si="68"/>
        <v>71.230270424667722</v>
      </c>
      <c r="I168" s="216">
        <f t="shared" si="34"/>
        <v>-9.5857649433368834</v>
      </c>
      <c r="J168" s="217" t="s">
        <v>117</v>
      </c>
      <c r="K168" s="217">
        <f t="shared" si="54"/>
        <v>1</v>
      </c>
      <c r="L168" s="217">
        <f t="shared" si="33"/>
        <v>1</v>
      </c>
      <c r="M168" s="217">
        <f t="shared" si="26"/>
        <v>0</v>
      </c>
      <c r="N168" s="217"/>
      <c r="P168" s="132" t="s">
        <v>140</v>
      </c>
      <c r="Q168" s="121" t="s">
        <v>143</v>
      </c>
      <c r="R168" s="121" t="s">
        <v>144</v>
      </c>
    </row>
    <row r="169" spans="1:19" x14ac:dyDescent="0.3">
      <c r="A169" s="213">
        <v>30</v>
      </c>
      <c r="B169" s="220">
        <v>13206</v>
      </c>
      <c r="C169" s="213">
        <f t="shared" si="69"/>
        <v>3400</v>
      </c>
      <c r="D169" s="213">
        <f t="shared" si="70"/>
        <v>4789</v>
      </c>
      <c r="E169" s="220">
        <v>2389</v>
      </c>
      <c r="F169" s="220">
        <v>439</v>
      </c>
      <c r="G169" s="215">
        <v>2.1283274659739444</v>
      </c>
      <c r="H169" s="216">
        <f t="shared" si="68"/>
        <v>134.37778122571049</v>
      </c>
      <c r="I169" s="216">
        <f t="shared" si="34"/>
        <v>63.14751080104277</v>
      </c>
      <c r="J169" s="217" t="s">
        <v>117</v>
      </c>
      <c r="K169" s="217">
        <f t="shared" si="54"/>
        <v>1</v>
      </c>
      <c r="L169" s="217">
        <f t="shared" si="33"/>
        <v>1</v>
      </c>
      <c r="M169" s="217">
        <f t="shared" si="26"/>
        <v>1</v>
      </c>
      <c r="N169" s="217"/>
      <c r="P169" s="133" t="s">
        <v>130</v>
      </c>
      <c r="Q169" s="121" t="s">
        <v>145</v>
      </c>
      <c r="S169">
        <f>Q166/(R166+Q166)</f>
        <v>0.75</v>
      </c>
    </row>
    <row r="170" spans="1:19" x14ac:dyDescent="0.3">
      <c r="A170" s="213">
        <v>31</v>
      </c>
      <c r="B170" s="220">
        <v>14051</v>
      </c>
      <c r="C170" s="213">
        <f t="shared" si="69"/>
        <v>845</v>
      </c>
      <c r="D170" s="213">
        <f t="shared" si="70"/>
        <v>4563</v>
      </c>
      <c r="E170" s="220">
        <v>2322</v>
      </c>
      <c r="F170" s="220">
        <v>461</v>
      </c>
      <c r="G170" s="215">
        <v>2.237015341744891</v>
      </c>
      <c r="H170" s="216">
        <f t="shared" si="68"/>
        <v>172.58988594522287</v>
      </c>
      <c r="I170" s="216">
        <f t="shared" si="34"/>
        <v>38.212104719512382</v>
      </c>
      <c r="J170" s="217" t="s">
        <v>117</v>
      </c>
      <c r="K170" s="217">
        <f t="shared" si="54"/>
        <v>1</v>
      </c>
      <c r="L170" s="217">
        <f t="shared" si="33"/>
        <v>1</v>
      </c>
      <c r="M170" s="217">
        <f t="shared" si="26"/>
        <v>1</v>
      </c>
      <c r="N170" s="217">
        <v>100</v>
      </c>
      <c r="P170" s="133" t="s">
        <v>135</v>
      </c>
      <c r="Q170" s="121" t="s">
        <v>176</v>
      </c>
      <c r="S170">
        <f>R167/(Q167+R167)</f>
        <v>0.7</v>
      </c>
    </row>
    <row r="171" spans="1:19" x14ac:dyDescent="0.3">
      <c r="A171" s="213">
        <v>32</v>
      </c>
      <c r="B171" s="220">
        <v>12314</v>
      </c>
      <c r="C171" s="213">
        <f t="shared" ref="C171:C181" si="71">B171-B170</f>
        <v>-1737</v>
      </c>
      <c r="D171" s="213">
        <f t="shared" ref="D171:D181" si="72">B171-B168</f>
        <v>2508</v>
      </c>
      <c r="E171" s="220">
        <v>2322</v>
      </c>
      <c r="F171" s="220">
        <v>461</v>
      </c>
      <c r="G171" s="215">
        <v>2.2905354215254201</v>
      </c>
      <c r="H171" s="216">
        <f t="shared" si="68"/>
        <v>195.22499551578457</v>
      </c>
      <c r="I171" s="216">
        <f t="shared" ref="I171:I181" si="73">H171-H170</f>
        <v>22.635109570561696</v>
      </c>
      <c r="J171" s="217" t="s">
        <v>117</v>
      </c>
      <c r="K171" s="217">
        <f t="shared" ref="K171:K181" si="74">IF(C171&gt;0, 1,0)</f>
        <v>0</v>
      </c>
      <c r="L171" s="217">
        <f t="shared" ref="L171:L181" si="75">IF((D171&gt;0),1,0)</f>
        <v>1</v>
      </c>
      <c r="M171" s="217">
        <f t="shared" ref="M171:M181" si="76">IF((I171&gt;0), 1,0)</f>
        <v>1</v>
      </c>
      <c r="N171" s="217"/>
      <c r="P171" s="133" t="s">
        <v>146</v>
      </c>
      <c r="Q171" s="122" t="s">
        <v>147</v>
      </c>
      <c r="S171">
        <f>1-S170</f>
        <v>0.30000000000000004</v>
      </c>
    </row>
    <row r="172" spans="1:19" x14ac:dyDescent="0.3">
      <c r="A172" s="213">
        <v>33</v>
      </c>
      <c r="B172" s="220">
        <v>11927</v>
      </c>
      <c r="C172" s="213">
        <f t="shared" si="71"/>
        <v>-387</v>
      </c>
      <c r="D172" s="213">
        <f t="shared" si="72"/>
        <v>-1279</v>
      </c>
      <c r="E172" s="220">
        <v>2322</v>
      </c>
      <c r="F172" s="220">
        <v>461</v>
      </c>
      <c r="G172" s="215">
        <v>2.5209871240588804</v>
      </c>
      <c r="H172" s="216">
        <f t="shared" si="68"/>
        <v>331.8846177081673</v>
      </c>
      <c r="I172" s="216">
        <f t="shared" si="73"/>
        <v>136.65962219238273</v>
      </c>
      <c r="J172" s="217" t="s">
        <v>117</v>
      </c>
      <c r="K172" s="217">
        <f t="shared" si="74"/>
        <v>0</v>
      </c>
      <c r="L172" s="217">
        <f t="shared" si="75"/>
        <v>0</v>
      </c>
      <c r="M172" s="217">
        <f t="shared" si="76"/>
        <v>1</v>
      </c>
      <c r="N172" s="217"/>
    </row>
    <row r="173" spans="1:19" s="157" customFormat="1" x14ac:dyDescent="0.3">
      <c r="A173" s="221">
        <v>34</v>
      </c>
      <c r="B173" s="222">
        <v>9044</v>
      </c>
      <c r="C173" s="213">
        <f t="shared" si="71"/>
        <v>-2883</v>
      </c>
      <c r="D173" s="213">
        <f t="shared" si="72"/>
        <v>-5007</v>
      </c>
      <c r="E173" s="220">
        <v>2322</v>
      </c>
      <c r="F173" s="220">
        <v>461</v>
      </c>
      <c r="G173" s="215">
        <v>1.9740841374220843</v>
      </c>
      <c r="H173" s="216">
        <f t="shared" si="68"/>
        <v>94.207208983752224</v>
      </c>
      <c r="I173" s="216">
        <f t="shared" si="73"/>
        <v>-237.67740872441507</v>
      </c>
      <c r="J173" s="217" t="s">
        <v>117</v>
      </c>
      <c r="K173" s="217">
        <f t="shared" si="74"/>
        <v>0</v>
      </c>
      <c r="L173" s="217">
        <f t="shared" si="75"/>
        <v>0</v>
      </c>
      <c r="M173" s="217">
        <f t="shared" si="76"/>
        <v>0</v>
      </c>
      <c r="N173" s="223"/>
    </row>
    <row r="174" spans="1:19" x14ac:dyDescent="0.3">
      <c r="A174" s="213">
        <v>35</v>
      </c>
      <c r="B174" s="220">
        <v>5799</v>
      </c>
      <c r="C174" s="213">
        <f t="shared" si="71"/>
        <v>-3245</v>
      </c>
      <c r="D174" s="213">
        <f t="shared" si="72"/>
        <v>-6515</v>
      </c>
      <c r="E174" s="220">
        <v>2322</v>
      </c>
      <c r="F174" s="220">
        <v>461</v>
      </c>
      <c r="G174" s="215">
        <v>1.9724400840666767</v>
      </c>
      <c r="H174" s="216">
        <f t="shared" si="68"/>
        <v>93.851254910838833</v>
      </c>
      <c r="I174" s="216">
        <f t="shared" si="73"/>
        <v>-0.35595407291339143</v>
      </c>
      <c r="J174" s="217" t="s">
        <v>117</v>
      </c>
      <c r="K174" s="217">
        <f t="shared" si="74"/>
        <v>0</v>
      </c>
      <c r="L174" s="217">
        <f t="shared" si="75"/>
        <v>0</v>
      </c>
      <c r="M174" s="217">
        <f t="shared" si="76"/>
        <v>0</v>
      </c>
      <c r="N174" s="217"/>
    </row>
    <row r="175" spans="1:19" x14ac:dyDescent="0.3">
      <c r="A175" s="213">
        <v>36</v>
      </c>
      <c r="B175" s="220">
        <v>3989</v>
      </c>
      <c r="C175" s="213">
        <f t="shared" si="71"/>
        <v>-1810</v>
      </c>
      <c r="D175" s="213">
        <f t="shared" si="72"/>
        <v>-7938</v>
      </c>
      <c r="E175" s="220">
        <v>2322</v>
      </c>
      <c r="F175" s="220">
        <v>461</v>
      </c>
      <c r="G175" s="215">
        <v>1.7814519122455588</v>
      </c>
      <c r="H175" s="216">
        <f t="shared" si="68"/>
        <v>60.457740511213053</v>
      </c>
      <c r="I175" s="216">
        <f t="shared" si="73"/>
        <v>-33.393514399625779</v>
      </c>
      <c r="J175" s="217" t="s">
        <v>117</v>
      </c>
      <c r="K175" s="217">
        <f t="shared" si="74"/>
        <v>0</v>
      </c>
      <c r="L175" s="217">
        <f t="shared" si="75"/>
        <v>0</v>
      </c>
      <c r="M175" s="217">
        <f t="shared" si="76"/>
        <v>0</v>
      </c>
      <c r="N175" s="217"/>
    </row>
    <row r="176" spans="1:19" x14ac:dyDescent="0.3">
      <c r="A176" s="213">
        <v>37</v>
      </c>
      <c r="B176" s="220">
        <v>2376</v>
      </c>
      <c r="C176" s="213">
        <f t="shared" si="71"/>
        <v>-1613</v>
      </c>
      <c r="D176" s="213">
        <f t="shared" si="72"/>
        <v>-6668</v>
      </c>
      <c r="E176" s="220">
        <v>2322</v>
      </c>
      <c r="F176" s="220">
        <v>461</v>
      </c>
      <c r="G176" s="215">
        <v>1.2772306657702188</v>
      </c>
      <c r="H176" s="216">
        <f t="shared" si="68"/>
        <v>18.93348961460347</v>
      </c>
      <c r="I176" s="216">
        <f t="shared" si="73"/>
        <v>-41.524250896609587</v>
      </c>
      <c r="J176" s="217" t="s">
        <v>117</v>
      </c>
      <c r="K176" s="217">
        <f t="shared" si="74"/>
        <v>0</v>
      </c>
      <c r="L176" s="217">
        <f t="shared" si="75"/>
        <v>0</v>
      </c>
      <c r="M176" s="217">
        <f t="shared" si="76"/>
        <v>0</v>
      </c>
      <c r="N176" s="217"/>
    </row>
    <row r="177" spans="1:20" x14ac:dyDescent="0.3">
      <c r="A177" s="213">
        <v>38</v>
      </c>
      <c r="B177" s="220">
        <v>1297</v>
      </c>
      <c r="C177" s="213">
        <f t="shared" si="71"/>
        <v>-1079</v>
      </c>
      <c r="D177" s="213">
        <f t="shared" si="72"/>
        <v>-4502</v>
      </c>
      <c r="E177" s="220">
        <v>2322</v>
      </c>
      <c r="F177" s="220">
        <v>461</v>
      </c>
      <c r="G177" s="224">
        <v>1.385388011131808</v>
      </c>
      <c r="H177" s="216">
        <f t="shared" si="68"/>
        <v>24.287790668254004</v>
      </c>
      <c r="I177" s="216">
        <f t="shared" si="73"/>
        <v>5.3543010536505342</v>
      </c>
      <c r="J177" s="217" t="s">
        <v>117</v>
      </c>
      <c r="K177" s="217">
        <f t="shared" si="74"/>
        <v>0</v>
      </c>
      <c r="L177" s="217">
        <f t="shared" si="75"/>
        <v>0</v>
      </c>
      <c r="M177" s="217">
        <f t="shared" si="76"/>
        <v>1</v>
      </c>
      <c r="N177" s="217"/>
    </row>
    <row r="178" spans="1:20" x14ac:dyDescent="0.3">
      <c r="A178" s="213">
        <v>39</v>
      </c>
      <c r="B178" s="220">
        <v>1047</v>
      </c>
      <c r="C178" s="213">
        <f t="shared" si="71"/>
        <v>-250</v>
      </c>
      <c r="D178" s="213">
        <f t="shared" si="72"/>
        <v>-2942</v>
      </c>
      <c r="E178" s="220">
        <v>2322</v>
      </c>
      <c r="F178" s="220">
        <v>461</v>
      </c>
      <c r="G178" s="215">
        <v>1.0439627223204146</v>
      </c>
      <c r="H178" s="216">
        <f t="shared" si="68"/>
        <v>11.065288009692214</v>
      </c>
      <c r="I178" s="216">
        <f t="shared" si="73"/>
        <v>-13.22250265856179</v>
      </c>
      <c r="J178" s="217" t="s">
        <v>117</v>
      </c>
      <c r="K178" s="217">
        <f t="shared" si="74"/>
        <v>0</v>
      </c>
      <c r="L178" s="217">
        <f t="shared" si="75"/>
        <v>0</v>
      </c>
      <c r="M178" s="217">
        <f t="shared" si="76"/>
        <v>0</v>
      </c>
      <c r="N178" s="217"/>
    </row>
    <row r="179" spans="1:20" x14ac:dyDescent="0.3">
      <c r="A179" s="213">
        <v>40</v>
      </c>
      <c r="B179" s="220">
        <v>653</v>
      </c>
      <c r="C179" s="213">
        <f t="shared" si="71"/>
        <v>-394</v>
      </c>
      <c r="D179" s="213">
        <f t="shared" si="72"/>
        <v>-1723</v>
      </c>
      <c r="E179" s="220">
        <v>2322</v>
      </c>
      <c r="F179" s="220">
        <v>461</v>
      </c>
      <c r="G179" s="215">
        <v>1.0079938494116381</v>
      </c>
      <c r="H179" s="216">
        <f t="shared" si="68"/>
        <v>10.185769626072478</v>
      </c>
      <c r="I179" s="216">
        <f t="shared" si="73"/>
        <v>-0.879518383619736</v>
      </c>
      <c r="J179" s="217" t="s">
        <v>117</v>
      </c>
      <c r="K179" s="217">
        <f t="shared" si="74"/>
        <v>0</v>
      </c>
      <c r="L179" s="217">
        <f t="shared" si="75"/>
        <v>0</v>
      </c>
      <c r="M179" s="217">
        <f t="shared" si="76"/>
        <v>0</v>
      </c>
      <c r="N179" s="217"/>
    </row>
    <row r="180" spans="1:20" x14ac:dyDescent="0.3">
      <c r="A180" s="213">
        <v>41</v>
      </c>
      <c r="B180" s="220">
        <v>336</v>
      </c>
      <c r="C180" s="213">
        <f t="shared" si="71"/>
        <v>-317</v>
      </c>
      <c r="D180" s="213">
        <f t="shared" si="72"/>
        <v>-961</v>
      </c>
      <c r="E180" s="220">
        <v>2322</v>
      </c>
      <c r="F180" s="220">
        <v>461</v>
      </c>
      <c r="G180" s="215">
        <v>0.28172093599215903</v>
      </c>
      <c r="H180" s="216">
        <f t="shared" si="68"/>
        <v>1.9130262793326867</v>
      </c>
      <c r="I180" s="216">
        <f t="shared" si="73"/>
        <v>-8.2727433467397908</v>
      </c>
      <c r="J180" s="217" t="s">
        <v>117</v>
      </c>
      <c r="K180" s="217">
        <f t="shared" si="74"/>
        <v>0</v>
      </c>
      <c r="L180" s="217">
        <f t="shared" si="75"/>
        <v>0</v>
      </c>
      <c r="M180" s="217">
        <f t="shared" si="76"/>
        <v>0</v>
      </c>
      <c r="N180" s="217"/>
    </row>
    <row r="181" spans="1:20" ht="15.6" customHeight="1" x14ac:dyDescent="0.3">
      <c r="A181" s="213">
        <v>42</v>
      </c>
      <c r="B181" s="220">
        <v>204</v>
      </c>
      <c r="C181" s="213">
        <f t="shared" si="71"/>
        <v>-132</v>
      </c>
      <c r="D181" s="213">
        <f t="shared" si="72"/>
        <v>-843</v>
      </c>
      <c r="E181" s="220">
        <v>2322</v>
      </c>
      <c r="F181" s="220">
        <v>461</v>
      </c>
      <c r="G181" s="215">
        <v>0.77403899772397955</v>
      </c>
      <c r="H181" s="216">
        <f t="shared" si="68"/>
        <v>5.943455258194283</v>
      </c>
      <c r="I181" s="216">
        <f t="shared" si="73"/>
        <v>4.0304289788615968</v>
      </c>
      <c r="J181" s="217" t="s">
        <v>117</v>
      </c>
      <c r="K181" s="217">
        <f t="shared" si="74"/>
        <v>0</v>
      </c>
      <c r="L181" s="217">
        <f t="shared" si="75"/>
        <v>0</v>
      </c>
      <c r="M181" s="217">
        <f t="shared" si="76"/>
        <v>1</v>
      </c>
      <c r="N181" s="217"/>
    </row>
    <row r="182" spans="1:20" x14ac:dyDescent="0.3">
      <c r="A182" s="23"/>
      <c r="B182" s="99"/>
      <c r="C182" s="23"/>
      <c r="D182" s="23"/>
      <c r="E182" s="99"/>
      <c r="F182" s="99"/>
      <c r="G182" s="93"/>
      <c r="H182" s="98"/>
      <c r="I182" s="98"/>
      <c r="J182" s="97"/>
      <c r="K182" s="97"/>
    </row>
    <row r="183" spans="1:20" x14ac:dyDescent="0.3">
      <c r="A183" s="225">
        <v>10</v>
      </c>
      <c r="B183" s="226">
        <v>544</v>
      </c>
      <c r="C183" s="225"/>
      <c r="D183" s="225"/>
      <c r="E183" s="226">
        <v>233</v>
      </c>
      <c r="F183" s="226">
        <v>31</v>
      </c>
      <c r="G183" s="227">
        <f xml:space="preserve"> LOG(0.600412944141699)</f>
        <v>-0.22154995348953427</v>
      </c>
      <c r="H183" s="228">
        <f>10^G183</f>
        <v>0.60041294414169899</v>
      </c>
      <c r="I183" s="228">
        <f t="shared" si="34"/>
        <v>0.60041294414169899</v>
      </c>
      <c r="J183" s="229" t="s">
        <v>116</v>
      </c>
      <c r="K183" s="229">
        <f t="shared" si="54"/>
        <v>0</v>
      </c>
      <c r="L183" s="229"/>
      <c r="M183" s="229"/>
      <c r="N183" s="229"/>
      <c r="P183" s="411" t="s">
        <v>203</v>
      </c>
      <c r="Q183" s="412"/>
      <c r="R183" s="412"/>
    </row>
    <row r="184" spans="1:20" x14ac:dyDescent="0.3">
      <c r="A184" s="225">
        <v>15</v>
      </c>
      <c r="B184" s="226">
        <v>589</v>
      </c>
      <c r="C184" s="225">
        <f>B184-B183</f>
        <v>45</v>
      </c>
      <c r="D184" s="225"/>
      <c r="E184" s="226">
        <v>158</v>
      </c>
      <c r="F184" s="226">
        <v>17</v>
      </c>
      <c r="G184" s="230">
        <f xml:space="preserve"> LOG(0.770962283927567)</f>
        <v>-0.11296686745201115</v>
      </c>
      <c r="H184" s="228">
        <f>10^G184</f>
        <v>0.77096228392756705</v>
      </c>
      <c r="I184" s="228">
        <f t="shared" si="34"/>
        <v>0.17054933978586806</v>
      </c>
      <c r="J184" s="229" t="s">
        <v>116</v>
      </c>
      <c r="K184" s="229">
        <f t="shared" si="54"/>
        <v>1</v>
      </c>
      <c r="L184" s="229"/>
      <c r="M184" s="229">
        <f t="shared" ref="M184:M238" si="77">IF((I184&gt;0), 1,0)</f>
        <v>1</v>
      </c>
      <c r="N184" s="229"/>
      <c r="P184" s="401" t="s">
        <v>139</v>
      </c>
      <c r="Q184" s="402" t="s">
        <v>186</v>
      </c>
      <c r="R184" s="402"/>
    </row>
    <row r="185" spans="1:20" x14ac:dyDescent="0.3">
      <c r="A185" s="225">
        <v>23</v>
      </c>
      <c r="B185" s="226">
        <v>5065</v>
      </c>
      <c r="C185" s="225">
        <f>B185-B184</f>
        <v>4476</v>
      </c>
      <c r="D185" s="225">
        <f>B185-B170</f>
        <v>-8986</v>
      </c>
      <c r="E185" s="226">
        <v>544</v>
      </c>
      <c r="F185" s="226">
        <v>73</v>
      </c>
      <c r="G185" s="230">
        <f xml:space="preserve"> LOG(8.64799168645119)</f>
        <v>0.93691526344639775</v>
      </c>
      <c r="H185" s="228">
        <f>10^G185</f>
        <v>8.6479916864511921</v>
      </c>
      <c r="I185" s="228">
        <f t="shared" si="34"/>
        <v>7.8770294025236254</v>
      </c>
      <c r="J185" s="229" t="s">
        <v>116</v>
      </c>
      <c r="K185" s="229">
        <f t="shared" si="54"/>
        <v>1</v>
      </c>
      <c r="L185" s="229"/>
      <c r="M185" s="229">
        <f t="shared" si="77"/>
        <v>1</v>
      </c>
      <c r="N185" s="229"/>
      <c r="P185" s="401"/>
      <c r="Q185" s="120" t="s">
        <v>137</v>
      </c>
      <c r="R185" s="137" t="s">
        <v>138</v>
      </c>
      <c r="S185" s="120" t="s">
        <v>140</v>
      </c>
    </row>
    <row r="186" spans="1:20" x14ac:dyDescent="0.3">
      <c r="A186" s="225">
        <v>29</v>
      </c>
      <c r="B186" s="231">
        <v>9258</v>
      </c>
      <c r="C186" s="225">
        <f>B186-B185</f>
        <v>4193</v>
      </c>
      <c r="D186" s="225">
        <f>B186-B183</f>
        <v>8714</v>
      </c>
      <c r="E186" s="231">
        <v>2162</v>
      </c>
      <c r="F186" s="231">
        <v>397</v>
      </c>
      <c r="G186" s="227">
        <f xml:space="preserve"> LOG(8.33152082501626)</f>
        <v>0.92072428419510832</v>
      </c>
      <c r="H186" s="228">
        <f>10^G186</f>
        <v>8.3315208250162609</v>
      </c>
      <c r="I186" s="228">
        <f t="shared" si="34"/>
        <v>-0.31647086143493119</v>
      </c>
      <c r="J186" s="229" t="s">
        <v>116</v>
      </c>
      <c r="K186" s="229">
        <f t="shared" si="54"/>
        <v>1</v>
      </c>
      <c r="L186" s="229">
        <f t="shared" si="33"/>
        <v>1</v>
      </c>
      <c r="M186" s="229">
        <f t="shared" si="77"/>
        <v>0</v>
      </c>
      <c r="N186" s="229"/>
      <c r="P186" s="135" t="s">
        <v>137</v>
      </c>
      <c r="Q186" s="136">
        <v>1</v>
      </c>
      <c r="R186" s="138">
        <v>1</v>
      </c>
      <c r="S186" s="121" t="s">
        <v>141</v>
      </c>
    </row>
    <row r="187" spans="1:20" x14ac:dyDescent="0.3">
      <c r="A187" s="225">
        <v>32</v>
      </c>
      <c r="B187" s="232">
        <v>12314</v>
      </c>
      <c r="C187" s="225">
        <f>B187-B186</f>
        <v>3056</v>
      </c>
      <c r="D187" s="225">
        <f>B187-B184</f>
        <v>11725</v>
      </c>
      <c r="E187" s="232">
        <v>2172</v>
      </c>
      <c r="F187" s="232">
        <v>415</v>
      </c>
      <c r="G187" s="227">
        <v>1.8989129233145936</v>
      </c>
      <c r="H187" s="228">
        <f>10^G187</f>
        <v>79.234244872112654</v>
      </c>
      <c r="I187" s="228">
        <f t="shared" si="34"/>
        <v>70.902724047096399</v>
      </c>
      <c r="J187" s="229" t="s">
        <v>116</v>
      </c>
      <c r="K187" s="229">
        <f t="shared" si="54"/>
        <v>1</v>
      </c>
      <c r="L187" s="229">
        <f t="shared" si="33"/>
        <v>1</v>
      </c>
      <c r="M187" s="229">
        <f t="shared" si="77"/>
        <v>1</v>
      </c>
      <c r="N187" s="229">
        <v>100</v>
      </c>
      <c r="P187" s="139" t="s">
        <v>138</v>
      </c>
      <c r="Q187" s="140">
        <v>0</v>
      </c>
      <c r="R187" s="140">
        <v>0</v>
      </c>
      <c r="S187" s="121" t="s">
        <v>142</v>
      </c>
    </row>
    <row r="188" spans="1:20" x14ac:dyDescent="0.3">
      <c r="A188" s="23"/>
      <c r="B188" s="99"/>
      <c r="C188" s="23"/>
      <c r="D188" s="23"/>
      <c r="E188" s="99"/>
      <c r="F188" s="99"/>
      <c r="G188" s="93"/>
      <c r="H188" s="98"/>
      <c r="I188" s="98"/>
      <c r="J188" s="97"/>
      <c r="K188" s="97"/>
      <c r="P188" s="132" t="s">
        <v>140</v>
      </c>
      <c r="Q188" s="121" t="s">
        <v>143</v>
      </c>
      <c r="R188" s="121" t="s">
        <v>144</v>
      </c>
    </row>
    <row r="189" spans="1:20" x14ac:dyDescent="0.3">
      <c r="A189" s="234">
        <v>23</v>
      </c>
      <c r="B189" s="235">
        <v>146</v>
      </c>
      <c r="C189" s="234"/>
      <c r="D189" s="234"/>
      <c r="E189" s="235">
        <v>23</v>
      </c>
      <c r="F189" s="235">
        <v>2</v>
      </c>
      <c r="G189" s="236">
        <f>LOG(6.76401233186527)</f>
        <v>0.83020439071401819</v>
      </c>
      <c r="H189" s="237">
        <f t="shared" ref="H189:H200" si="78">10^G189</f>
        <v>6.7640123318652723</v>
      </c>
      <c r="I189" s="237"/>
      <c r="J189" s="238" t="s">
        <v>115</v>
      </c>
      <c r="K189" s="238"/>
      <c r="L189" s="238"/>
      <c r="M189" s="238"/>
      <c r="P189" s="133" t="s">
        <v>130</v>
      </c>
      <c r="Q189" s="121" t="s">
        <v>145</v>
      </c>
      <c r="S189">
        <f>Q186/(R186+Q186)</f>
        <v>0.5</v>
      </c>
    </row>
    <row r="190" spans="1:20" x14ac:dyDescent="0.3">
      <c r="A190" s="234">
        <v>24</v>
      </c>
      <c r="B190" s="235">
        <v>233</v>
      </c>
      <c r="C190" s="234">
        <f t="shared" ref="C190:C200" si="79">B190-B189</f>
        <v>87</v>
      </c>
      <c r="D190" s="234"/>
      <c r="E190" s="235">
        <v>34</v>
      </c>
      <c r="F190" s="235">
        <v>1</v>
      </c>
      <c r="G190" s="236">
        <f>LOG(396.812555741291)</f>
        <v>2.598585405424906</v>
      </c>
      <c r="H190" s="237">
        <f t="shared" si="78"/>
        <v>396.81255574129102</v>
      </c>
      <c r="I190" s="237">
        <f t="shared" si="34"/>
        <v>390.04854340942575</v>
      </c>
      <c r="J190" s="238" t="s">
        <v>115</v>
      </c>
      <c r="K190" s="238">
        <f t="shared" si="54"/>
        <v>1</v>
      </c>
      <c r="L190" s="238"/>
      <c r="M190" s="238">
        <f t="shared" si="77"/>
        <v>1</v>
      </c>
      <c r="P190" s="133" t="s">
        <v>135</v>
      </c>
      <c r="Q190" s="121" t="s">
        <v>176</v>
      </c>
      <c r="S190" t="e">
        <f>R187/(Q187+R187)</f>
        <v>#DIV/0!</v>
      </c>
      <c r="T190" t="s">
        <v>204</v>
      </c>
    </row>
    <row r="191" spans="1:20" x14ac:dyDescent="0.3">
      <c r="A191" s="234">
        <v>25</v>
      </c>
      <c r="B191" s="235">
        <v>289</v>
      </c>
      <c r="C191" s="234">
        <f t="shared" si="79"/>
        <v>56</v>
      </c>
      <c r="D191" s="234"/>
      <c r="E191" s="235">
        <v>46</v>
      </c>
      <c r="F191" s="235">
        <v>3</v>
      </c>
      <c r="G191" s="236">
        <f>LOG(17.2909133288325)</f>
        <v>1.2378179338867652</v>
      </c>
      <c r="H191" s="237">
        <f t="shared" si="78"/>
        <v>17.290913328832506</v>
      </c>
      <c r="I191" s="237">
        <f t="shared" si="34"/>
        <v>-379.5216424124585</v>
      </c>
      <c r="J191" s="238" t="s">
        <v>115</v>
      </c>
      <c r="K191" s="238">
        <f t="shared" si="54"/>
        <v>1</v>
      </c>
      <c r="L191" s="238"/>
      <c r="M191" s="238">
        <f t="shared" si="77"/>
        <v>0</v>
      </c>
      <c r="P191" s="133" t="s">
        <v>146</v>
      </c>
      <c r="Q191" s="122" t="s">
        <v>147</v>
      </c>
      <c r="S191" t="e">
        <f>1-S190</f>
        <v>#DIV/0!</v>
      </c>
    </row>
    <row r="192" spans="1:20" x14ac:dyDescent="0.3">
      <c r="A192" s="234">
        <v>26</v>
      </c>
      <c r="B192" s="239">
        <v>369</v>
      </c>
      <c r="C192" s="234">
        <f t="shared" si="79"/>
        <v>80</v>
      </c>
      <c r="D192" s="234">
        <f t="shared" ref="D192:D200" si="80">B192-B189</f>
        <v>223</v>
      </c>
      <c r="E192" s="239">
        <v>70</v>
      </c>
      <c r="F192" s="239">
        <v>10</v>
      </c>
      <c r="G192" s="236">
        <f>LOG(2.65589934222552)</f>
        <v>0.42421161137956365</v>
      </c>
      <c r="H192" s="237">
        <f t="shared" si="78"/>
        <v>2.6558993422255206</v>
      </c>
      <c r="I192" s="237">
        <f t="shared" si="34"/>
        <v>-14.635013986606985</v>
      </c>
      <c r="J192" s="238" t="s">
        <v>115</v>
      </c>
      <c r="K192" s="238">
        <f t="shared" si="54"/>
        <v>1</v>
      </c>
      <c r="L192" s="238">
        <f t="shared" si="33"/>
        <v>1</v>
      </c>
      <c r="M192" s="238">
        <f t="shared" si="77"/>
        <v>0</v>
      </c>
    </row>
    <row r="193" spans="1:20" x14ac:dyDescent="0.3">
      <c r="A193" s="235">
        <v>27</v>
      </c>
      <c r="B193" s="238">
        <v>418</v>
      </c>
      <c r="C193" s="234">
        <f t="shared" si="79"/>
        <v>49</v>
      </c>
      <c r="D193" s="234">
        <f t="shared" si="80"/>
        <v>185</v>
      </c>
      <c r="E193" s="238">
        <v>86</v>
      </c>
      <c r="F193" s="238">
        <v>19</v>
      </c>
      <c r="G193" s="240">
        <f>LOG(0.379610008427075)</f>
        <v>-0.42066234590925622</v>
      </c>
      <c r="H193" s="237">
        <f t="shared" si="78"/>
        <v>0.37961000842707493</v>
      </c>
      <c r="I193" s="237">
        <f t="shared" si="34"/>
        <v>-2.2762893337984456</v>
      </c>
      <c r="J193" s="238" t="s">
        <v>115</v>
      </c>
      <c r="K193" s="238">
        <f t="shared" si="54"/>
        <v>1</v>
      </c>
      <c r="L193" s="238">
        <f t="shared" ref="L193:L238" si="81">IF((D193&gt;0),1,0)</f>
        <v>1</v>
      </c>
      <c r="M193" s="238">
        <f t="shared" si="77"/>
        <v>0</v>
      </c>
      <c r="P193" s="407" t="s">
        <v>205</v>
      </c>
      <c r="Q193" s="408"/>
      <c r="R193" s="408"/>
    </row>
    <row r="194" spans="1:20" x14ac:dyDescent="0.3">
      <c r="A194" s="235">
        <v>28</v>
      </c>
      <c r="B194" s="238">
        <v>424</v>
      </c>
      <c r="C194" s="234">
        <f t="shared" si="79"/>
        <v>6</v>
      </c>
      <c r="D194" s="234">
        <f t="shared" si="80"/>
        <v>135</v>
      </c>
      <c r="E194" s="238">
        <v>101</v>
      </c>
      <c r="F194" s="238">
        <v>22</v>
      </c>
      <c r="G194" s="240">
        <v>0</v>
      </c>
      <c r="H194" s="237">
        <f t="shared" si="78"/>
        <v>1</v>
      </c>
      <c r="I194" s="237">
        <f t="shared" si="34"/>
        <v>0.62038999157292507</v>
      </c>
      <c r="J194" s="238" t="s">
        <v>115</v>
      </c>
      <c r="K194" s="238">
        <f t="shared" si="54"/>
        <v>1</v>
      </c>
      <c r="L194" s="238">
        <f t="shared" si="81"/>
        <v>1</v>
      </c>
      <c r="M194" s="238">
        <f t="shared" si="77"/>
        <v>1</v>
      </c>
      <c r="N194" s="233"/>
      <c r="P194" s="401" t="s">
        <v>139</v>
      </c>
      <c r="Q194" s="402" t="s">
        <v>186</v>
      </c>
      <c r="R194" s="402"/>
    </row>
    <row r="195" spans="1:20" x14ac:dyDescent="0.3">
      <c r="A195" s="235">
        <v>29</v>
      </c>
      <c r="B195" s="238">
        <v>488</v>
      </c>
      <c r="C195" s="234">
        <f t="shared" si="79"/>
        <v>64</v>
      </c>
      <c r="D195" s="234">
        <f t="shared" si="80"/>
        <v>119</v>
      </c>
      <c r="E195" s="238">
        <v>97</v>
      </c>
      <c r="F195" s="238">
        <v>16</v>
      </c>
      <c r="G195" s="240">
        <f>LOG(10.2976962011688)</f>
        <v>1.0127400752847511</v>
      </c>
      <c r="H195" s="237">
        <f t="shared" si="78"/>
        <v>10.297696201168803</v>
      </c>
      <c r="I195" s="237">
        <f t="shared" si="34"/>
        <v>9.2976962011688027</v>
      </c>
      <c r="J195" s="238" t="s">
        <v>115</v>
      </c>
      <c r="K195" s="238">
        <f t="shared" si="54"/>
        <v>1</v>
      </c>
      <c r="L195" s="238">
        <f t="shared" si="81"/>
        <v>1</v>
      </c>
      <c r="M195" s="238">
        <f t="shared" si="77"/>
        <v>1</v>
      </c>
      <c r="P195" s="401"/>
      <c r="Q195" s="120" t="s">
        <v>137</v>
      </c>
      <c r="R195" s="137" t="s">
        <v>138</v>
      </c>
      <c r="S195" s="120" t="s">
        <v>140</v>
      </c>
    </row>
    <row r="196" spans="1:20" x14ac:dyDescent="0.3">
      <c r="A196" s="235">
        <v>30</v>
      </c>
      <c r="B196" s="238">
        <v>601</v>
      </c>
      <c r="C196" s="234">
        <f t="shared" si="79"/>
        <v>113</v>
      </c>
      <c r="D196" s="234">
        <f t="shared" si="80"/>
        <v>183</v>
      </c>
      <c r="E196" s="238">
        <v>84</v>
      </c>
      <c r="F196" s="238">
        <v>17</v>
      </c>
      <c r="G196" s="240">
        <v>0.37020054242805694</v>
      </c>
      <c r="H196" s="237">
        <f t="shared" si="78"/>
        <v>2.3453115504615165</v>
      </c>
      <c r="I196" s="237">
        <f t="shared" si="34"/>
        <v>-7.9523846507072857</v>
      </c>
      <c r="J196" s="238" t="s">
        <v>115</v>
      </c>
      <c r="K196" s="238">
        <f t="shared" si="54"/>
        <v>1</v>
      </c>
      <c r="L196" s="238">
        <f t="shared" si="81"/>
        <v>1</v>
      </c>
      <c r="M196" s="238">
        <f t="shared" si="77"/>
        <v>0</v>
      </c>
      <c r="P196" s="135" t="s">
        <v>137</v>
      </c>
      <c r="Q196" s="136">
        <v>1</v>
      </c>
      <c r="R196" s="138">
        <v>7</v>
      </c>
      <c r="S196" s="121" t="s">
        <v>141</v>
      </c>
    </row>
    <row r="197" spans="1:20" x14ac:dyDescent="0.3">
      <c r="A197" s="235">
        <v>31</v>
      </c>
      <c r="B197" s="238">
        <v>785</v>
      </c>
      <c r="C197" s="234">
        <f t="shared" si="79"/>
        <v>184</v>
      </c>
      <c r="D197" s="234">
        <f t="shared" si="80"/>
        <v>361</v>
      </c>
      <c r="E197" s="238">
        <v>114</v>
      </c>
      <c r="F197" s="238">
        <v>23</v>
      </c>
      <c r="G197" s="240">
        <v>0.27518695688758665</v>
      </c>
      <c r="H197" s="237">
        <f t="shared" si="78"/>
        <v>1.8844601451134197</v>
      </c>
      <c r="I197" s="237">
        <f t="shared" ref="I197:I238" si="82">H197-H196</f>
        <v>-0.46085140534809677</v>
      </c>
      <c r="J197" s="238" t="s">
        <v>115</v>
      </c>
      <c r="K197" s="238">
        <f t="shared" si="54"/>
        <v>1</v>
      </c>
      <c r="L197" s="238">
        <f t="shared" si="81"/>
        <v>1</v>
      </c>
      <c r="M197" s="238">
        <f t="shared" si="77"/>
        <v>0</v>
      </c>
      <c r="P197" s="139" t="s">
        <v>138</v>
      </c>
      <c r="Q197" s="140">
        <v>0</v>
      </c>
      <c r="R197" s="140">
        <v>0</v>
      </c>
      <c r="S197" s="121" t="s">
        <v>142</v>
      </c>
      <c r="T197" t="s">
        <v>204</v>
      </c>
    </row>
    <row r="198" spans="1:20" x14ac:dyDescent="0.3">
      <c r="A198" s="235">
        <v>32</v>
      </c>
      <c r="B198" s="238">
        <v>889</v>
      </c>
      <c r="C198" s="234">
        <f t="shared" si="79"/>
        <v>104</v>
      </c>
      <c r="D198" s="234">
        <f t="shared" si="80"/>
        <v>401</v>
      </c>
      <c r="E198" s="238">
        <v>107</v>
      </c>
      <c r="F198" s="238">
        <v>15</v>
      </c>
      <c r="G198" s="240">
        <v>0.25886598205337968</v>
      </c>
      <c r="H198" s="237">
        <f t="shared" si="78"/>
        <v>1.8149555033567004</v>
      </c>
      <c r="I198" s="237">
        <f t="shared" si="82"/>
        <v>-6.9504641756719332E-2</v>
      </c>
      <c r="J198" s="238" t="s">
        <v>115</v>
      </c>
      <c r="K198" s="238">
        <f t="shared" si="54"/>
        <v>1</v>
      </c>
      <c r="L198" s="238">
        <f t="shared" si="81"/>
        <v>1</v>
      </c>
      <c r="M198" s="238">
        <f t="shared" si="77"/>
        <v>0</v>
      </c>
      <c r="P198" s="132" t="s">
        <v>140</v>
      </c>
      <c r="Q198" s="121" t="s">
        <v>143</v>
      </c>
      <c r="R198" s="121" t="s">
        <v>144</v>
      </c>
    </row>
    <row r="199" spans="1:20" x14ac:dyDescent="0.3">
      <c r="A199" s="235">
        <v>33</v>
      </c>
      <c r="B199" s="241">
        <v>1743</v>
      </c>
      <c r="C199" s="234">
        <f t="shared" si="79"/>
        <v>854</v>
      </c>
      <c r="D199" s="234">
        <f t="shared" si="80"/>
        <v>1142</v>
      </c>
      <c r="E199" s="241">
        <v>152</v>
      </c>
      <c r="F199" s="241">
        <v>24</v>
      </c>
      <c r="G199" s="240">
        <v>0.24052099286851042</v>
      </c>
      <c r="H199" s="237">
        <f t="shared" si="78"/>
        <v>1.7398867984207309</v>
      </c>
      <c r="I199" s="237">
        <f t="shared" si="82"/>
        <v>-7.506870493596951E-2</v>
      </c>
      <c r="J199" s="238" t="s">
        <v>115</v>
      </c>
      <c r="K199" s="238">
        <f t="shared" si="54"/>
        <v>1</v>
      </c>
      <c r="L199" s="238">
        <f t="shared" si="81"/>
        <v>1</v>
      </c>
      <c r="M199" s="238">
        <f t="shared" si="77"/>
        <v>0</v>
      </c>
      <c r="P199" s="133" t="s">
        <v>130</v>
      </c>
      <c r="Q199" s="121" t="s">
        <v>145</v>
      </c>
      <c r="S199">
        <f>Q196/(R196+Q196)</f>
        <v>0.125</v>
      </c>
    </row>
    <row r="200" spans="1:20" x14ac:dyDescent="0.3">
      <c r="A200" s="235">
        <v>34</v>
      </c>
      <c r="B200" s="241">
        <v>1847</v>
      </c>
      <c r="C200" s="234">
        <f t="shared" si="79"/>
        <v>104</v>
      </c>
      <c r="D200" s="234">
        <f t="shared" si="80"/>
        <v>1062</v>
      </c>
      <c r="E200" s="241">
        <v>210</v>
      </c>
      <c r="F200" s="241">
        <v>47</v>
      </c>
      <c r="G200" s="240">
        <v>0</v>
      </c>
      <c r="H200" s="237">
        <f t="shared" si="78"/>
        <v>1</v>
      </c>
      <c r="I200" s="237">
        <f t="shared" si="82"/>
        <v>-0.73988679842073091</v>
      </c>
      <c r="J200" s="238" t="s">
        <v>115</v>
      </c>
      <c r="K200" s="238">
        <f t="shared" si="54"/>
        <v>1</v>
      </c>
      <c r="L200" s="238">
        <f t="shared" si="81"/>
        <v>1</v>
      </c>
      <c r="M200" s="238">
        <f t="shared" si="77"/>
        <v>0</v>
      </c>
      <c r="N200" s="90">
        <v>100</v>
      </c>
      <c r="P200" s="133" t="s">
        <v>135</v>
      </c>
      <c r="Q200" s="121" t="s">
        <v>176</v>
      </c>
      <c r="S200" t="e">
        <f>R197/(Q197+R197)</f>
        <v>#DIV/0!</v>
      </c>
    </row>
    <row r="201" spans="1:20" x14ac:dyDescent="0.3">
      <c r="A201" s="41"/>
      <c r="B201" s="99"/>
      <c r="C201" s="23"/>
      <c r="D201" s="23"/>
      <c r="E201" s="99"/>
      <c r="F201" s="99"/>
      <c r="G201" s="93"/>
      <c r="H201" s="98"/>
      <c r="I201" s="98"/>
      <c r="J201" s="97"/>
      <c r="K201" s="97"/>
      <c r="P201" s="133" t="s">
        <v>146</v>
      </c>
      <c r="Q201" s="122" t="s">
        <v>147</v>
      </c>
      <c r="S201" t="e">
        <f>1-S200</f>
        <v>#DIV/0!</v>
      </c>
    </row>
    <row r="202" spans="1:20" x14ac:dyDescent="0.3">
      <c r="A202" s="242">
        <v>22</v>
      </c>
      <c r="B202" s="243">
        <v>88</v>
      </c>
      <c r="C202" s="242"/>
      <c r="D202" s="242"/>
      <c r="E202" s="243">
        <v>13</v>
      </c>
      <c r="F202" s="243">
        <v>0</v>
      </c>
      <c r="G202" s="244">
        <f>LOG(1.4188070686496)</f>
        <v>0.15192334350717079</v>
      </c>
      <c r="H202" s="245">
        <f t="shared" ref="H202:H214" si="83">10^G202</f>
        <v>1.4188070686495999</v>
      </c>
      <c r="I202" s="245">
        <f>H202-H201</f>
        <v>1.4188070686495999</v>
      </c>
      <c r="J202" s="246" t="s">
        <v>111</v>
      </c>
      <c r="K202" s="246"/>
      <c r="L202" s="246"/>
      <c r="M202" s="246"/>
      <c r="N202" s="246"/>
    </row>
    <row r="203" spans="1:20" x14ac:dyDescent="0.3">
      <c r="A203" s="242">
        <v>23</v>
      </c>
      <c r="B203" s="243">
        <v>146</v>
      </c>
      <c r="C203" s="242">
        <f t="shared" ref="C203:C214" si="84">B203-B202</f>
        <v>58</v>
      </c>
      <c r="D203" s="242"/>
      <c r="E203" s="243">
        <v>23</v>
      </c>
      <c r="F203" s="243">
        <v>2</v>
      </c>
      <c r="G203" s="244">
        <v>0</v>
      </c>
      <c r="H203" s="245">
        <f t="shared" si="83"/>
        <v>1</v>
      </c>
      <c r="I203" s="245">
        <f t="shared" si="82"/>
        <v>-0.41880706864959993</v>
      </c>
      <c r="J203" s="246" t="s">
        <v>111</v>
      </c>
      <c r="K203" s="246">
        <f t="shared" si="54"/>
        <v>1</v>
      </c>
      <c r="L203" s="246"/>
      <c r="M203" s="246">
        <f t="shared" si="77"/>
        <v>0</v>
      </c>
      <c r="N203" s="246"/>
      <c r="P203" s="405" t="s">
        <v>206</v>
      </c>
      <c r="Q203" s="406"/>
      <c r="R203" s="406"/>
    </row>
    <row r="204" spans="1:20" x14ac:dyDescent="0.3">
      <c r="A204" s="242">
        <v>24</v>
      </c>
      <c r="B204" s="243">
        <v>233</v>
      </c>
      <c r="C204" s="242">
        <f t="shared" si="84"/>
        <v>87</v>
      </c>
      <c r="D204" s="242">
        <f>B204-B200</f>
        <v>-1614</v>
      </c>
      <c r="E204" s="243">
        <v>34</v>
      </c>
      <c r="F204" s="243">
        <v>1</v>
      </c>
      <c r="G204" s="244">
        <v>0</v>
      </c>
      <c r="H204" s="245">
        <f t="shared" si="83"/>
        <v>1</v>
      </c>
      <c r="I204" s="245">
        <f t="shared" si="82"/>
        <v>0</v>
      </c>
      <c r="J204" s="246" t="s">
        <v>111</v>
      </c>
      <c r="K204" s="246">
        <f t="shared" si="54"/>
        <v>1</v>
      </c>
      <c r="L204" s="246"/>
      <c r="M204" s="246">
        <f t="shared" si="77"/>
        <v>0</v>
      </c>
      <c r="N204" s="246"/>
      <c r="P204" s="401" t="s">
        <v>139</v>
      </c>
      <c r="Q204" s="402" t="s">
        <v>186</v>
      </c>
      <c r="R204" s="402"/>
    </row>
    <row r="205" spans="1:20" x14ac:dyDescent="0.3">
      <c r="A205" s="242">
        <v>25</v>
      </c>
      <c r="B205" s="243">
        <v>289</v>
      </c>
      <c r="C205" s="242">
        <f t="shared" si="84"/>
        <v>56</v>
      </c>
      <c r="D205" s="242">
        <f t="shared" ref="D205:D214" si="85">B205-B202</f>
        <v>201</v>
      </c>
      <c r="E205" s="243">
        <v>46</v>
      </c>
      <c r="F205" s="243">
        <v>3</v>
      </c>
      <c r="G205" s="244">
        <f xml:space="preserve"> LOG(0.896660573020273)</f>
        <v>-4.7371926144015704E-2</v>
      </c>
      <c r="H205" s="245">
        <f t="shared" si="83"/>
        <v>0.89666057302027302</v>
      </c>
      <c r="I205" s="245">
        <f t="shared" si="82"/>
        <v>-0.10333942697972698</v>
      </c>
      <c r="J205" s="246" t="s">
        <v>111</v>
      </c>
      <c r="K205" s="246">
        <f t="shared" si="54"/>
        <v>1</v>
      </c>
      <c r="L205" s="246">
        <f t="shared" si="81"/>
        <v>1</v>
      </c>
      <c r="M205" s="246">
        <f t="shared" si="77"/>
        <v>0</v>
      </c>
      <c r="N205" s="246"/>
      <c r="P205" s="401"/>
      <c r="Q205" s="120" t="s">
        <v>137</v>
      </c>
      <c r="R205" s="137" t="s">
        <v>138</v>
      </c>
      <c r="S205" s="120" t="s">
        <v>140</v>
      </c>
    </row>
    <row r="206" spans="1:20" x14ac:dyDescent="0.3">
      <c r="A206" s="242">
        <v>26</v>
      </c>
      <c r="B206" s="247">
        <v>369</v>
      </c>
      <c r="C206" s="242">
        <f t="shared" si="84"/>
        <v>80</v>
      </c>
      <c r="D206" s="242">
        <f t="shared" si="85"/>
        <v>223</v>
      </c>
      <c r="E206" s="247">
        <v>70</v>
      </c>
      <c r="F206" s="247">
        <v>10</v>
      </c>
      <c r="G206" s="244">
        <f xml:space="preserve"> LOG(4.48796122658009)</f>
        <v>0.6520490962082095</v>
      </c>
      <c r="H206" s="245">
        <f t="shared" si="83"/>
        <v>4.4879612265800919</v>
      </c>
      <c r="I206" s="245">
        <f t="shared" si="82"/>
        <v>3.5913006535598191</v>
      </c>
      <c r="J206" s="246" t="s">
        <v>111</v>
      </c>
      <c r="K206" s="246">
        <f t="shared" si="54"/>
        <v>1</v>
      </c>
      <c r="L206" s="246">
        <f t="shared" si="81"/>
        <v>1</v>
      </c>
      <c r="M206" s="246">
        <f t="shared" si="77"/>
        <v>1</v>
      </c>
      <c r="N206" s="246"/>
      <c r="P206" s="135" t="s">
        <v>137</v>
      </c>
      <c r="Q206" s="136">
        <v>6</v>
      </c>
      <c r="R206" s="138">
        <v>4</v>
      </c>
      <c r="S206" s="121" t="s">
        <v>141</v>
      </c>
    </row>
    <row r="207" spans="1:20" x14ac:dyDescent="0.3">
      <c r="A207" s="243">
        <v>27</v>
      </c>
      <c r="B207" s="246">
        <v>418</v>
      </c>
      <c r="C207" s="242">
        <f t="shared" si="84"/>
        <v>49</v>
      </c>
      <c r="D207" s="242">
        <f t="shared" si="85"/>
        <v>185</v>
      </c>
      <c r="E207" s="246">
        <v>86</v>
      </c>
      <c r="F207" s="246">
        <v>19</v>
      </c>
      <c r="G207" s="248">
        <f xml:space="preserve"> LOG(15.7117405716254)</f>
        <v>1.196224299538998</v>
      </c>
      <c r="H207" s="245">
        <f t="shared" si="83"/>
        <v>15.711740571625409</v>
      </c>
      <c r="I207" s="245">
        <f t="shared" si="82"/>
        <v>11.223779345045317</v>
      </c>
      <c r="J207" s="246" t="s">
        <v>111</v>
      </c>
      <c r="K207" s="246">
        <f t="shared" si="54"/>
        <v>1</v>
      </c>
      <c r="L207" s="246">
        <f t="shared" si="81"/>
        <v>1</v>
      </c>
      <c r="M207" s="246">
        <f t="shared" si="77"/>
        <v>1</v>
      </c>
      <c r="N207" s="246"/>
      <c r="P207" s="139" t="s">
        <v>138</v>
      </c>
      <c r="Q207" s="140">
        <v>2</v>
      </c>
      <c r="R207" s="140">
        <v>3</v>
      </c>
      <c r="S207" s="121" t="s">
        <v>142</v>
      </c>
    </row>
    <row r="208" spans="1:20" x14ac:dyDescent="0.3">
      <c r="A208" s="243">
        <v>28</v>
      </c>
      <c r="B208" s="246">
        <v>424</v>
      </c>
      <c r="C208" s="242">
        <f t="shared" si="84"/>
        <v>6</v>
      </c>
      <c r="D208" s="242">
        <f t="shared" si="85"/>
        <v>135</v>
      </c>
      <c r="E208" s="246">
        <v>101</v>
      </c>
      <c r="F208" s="246">
        <v>22</v>
      </c>
      <c r="G208" s="248">
        <f>LOG(9.17782041491294)</f>
        <v>0.96273955547507206</v>
      </c>
      <c r="H208" s="245">
        <f t="shared" si="83"/>
        <v>9.1778204149129436</v>
      </c>
      <c r="I208" s="245">
        <f t="shared" si="82"/>
        <v>-6.5339201567124654</v>
      </c>
      <c r="J208" s="246" t="s">
        <v>111</v>
      </c>
      <c r="K208" s="246">
        <f t="shared" si="54"/>
        <v>1</v>
      </c>
      <c r="L208" s="246">
        <f t="shared" si="81"/>
        <v>1</v>
      </c>
      <c r="M208" s="246">
        <f t="shared" si="77"/>
        <v>0</v>
      </c>
      <c r="N208" s="246"/>
      <c r="P208" s="132" t="s">
        <v>140</v>
      </c>
      <c r="Q208" s="121" t="s">
        <v>143</v>
      </c>
      <c r="R208" s="121" t="s">
        <v>144</v>
      </c>
    </row>
    <row r="209" spans="1:20" x14ac:dyDescent="0.3">
      <c r="A209" s="243">
        <v>29</v>
      </c>
      <c r="B209" s="246">
        <v>488</v>
      </c>
      <c r="C209" s="242">
        <f t="shared" si="84"/>
        <v>64</v>
      </c>
      <c r="D209" s="242">
        <f t="shared" si="85"/>
        <v>119</v>
      </c>
      <c r="E209" s="246">
        <v>97</v>
      </c>
      <c r="F209" s="246">
        <v>16</v>
      </c>
      <c r="G209" s="248">
        <f>LOG(37.1942787754292)</f>
        <v>1.5704761418348803</v>
      </c>
      <c r="H209" s="245">
        <f t="shared" si="83"/>
        <v>37.194278775429211</v>
      </c>
      <c r="I209" s="245">
        <f t="shared" si="82"/>
        <v>28.016458360516268</v>
      </c>
      <c r="J209" s="246" t="s">
        <v>111</v>
      </c>
      <c r="K209" s="246">
        <f t="shared" si="54"/>
        <v>1</v>
      </c>
      <c r="L209" s="246">
        <f t="shared" si="81"/>
        <v>1</v>
      </c>
      <c r="M209" s="246">
        <f t="shared" si="77"/>
        <v>1</v>
      </c>
      <c r="N209" s="246"/>
      <c r="P209" s="133" t="s">
        <v>130</v>
      </c>
      <c r="Q209" s="121" t="s">
        <v>145</v>
      </c>
      <c r="S209">
        <f>Q206/(R206+Q206)</f>
        <v>0.6</v>
      </c>
    </row>
    <row r="210" spans="1:20" x14ac:dyDescent="0.3">
      <c r="A210" s="243">
        <v>30</v>
      </c>
      <c r="B210" s="246">
        <v>601</v>
      </c>
      <c r="C210" s="242">
        <f t="shared" si="84"/>
        <v>113</v>
      </c>
      <c r="D210" s="242">
        <f t="shared" si="85"/>
        <v>183</v>
      </c>
      <c r="E210" s="246">
        <v>84</v>
      </c>
      <c r="F210" s="246">
        <v>17</v>
      </c>
      <c r="G210" s="248">
        <v>2.0663165950854596</v>
      </c>
      <c r="H210" s="245">
        <f t="shared" si="83"/>
        <v>116.49749716933897</v>
      </c>
      <c r="I210" s="245">
        <f t="shared" si="82"/>
        <v>79.303218393909759</v>
      </c>
      <c r="J210" s="246" t="s">
        <v>111</v>
      </c>
      <c r="K210" s="246">
        <f t="shared" si="54"/>
        <v>1</v>
      </c>
      <c r="L210" s="246">
        <f t="shared" si="81"/>
        <v>1</v>
      </c>
      <c r="M210" s="246">
        <f t="shared" si="77"/>
        <v>1</v>
      </c>
      <c r="N210" s="246"/>
      <c r="P210" s="133" t="s">
        <v>135</v>
      </c>
      <c r="Q210" s="121" t="s">
        <v>176</v>
      </c>
      <c r="S210">
        <f>R207/(Q207+R207)</f>
        <v>0.6</v>
      </c>
    </row>
    <row r="211" spans="1:20" x14ac:dyDescent="0.3">
      <c r="A211" s="243">
        <v>31</v>
      </c>
      <c r="B211" s="246">
        <v>785</v>
      </c>
      <c r="C211" s="242">
        <f t="shared" si="84"/>
        <v>184</v>
      </c>
      <c r="D211" s="242">
        <f t="shared" si="85"/>
        <v>361</v>
      </c>
      <c r="E211" s="246">
        <v>114</v>
      </c>
      <c r="F211" s="246">
        <v>23</v>
      </c>
      <c r="G211" s="248">
        <v>1.3568222701216026</v>
      </c>
      <c r="H211" s="245">
        <f t="shared" si="83"/>
        <v>22.741665645521518</v>
      </c>
      <c r="I211" s="245">
        <f t="shared" si="82"/>
        <v>-93.755831523817449</v>
      </c>
      <c r="J211" s="246" t="s">
        <v>111</v>
      </c>
      <c r="K211" s="246">
        <f t="shared" si="54"/>
        <v>1</v>
      </c>
      <c r="L211" s="246">
        <f t="shared" si="81"/>
        <v>1</v>
      </c>
      <c r="M211" s="246">
        <f t="shared" si="77"/>
        <v>0</v>
      </c>
      <c r="N211" s="246"/>
      <c r="P211" s="133" t="s">
        <v>146</v>
      </c>
      <c r="Q211" s="122" t="s">
        <v>147</v>
      </c>
      <c r="S211">
        <f>1-S210</f>
        <v>0.4</v>
      </c>
    </row>
    <row r="212" spans="1:20" x14ac:dyDescent="0.3">
      <c r="A212" s="243">
        <v>32</v>
      </c>
      <c r="B212" s="246">
        <v>889</v>
      </c>
      <c r="C212" s="242">
        <f t="shared" si="84"/>
        <v>104</v>
      </c>
      <c r="D212" s="242">
        <f t="shared" si="85"/>
        <v>401</v>
      </c>
      <c r="E212" s="246">
        <v>107</v>
      </c>
      <c r="F212" s="246">
        <v>15</v>
      </c>
      <c r="G212" s="248">
        <v>2.7665745038630538</v>
      </c>
      <c r="H212" s="245">
        <f t="shared" si="83"/>
        <v>584.21742186254392</v>
      </c>
      <c r="I212" s="245">
        <f t="shared" si="82"/>
        <v>561.47575621702242</v>
      </c>
      <c r="J212" s="246" t="s">
        <v>111</v>
      </c>
      <c r="K212" s="246">
        <f t="shared" si="54"/>
        <v>1</v>
      </c>
      <c r="L212" s="246">
        <f t="shared" si="81"/>
        <v>1</v>
      </c>
      <c r="M212" s="246">
        <f t="shared" si="77"/>
        <v>1</v>
      </c>
      <c r="N212" s="246"/>
    </row>
    <row r="213" spans="1:20" x14ac:dyDescent="0.3">
      <c r="A213" s="243">
        <v>33</v>
      </c>
      <c r="B213" s="249">
        <v>1743</v>
      </c>
      <c r="C213" s="242">
        <f t="shared" si="84"/>
        <v>854</v>
      </c>
      <c r="D213" s="242">
        <f t="shared" si="85"/>
        <v>1142</v>
      </c>
      <c r="E213" s="249">
        <v>152</v>
      </c>
      <c r="F213" s="249">
        <v>24</v>
      </c>
      <c r="G213" s="248">
        <v>3.034503729552267</v>
      </c>
      <c r="H213" s="245">
        <f t="shared" si="83"/>
        <v>1082.6890127999445</v>
      </c>
      <c r="I213" s="245">
        <f t="shared" si="82"/>
        <v>498.47159093740061</v>
      </c>
      <c r="J213" s="246" t="s">
        <v>111</v>
      </c>
      <c r="K213" s="246">
        <f t="shared" si="54"/>
        <v>1</v>
      </c>
      <c r="L213" s="246">
        <f t="shared" si="81"/>
        <v>1</v>
      </c>
      <c r="M213" s="246">
        <f t="shared" si="77"/>
        <v>1</v>
      </c>
      <c r="N213" s="246"/>
    </row>
    <row r="214" spans="1:20" x14ac:dyDescent="0.3">
      <c r="A214" s="243">
        <v>34</v>
      </c>
      <c r="B214" s="249">
        <v>1847</v>
      </c>
      <c r="C214" s="242">
        <f t="shared" si="84"/>
        <v>104</v>
      </c>
      <c r="D214" s="242">
        <f t="shared" si="85"/>
        <v>1062</v>
      </c>
      <c r="E214" s="249">
        <v>210</v>
      </c>
      <c r="F214" s="249">
        <v>47</v>
      </c>
      <c r="G214" s="248">
        <v>2.4313786817339236</v>
      </c>
      <c r="H214" s="245">
        <f t="shared" si="83"/>
        <v>270.00927438541339</v>
      </c>
      <c r="I214" s="245">
        <f t="shared" si="82"/>
        <v>-812.67973841453113</v>
      </c>
      <c r="J214" s="246" t="s">
        <v>111</v>
      </c>
      <c r="K214" s="246">
        <f t="shared" si="54"/>
        <v>1</v>
      </c>
      <c r="L214" s="246">
        <f t="shared" si="81"/>
        <v>1</v>
      </c>
      <c r="M214" s="246">
        <f t="shared" si="77"/>
        <v>0</v>
      </c>
      <c r="N214" s="246">
        <v>100</v>
      </c>
    </row>
    <row r="215" spans="1:20" x14ac:dyDescent="0.3">
      <c r="A215" s="243"/>
      <c r="B215" s="249"/>
      <c r="C215" s="242"/>
      <c r="D215" s="242"/>
      <c r="E215" s="249"/>
      <c r="F215" s="249"/>
      <c r="G215" s="248"/>
      <c r="H215" s="245"/>
      <c r="I215" s="245"/>
      <c r="J215" s="246"/>
      <c r="K215" s="246"/>
      <c r="L215" s="246"/>
      <c r="M215" s="246"/>
      <c r="N215" s="246"/>
    </row>
    <row r="216" spans="1:20" x14ac:dyDescent="0.3">
      <c r="A216" s="243">
        <v>43</v>
      </c>
      <c r="B216" s="246">
        <v>43</v>
      </c>
      <c r="C216" s="242"/>
      <c r="D216" s="242"/>
      <c r="E216" s="249">
        <v>210</v>
      </c>
      <c r="F216" s="249">
        <v>47</v>
      </c>
      <c r="G216" s="248">
        <v>0.48098000032681121</v>
      </c>
      <c r="H216" s="245">
        <f t="shared" ref="H216:H220" si="86">10^G216</f>
        <v>3.0267740390738673</v>
      </c>
      <c r="I216" s="245">
        <f t="shared" ref="I216:I220" si="87">H216-H215</f>
        <v>3.0267740390738673</v>
      </c>
      <c r="J216" s="246" t="s">
        <v>111</v>
      </c>
      <c r="K216" s="246">
        <f t="shared" ref="K216:K220" si="88">IF(C216&gt;0, 1,0)</f>
        <v>0</v>
      </c>
      <c r="L216" s="246">
        <f t="shared" ref="L216:L220" si="89">IF((D216&gt;0),1,0)</f>
        <v>0</v>
      </c>
      <c r="M216" s="246">
        <f t="shared" ref="M216:M220" si="90">IF((I216&gt;0), 1,0)</f>
        <v>1</v>
      </c>
      <c r="N216" s="246"/>
    </row>
    <row r="217" spans="1:20" x14ac:dyDescent="0.3">
      <c r="A217" s="243">
        <v>44</v>
      </c>
      <c r="B217" s="246">
        <v>29</v>
      </c>
      <c r="C217" s="242">
        <f t="shared" ref="C217:C220" si="91">B217-B216</f>
        <v>-14</v>
      </c>
      <c r="D217" s="242"/>
      <c r="E217" s="249">
        <v>210</v>
      </c>
      <c r="F217" s="249">
        <v>47</v>
      </c>
      <c r="G217" s="248">
        <v>0.47019947314810284</v>
      </c>
      <c r="H217" s="245">
        <f t="shared" si="86"/>
        <v>2.9525650399071832</v>
      </c>
      <c r="I217" s="245">
        <f t="shared" si="87"/>
        <v>-7.4208999166684109E-2</v>
      </c>
      <c r="J217" s="246" t="s">
        <v>111</v>
      </c>
      <c r="K217" s="246">
        <f t="shared" si="88"/>
        <v>0</v>
      </c>
      <c r="L217" s="246">
        <f t="shared" si="89"/>
        <v>0</v>
      </c>
      <c r="M217" s="246">
        <f t="shared" si="90"/>
        <v>0</v>
      </c>
      <c r="N217" s="246"/>
    </row>
    <row r="218" spans="1:20" x14ac:dyDescent="0.3">
      <c r="A218" s="243">
        <v>45</v>
      </c>
      <c r="B218" s="246">
        <v>14</v>
      </c>
      <c r="C218" s="242">
        <f t="shared" si="91"/>
        <v>-15</v>
      </c>
      <c r="D218" s="242"/>
      <c r="E218" s="249">
        <v>210</v>
      </c>
      <c r="F218" s="249">
        <v>47</v>
      </c>
      <c r="G218" s="248">
        <v>0.25094951382617048</v>
      </c>
      <c r="H218" s="245">
        <f t="shared" si="86"/>
        <v>1.7821715802562481</v>
      </c>
      <c r="I218" s="245">
        <f t="shared" si="87"/>
        <v>-1.1703934596509351</v>
      </c>
      <c r="J218" s="246" t="s">
        <v>111</v>
      </c>
      <c r="K218" s="246">
        <f t="shared" si="88"/>
        <v>0</v>
      </c>
      <c r="L218" s="246">
        <f t="shared" si="89"/>
        <v>0</v>
      </c>
      <c r="M218" s="246">
        <f t="shared" si="90"/>
        <v>0</v>
      </c>
      <c r="N218" s="246"/>
    </row>
    <row r="219" spans="1:20" x14ac:dyDescent="0.3">
      <c r="A219" s="243">
        <v>46</v>
      </c>
      <c r="B219" s="246">
        <v>15</v>
      </c>
      <c r="C219" s="242">
        <f t="shared" si="91"/>
        <v>1</v>
      </c>
      <c r="D219" s="242">
        <f t="shared" ref="D219:D220" si="92">B219-B216</f>
        <v>-28</v>
      </c>
      <c r="E219" s="249">
        <v>210</v>
      </c>
      <c r="F219" s="249">
        <v>47</v>
      </c>
      <c r="G219" s="248">
        <v>0.31559418939102762</v>
      </c>
      <c r="H219" s="245">
        <f t="shared" si="86"/>
        <v>2.0682078843214078</v>
      </c>
      <c r="I219" s="245">
        <f t="shared" si="87"/>
        <v>0.28603630406515967</v>
      </c>
      <c r="J219" s="246" t="s">
        <v>111</v>
      </c>
      <c r="K219" s="246">
        <f t="shared" si="88"/>
        <v>1</v>
      </c>
      <c r="L219" s="246">
        <f t="shared" si="89"/>
        <v>0</v>
      </c>
      <c r="M219" s="246">
        <f t="shared" si="90"/>
        <v>1</v>
      </c>
      <c r="N219" s="246"/>
      <c r="P219" s="405" t="s">
        <v>207</v>
      </c>
      <c r="Q219" s="406"/>
      <c r="R219" s="406"/>
    </row>
    <row r="220" spans="1:20" x14ac:dyDescent="0.3">
      <c r="A220" s="243">
        <v>47</v>
      </c>
      <c r="B220" s="246">
        <v>12</v>
      </c>
      <c r="C220" s="242">
        <f t="shared" si="91"/>
        <v>-3</v>
      </c>
      <c r="D220" s="242">
        <f t="shared" si="92"/>
        <v>-17</v>
      </c>
      <c r="E220" s="249">
        <v>210</v>
      </c>
      <c r="F220" s="249">
        <v>47</v>
      </c>
      <c r="G220" s="248">
        <v>5.9540591725798245E-2</v>
      </c>
      <c r="H220" s="245">
        <f t="shared" si="86"/>
        <v>1.1469397161688124</v>
      </c>
      <c r="I220" s="245">
        <f t="shared" si="87"/>
        <v>-0.92126816815259538</v>
      </c>
      <c r="J220" s="246" t="s">
        <v>111</v>
      </c>
      <c r="K220" s="246">
        <f t="shared" si="88"/>
        <v>0</v>
      </c>
      <c r="L220" s="246">
        <f t="shared" si="89"/>
        <v>0</v>
      </c>
      <c r="M220" s="246">
        <f t="shared" si="90"/>
        <v>0</v>
      </c>
      <c r="N220" s="246"/>
      <c r="P220" s="401" t="s">
        <v>139</v>
      </c>
      <c r="Q220" s="402" t="s">
        <v>186</v>
      </c>
      <c r="R220" s="402"/>
    </row>
    <row r="221" spans="1:20" x14ac:dyDescent="0.3">
      <c r="A221" s="41"/>
      <c r="B221" s="97"/>
      <c r="C221" s="23"/>
      <c r="D221" s="23"/>
      <c r="E221" s="99"/>
      <c r="F221" s="99"/>
      <c r="G221" s="93"/>
      <c r="H221" s="98"/>
      <c r="I221" s="98"/>
      <c r="J221" s="97"/>
      <c r="K221" s="97"/>
      <c r="P221" s="401"/>
      <c r="Q221" s="120" t="s">
        <v>137</v>
      </c>
      <c r="R221" s="137" t="s">
        <v>138</v>
      </c>
      <c r="S221" s="120" t="s">
        <v>140</v>
      </c>
    </row>
    <row r="222" spans="1:20" x14ac:dyDescent="0.3">
      <c r="A222" s="250">
        <v>10</v>
      </c>
      <c r="B222" s="251">
        <v>31</v>
      </c>
      <c r="C222" s="252"/>
      <c r="D222" s="252"/>
      <c r="E222" s="251">
        <v>15</v>
      </c>
      <c r="F222" s="251">
        <v>1</v>
      </c>
      <c r="G222" s="253">
        <f xml:space="preserve"> LOG(442.423100374183)</f>
        <v>2.6458377948407681</v>
      </c>
      <c r="H222" s="254">
        <f t="shared" ref="H222:H227" si="93">10^G222</f>
        <v>442.42310037418292</v>
      </c>
      <c r="I222" s="255"/>
      <c r="J222" s="254" t="s">
        <v>112</v>
      </c>
      <c r="K222" s="254"/>
      <c r="L222" s="254"/>
      <c r="M222" s="254"/>
      <c r="N222" s="254"/>
      <c r="P222" s="135" t="s">
        <v>137</v>
      </c>
      <c r="Q222" s="136">
        <v>1</v>
      </c>
      <c r="R222" s="138">
        <v>0</v>
      </c>
      <c r="S222" s="121" t="s">
        <v>141</v>
      </c>
    </row>
    <row r="223" spans="1:20" x14ac:dyDescent="0.3">
      <c r="A223" s="250">
        <v>15</v>
      </c>
      <c r="B223" s="251">
        <v>66</v>
      </c>
      <c r="C223" s="252">
        <f>B223-B222</f>
        <v>35</v>
      </c>
      <c r="D223" s="252"/>
      <c r="E223" s="251">
        <v>18</v>
      </c>
      <c r="F223" s="251">
        <v>3</v>
      </c>
      <c r="G223" s="256">
        <f xml:space="preserve"> LOG(0.530486052133599)</f>
        <v>-0.27532603035084996</v>
      </c>
      <c r="H223" s="254">
        <f t="shared" si="93"/>
        <v>0.5304860521335989</v>
      </c>
      <c r="I223" s="255">
        <f t="shared" si="82"/>
        <v>-441.89261432204933</v>
      </c>
      <c r="J223" s="254" t="s">
        <v>112</v>
      </c>
      <c r="K223" s="254">
        <f t="shared" si="54"/>
        <v>1</v>
      </c>
      <c r="L223" s="254"/>
      <c r="M223" s="254">
        <f t="shared" si="77"/>
        <v>0</v>
      </c>
      <c r="N223" s="254"/>
      <c r="P223" s="139" t="s">
        <v>138</v>
      </c>
      <c r="Q223" s="140">
        <v>0</v>
      </c>
      <c r="R223" s="140">
        <v>0</v>
      </c>
      <c r="S223" s="121" t="s">
        <v>142</v>
      </c>
      <c r="T223" t="s">
        <v>204</v>
      </c>
    </row>
    <row r="224" spans="1:20" x14ac:dyDescent="0.3">
      <c r="A224" s="250">
        <v>18</v>
      </c>
      <c r="B224" s="251">
        <v>68</v>
      </c>
      <c r="C224" s="252">
        <f>B224-B223</f>
        <v>2</v>
      </c>
      <c r="D224" s="252"/>
      <c r="E224" s="251">
        <v>21</v>
      </c>
      <c r="F224" s="251">
        <v>6</v>
      </c>
      <c r="G224" s="256">
        <f xml:space="preserve"> LOG(1.56425851948407)</f>
        <v>0.19430852897149883</v>
      </c>
      <c r="H224" s="254">
        <f t="shared" si="93"/>
        <v>1.5642585194840699</v>
      </c>
      <c r="I224" s="255">
        <f t="shared" si="82"/>
        <v>1.0337724673504711</v>
      </c>
      <c r="J224" s="254" t="s">
        <v>112</v>
      </c>
      <c r="K224" s="254">
        <f t="shared" si="54"/>
        <v>1</v>
      </c>
      <c r="L224" s="254"/>
      <c r="M224" s="254">
        <f t="shared" si="77"/>
        <v>1</v>
      </c>
      <c r="N224" s="254"/>
      <c r="P224" s="132" t="s">
        <v>140</v>
      </c>
      <c r="Q224" s="121" t="s">
        <v>143</v>
      </c>
      <c r="R224" s="121" t="s">
        <v>144</v>
      </c>
    </row>
    <row r="225" spans="1:19" x14ac:dyDescent="0.3">
      <c r="A225" s="250">
        <v>23</v>
      </c>
      <c r="B225" s="251">
        <v>899</v>
      </c>
      <c r="C225" s="252">
        <f>B225-B224</f>
        <v>831</v>
      </c>
      <c r="D225" s="252">
        <f>B225-B222</f>
        <v>868</v>
      </c>
      <c r="E225" s="251">
        <v>130</v>
      </c>
      <c r="F225" s="251">
        <v>24</v>
      </c>
      <c r="G225" s="256">
        <f xml:space="preserve"> LOG(4.19135087606858)</f>
        <v>0.62235401902088716</v>
      </c>
      <c r="H225" s="254">
        <f t="shared" si="93"/>
        <v>4.1913508760685803</v>
      </c>
      <c r="I225" s="255">
        <f t="shared" si="82"/>
        <v>2.6270923565845106</v>
      </c>
      <c r="J225" s="254" t="s">
        <v>112</v>
      </c>
      <c r="K225" s="254">
        <f t="shared" si="54"/>
        <v>1</v>
      </c>
      <c r="L225" s="254">
        <f t="shared" si="81"/>
        <v>1</v>
      </c>
      <c r="M225" s="254">
        <f t="shared" si="77"/>
        <v>1</v>
      </c>
      <c r="N225" s="254"/>
      <c r="P225" s="133" t="s">
        <v>130</v>
      </c>
      <c r="Q225" s="121" t="s">
        <v>145</v>
      </c>
      <c r="S225">
        <f>Q222/(R222+Q222)</f>
        <v>1</v>
      </c>
    </row>
    <row r="226" spans="1:19" x14ac:dyDescent="0.3">
      <c r="A226" s="250">
        <v>28</v>
      </c>
      <c r="B226" s="257">
        <v>2109</v>
      </c>
      <c r="C226" s="252">
        <f>B226-B225</f>
        <v>1210</v>
      </c>
      <c r="D226" s="252">
        <f>B226-B223</f>
        <v>2043</v>
      </c>
      <c r="E226" s="257">
        <v>256</v>
      </c>
      <c r="F226" s="257">
        <v>90</v>
      </c>
      <c r="G226" s="253">
        <f xml:space="preserve"> LOG(84.7437819656061)</f>
        <v>1.9281078418946413</v>
      </c>
      <c r="H226" s="254">
        <f t="shared" si="93"/>
        <v>84.743781965606118</v>
      </c>
      <c r="I226" s="255">
        <f t="shared" si="82"/>
        <v>80.552431089537535</v>
      </c>
      <c r="J226" s="254" t="s">
        <v>112</v>
      </c>
      <c r="K226" s="254">
        <f t="shared" si="54"/>
        <v>1</v>
      </c>
      <c r="L226" s="254">
        <f t="shared" si="81"/>
        <v>1</v>
      </c>
      <c r="M226" s="254">
        <f t="shared" si="77"/>
        <v>1</v>
      </c>
      <c r="N226" s="254"/>
      <c r="P226" s="133" t="s">
        <v>135</v>
      </c>
      <c r="Q226" s="121" t="s">
        <v>176</v>
      </c>
      <c r="S226" t="e">
        <f>R223/(Q223+R223)</f>
        <v>#DIV/0!</v>
      </c>
    </row>
    <row r="227" spans="1:19" x14ac:dyDescent="0.3">
      <c r="A227" s="250">
        <v>32</v>
      </c>
      <c r="B227" s="257">
        <v>3099</v>
      </c>
      <c r="C227" s="252">
        <f>B227-B226</f>
        <v>990</v>
      </c>
      <c r="D227" s="252">
        <f>B227-B224</f>
        <v>3031</v>
      </c>
      <c r="E227" s="257">
        <v>253</v>
      </c>
      <c r="F227" s="257">
        <v>66</v>
      </c>
      <c r="G227" s="253">
        <v>2.5034435268061954</v>
      </c>
      <c r="H227" s="254">
        <f t="shared" si="93"/>
        <v>318.74510706687471</v>
      </c>
      <c r="I227" s="255">
        <f t="shared" si="82"/>
        <v>234.00132510126861</v>
      </c>
      <c r="J227" s="254" t="s">
        <v>112</v>
      </c>
      <c r="K227" s="254">
        <f t="shared" si="54"/>
        <v>1</v>
      </c>
      <c r="L227" s="254">
        <f t="shared" si="81"/>
        <v>1</v>
      </c>
      <c r="M227" s="254">
        <f t="shared" si="77"/>
        <v>1</v>
      </c>
      <c r="N227" s="254">
        <v>100</v>
      </c>
      <c r="P227" s="133" t="s">
        <v>146</v>
      </c>
      <c r="Q227" s="122" t="s">
        <v>147</v>
      </c>
      <c r="S227" t="e">
        <f>1-S226</f>
        <v>#DIV/0!</v>
      </c>
    </row>
    <row r="228" spans="1:19" x14ac:dyDescent="0.3">
      <c r="A228" s="116"/>
      <c r="B228" s="99"/>
      <c r="C228" s="23"/>
      <c r="D228" s="23"/>
      <c r="E228" s="99"/>
      <c r="F228" s="99"/>
      <c r="G228" s="93"/>
      <c r="I228" s="98"/>
      <c r="K228" s="97"/>
      <c r="P228" s="161"/>
      <c r="Q228" s="121"/>
      <c r="R228" s="151"/>
      <c r="S228" s="151"/>
    </row>
    <row r="229" spans="1:19" x14ac:dyDescent="0.3">
      <c r="A229" s="258">
        <v>23</v>
      </c>
      <c r="B229" s="259">
        <v>899</v>
      </c>
      <c r="C229" s="260">
        <f>B229-B227</f>
        <v>-2200</v>
      </c>
      <c r="D229" s="260">
        <f>B229-B225</f>
        <v>0</v>
      </c>
      <c r="E229" s="259">
        <v>130</v>
      </c>
      <c r="F229" s="259">
        <v>24</v>
      </c>
      <c r="G229" s="261">
        <f xml:space="preserve"> LOG(25.8593388966152)</f>
        <v>1.4126174177902362</v>
      </c>
      <c r="H229" s="262">
        <f>10^G229</f>
        <v>25.859338896615206</v>
      </c>
      <c r="I229" s="262" t="e">
        <f>H229-#REF!</f>
        <v>#REF!</v>
      </c>
      <c r="J229" s="263" t="s">
        <v>113</v>
      </c>
      <c r="K229" s="263">
        <f t="shared" si="54"/>
        <v>0</v>
      </c>
      <c r="L229" s="263">
        <f t="shared" si="81"/>
        <v>0</v>
      </c>
      <c r="M229" s="263" t="e">
        <f t="shared" si="77"/>
        <v>#REF!</v>
      </c>
      <c r="N229" s="263"/>
      <c r="P229" s="161"/>
      <c r="Q229" s="121"/>
      <c r="R229" s="151"/>
      <c r="S229" s="151"/>
    </row>
    <row r="230" spans="1:19" x14ac:dyDescent="0.3">
      <c r="A230" s="258">
        <v>28</v>
      </c>
      <c r="B230" s="264">
        <v>2109</v>
      </c>
      <c r="C230" s="260">
        <f>B230-B229</f>
        <v>1210</v>
      </c>
      <c r="D230" s="260">
        <f>B230-B226</f>
        <v>0</v>
      </c>
      <c r="E230" s="264">
        <v>256</v>
      </c>
      <c r="F230" s="264">
        <v>90</v>
      </c>
      <c r="G230" s="265">
        <f xml:space="preserve"> LOG(1856.95352359694)</f>
        <v>3.2688010342201377</v>
      </c>
      <c r="H230" s="262">
        <f>10^G230</f>
        <v>1856.9535235969422</v>
      </c>
      <c r="I230" s="262">
        <f t="shared" si="82"/>
        <v>1831.0941847003271</v>
      </c>
      <c r="J230" s="263" t="s">
        <v>113</v>
      </c>
      <c r="K230" s="263">
        <f t="shared" si="54"/>
        <v>1</v>
      </c>
      <c r="L230" s="263">
        <f t="shared" si="81"/>
        <v>0</v>
      </c>
      <c r="M230" s="263">
        <f t="shared" si="77"/>
        <v>1</v>
      </c>
      <c r="N230" s="263"/>
      <c r="P230" s="161"/>
      <c r="Q230" s="122"/>
      <c r="R230" s="151"/>
      <c r="S230" s="151"/>
    </row>
    <row r="231" spans="1:19" x14ac:dyDescent="0.3">
      <c r="A231" s="258">
        <v>32</v>
      </c>
      <c r="B231" s="264">
        <v>3099</v>
      </c>
      <c r="C231" s="260">
        <f>B231-B230</f>
        <v>990</v>
      </c>
      <c r="D231" s="260">
        <f>B231-B227</f>
        <v>0</v>
      </c>
      <c r="E231" s="264">
        <v>253</v>
      </c>
      <c r="F231" s="264">
        <v>66</v>
      </c>
      <c r="G231" s="265">
        <v>3.176607257368913</v>
      </c>
      <c r="H231" s="262">
        <f>10^G231</f>
        <v>1501.7832541952341</v>
      </c>
      <c r="I231" s="262">
        <f t="shared" si="82"/>
        <v>-355.17026940170808</v>
      </c>
      <c r="J231" s="263" t="s">
        <v>113</v>
      </c>
      <c r="K231" s="263">
        <f t="shared" si="54"/>
        <v>1</v>
      </c>
      <c r="L231" s="263">
        <f t="shared" si="81"/>
        <v>0</v>
      </c>
      <c r="M231" s="263">
        <f t="shared" si="77"/>
        <v>0</v>
      </c>
      <c r="N231" s="263" t="s">
        <v>177</v>
      </c>
      <c r="P231" t="s">
        <v>204</v>
      </c>
    </row>
    <row r="232" spans="1:19" x14ac:dyDescent="0.3">
      <c r="A232" s="258"/>
      <c r="B232" s="264"/>
      <c r="C232" s="260"/>
      <c r="D232" s="260"/>
      <c r="E232" s="264"/>
      <c r="F232" s="264"/>
      <c r="G232" s="265"/>
      <c r="H232" s="262"/>
      <c r="I232" s="262">
        <f t="shared" si="82"/>
        <v>-1501.7832541952341</v>
      </c>
      <c r="J232" s="263"/>
      <c r="K232" s="263">
        <f t="shared" si="54"/>
        <v>0</v>
      </c>
      <c r="L232" s="263">
        <f t="shared" si="81"/>
        <v>0</v>
      </c>
      <c r="M232" s="263">
        <f t="shared" si="77"/>
        <v>0</v>
      </c>
      <c r="N232" s="263"/>
    </row>
    <row r="233" spans="1:19" x14ac:dyDescent="0.3">
      <c r="A233" s="116"/>
      <c r="B233" s="99"/>
      <c r="C233" s="23"/>
      <c r="D233" s="23"/>
      <c r="E233" s="99"/>
      <c r="F233" s="99"/>
      <c r="G233" s="93"/>
      <c r="H233" s="98"/>
      <c r="I233" s="98"/>
      <c r="J233" s="97"/>
      <c r="K233" s="97"/>
      <c r="L233" s="97"/>
      <c r="M233" s="97"/>
      <c r="N233" s="97"/>
    </row>
    <row r="234" spans="1:19" x14ac:dyDescent="0.3">
      <c r="A234" s="324">
        <v>27</v>
      </c>
      <c r="B234" s="325">
        <v>145</v>
      </c>
      <c r="C234" s="276">
        <f>B234-B231</f>
        <v>-2954</v>
      </c>
      <c r="D234" s="276"/>
      <c r="E234" s="325">
        <v>34</v>
      </c>
      <c r="F234" s="325">
        <v>4</v>
      </c>
      <c r="G234" s="326">
        <v>0.999023353507831</v>
      </c>
      <c r="H234" s="277">
        <f>10^G234</f>
        <v>9.977537150285686</v>
      </c>
      <c r="I234" s="277">
        <f>H234-H232</f>
        <v>9.977537150285686</v>
      </c>
      <c r="J234" s="275" t="s">
        <v>114</v>
      </c>
      <c r="K234" s="275">
        <f t="shared" si="54"/>
        <v>0</v>
      </c>
      <c r="L234" s="1">
        <f t="shared" si="81"/>
        <v>0</v>
      </c>
      <c r="M234" s="1">
        <f t="shared" si="77"/>
        <v>1</v>
      </c>
      <c r="N234" s="1"/>
    </row>
    <row r="235" spans="1:19" x14ac:dyDescent="0.3">
      <c r="A235" s="324">
        <v>29</v>
      </c>
      <c r="B235" s="306">
        <v>245</v>
      </c>
      <c r="C235" s="276">
        <f>B235-B234</f>
        <v>100</v>
      </c>
      <c r="D235" s="276"/>
      <c r="E235" s="306">
        <v>44</v>
      </c>
      <c r="F235" s="306">
        <v>13</v>
      </c>
      <c r="G235" s="326">
        <v>2.3250441493153531</v>
      </c>
      <c r="H235" s="277">
        <f>10^G235</f>
        <v>211.37039028868392</v>
      </c>
      <c r="I235" s="277">
        <f t="shared" si="82"/>
        <v>201.39285313839824</v>
      </c>
      <c r="J235" s="275" t="s">
        <v>114</v>
      </c>
      <c r="K235" s="275">
        <f t="shared" si="54"/>
        <v>1</v>
      </c>
      <c r="L235" s="1">
        <f t="shared" si="81"/>
        <v>0</v>
      </c>
      <c r="M235" s="1">
        <f t="shared" si="77"/>
        <v>1</v>
      </c>
      <c r="N235" s="1"/>
    </row>
    <row r="236" spans="1:19" x14ac:dyDescent="0.3">
      <c r="A236" s="324">
        <v>31</v>
      </c>
      <c r="B236" s="306">
        <v>403</v>
      </c>
      <c r="C236" s="276">
        <f>B236-B235</f>
        <v>158</v>
      </c>
      <c r="D236" s="276">
        <f>B236-B231</f>
        <v>-2696</v>
      </c>
      <c r="E236" s="306">
        <v>37</v>
      </c>
      <c r="F236" s="306">
        <v>6</v>
      </c>
      <c r="G236" s="326">
        <v>2.3819779351279671</v>
      </c>
      <c r="H236" s="277">
        <f>10^G236</f>
        <v>240.97829935502037</v>
      </c>
      <c r="I236" s="277">
        <f t="shared" si="82"/>
        <v>29.607909066336447</v>
      </c>
      <c r="J236" s="275" t="s">
        <v>114</v>
      </c>
      <c r="K236" s="275">
        <f t="shared" si="54"/>
        <v>1</v>
      </c>
      <c r="L236" s="1">
        <f t="shared" si="81"/>
        <v>0</v>
      </c>
      <c r="M236" s="1">
        <f t="shared" si="77"/>
        <v>1</v>
      </c>
      <c r="N236" s="1"/>
    </row>
    <row r="237" spans="1:19" x14ac:dyDescent="0.3">
      <c r="A237" s="327">
        <v>33</v>
      </c>
      <c r="B237" s="306">
        <v>507</v>
      </c>
      <c r="C237" s="276">
        <f>B237-B236</f>
        <v>104</v>
      </c>
      <c r="D237" s="276">
        <f>B237-B234</f>
        <v>362</v>
      </c>
      <c r="E237" s="306">
        <v>45</v>
      </c>
      <c r="F237" s="306">
        <v>11</v>
      </c>
      <c r="G237" s="326">
        <v>3.4321577639727185</v>
      </c>
      <c r="H237" s="277">
        <f>10^G237</f>
        <v>2704.9407958984375</v>
      </c>
      <c r="I237" s="277">
        <f t="shared" si="82"/>
        <v>2463.9624965434173</v>
      </c>
      <c r="J237" s="275" t="s">
        <v>114</v>
      </c>
      <c r="K237" s="275">
        <f t="shared" si="54"/>
        <v>1</v>
      </c>
      <c r="L237" s="1">
        <f t="shared" si="81"/>
        <v>1</v>
      </c>
      <c r="M237" s="1">
        <f t="shared" si="77"/>
        <v>1</v>
      </c>
      <c r="N237" s="1"/>
    </row>
    <row r="238" spans="1:19" x14ac:dyDescent="0.3">
      <c r="A238" s="275">
        <v>27</v>
      </c>
      <c r="B238" s="275">
        <v>15431</v>
      </c>
      <c r="C238" s="276">
        <f>B238-B237</f>
        <v>14924</v>
      </c>
      <c r="D238" s="276">
        <f>B238-B235</f>
        <v>15186</v>
      </c>
      <c r="E238" s="275">
        <v>1804</v>
      </c>
      <c r="F238" s="275">
        <v>397</v>
      </c>
      <c r="G238" s="326">
        <f>LOG(7.64093289569933)</f>
        <v>0.88314638563335446</v>
      </c>
      <c r="H238" s="277">
        <f>10^G238</f>
        <v>7.6409328956993328</v>
      </c>
      <c r="I238" s="277">
        <f t="shared" si="82"/>
        <v>-2697.2998630027382</v>
      </c>
      <c r="J238" s="275" t="s">
        <v>129</v>
      </c>
      <c r="K238" s="275">
        <f t="shared" ref="K238" si="94">IF(C238&gt;0, 1,0)</f>
        <v>1</v>
      </c>
      <c r="L238" s="1">
        <f t="shared" si="81"/>
        <v>1</v>
      </c>
      <c r="M238" s="1">
        <f t="shared" si="77"/>
        <v>0</v>
      </c>
      <c r="N238" s="1">
        <v>100</v>
      </c>
    </row>
    <row r="239" spans="1:19" x14ac:dyDescent="0.3">
      <c r="A239" s="97"/>
      <c r="B239" s="97"/>
      <c r="C239" s="23"/>
      <c r="D239" s="23"/>
      <c r="E239" s="97"/>
      <c r="F239" s="97"/>
      <c r="G239" s="93"/>
      <c r="H239" s="98"/>
      <c r="I239" s="98"/>
      <c r="J239" s="97"/>
      <c r="K239" s="97"/>
    </row>
    <row r="240" spans="1:19" x14ac:dyDescent="0.3">
      <c r="A240" s="97"/>
      <c r="B240" s="99"/>
      <c r="C240" s="23"/>
      <c r="D240" s="23"/>
      <c r="E240" s="99"/>
      <c r="F240" s="99"/>
      <c r="G240" s="93"/>
      <c r="H240" s="98"/>
      <c r="I240" s="98"/>
      <c r="J240" s="97"/>
      <c r="K240" s="97"/>
    </row>
    <row r="241" spans="1:11" x14ac:dyDescent="0.3">
      <c r="A241" s="97"/>
      <c r="B241" s="99"/>
      <c r="C241" s="23"/>
      <c r="D241" s="23"/>
      <c r="E241" s="99"/>
      <c r="F241" s="99"/>
      <c r="G241" s="93"/>
      <c r="H241" s="98"/>
      <c r="I241" s="98"/>
      <c r="J241" s="97"/>
      <c r="K241" s="97"/>
    </row>
    <row r="242" spans="1:11" x14ac:dyDescent="0.3">
      <c r="A242" s="97"/>
      <c r="B242" s="99"/>
      <c r="C242" s="23"/>
      <c r="D242" s="23"/>
      <c r="E242" s="99"/>
      <c r="F242" s="99"/>
      <c r="G242" s="93"/>
      <c r="H242" s="98"/>
      <c r="I242" s="98"/>
      <c r="J242" s="97"/>
      <c r="K242" s="97"/>
    </row>
    <row r="243" spans="1:11" x14ac:dyDescent="0.3">
      <c r="A243" s="97"/>
      <c r="B243" s="99"/>
      <c r="C243" s="23"/>
      <c r="D243" s="23"/>
      <c r="E243" s="99"/>
      <c r="F243" s="99"/>
      <c r="G243" s="93"/>
      <c r="H243" s="98"/>
      <c r="I243" s="98"/>
      <c r="J243" s="97"/>
      <c r="K243" s="97"/>
    </row>
    <row r="244" spans="1:11" x14ac:dyDescent="0.3">
      <c r="A244" s="100"/>
      <c r="B244" s="101"/>
      <c r="C244" s="23"/>
      <c r="D244" s="23"/>
      <c r="E244" s="101"/>
      <c r="F244" s="101"/>
      <c r="G244" s="102"/>
      <c r="H244" s="98"/>
      <c r="I244" s="98"/>
      <c r="J244" s="97"/>
      <c r="K244" s="97"/>
    </row>
    <row r="245" spans="1:11" x14ac:dyDescent="0.3">
      <c r="A245" s="97"/>
      <c r="B245" s="99"/>
      <c r="C245" s="23"/>
      <c r="D245" s="23"/>
      <c r="E245" s="99"/>
      <c r="F245" s="99"/>
      <c r="G245" s="93"/>
      <c r="H245" s="98"/>
      <c r="I245" s="98"/>
      <c r="J245" s="97"/>
      <c r="K245" s="97"/>
    </row>
    <row r="246" spans="1:11" x14ac:dyDescent="0.3">
      <c r="A246" s="97"/>
      <c r="B246" s="99"/>
      <c r="C246" s="23"/>
      <c r="D246" s="23"/>
      <c r="E246" s="99"/>
      <c r="F246" s="99"/>
      <c r="G246" s="93"/>
      <c r="H246" s="98"/>
      <c r="I246" s="98"/>
      <c r="J246" s="97"/>
      <c r="K246" s="97"/>
    </row>
    <row r="247" spans="1:11" x14ac:dyDescent="0.3">
      <c r="A247" s="97"/>
      <c r="B247" s="97"/>
      <c r="C247" s="23"/>
      <c r="D247" s="23"/>
      <c r="E247" s="97"/>
      <c r="F247" s="97"/>
      <c r="G247" s="93"/>
      <c r="H247" s="98"/>
      <c r="I247" s="98"/>
      <c r="J247" s="97"/>
      <c r="K247" s="97"/>
    </row>
    <row r="248" spans="1:11" x14ac:dyDescent="0.3">
      <c r="A248" s="97"/>
      <c r="B248" s="97"/>
      <c r="C248" s="23"/>
      <c r="D248" s="23"/>
      <c r="E248" s="97"/>
      <c r="F248" s="97"/>
      <c r="G248" s="103"/>
      <c r="H248" s="98"/>
      <c r="I248" s="98"/>
      <c r="J248" s="97"/>
      <c r="K248" s="97"/>
    </row>
    <row r="249" spans="1:11" x14ac:dyDescent="0.3">
      <c r="A249" s="97"/>
      <c r="B249" s="97"/>
      <c r="C249" s="23"/>
      <c r="D249" s="23"/>
      <c r="E249" s="97"/>
      <c r="F249" s="97"/>
      <c r="G249" s="93"/>
      <c r="H249" s="98"/>
      <c r="I249" s="98"/>
      <c r="J249" s="97"/>
      <c r="K249" s="97"/>
    </row>
    <row r="250" spans="1:11" x14ac:dyDescent="0.3">
      <c r="A250" s="97"/>
      <c r="B250" s="97"/>
      <c r="C250" s="23"/>
      <c r="D250" s="23"/>
      <c r="E250" s="97"/>
      <c r="F250" s="97"/>
      <c r="G250" s="93"/>
      <c r="H250" s="98"/>
      <c r="I250" s="98"/>
      <c r="J250" s="97"/>
      <c r="K250" s="97"/>
    </row>
    <row r="251" spans="1:11" x14ac:dyDescent="0.3">
      <c r="A251" s="97"/>
      <c r="B251" s="97"/>
      <c r="C251" s="23"/>
      <c r="D251" s="23"/>
      <c r="E251" s="97"/>
      <c r="F251" s="97"/>
      <c r="G251" s="93"/>
      <c r="H251" s="98"/>
      <c r="I251" s="98"/>
      <c r="J251" s="97"/>
      <c r="K251" s="97"/>
    </row>
    <row r="252" spans="1:11" x14ac:dyDescent="0.3">
      <c r="A252" s="97"/>
      <c r="B252" s="97"/>
      <c r="C252" s="23"/>
      <c r="D252" s="23"/>
      <c r="E252" s="97"/>
      <c r="F252" s="97"/>
      <c r="G252" s="93"/>
      <c r="H252" s="98"/>
      <c r="I252" s="98"/>
      <c r="J252" s="97"/>
      <c r="K252" s="97"/>
    </row>
    <row r="253" spans="1:11" x14ac:dyDescent="0.3">
      <c r="A253" s="104"/>
      <c r="B253" s="104"/>
      <c r="C253" s="23"/>
      <c r="D253" s="23"/>
      <c r="E253" s="104"/>
      <c r="F253" s="104"/>
      <c r="G253" s="106"/>
      <c r="H253" s="114"/>
      <c r="I253" s="98"/>
      <c r="J253" s="119"/>
      <c r="K253" s="97"/>
    </row>
    <row r="254" spans="1:11" x14ac:dyDescent="0.3">
      <c r="A254" s="104"/>
      <c r="B254" s="104"/>
      <c r="C254" s="23"/>
      <c r="D254" s="23"/>
      <c r="E254" s="104"/>
      <c r="F254" s="104"/>
      <c r="G254" s="106"/>
      <c r="H254" s="114"/>
      <c r="I254" s="98"/>
      <c r="J254" s="119"/>
      <c r="K254" s="97"/>
    </row>
    <row r="255" spans="1:11" x14ac:dyDescent="0.3">
      <c r="A255" s="104"/>
      <c r="B255" s="104"/>
      <c r="C255" s="23"/>
      <c r="D255" s="23"/>
      <c r="E255" s="104"/>
      <c r="F255" s="104"/>
      <c r="G255" s="106"/>
      <c r="H255" s="114"/>
      <c r="I255" s="98"/>
      <c r="J255" s="119"/>
      <c r="K255" s="97"/>
    </row>
    <row r="256" spans="1:11" x14ac:dyDescent="0.3">
      <c r="A256" s="104"/>
      <c r="B256" s="109"/>
      <c r="C256" s="23"/>
      <c r="D256" s="23"/>
      <c r="E256" s="109"/>
      <c r="F256" s="109"/>
      <c r="G256" s="106"/>
      <c r="H256" s="114"/>
      <c r="I256" s="98"/>
      <c r="J256" s="119"/>
      <c r="K256" s="97"/>
    </row>
    <row r="257" spans="1:11" x14ac:dyDescent="0.3">
      <c r="A257" s="104"/>
      <c r="B257" s="109"/>
      <c r="C257" s="23"/>
      <c r="D257" s="23"/>
      <c r="E257" s="109"/>
      <c r="F257" s="109"/>
      <c r="G257" s="106"/>
      <c r="H257" s="114"/>
      <c r="I257" s="98"/>
      <c r="J257" s="119"/>
      <c r="K257" s="97"/>
    </row>
    <row r="258" spans="1:11" x14ac:dyDescent="0.3">
      <c r="A258" s="104"/>
      <c r="B258" s="109"/>
      <c r="C258" s="23"/>
      <c r="D258" s="23"/>
      <c r="E258" s="109"/>
      <c r="F258" s="109"/>
      <c r="G258" s="106"/>
      <c r="H258" s="114"/>
      <c r="I258" s="98"/>
      <c r="J258" s="119"/>
      <c r="K258" s="97"/>
    </row>
    <row r="259" spans="1:11" x14ac:dyDescent="0.3">
      <c r="A259" s="104"/>
      <c r="B259" s="109"/>
      <c r="C259" s="23"/>
      <c r="D259" s="23"/>
      <c r="E259" s="109"/>
      <c r="F259" s="109"/>
      <c r="G259" s="106"/>
      <c r="H259" s="114"/>
      <c r="I259" s="98"/>
      <c r="J259" s="119"/>
      <c r="K259" s="97"/>
    </row>
    <row r="260" spans="1:11" x14ac:dyDescent="0.3">
      <c r="A260" s="110"/>
      <c r="B260" s="111"/>
      <c r="C260" s="23"/>
      <c r="D260" s="23"/>
      <c r="E260" s="111"/>
      <c r="F260" s="111"/>
      <c r="G260" s="112"/>
      <c r="H260" s="114"/>
      <c r="I260" s="98"/>
      <c r="J260" s="119"/>
      <c r="K260" s="97"/>
    </row>
    <row r="261" spans="1:11" x14ac:dyDescent="0.3">
      <c r="A261" s="104"/>
      <c r="B261" s="109"/>
      <c r="C261" s="23"/>
      <c r="D261" s="23"/>
      <c r="E261" s="109"/>
      <c r="F261" s="109"/>
      <c r="G261" s="106"/>
      <c r="H261" s="114"/>
      <c r="I261" s="98"/>
      <c r="J261" s="119"/>
      <c r="K261" s="97"/>
    </row>
    <row r="262" spans="1:11" x14ac:dyDescent="0.3">
      <c r="A262" s="104"/>
      <c r="B262" s="109"/>
      <c r="C262" s="23"/>
      <c r="D262" s="23"/>
      <c r="E262" s="109"/>
      <c r="F262" s="109"/>
      <c r="G262" s="106"/>
      <c r="H262" s="114"/>
      <c r="I262" s="98"/>
      <c r="J262" s="119"/>
      <c r="K262" s="97"/>
    </row>
    <row r="263" spans="1:11" x14ac:dyDescent="0.3">
      <c r="A263" s="104"/>
      <c r="B263" s="104"/>
      <c r="C263" s="23"/>
      <c r="D263" s="23"/>
      <c r="E263" s="104"/>
      <c r="F263" s="104"/>
      <c r="G263" s="106"/>
      <c r="H263" s="114"/>
      <c r="I263" s="98"/>
      <c r="J263" s="119"/>
      <c r="K263" s="97"/>
    </row>
    <row r="264" spans="1:11" x14ac:dyDescent="0.3">
      <c r="A264" s="104"/>
      <c r="B264" s="104"/>
      <c r="C264" s="23"/>
      <c r="D264" s="23"/>
      <c r="E264" s="104"/>
      <c r="F264" s="104"/>
      <c r="G264" s="113"/>
      <c r="H264" s="114"/>
      <c r="I264" s="98"/>
      <c r="J264" s="119"/>
      <c r="K264" s="97"/>
    </row>
    <row r="265" spans="1:11" x14ac:dyDescent="0.3">
      <c r="A265" s="104"/>
      <c r="B265" s="104"/>
      <c r="C265" s="23"/>
      <c r="D265" s="23"/>
      <c r="E265" s="104"/>
      <c r="F265" s="104"/>
      <c r="G265" s="106"/>
      <c r="H265" s="114"/>
      <c r="I265" s="98"/>
      <c r="J265" s="119"/>
      <c r="K265" s="97"/>
    </row>
    <row r="266" spans="1:11" x14ac:dyDescent="0.3">
      <c r="A266" s="104"/>
      <c r="B266" s="104"/>
      <c r="C266" s="23"/>
      <c r="D266" s="23"/>
      <c r="E266" s="104"/>
      <c r="F266" s="104"/>
      <c r="G266" s="106"/>
      <c r="H266" s="114"/>
      <c r="I266" s="98"/>
      <c r="J266" s="119"/>
      <c r="K266" s="97"/>
    </row>
    <row r="267" spans="1:11" x14ac:dyDescent="0.3">
      <c r="A267" s="104"/>
      <c r="B267" s="104"/>
      <c r="C267" s="23"/>
      <c r="D267" s="23"/>
      <c r="E267" s="104"/>
      <c r="F267" s="104"/>
      <c r="G267" s="106"/>
      <c r="H267" s="114"/>
      <c r="I267" s="98"/>
      <c r="J267" s="119"/>
      <c r="K267" s="97"/>
    </row>
    <row r="268" spans="1:11" x14ac:dyDescent="0.3">
      <c r="A268" s="104"/>
      <c r="B268" s="104"/>
      <c r="C268" s="23"/>
      <c r="D268" s="23"/>
      <c r="E268" s="104"/>
      <c r="F268" s="104"/>
      <c r="G268" s="106"/>
      <c r="H268" s="114"/>
      <c r="I268" s="98"/>
      <c r="J268" s="119"/>
      <c r="K268" s="97"/>
    </row>
    <row r="269" spans="1:11" x14ac:dyDescent="0.3">
      <c r="A269" s="23"/>
      <c r="B269" s="23"/>
      <c r="C269" s="23"/>
      <c r="D269" s="23"/>
      <c r="E269" s="23"/>
      <c r="F269" s="23"/>
      <c r="G269" s="102"/>
      <c r="H269" s="98"/>
      <c r="I269" s="98"/>
      <c r="J269" s="97"/>
      <c r="K269" s="97"/>
    </row>
    <row r="270" spans="1:11" x14ac:dyDescent="0.3">
      <c r="A270" s="25"/>
      <c r="B270" s="97"/>
      <c r="C270" s="23"/>
      <c r="D270" s="23"/>
      <c r="E270" s="97"/>
      <c r="F270" s="97"/>
      <c r="G270" s="93"/>
      <c r="H270" s="98"/>
      <c r="I270" s="98"/>
      <c r="J270" s="97"/>
      <c r="K270" s="97"/>
    </row>
    <row r="271" spans="1:11" x14ac:dyDescent="0.3">
      <c r="A271" s="25"/>
      <c r="B271" s="97"/>
      <c r="C271" s="23"/>
      <c r="D271" s="23"/>
      <c r="E271" s="97"/>
      <c r="F271" s="97"/>
      <c r="G271" s="93"/>
      <c r="H271" s="98"/>
      <c r="I271" s="98"/>
      <c r="J271" s="97"/>
      <c r="K271" s="97"/>
    </row>
    <row r="272" spans="1:11" x14ac:dyDescent="0.3">
      <c r="A272" s="23"/>
      <c r="B272" s="23"/>
      <c r="C272" s="23"/>
      <c r="D272" s="23"/>
      <c r="E272" s="23"/>
      <c r="F272" s="23"/>
      <c r="G272" s="93"/>
      <c r="H272" s="98"/>
      <c r="I272" s="98"/>
      <c r="J272" s="97"/>
      <c r="K272" s="97"/>
    </row>
    <row r="273" spans="1:11" x14ac:dyDescent="0.3">
      <c r="A273" s="25"/>
      <c r="B273" s="99"/>
      <c r="C273" s="23"/>
      <c r="D273" s="23"/>
      <c r="E273" s="99"/>
      <c r="F273" s="99"/>
      <c r="G273" s="93"/>
      <c r="H273" s="98"/>
      <c r="I273" s="98"/>
      <c r="J273" s="97"/>
      <c r="K273" s="97"/>
    </row>
    <row r="274" spans="1:11" x14ac:dyDescent="0.3">
      <c r="A274" s="25"/>
      <c r="B274" s="99"/>
      <c r="C274" s="23"/>
      <c r="D274" s="23"/>
      <c r="E274" s="99"/>
      <c r="F274" s="99"/>
      <c r="G274" s="93"/>
      <c r="H274" s="98"/>
      <c r="I274" s="98"/>
      <c r="J274" s="97"/>
      <c r="K274" s="97"/>
    </row>
    <row r="275" spans="1:11" x14ac:dyDescent="0.3">
      <c r="A275" s="25"/>
      <c r="B275" s="99"/>
      <c r="C275" s="23"/>
      <c r="D275" s="23"/>
      <c r="E275" s="99"/>
      <c r="F275" s="99"/>
      <c r="G275" s="93"/>
      <c r="H275" s="98"/>
      <c r="I275" s="98"/>
      <c r="J275" s="97"/>
      <c r="K275" s="97"/>
    </row>
    <row r="276" spans="1:11" x14ac:dyDescent="0.3">
      <c r="A276" s="25"/>
      <c r="B276" s="99"/>
      <c r="C276" s="23"/>
      <c r="D276" s="23"/>
      <c r="E276" s="99"/>
      <c r="F276" s="99"/>
      <c r="G276" s="93"/>
      <c r="H276" s="98"/>
      <c r="I276" s="98"/>
      <c r="J276" s="97"/>
      <c r="K276" s="97"/>
    </row>
    <row r="277" spans="1:11" x14ac:dyDescent="0.3">
      <c r="A277" s="25"/>
      <c r="B277" s="99"/>
      <c r="C277" s="23"/>
      <c r="D277" s="23"/>
      <c r="E277" s="99"/>
      <c r="F277" s="99"/>
      <c r="G277" s="93"/>
      <c r="H277" s="98"/>
      <c r="I277" s="98"/>
      <c r="J277" s="97"/>
      <c r="K277" s="97"/>
    </row>
    <row r="278" spans="1:11" x14ac:dyDescent="0.3">
      <c r="A278" s="25"/>
      <c r="B278" s="99"/>
      <c r="C278" s="23"/>
      <c r="D278" s="23"/>
      <c r="E278" s="99"/>
      <c r="F278" s="99"/>
      <c r="G278" s="93"/>
      <c r="H278" s="98"/>
      <c r="I278" s="98"/>
      <c r="J278" s="97"/>
      <c r="K278" s="97"/>
    </row>
    <row r="279" spans="1:11" x14ac:dyDescent="0.3">
      <c r="A279" s="25"/>
      <c r="B279" s="99"/>
      <c r="C279" s="23"/>
      <c r="D279" s="23"/>
      <c r="E279" s="99"/>
      <c r="F279" s="99"/>
      <c r="G279" s="93"/>
      <c r="H279" s="98"/>
      <c r="I279" s="98"/>
      <c r="J279" s="97"/>
      <c r="K279" s="97"/>
    </row>
    <row r="280" spans="1:11" x14ac:dyDescent="0.3">
      <c r="A280" s="25"/>
      <c r="B280" s="99"/>
      <c r="C280" s="23"/>
      <c r="D280" s="23"/>
      <c r="E280" s="99"/>
      <c r="F280" s="99"/>
      <c r="G280" s="93"/>
      <c r="H280" s="98"/>
      <c r="I280" s="98"/>
      <c r="J280" s="97"/>
      <c r="K280" s="97"/>
    </row>
    <row r="281" spans="1:11" x14ac:dyDescent="0.3">
      <c r="A281" s="25"/>
      <c r="B281" s="97"/>
      <c r="C281" s="23"/>
      <c r="D281" s="23"/>
      <c r="E281" s="97"/>
      <c r="F281" s="97"/>
      <c r="G281" s="93"/>
      <c r="H281" s="98"/>
      <c r="I281" s="98"/>
      <c r="J281" s="97"/>
      <c r="K281" s="97"/>
    </row>
    <row r="282" spans="1:11" x14ac:dyDescent="0.3">
      <c r="A282" s="25"/>
      <c r="B282" s="97"/>
      <c r="C282" s="23"/>
      <c r="D282" s="23"/>
      <c r="E282" s="97"/>
      <c r="F282" s="97"/>
      <c r="G282" s="93"/>
      <c r="H282" s="98"/>
      <c r="I282" s="98"/>
      <c r="J282" s="97"/>
      <c r="K282" s="97"/>
    </row>
    <row r="283" spans="1:11" x14ac:dyDescent="0.3">
      <c r="A283" s="25"/>
      <c r="B283" s="97"/>
      <c r="C283" s="23"/>
      <c r="D283" s="23"/>
      <c r="E283" s="97"/>
      <c r="F283" s="97"/>
      <c r="G283" s="103"/>
      <c r="H283" s="98"/>
      <c r="I283" s="98"/>
      <c r="J283" s="97"/>
      <c r="K283" s="97"/>
    </row>
    <row r="284" spans="1:11" x14ac:dyDescent="0.3">
      <c r="A284" s="25"/>
      <c r="B284" s="97"/>
      <c r="C284" s="23"/>
      <c r="D284" s="23"/>
      <c r="E284" s="97"/>
      <c r="F284" s="97"/>
      <c r="G284" s="93"/>
      <c r="H284" s="98"/>
      <c r="I284" s="98"/>
      <c r="J284" s="97"/>
      <c r="K284" s="97"/>
    </row>
    <row r="285" spans="1:11" x14ac:dyDescent="0.3">
      <c r="A285" s="25"/>
      <c r="B285" s="97"/>
      <c r="C285" s="23"/>
      <c r="D285" s="23"/>
      <c r="E285" s="97"/>
      <c r="F285" s="97"/>
      <c r="G285" s="93"/>
      <c r="H285" s="98"/>
      <c r="I285" s="98"/>
      <c r="J285" s="97"/>
      <c r="K285" s="97"/>
    </row>
    <row r="286" spans="1:11" x14ac:dyDescent="0.3">
      <c r="A286" s="25"/>
      <c r="B286" s="97"/>
      <c r="C286" s="23"/>
      <c r="D286" s="23"/>
      <c r="E286" s="97"/>
      <c r="F286" s="97"/>
      <c r="G286" s="102"/>
      <c r="H286" s="98"/>
      <c r="I286" s="98"/>
      <c r="J286" s="97"/>
      <c r="K286" s="97"/>
    </row>
    <row r="287" spans="1:11" x14ac:dyDescent="0.3">
      <c r="A287" s="25"/>
      <c r="B287" s="97"/>
      <c r="C287" s="23"/>
      <c r="D287" s="23"/>
      <c r="E287" s="97"/>
      <c r="F287" s="97"/>
      <c r="G287" s="93"/>
      <c r="H287" s="98"/>
      <c r="I287" s="98"/>
      <c r="J287" s="97"/>
      <c r="K287" s="97"/>
    </row>
    <row r="288" spans="1:11" x14ac:dyDescent="0.3">
      <c r="A288" s="25"/>
      <c r="B288" s="99"/>
      <c r="C288" s="23"/>
      <c r="D288" s="23"/>
      <c r="E288" s="99"/>
      <c r="F288" s="99"/>
      <c r="G288" s="93"/>
      <c r="H288" s="98"/>
      <c r="I288" s="98"/>
      <c r="K288" s="97"/>
    </row>
    <row r="289" spans="1:11" x14ac:dyDescent="0.3">
      <c r="A289" s="25"/>
      <c r="B289" s="99"/>
      <c r="C289" s="23"/>
      <c r="D289" s="23"/>
      <c r="E289" s="99"/>
      <c r="F289" s="99"/>
      <c r="G289" s="93"/>
      <c r="H289" s="98"/>
      <c r="I289" s="98"/>
      <c r="K289" s="97"/>
    </row>
    <row r="290" spans="1:11" x14ac:dyDescent="0.3">
      <c r="A290" s="26"/>
      <c r="B290" s="26"/>
      <c r="C290" s="23"/>
      <c r="D290" s="23"/>
      <c r="E290" s="26"/>
      <c r="F290" s="26"/>
      <c r="G290" s="93"/>
      <c r="H290" s="91"/>
      <c r="I290" s="98"/>
      <c r="J290" s="90"/>
      <c r="K290" s="97"/>
    </row>
    <row r="291" spans="1:11" x14ac:dyDescent="0.3">
      <c r="A291" s="92"/>
      <c r="B291" s="95"/>
      <c r="C291" s="23"/>
      <c r="D291" s="23"/>
      <c r="E291" s="95"/>
      <c r="F291" s="95"/>
      <c r="G291" s="93"/>
      <c r="H291" s="91"/>
      <c r="I291" s="98"/>
      <c r="J291" s="90"/>
      <c r="K291" s="97"/>
    </row>
    <row r="292" spans="1:11" x14ac:dyDescent="0.3">
      <c r="A292" s="92"/>
      <c r="B292" s="95"/>
      <c r="C292" s="23"/>
      <c r="D292" s="23"/>
      <c r="E292" s="95"/>
      <c r="F292" s="95"/>
      <c r="G292" s="93"/>
      <c r="H292" s="91"/>
      <c r="I292" s="98"/>
      <c r="J292" s="90"/>
      <c r="K292" s="97"/>
    </row>
    <row r="293" spans="1:11" x14ac:dyDescent="0.3">
      <c r="A293" s="92"/>
      <c r="B293" s="95"/>
      <c r="C293" s="23"/>
      <c r="D293" s="23"/>
      <c r="E293" s="95"/>
      <c r="F293" s="95"/>
      <c r="G293" s="93"/>
      <c r="H293" s="91"/>
      <c r="I293" s="98"/>
      <c r="J293" s="90"/>
      <c r="K293" s="97"/>
    </row>
    <row r="294" spans="1:11" x14ac:dyDescent="0.3">
      <c r="A294" s="92"/>
      <c r="B294" s="95"/>
      <c r="C294" s="23"/>
      <c r="D294" s="23"/>
      <c r="E294" s="95"/>
      <c r="F294" s="95"/>
      <c r="G294" s="93"/>
      <c r="H294" s="91"/>
      <c r="I294" s="98"/>
      <c r="J294" s="90"/>
      <c r="K294" s="97"/>
    </row>
    <row r="295" spans="1:11" x14ac:dyDescent="0.3">
      <c r="A295" s="92"/>
      <c r="B295" s="96"/>
      <c r="C295" s="23"/>
      <c r="D295" s="23"/>
      <c r="E295" s="96"/>
      <c r="F295" s="96"/>
      <c r="G295" s="93"/>
      <c r="H295" s="91"/>
      <c r="I295" s="98"/>
      <c r="J295" s="90"/>
      <c r="K295" s="97"/>
    </row>
    <row r="296" spans="1:11" x14ac:dyDescent="0.3">
      <c r="A296" s="92"/>
      <c r="B296" s="96"/>
      <c r="C296" s="23"/>
      <c r="D296" s="23"/>
      <c r="E296" s="96"/>
      <c r="F296" s="96"/>
      <c r="G296" s="93"/>
      <c r="H296" s="91"/>
      <c r="I296" s="98"/>
      <c r="J296" s="90"/>
      <c r="K296" s="97"/>
    </row>
    <row r="297" spans="1:11" x14ac:dyDescent="0.3">
      <c r="A297" s="92"/>
      <c r="B297" s="96"/>
      <c r="C297" s="23"/>
      <c r="D297" s="23"/>
      <c r="E297" s="96"/>
      <c r="F297" s="96"/>
      <c r="G297" s="93"/>
      <c r="H297" s="91"/>
      <c r="I297" s="98"/>
      <c r="J297" s="90"/>
      <c r="K297" s="97"/>
    </row>
    <row r="298" spans="1:11" x14ac:dyDescent="0.3">
      <c r="A298" s="92"/>
      <c r="B298" s="96"/>
      <c r="C298" s="23"/>
      <c r="D298" s="23"/>
      <c r="E298" s="96"/>
      <c r="F298" s="96"/>
      <c r="G298" s="93"/>
      <c r="H298" s="91"/>
      <c r="I298" s="98"/>
      <c r="J298" s="90"/>
      <c r="K298" s="97"/>
    </row>
    <row r="299" spans="1:11" x14ac:dyDescent="0.3">
      <c r="A299" s="92"/>
      <c r="B299" s="96"/>
      <c r="C299" s="23"/>
      <c r="D299" s="23"/>
      <c r="E299" s="96"/>
      <c r="F299" s="96"/>
      <c r="G299" s="93"/>
      <c r="H299" s="91"/>
      <c r="I299" s="98"/>
      <c r="J299" s="90"/>
      <c r="K299" s="97"/>
    </row>
    <row r="300" spans="1:11" x14ac:dyDescent="0.3">
      <c r="A300" s="92"/>
      <c r="B300" s="96"/>
      <c r="C300" s="23"/>
      <c r="D300" s="23"/>
      <c r="E300" s="96"/>
      <c r="F300" s="96"/>
      <c r="G300" s="93"/>
      <c r="H300" s="91"/>
      <c r="I300" s="98"/>
      <c r="J300" s="90"/>
      <c r="K300" s="97"/>
    </row>
    <row r="301" spans="1:11" x14ac:dyDescent="0.3">
      <c r="C301" s="23"/>
      <c r="D301" s="23"/>
      <c r="I301" s="98"/>
      <c r="K301" s="97"/>
    </row>
    <row r="302" spans="1:11" x14ac:dyDescent="0.3">
      <c r="C302" s="23"/>
      <c r="D302" s="23"/>
      <c r="I302" s="98"/>
      <c r="K302" s="97"/>
    </row>
    <row r="303" spans="1:11" x14ac:dyDescent="0.3">
      <c r="C303" s="23"/>
      <c r="D303" s="23"/>
      <c r="I303" s="98"/>
      <c r="K303" s="97"/>
    </row>
    <row r="304" spans="1:11" x14ac:dyDescent="0.3">
      <c r="C304" s="23"/>
      <c r="D304" s="23"/>
      <c r="I304" s="98"/>
      <c r="K304" s="97"/>
    </row>
    <row r="305" spans="3:11" x14ac:dyDescent="0.3">
      <c r="C305" s="23"/>
      <c r="D305" s="23"/>
      <c r="I305" s="98"/>
      <c r="K305" s="97"/>
    </row>
    <row r="306" spans="3:11" x14ac:dyDescent="0.3">
      <c r="C306" s="23"/>
      <c r="D306" s="23"/>
      <c r="I306" s="98"/>
      <c r="K306" s="97"/>
    </row>
    <row r="307" spans="3:11" x14ac:dyDescent="0.3">
      <c r="C307" s="23"/>
      <c r="D307" s="23"/>
      <c r="I307" s="98"/>
      <c r="K307" s="97"/>
    </row>
    <row r="308" spans="3:11" x14ac:dyDescent="0.3">
      <c r="C308" s="23"/>
      <c r="D308" s="23"/>
      <c r="I308" s="98"/>
      <c r="K308" s="97"/>
    </row>
    <row r="309" spans="3:11" x14ac:dyDescent="0.3">
      <c r="C309" s="23"/>
      <c r="D309" s="23"/>
      <c r="I309" s="98"/>
      <c r="K309" s="97"/>
    </row>
    <row r="310" spans="3:11" x14ac:dyDescent="0.3">
      <c r="C310" s="23"/>
      <c r="D310" s="23"/>
      <c r="I310" s="98"/>
      <c r="K310" s="97"/>
    </row>
    <row r="311" spans="3:11" x14ac:dyDescent="0.3">
      <c r="C311" s="23"/>
      <c r="D311" s="23"/>
      <c r="I311" s="98"/>
      <c r="K311" s="97"/>
    </row>
    <row r="312" spans="3:11" x14ac:dyDescent="0.3">
      <c r="C312" s="23"/>
      <c r="D312" s="23"/>
      <c r="I312" s="98"/>
      <c r="K312" s="97"/>
    </row>
    <row r="313" spans="3:11" x14ac:dyDescent="0.3">
      <c r="C313" s="23"/>
      <c r="D313" s="23"/>
      <c r="I313" s="98"/>
      <c r="K313" s="97"/>
    </row>
    <row r="314" spans="3:11" x14ac:dyDescent="0.3">
      <c r="C314" s="23"/>
      <c r="D314" s="23"/>
      <c r="I314" s="98"/>
      <c r="K314" s="97"/>
    </row>
    <row r="315" spans="3:11" x14ac:dyDescent="0.3">
      <c r="C315" s="23"/>
      <c r="D315" s="23"/>
      <c r="I315" s="98"/>
      <c r="K315" s="97"/>
    </row>
    <row r="316" spans="3:11" x14ac:dyDescent="0.3">
      <c r="C316" s="23"/>
      <c r="D316" s="23"/>
      <c r="I316" s="98"/>
      <c r="K316" s="97"/>
    </row>
    <row r="317" spans="3:11" x14ac:dyDescent="0.3">
      <c r="C317" s="23"/>
      <c r="D317" s="23"/>
      <c r="I317" s="98"/>
      <c r="K317" s="97"/>
    </row>
    <row r="318" spans="3:11" x14ac:dyDescent="0.3">
      <c r="C318" s="23"/>
      <c r="D318" s="23"/>
      <c r="I318" s="98"/>
      <c r="K318" s="97"/>
    </row>
    <row r="319" spans="3:11" x14ac:dyDescent="0.3">
      <c r="C319" s="23"/>
      <c r="D319" s="23"/>
      <c r="I319" s="98"/>
      <c r="K319" s="97"/>
    </row>
    <row r="320" spans="3:11" x14ac:dyDescent="0.3">
      <c r="C320" s="23"/>
      <c r="D320" s="23"/>
      <c r="I320" s="98"/>
      <c r="K320" s="97"/>
    </row>
    <row r="321" spans="1:11" x14ac:dyDescent="0.3">
      <c r="A321" s="26"/>
      <c r="B321" s="41"/>
      <c r="C321" s="23"/>
      <c r="D321" s="23"/>
      <c r="E321" s="41"/>
      <c r="F321" s="41"/>
      <c r="G321" s="93"/>
      <c r="H321" s="98"/>
      <c r="I321" s="98"/>
      <c r="J321" s="97"/>
      <c r="K321" s="97"/>
    </row>
    <row r="322" spans="1:11" x14ac:dyDescent="0.3">
      <c r="A322" s="26"/>
      <c r="B322" s="95"/>
      <c r="C322" s="23"/>
      <c r="D322" s="23"/>
      <c r="E322" s="95"/>
      <c r="F322" s="95"/>
      <c r="G322" s="93"/>
      <c r="H322" s="98"/>
      <c r="I322" s="98"/>
      <c r="J322" s="97"/>
      <c r="K322" s="97"/>
    </row>
    <row r="323" spans="1:11" x14ac:dyDescent="0.3">
      <c r="A323" s="26"/>
      <c r="B323" s="99"/>
      <c r="C323" s="23"/>
      <c r="D323" s="23"/>
      <c r="E323" s="99"/>
      <c r="F323" s="99"/>
      <c r="G323" s="93"/>
      <c r="H323" s="98"/>
      <c r="I323" s="98"/>
      <c r="J323" s="97"/>
      <c r="K323" s="97"/>
    </row>
    <row r="324" spans="1:11" x14ac:dyDescent="0.3">
      <c r="A324" s="26"/>
      <c r="B324" s="99"/>
      <c r="C324" s="23"/>
      <c r="D324" s="23"/>
      <c r="E324" s="99"/>
      <c r="F324" s="99"/>
      <c r="G324" s="93"/>
      <c r="H324" s="98"/>
      <c r="I324" s="98"/>
      <c r="J324" s="97"/>
      <c r="K324" s="97"/>
    </row>
    <row r="325" spans="1:11" x14ac:dyDescent="0.3">
      <c r="A325" s="26"/>
      <c r="B325" s="99"/>
      <c r="C325" s="23"/>
      <c r="D325" s="23"/>
      <c r="E325" s="99"/>
      <c r="F325" s="99"/>
      <c r="G325" s="93"/>
      <c r="H325" s="98"/>
      <c r="I325" s="98"/>
      <c r="J325" s="97"/>
      <c r="K325" s="97"/>
    </row>
    <row r="326" spans="1:11" x14ac:dyDescent="0.3">
      <c r="A326" s="26"/>
      <c r="B326" s="99"/>
      <c r="C326" s="23"/>
      <c r="D326" s="23"/>
      <c r="E326" s="99"/>
      <c r="F326" s="99"/>
      <c r="G326" s="93"/>
      <c r="H326" s="98"/>
      <c r="I326" s="98"/>
      <c r="J326" s="97"/>
      <c r="K326" s="97"/>
    </row>
    <row r="327" spans="1:11" x14ac:dyDescent="0.3">
      <c r="A327" s="26"/>
      <c r="B327" s="99"/>
      <c r="C327" s="23"/>
      <c r="D327" s="23"/>
      <c r="E327" s="99"/>
      <c r="F327" s="99"/>
      <c r="G327" s="103"/>
      <c r="H327" s="98"/>
      <c r="I327" s="98"/>
      <c r="J327" s="97"/>
      <c r="K327" s="97"/>
    </row>
    <row r="328" spans="1:11" x14ac:dyDescent="0.3">
      <c r="A328" s="26"/>
      <c r="B328" s="97"/>
      <c r="C328" s="23"/>
      <c r="D328" s="23"/>
      <c r="E328" s="97"/>
      <c r="F328" s="97"/>
      <c r="G328" s="93"/>
      <c r="H328" s="98"/>
      <c r="I328" s="98"/>
      <c r="J328" s="97"/>
      <c r="K328" s="97"/>
    </row>
    <row r="329" spans="1:11" x14ac:dyDescent="0.3">
      <c r="A329" s="26"/>
      <c r="B329" s="97"/>
      <c r="C329" s="23"/>
      <c r="D329" s="23"/>
      <c r="E329" s="97"/>
      <c r="F329" s="97"/>
      <c r="G329" s="93"/>
      <c r="H329" s="98"/>
      <c r="I329" s="98"/>
      <c r="J329" s="97"/>
      <c r="K329" s="97"/>
    </row>
    <row r="330" spans="1:11" x14ac:dyDescent="0.3">
      <c r="A330" s="26"/>
      <c r="B330" s="97"/>
      <c r="C330" s="23"/>
      <c r="D330" s="23"/>
      <c r="E330" s="97"/>
      <c r="F330" s="97"/>
      <c r="G330" s="93"/>
      <c r="H330" s="98"/>
      <c r="I330" s="98"/>
      <c r="J330" s="97"/>
      <c r="K330" s="97"/>
    </row>
    <row r="331" spans="1:11" x14ac:dyDescent="0.3">
      <c r="A331" s="26"/>
      <c r="B331" s="97"/>
      <c r="C331" s="23"/>
      <c r="D331" s="23"/>
      <c r="E331" s="97"/>
      <c r="F331" s="97"/>
      <c r="G331" s="93"/>
      <c r="H331" s="98"/>
      <c r="I331" s="98"/>
      <c r="J331" s="97"/>
      <c r="K331" s="97"/>
    </row>
    <row r="332" spans="1:11" x14ac:dyDescent="0.3">
      <c r="A332" s="26"/>
      <c r="B332" s="41"/>
      <c r="C332" s="23"/>
      <c r="D332" s="23"/>
      <c r="E332" s="41"/>
      <c r="F332" s="41"/>
      <c r="G332" s="93"/>
      <c r="H332" s="98"/>
      <c r="I332" s="98"/>
      <c r="J332" s="97"/>
      <c r="K332" s="97"/>
    </row>
    <row r="333" spans="1:11" x14ac:dyDescent="0.3">
      <c r="A333" s="26"/>
      <c r="B333" s="95"/>
      <c r="C333" s="23"/>
      <c r="D333" s="23"/>
      <c r="E333" s="95"/>
      <c r="F333" s="95"/>
      <c r="G333" s="93"/>
      <c r="H333" s="98"/>
      <c r="I333" s="98"/>
      <c r="J333" s="97"/>
      <c r="K333" s="97"/>
    </row>
    <row r="334" spans="1:11" x14ac:dyDescent="0.3">
      <c r="A334" s="26"/>
      <c r="B334" s="99"/>
      <c r="C334" s="23"/>
      <c r="D334" s="23"/>
      <c r="E334" s="99"/>
      <c r="F334" s="99"/>
      <c r="G334" s="93"/>
      <c r="H334" s="98"/>
      <c r="I334" s="98"/>
      <c r="J334" s="97"/>
      <c r="K334" s="97"/>
    </row>
    <row r="335" spans="1:11" x14ac:dyDescent="0.3">
      <c r="A335" s="26"/>
      <c r="B335" s="99"/>
      <c r="C335" s="23"/>
      <c r="D335" s="23"/>
      <c r="E335" s="99"/>
      <c r="F335" s="99"/>
      <c r="G335" s="93"/>
      <c r="H335" s="98"/>
      <c r="I335" s="98"/>
      <c r="J335" s="97"/>
      <c r="K335" s="97"/>
    </row>
    <row r="336" spans="1:11" x14ac:dyDescent="0.3">
      <c r="A336" s="26"/>
      <c r="B336" s="99"/>
      <c r="C336" s="23"/>
      <c r="D336" s="23"/>
      <c r="E336" s="99"/>
      <c r="F336" s="99"/>
      <c r="G336" s="93"/>
      <c r="H336" s="98"/>
      <c r="I336" s="98"/>
      <c r="J336" s="97"/>
      <c r="K336" s="97"/>
    </row>
    <row r="337" spans="1:11" x14ac:dyDescent="0.3">
      <c r="A337" s="26"/>
      <c r="B337" s="99"/>
      <c r="C337" s="23"/>
      <c r="D337" s="23"/>
      <c r="E337" s="99"/>
      <c r="F337" s="99"/>
      <c r="G337" s="93"/>
      <c r="H337" s="98"/>
      <c r="I337" s="98"/>
      <c r="J337" s="97"/>
      <c r="K337" s="97"/>
    </row>
    <row r="338" spans="1:11" x14ac:dyDescent="0.3">
      <c r="A338" s="26"/>
      <c r="B338" s="99"/>
      <c r="C338" s="23"/>
      <c r="D338" s="23"/>
      <c r="E338" s="99"/>
      <c r="F338" s="99"/>
      <c r="G338" s="103"/>
      <c r="H338" s="98"/>
      <c r="I338" s="98"/>
      <c r="J338" s="97"/>
      <c r="K338" s="97"/>
    </row>
    <row r="339" spans="1:11" x14ac:dyDescent="0.3">
      <c r="A339" s="26"/>
      <c r="B339" s="97"/>
      <c r="C339" s="23"/>
      <c r="D339" s="23"/>
      <c r="E339" s="97"/>
      <c r="F339" s="97"/>
      <c r="G339" s="93"/>
      <c r="H339" s="98"/>
      <c r="I339" s="98"/>
      <c r="J339" s="97"/>
      <c r="K339" s="97"/>
    </row>
    <row r="340" spans="1:11" x14ac:dyDescent="0.3">
      <c r="A340" s="26"/>
      <c r="B340" s="97"/>
      <c r="C340" s="23"/>
      <c r="D340" s="23"/>
      <c r="E340" s="97"/>
      <c r="F340" s="97"/>
      <c r="G340" s="93"/>
      <c r="H340" s="98"/>
      <c r="I340" s="98"/>
      <c r="J340" s="97"/>
      <c r="K340" s="97"/>
    </row>
    <row r="341" spans="1:11" x14ac:dyDescent="0.3">
      <c r="A341" s="26"/>
      <c r="B341" s="97"/>
      <c r="C341" s="23"/>
      <c r="D341" s="23"/>
      <c r="E341" s="97"/>
      <c r="F341" s="97"/>
      <c r="G341" s="93"/>
      <c r="H341" s="98"/>
      <c r="I341" s="98"/>
      <c r="J341" s="97"/>
      <c r="K341" s="97"/>
    </row>
    <row r="342" spans="1:11" x14ac:dyDescent="0.3">
      <c r="A342" s="26"/>
      <c r="B342" s="97"/>
      <c r="C342" s="23"/>
      <c r="D342" s="23"/>
      <c r="E342" s="97"/>
      <c r="F342" s="97"/>
      <c r="G342" s="93"/>
      <c r="H342" s="98"/>
      <c r="I342" s="98"/>
      <c r="J342" s="97"/>
      <c r="K342" s="97"/>
    </row>
    <row r="343" spans="1:11" x14ac:dyDescent="0.3">
      <c r="A343" s="41"/>
      <c r="B343" s="26"/>
      <c r="C343" s="23"/>
      <c r="D343" s="23"/>
      <c r="E343" s="26"/>
      <c r="F343" s="26"/>
      <c r="G343" s="94"/>
      <c r="H343" s="98"/>
      <c r="I343" s="98"/>
      <c r="J343" s="97"/>
      <c r="K343" s="97"/>
    </row>
    <row r="344" spans="1:11" x14ac:dyDescent="0.3">
      <c r="A344" s="41"/>
      <c r="B344" s="26"/>
      <c r="C344" s="23"/>
      <c r="D344" s="23"/>
      <c r="E344" s="26"/>
      <c r="F344" s="26"/>
      <c r="G344" s="94"/>
      <c r="H344" s="98"/>
      <c r="I344" s="98"/>
      <c r="J344" s="97"/>
      <c r="K344" s="97"/>
    </row>
    <row r="345" spans="1:11" x14ac:dyDescent="0.3">
      <c r="A345" s="41"/>
      <c r="B345" s="26"/>
      <c r="C345" s="23"/>
      <c r="D345" s="23"/>
      <c r="E345" s="26"/>
      <c r="F345" s="26"/>
      <c r="G345" s="94"/>
      <c r="H345" s="98"/>
      <c r="I345" s="98"/>
      <c r="J345" s="97"/>
      <c r="K345" s="97"/>
    </row>
    <row r="346" spans="1:11" x14ac:dyDescent="0.3">
      <c r="A346" s="41"/>
      <c r="B346" s="96"/>
      <c r="C346" s="23"/>
      <c r="D346" s="23"/>
      <c r="E346" s="95"/>
      <c r="F346" s="95"/>
      <c r="G346" s="93"/>
      <c r="H346" s="98"/>
      <c r="I346" s="98"/>
      <c r="J346" s="97"/>
      <c r="K346" s="97"/>
    </row>
    <row r="347" spans="1:11" x14ac:dyDescent="0.3">
      <c r="A347" s="41"/>
      <c r="B347" s="96"/>
      <c r="C347" s="23"/>
      <c r="D347" s="23"/>
      <c r="E347" s="95"/>
      <c r="F347" s="95"/>
      <c r="G347" s="93"/>
      <c r="H347" s="98"/>
      <c r="I347" s="98"/>
      <c r="J347" s="97"/>
      <c r="K347" s="97"/>
    </row>
    <row r="348" spans="1:11" x14ac:dyDescent="0.3">
      <c r="A348" s="41"/>
      <c r="B348" s="96"/>
      <c r="C348" s="23"/>
      <c r="D348" s="23"/>
      <c r="E348" s="95"/>
      <c r="F348" s="95"/>
      <c r="G348" s="93"/>
      <c r="H348" s="98"/>
      <c r="I348" s="98"/>
      <c r="J348" s="97"/>
      <c r="K348" s="97"/>
    </row>
    <row r="349" spans="1:11" x14ac:dyDescent="0.3">
      <c r="A349" s="41"/>
      <c r="B349" s="97"/>
      <c r="C349" s="23"/>
      <c r="D349" s="23"/>
      <c r="E349" s="99"/>
      <c r="F349" s="99"/>
      <c r="G349" s="93"/>
      <c r="H349" s="98"/>
      <c r="I349" s="98"/>
      <c r="J349" s="97"/>
      <c r="K349" s="97"/>
    </row>
    <row r="350" spans="1:11" x14ac:dyDescent="0.3">
      <c r="A350" s="41"/>
      <c r="B350" s="97"/>
      <c r="C350" s="23"/>
      <c r="D350" s="23"/>
      <c r="E350" s="99"/>
      <c r="F350" s="99"/>
      <c r="G350" s="93"/>
      <c r="H350" s="98"/>
      <c r="I350" s="98"/>
      <c r="J350" s="97"/>
      <c r="K350" s="97"/>
    </row>
    <row r="351" spans="1:11" x14ac:dyDescent="0.3">
      <c r="A351" s="41"/>
      <c r="B351" s="97"/>
      <c r="C351" s="23"/>
      <c r="D351" s="23"/>
      <c r="E351" s="99"/>
      <c r="F351" s="99"/>
      <c r="G351" s="93"/>
      <c r="H351" s="98"/>
      <c r="I351" s="98"/>
      <c r="J351" s="97"/>
      <c r="K351" s="97"/>
    </row>
    <row r="352" spans="1:11" x14ac:dyDescent="0.3">
      <c r="A352" s="41"/>
      <c r="B352" s="97"/>
      <c r="C352" s="23"/>
      <c r="D352" s="23"/>
      <c r="E352" s="99"/>
      <c r="F352" s="99"/>
      <c r="G352" s="103"/>
      <c r="H352" s="98"/>
      <c r="I352" s="98"/>
      <c r="J352" s="97"/>
      <c r="K352" s="97"/>
    </row>
    <row r="353" spans="1:11" x14ac:dyDescent="0.3">
      <c r="A353" s="41"/>
      <c r="B353" s="97"/>
      <c r="C353" s="23"/>
      <c r="D353" s="23"/>
      <c r="E353" s="97"/>
      <c r="F353" s="97"/>
      <c r="G353" s="93"/>
      <c r="H353" s="98"/>
      <c r="I353" s="98"/>
      <c r="J353" s="97"/>
      <c r="K353" s="97"/>
    </row>
    <row r="354" spans="1:11" x14ac:dyDescent="0.3">
      <c r="A354" s="41"/>
      <c r="B354" s="97"/>
      <c r="C354" s="23"/>
      <c r="D354" s="23"/>
      <c r="E354" s="97"/>
      <c r="F354" s="97"/>
      <c r="G354" s="93"/>
      <c r="H354" s="98"/>
      <c r="I354" s="98"/>
      <c r="J354" s="97"/>
      <c r="K354" s="97"/>
    </row>
    <row r="355" spans="1:11" x14ac:dyDescent="0.3">
      <c r="A355" s="41"/>
      <c r="B355" s="97"/>
      <c r="C355" s="23"/>
      <c r="D355" s="23"/>
      <c r="E355" s="97"/>
      <c r="F355" s="97"/>
      <c r="G355" s="93"/>
      <c r="H355" s="98"/>
      <c r="I355" s="98"/>
      <c r="J355" s="97"/>
      <c r="K355" s="97"/>
    </row>
    <row r="356" spans="1:11" x14ac:dyDescent="0.3">
      <c r="A356" s="41"/>
      <c r="B356" s="97"/>
      <c r="C356" s="23"/>
      <c r="D356" s="23"/>
      <c r="E356" s="97"/>
      <c r="F356" s="97"/>
      <c r="G356" s="93"/>
      <c r="H356" s="98"/>
      <c r="I356" s="98"/>
      <c r="J356" s="97"/>
      <c r="K356" s="97"/>
    </row>
    <row r="357" spans="1:11" x14ac:dyDescent="0.3">
      <c r="A357" s="41"/>
      <c r="B357" s="26"/>
      <c r="C357" s="23"/>
      <c r="D357" s="23"/>
      <c r="E357" s="26"/>
      <c r="F357" s="26"/>
      <c r="G357" s="94"/>
      <c r="H357" s="98"/>
      <c r="I357" s="98"/>
      <c r="J357" s="97"/>
      <c r="K357" s="97"/>
    </row>
    <row r="358" spans="1:11" x14ac:dyDescent="0.3">
      <c r="A358" s="41"/>
      <c r="B358" s="26"/>
      <c r="C358" s="23"/>
      <c r="D358" s="23"/>
      <c r="E358" s="26"/>
      <c r="F358" s="26"/>
      <c r="G358" s="94"/>
      <c r="H358" s="98"/>
      <c r="I358" s="98"/>
      <c r="J358" s="97"/>
      <c r="K358" s="97"/>
    </row>
    <row r="359" spans="1:11" x14ac:dyDescent="0.3">
      <c r="A359" s="41"/>
      <c r="B359" s="26"/>
      <c r="C359" s="23"/>
      <c r="D359" s="23"/>
      <c r="E359" s="26"/>
      <c r="F359" s="26"/>
      <c r="G359" s="94"/>
      <c r="H359" s="98"/>
      <c r="I359" s="98"/>
      <c r="J359" s="97"/>
      <c r="K359" s="97"/>
    </row>
    <row r="360" spans="1:11" x14ac:dyDescent="0.3">
      <c r="A360" s="41"/>
      <c r="B360" s="96"/>
      <c r="C360" s="23"/>
      <c r="D360" s="23"/>
      <c r="E360" s="95"/>
      <c r="F360" s="95"/>
      <c r="G360" s="93"/>
      <c r="H360" s="98"/>
      <c r="I360" s="98"/>
      <c r="J360" s="97"/>
      <c r="K360" s="97"/>
    </row>
    <row r="361" spans="1:11" x14ac:dyDescent="0.3">
      <c r="A361" s="41"/>
      <c r="B361" s="96"/>
      <c r="C361" s="23"/>
      <c r="D361" s="23"/>
      <c r="E361" s="95"/>
      <c r="F361" s="95"/>
      <c r="G361" s="93"/>
      <c r="H361" s="98"/>
      <c r="I361" s="98"/>
      <c r="J361" s="97"/>
      <c r="K361" s="97"/>
    </row>
    <row r="362" spans="1:11" x14ac:dyDescent="0.3">
      <c r="A362" s="41"/>
      <c r="B362" s="96"/>
      <c r="C362" s="23"/>
      <c r="D362" s="23"/>
      <c r="E362" s="95"/>
      <c r="F362" s="95"/>
      <c r="G362" s="93"/>
      <c r="H362" s="98"/>
      <c r="I362" s="98"/>
      <c r="J362" s="97"/>
      <c r="K362" s="97"/>
    </row>
    <row r="363" spans="1:11" x14ac:dyDescent="0.3">
      <c r="A363" s="41"/>
      <c r="B363" s="97"/>
      <c r="C363" s="23"/>
      <c r="D363" s="23"/>
      <c r="E363" s="99"/>
      <c r="F363" s="99"/>
      <c r="G363" s="93"/>
      <c r="H363" s="98"/>
      <c r="I363" s="98"/>
      <c r="J363" s="97"/>
      <c r="K363" s="97"/>
    </row>
    <row r="364" spans="1:11" x14ac:dyDescent="0.3">
      <c r="A364" s="41"/>
      <c r="B364" s="97"/>
      <c r="C364" s="23"/>
      <c r="D364" s="23"/>
      <c r="E364" s="99"/>
      <c r="F364" s="99"/>
      <c r="G364" s="93"/>
      <c r="H364" s="98"/>
      <c r="I364" s="98"/>
      <c r="J364" s="97"/>
      <c r="K364" s="97"/>
    </row>
    <row r="365" spans="1:11" x14ac:dyDescent="0.3">
      <c r="A365" s="41"/>
      <c r="B365" s="97"/>
      <c r="C365" s="23"/>
      <c r="D365" s="23"/>
      <c r="E365" s="99"/>
      <c r="F365" s="99"/>
      <c r="G365" s="93"/>
      <c r="H365" s="98"/>
      <c r="I365" s="98"/>
      <c r="J365" s="97"/>
      <c r="K365" s="97"/>
    </row>
    <row r="366" spans="1:11" x14ac:dyDescent="0.3">
      <c r="A366" s="41"/>
      <c r="B366" s="97"/>
      <c r="C366" s="23"/>
      <c r="D366" s="23"/>
      <c r="E366" s="99"/>
      <c r="F366" s="99"/>
      <c r="G366" s="93"/>
      <c r="H366" s="98"/>
      <c r="I366" s="98"/>
      <c r="J366" s="97"/>
      <c r="K366" s="97"/>
    </row>
    <row r="367" spans="1:11" x14ac:dyDescent="0.3">
      <c r="A367" s="41"/>
      <c r="B367" s="97"/>
      <c r="C367" s="23"/>
      <c r="D367" s="23"/>
      <c r="E367" s="97"/>
      <c r="F367" s="97"/>
      <c r="G367" s="93"/>
      <c r="H367" s="98"/>
      <c r="I367" s="98"/>
      <c r="J367" s="97"/>
      <c r="K367" s="97"/>
    </row>
    <row r="368" spans="1:11" x14ac:dyDescent="0.3">
      <c r="A368" s="41"/>
      <c r="B368" s="97"/>
      <c r="C368" s="23"/>
      <c r="D368" s="23"/>
      <c r="E368" s="97"/>
      <c r="F368" s="97"/>
      <c r="G368" s="93"/>
      <c r="H368" s="98"/>
      <c r="I368" s="98"/>
      <c r="J368" s="97"/>
      <c r="K368" s="97"/>
    </row>
    <row r="369" spans="1:11" x14ac:dyDescent="0.3">
      <c r="A369" s="41"/>
      <c r="B369" s="97"/>
      <c r="C369" s="23"/>
      <c r="D369" s="23"/>
      <c r="E369" s="97"/>
      <c r="F369" s="97"/>
      <c r="G369" s="93"/>
      <c r="H369" s="98"/>
      <c r="I369" s="98"/>
      <c r="J369" s="97"/>
      <c r="K369" s="97"/>
    </row>
    <row r="370" spans="1:11" x14ac:dyDescent="0.3">
      <c r="A370" s="41"/>
      <c r="B370" s="97"/>
      <c r="C370" s="23"/>
      <c r="D370" s="23"/>
      <c r="E370" s="97"/>
      <c r="F370" s="97"/>
      <c r="G370" s="93"/>
      <c r="H370" s="98"/>
      <c r="I370" s="98"/>
      <c r="J370" s="97"/>
      <c r="K370" s="97"/>
    </row>
    <row r="371" spans="1:11" x14ac:dyDescent="0.3">
      <c r="A371" s="23"/>
      <c r="B371" s="41"/>
      <c r="C371" s="23"/>
      <c r="D371" s="23"/>
      <c r="E371" s="41"/>
      <c r="F371" s="41"/>
      <c r="G371" s="94"/>
      <c r="H371" s="98"/>
      <c r="I371" s="98"/>
      <c r="J371" s="97"/>
      <c r="K371" s="97"/>
    </row>
    <row r="372" spans="1:11" x14ac:dyDescent="0.3">
      <c r="A372" s="23"/>
      <c r="B372" s="95"/>
      <c r="C372" s="23"/>
      <c r="D372" s="23"/>
      <c r="E372" s="95"/>
      <c r="F372" s="95"/>
      <c r="G372" s="93"/>
      <c r="H372" s="98"/>
      <c r="I372" s="98"/>
      <c r="J372" s="97"/>
      <c r="K372" s="97"/>
    </row>
    <row r="373" spans="1:11" x14ac:dyDescent="0.3">
      <c r="A373" s="23"/>
      <c r="B373" s="99"/>
      <c r="C373" s="23"/>
      <c r="D373" s="23"/>
      <c r="E373" s="99"/>
      <c r="F373" s="99"/>
      <c r="G373" s="93"/>
      <c r="H373" s="98"/>
      <c r="I373" s="98"/>
      <c r="J373" s="97"/>
      <c r="K373" s="97"/>
    </row>
    <row r="374" spans="1:11" x14ac:dyDescent="0.3">
      <c r="A374" s="97"/>
      <c r="B374" s="99"/>
      <c r="C374" s="23"/>
      <c r="D374" s="23"/>
      <c r="E374" s="99"/>
      <c r="F374" s="99"/>
      <c r="G374" s="93"/>
      <c r="H374" s="98"/>
      <c r="I374" s="98"/>
      <c r="J374" s="97"/>
      <c r="K374" s="97"/>
    </row>
    <row r="375" spans="1:11" x14ac:dyDescent="0.3">
      <c r="A375" s="97"/>
      <c r="B375" s="99"/>
      <c r="C375" s="23"/>
      <c r="D375" s="23"/>
      <c r="E375" s="99"/>
      <c r="F375" s="99"/>
      <c r="G375" s="93"/>
      <c r="H375" s="98"/>
      <c r="I375" s="98"/>
      <c r="J375" s="97"/>
      <c r="K375" s="97"/>
    </row>
    <row r="376" spans="1:11" x14ac:dyDescent="0.3">
      <c r="A376" s="97"/>
      <c r="B376" s="99"/>
      <c r="C376" s="23"/>
      <c r="D376" s="23"/>
      <c r="E376" s="99"/>
      <c r="F376" s="99"/>
      <c r="G376" s="93"/>
      <c r="H376" s="98"/>
      <c r="I376" s="98"/>
      <c r="J376" s="97"/>
      <c r="K376" s="97"/>
    </row>
    <row r="377" spans="1:11" x14ac:dyDescent="0.3">
      <c r="A377" s="41"/>
      <c r="B377" s="99"/>
      <c r="C377" s="23"/>
      <c r="D377" s="23"/>
      <c r="E377" s="41"/>
      <c r="F377" s="99"/>
      <c r="G377" s="93"/>
      <c r="H377" s="98"/>
      <c r="I377" s="98"/>
      <c r="J377" s="97"/>
      <c r="K377" s="97"/>
    </row>
    <row r="378" spans="1:11" x14ac:dyDescent="0.3">
      <c r="A378" s="97"/>
      <c r="B378" s="99"/>
      <c r="C378" s="23"/>
      <c r="D378" s="23"/>
      <c r="E378" s="99"/>
      <c r="F378" s="99"/>
      <c r="G378" s="93"/>
      <c r="H378" s="98"/>
      <c r="I378" s="98"/>
      <c r="J378" s="97"/>
      <c r="K378" s="97"/>
    </row>
    <row r="379" spans="1:11" x14ac:dyDescent="0.3">
      <c r="A379" s="97"/>
      <c r="B379" s="99"/>
      <c r="C379" s="23"/>
      <c r="D379" s="23"/>
      <c r="E379" s="99"/>
      <c r="F379" s="99"/>
      <c r="G379" s="103"/>
      <c r="H379" s="98"/>
      <c r="I379" s="98"/>
      <c r="J379" s="97"/>
      <c r="K379" s="97"/>
    </row>
    <row r="380" spans="1:11" x14ac:dyDescent="0.3">
      <c r="A380" s="97"/>
      <c r="B380" s="99"/>
      <c r="C380" s="23"/>
      <c r="D380" s="23"/>
      <c r="E380" s="99"/>
      <c r="F380" s="99"/>
      <c r="G380" s="93"/>
      <c r="H380" s="98"/>
      <c r="I380" s="98"/>
      <c r="J380" s="97"/>
      <c r="K380" s="97"/>
    </row>
    <row r="381" spans="1:11" x14ac:dyDescent="0.3">
      <c r="A381" s="97"/>
      <c r="B381" s="99"/>
      <c r="C381" s="23"/>
      <c r="D381" s="23"/>
      <c r="E381" s="99"/>
      <c r="F381" s="99"/>
      <c r="G381" s="93"/>
      <c r="H381" s="98"/>
      <c r="I381" s="98"/>
      <c r="J381" s="97"/>
      <c r="K381" s="97"/>
    </row>
    <row r="382" spans="1:11" x14ac:dyDescent="0.3">
      <c r="A382" s="97"/>
      <c r="B382" s="97"/>
      <c r="C382" s="23"/>
      <c r="D382" s="23"/>
      <c r="E382" s="97"/>
      <c r="F382" s="97"/>
      <c r="G382" s="93"/>
      <c r="H382" s="98"/>
      <c r="I382" s="98"/>
      <c r="J382" s="97"/>
      <c r="K382" s="97"/>
    </row>
    <row r="383" spans="1:11" x14ac:dyDescent="0.3">
      <c r="A383" s="97"/>
      <c r="B383" s="97"/>
      <c r="C383" s="23"/>
      <c r="D383" s="23"/>
      <c r="E383" s="97"/>
      <c r="F383" s="97"/>
      <c r="G383" s="93"/>
      <c r="H383" s="98"/>
      <c r="I383" s="98"/>
      <c r="J383" s="97"/>
      <c r="K383" s="97"/>
    </row>
    <row r="384" spans="1:11" x14ac:dyDescent="0.3">
      <c r="A384" s="97"/>
      <c r="B384" s="99"/>
      <c r="C384" s="23"/>
      <c r="D384" s="23"/>
      <c r="E384" s="99"/>
      <c r="F384" s="99"/>
      <c r="G384" s="93"/>
      <c r="H384" s="98"/>
      <c r="I384" s="98"/>
      <c r="J384" s="97"/>
      <c r="K384" s="97"/>
    </row>
    <row r="385" spans="1:11" x14ac:dyDescent="0.3">
      <c r="A385" s="97"/>
      <c r="B385" s="97"/>
      <c r="C385" s="23"/>
      <c r="D385" s="23"/>
      <c r="E385" s="97"/>
      <c r="F385" s="97"/>
      <c r="G385" s="93"/>
      <c r="H385" s="98"/>
      <c r="I385" s="98"/>
      <c r="J385" s="97"/>
      <c r="K385" s="97"/>
    </row>
    <row r="386" spans="1:11" x14ac:dyDescent="0.3">
      <c r="A386" s="23"/>
      <c r="B386" s="41"/>
      <c r="C386" s="23"/>
      <c r="D386" s="23"/>
      <c r="E386" s="41"/>
      <c r="F386" s="41"/>
      <c r="G386" s="94"/>
      <c r="H386" s="98"/>
      <c r="I386" s="98"/>
      <c r="J386" s="97"/>
      <c r="K386" s="97"/>
    </row>
    <row r="387" spans="1:11" x14ac:dyDescent="0.3">
      <c r="A387" s="41"/>
      <c r="B387" s="99"/>
      <c r="C387" s="23"/>
      <c r="D387" s="23"/>
      <c r="E387" s="99"/>
      <c r="F387" s="99"/>
      <c r="G387" s="93"/>
      <c r="H387" s="98"/>
      <c r="I387" s="98"/>
      <c r="J387" s="97"/>
      <c r="K387" s="97"/>
    </row>
    <row r="388" spans="1:11" x14ac:dyDescent="0.3">
      <c r="A388" s="41"/>
      <c r="B388" s="99"/>
      <c r="C388" s="23"/>
      <c r="D388" s="23"/>
      <c r="E388" s="99"/>
      <c r="F388" s="99"/>
      <c r="G388" s="93"/>
      <c r="H388" s="98"/>
      <c r="I388" s="98"/>
      <c r="J388" s="97"/>
      <c r="K388" s="97"/>
    </row>
    <row r="389" spans="1:11" x14ac:dyDescent="0.3">
      <c r="A389" s="41"/>
      <c r="B389" s="99"/>
      <c r="C389" s="23"/>
      <c r="D389" s="23"/>
      <c r="E389" s="99"/>
      <c r="F389" s="99"/>
      <c r="G389" s="93"/>
      <c r="H389" s="98"/>
      <c r="I389" s="98"/>
      <c r="J389" s="97"/>
      <c r="K389" s="97"/>
    </row>
    <row r="390" spans="1:11" x14ac:dyDescent="0.3">
      <c r="A390" s="41"/>
      <c r="B390" s="99"/>
      <c r="C390" s="23"/>
      <c r="D390" s="23"/>
      <c r="E390" s="99"/>
      <c r="F390" s="99"/>
      <c r="G390" s="103"/>
      <c r="H390" s="98"/>
      <c r="I390" s="98"/>
      <c r="J390" s="97"/>
      <c r="K390" s="97"/>
    </row>
    <row r="391" spans="1:11" x14ac:dyDescent="0.3">
      <c r="A391" s="41"/>
      <c r="B391" s="97"/>
      <c r="C391" s="23"/>
      <c r="D391" s="23"/>
      <c r="E391" s="97"/>
      <c r="F391" s="97"/>
      <c r="G391" s="93"/>
      <c r="H391" s="98"/>
      <c r="I391" s="98"/>
      <c r="J391" s="97"/>
      <c r="K391" s="97"/>
    </row>
    <row r="392" spans="1:11" x14ac:dyDescent="0.3">
      <c r="A392" s="41"/>
      <c r="B392" s="97"/>
      <c r="C392" s="23"/>
      <c r="D392" s="23"/>
      <c r="E392" s="97"/>
      <c r="F392" s="97"/>
      <c r="G392" s="93"/>
      <c r="H392" s="98"/>
      <c r="I392" s="98"/>
      <c r="J392" s="97"/>
      <c r="K392" s="97"/>
    </row>
    <row r="393" spans="1:11" x14ac:dyDescent="0.3">
      <c r="A393" s="41"/>
      <c r="B393" s="97"/>
      <c r="C393" s="23"/>
      <c r="D393" s="23"/>
      <c r="E393" s="97"/>
      <c r="F393" s="97"/>
      <c r="G393" s="93"/>
      <c r="H393" s="98"/>
      <c r="I393" s="98"/>
      <c r="J393" s="97"/>
      <c r="K393" s="97"/>
    </row>
    <row r="394" spans="1:11" x14ac:dyDescent="0.3">
      <c r="A394" s="41"/>
      <c r="B394" s="97"/>
      <c r="C394" s="23"/>
      <c r="D394" s="23"/>
      <c r="E394" s="97"/>
      <c r="F394" s="97"/>
      <c r="G394" s="93"/>
      <c r="H394" s="98"/>
      <c r="I394" s="98"/>
      <c r="J394" s="97"/>
      <c r="K394" s="97"/>
    </row>
    <row r="395" spans="1:11" x14ac:dyDescent="0.3">
      <c r="A395" s="41"/>
      <c r="B395" s="99"/>
      <c r="C395" s="23"/>
      <c r="D395" s="23"/>
      <c r="E395" s="99"/>
      <c r="F395" s="99"/>
      <c r="G395" s="93"/>
      <c r="H395" s="98"/>
      <c r="I395" s="98"/>
      <c r="J395" s="97"/>
      <c r="K395" s="97"/>
    </row>
    <row r="396" spans="1:11" x14ac:dyDescent="0.3">
      <c r="A396" s="41"/>
      <c r="B396" s="99"/>
      <c r="C396" s="23"/>
      <c r="D396" s="23"/>
      <c r="E396" s="99"/>
      <c r="F396" s="99"/>
      <c r="G396" s="93"/>
      <c r="H396" s="98"/>
      <c r="I396" s="98"/>
      <c r="J396" s="97"/>
      <c r="K396" s="97"/>
    </row>
    <row r="397" spans="1:11" x14ac:dyDescent="0.3">
      <c r="A397" s="41"/>
      <c r="B397" s="99"/>
      <c r="C397" s="23"/>
      <c r="D397" s="23"/>
      <c r="E397" s="99"/>
      <c r="F397" s="99"/>
      <c r="G397" s="93"/>
      <c r="H397" s="98"/>
      <c r="I397" s="98"/>
      <c r="J397" s="97"/>
      <c r="K397" s="97"/>
    </row>
    <row r="398" spans="1:11" x14ac:dyDescent="0.3">
      <c r="A398" s="41"/>
      <c r="B398" s="99"/>
      <c r="C398" s="23"/>
      <c r="D398" s="23"/>
      <c r="E398" s="99"/>
      <c r="F398" s="99"/>
      <c r="G398" s="103"/>
      <c r="H398" s="98"/>
      <c r="I398" s="98"/>
      <c r="J398" s="97"/>
      <c r="K398" s="97"/>
    </row>
    <row r="399" spans="1:11" x14ac:dyDescent="0.3">
      <c r="A399" s="41"/>
      <c r="B399" s="97"/>
      <c r="C399" s="23"/>
      <c r="D399" s="23"/>
      <c r="E399" s="97"/>
      <c r="F399" s="97"/>
      <c r="G399" s="93"/>
      <c r="H399" s="98"/>
      <c r="I399" s="98"/>
      <c r="J399" s="97"/>
      <c r="K399" s="97"/>
    </row>
    <row r="400" spans="1:11" x14ac:dyDescent="0.3">
      <c r="A400" s="41"/>
      <c r="B400" s="97"/>
      <c r="C400" s="23"/>
      <c r="D400" s="23"/>
      <c r="E400" s="97"/>
      <c r="F400" s="97"/>
      <c r="G400" s="93"/>
      <c r="H400" s="98"/>
      <c r="I400" s="98"/>
      <c r="J400" s="97"/>
      <c r="K400" s="97"/>
    </row>
    <row r="401" spans="1:11" x14ac:dyDescent="0.3">
      <c r="A401" s="41"/>
      <c r="B401" s="97"/>
      <c r="C401" s="23"/>
      <c r="D401" s="23"/>
      <c r="E401" s="97"/>
      <c r="F401" s="97"/>
      <c r="G401" s="93"/>
      <c r="H401" s="98"/>
      <c r="I401" s="98"/>
      <c r="J401" s="97"/>
      <c r="K401" s="97"/>
    </row>
    <row r="402" spans="1:11" x14ac:dyDescent="0.3">
      <c r="A402" s="41"/>
      <c r="B402" s="97"/>
      <c r="C402" s="23"/>
      <c r="D402" s="23"/>
      <c r="E402" s="97"/>
      <c r="F402" s="97"/>
      <c r="G402" s="93"/>
      <c r="H402" s="98"/>
      <c r="I402" s="98"/>
      <c r="J402" s="97"/>
      <c r="K402" s="97"/>
    </row>
    <row r="403" spans="1:11" x14ac:dyDescent="0.3">
      <c r="A403" s="97"/>
      <c r="B403" s="99"/>
      <c r="C403" s="23"/>
      <c r="D403" s="23"/>
      <c r="E403" s="99"/>
      <c r="F403" s="99"/>
      <c r="G403" s="93"/>
      <c r="I403" s="98"/>
      <c r="K403" s="97"/>
    </row>
    <row r="404" spans="1:11" x14ac:dyDescent="0.3">
      <c r="A404" s="97"/>
      <c r="B404" s="97"/>
      <c r="C404" s="23"/>
      <c r="D404" s="23"/>
      <c r="E404" s="97"/>
      <c r="F404" s="97"/>
      <c r="G404" s="93"/>
      <c r="I404" s="98"/>
      <c r="K404" s="97"/>
    </row>
    <row r="405" spans="1:11" x14ac:dyDescent="0.3">
      <c r="A405" s="116"/>
      <c r="B405" s="41"/>
      <c r="C405" s="23"/>
      <c r="D405" s="23"/>
      <c r="E405" s="41"/>
      <c r="F405" s="41"/>
      <c r="G405" s="94"/>
      <c r="H405" s="98"/>
      <c r="I405" s="98"/>
      <c r="J405" s="97"/>
      <c r="K405" s="97"/>
    </row>
    <row r="406" spans="1:11" x14ac:dyDescent="0.3">
      <c r="A406" s="97"/>
      <c r="B406" s="99"/>
      <c r="C406" s="23"/>
      <c r="D406" s="23"/>
      <c r="E406" s="99"/>
      <c r="F406" s="99"/>
      <c r="G406" s="93"/>
      <c r="H406" s="98"/>
      <c r="I406" s="98"/>
      <c r="J406" s="97"/>
      <c r="K406" s="97"/>
    </row>
    <row r="407" spans="1:11" x14ac:dyDescent="0.3">
      <c r="A407" s="97"/>
      <c r="B407" s="97"/>
      <c r="C407" s="23"/>
      <c r="D407" s="23"/>
      <c r="E407" s="97"/>
      <c r="F407" s="97"/>
      <c r="G407" s="93"/>
      <c r="H407" s="98"/>
      <c r="I407" s="98"/>
      <c r="J407" s="97"/>
      <c r="K407" s="97"/>
    </row>
    <row r="408" spans="1:11" x14ac:dyDescent="0.3">
      <c r="A408" s="97"/>
      <c r="B408" s="97"/>
      <c r="C408" s="23"/>
      <c r="D408" s="23"/>
      <c r="E408" s="97"/>
      <c r="F408" s="97"/>
      <c r="G408" s="93"/>
      <c r="H408" s="98"/>
      <c r="I408" s="98"/>
      <c r="J408" s="97"/>
      <c r="K408" s="97"/>
    </row>
    <row r="409" spans="1:11" x14ac:dyDescent="0.3">
      <c r="A409" s="97"/>
      <c r="B409" s="97"/>
      <c r="C409" s="23"/>
      <c r="D409" s="23"/>
      <c r="E409" s="97"/>
      <c r="F409" s="97"/>
      <c r="G409" s="93"/>
      <c r="H409" s="98"/>
      <c r="I409" s="98"/>
      <c r="J409" s="97"/>
      <c r="K409" s="97"/>
    </row>
  </sheetData>
  <sortState ref="A3:M387">
    <sortCondition descending="1" ref="K3:K387"/>
  </sortState>
  <mergeCells count="49">
    <mergeCell ref="N6:N7"/>
    <mergeCell ref="Q4:R4"/>
    <mergeCell ref="P18:P19"/>
    <mergeCell ref="Q18:R18"/>
    <mergeCell ref="P64:P65"/>
    <mergeCell ref="Q64:R64"/>
    <mergeCell ref="P43:Q43"/>
    <mergeCell ref="P33:Q33"/>
    <mergeCell ref="P17:Q17"/>
    <mergeCell ref="P34:P35"/>
    <mergeCell ref="Q34:R34"/>
    <mergeCell ref="P54:P55"/>
    <mergeCell ref="Q54:R54"/>
    <mergeCell ref="P3:Q3"/>
    <mergeCell ref="V74:X74"/>
    <mergeCell ref="P108:R108"/>
    <mergeCell ref="P128:R128"/>
    <mergeCell ref="W75:X75"/>
    <mergeCell ref="P109:P110"/>
    <mergeCell ref="Q109:R109"/>
    <mergeCell ref="P75:P76"/>
    <mergeCell ref="Q75:R75"/>
    <mergeCell ref="P44:P45"/>
    <mergeCell ref="Q44:R44"/>
    <mergeCell ref="V75:V76"/>
    <mergeCell ref="P74:Q74"/>
    <mergeCell ref="P63:Q63"/>
    <mergeCell ref="P53:Q53"/>
    <mergeCell ref="P4:P5"/>
    <mergeCell ref="P129:P130"/>
    <mergeCell ref="Q129:R129"/>
    <mergeCell ref="P144:R144"/>
    <mergeCell ref="P145:P146"/>
    <mergeCell ref="Q145:R145"/>
    <mergeCell ref="P163:R163"/>
    <mergeCell ref="P164:P165"/>
    <mergeCell ref="Q164:R164"/>
    <mergeCell ref="P183:R183"/>
    <mergeCell ref="P184:P185"/>
    <mergeCell ref="Q184:R184"/>
    <mergeCell ref="P219:R219"/>
    <mergeCell ref="P220:P221"/>
    <mergeCell ref="Q220:R220"/>
    <mergeCell ref="P193:R193"/>
    <mergeCell ref="P194:P195"/>
    <mergeCell ref="Q194:R194"/>
    <mergeCell ref="P203:R203"/>
    <mergeCell ref="P204:P205"/>
    <mergeCell ref="Q204:R20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6" sqref="G26"/>
    </sheetView>
  </sheetViews>
  <sheetFormatPr defaultRowHeight="14.4" x14ac:dyDescent="0.3"/>
  <cols>
    <col min="2" max="2" width="13.33203125" customWidth="1"/>
    <col min="3" max="3" width="14.44140625" customWidth="1"/>
    <col min="4" max="4" width="13.33203125" customWidth="1"/>
    <col min="5" max="5" width="10.5546875" customWidth="1"/>
  </cols>
  <sheetData>
    <row r="1" spans="1:7" x14ac:dyDescent="0.3">
      <c r="A1" t="s">
        <v>208</v>
      </c>
    </row>
    <row r="2" spans="1:7" x14ac:dyDescent="0.3">
      <c r="A2" t="s">
        <v>209</v>
      </c>
      <c r="D2" s="120" t="s">
        <v>178</v>
      </c>
      <c r="E2" s="120" t="s">
        <v>192</v>
      </c>
      <c r="G2" t="s">
        <v>212</v>
      </c>
    </row>
    <row r="3" spans="1:7" x14ac:dyDescent="0.3">
      <c r="A3" t="s">
        <v>210</v>
      </c>
      <c r="D3" s="329">
        <v>1</v>
      </c>
      <c r="E3" s="329">
        <v>0.8571428571428571</v>
      </c>
    </row>
    <row r="4" spans="1:7" x14ac:dyDescent="0.3">
      <c r="D4" s="329">
        <v>1</v>
      </c>
      <c r="E4" s="329">
        <v>0.7142857142857143</v>
      </c>
      <c r="G4">
        <f t="shared" ref="G4" si="0">(E5+E4)/2*(D5-D4)</f>
        <v>0</v>
      </c>
    </row>
    <row r="5" spans="1:7" x14ac:dyDescent="0.3">
      <c r="D5" s="329">
        <v>1</v>
      </c>
      <c r="E5" s="329">
        <v>0.66666666666666663</v>
      </c>
      <c r="G5">
        <f>(E5+E4)/2*(D5-D4)</f>
        <v>0</v>
      </c>
    </row>
    <row r="6" spans="1:7" x14ac:dyDescent="0.3">
      <c r="D6" s="329">
        <v>0.5</v>
      </c>
      <c r="E6" s="329">
        <v>0.5</v>
      </c>
      <c r="G6">
        <f>(E6+E5)/2*(D6-D5)</f>
        <v>-0.29166666666666663</v>
      </c>
    </row>
    <row r="7" spans="1:7" x14ac:dyDescent="0.3">
      <c r="D7" s="329">
        <v>1</v>
      </c>
      <c r="E7" s="329">
        <v>0</v>
      </c>
      <c r="G7">
        <f t="shared" ref="G7:G16" si="1">(E7+E6)/2*(D7-D6)</f>
        <v>0.125</v>
      </c>
    </row>
    <row r="8" spans="1:7" x14ac:dyDescent="0.3">
      <c r="D8" s="329">
        <v>1</v>
      </c>
      <c r="E8" s="329">
        <v>1</v>
      </c>
      <c r="G8">
        <f t="shared" si="1"/>
        <v>0</v>
      </c>
    </row>
    <row r="9" spans="1:7" x14ac:dyDescent="0.3">
      <c r="D9" s="329">
        <v>1</v>
      </c>
      <c r="E9" s="329">
        <v>0</v>
      </c>
      <c r="G9">
        <f t="shared" si="1"/>
        <v>0</v>
      </c>
    </row>
    <row r="10" spans="1:7" x14ac:dyDescent="0.3">
      <c r="D10" s="329">
        <v>0.5</v>
      </c>
      <c r="E10" s="329">
        <v>1</v>
      </c>
      <c r="G10">
        <f t="shared" si="1"/>
        <v>-0.25</v>
      </c>
    </row>
    <row r="11" spans="1:7" x14ac:dyDescent="0.3">
      <c r="D11" s="329">
        <v>0.4</v>
      </c>
      <c r="E11" s="329">
        <v>0.88888888888888884</v>
      </c>
      <c r="G11">
        <f t="shared" si="1"/>
        <v>-9.4444444444444414E-2</v>
      </c>
    </row>
    <row r="12" spans="1:7" x14ac:dyDescent="0.3">
      <c r="D12" s="329">
        <v>0.4</v>
      </c>
      <c r="E12" s="329">
        <v>0.6</v>
      </c>
      <c r="G12">
        <f t="shared" si="1"/>
        <v>0</v>
      </c>
    </row>
    <row r="13" spans="1:7" x14ac:dyDescent="0.3">
      <c r="D13" s="329">
        <v>0.4285714285714286</v>
      </c>
      <c r="E13" s="329">
        <v>0.6</v>
      </c>
      <c r="G13">
        <f t="shared" si="1"/>
        <v>1.7142857142857147E-2</v>
      </c>
    </row>
    <row r="14" spans="1:7" x14ac:dyDescent="0.3">
      <c r="D14" s="329">
        <v>0.33333333333333337</v>
      </c>
      <c r="E14" s="329">
        <v>0.5</v>
      </c>
      <c r="G14">
        <f t="shared" si="1"/>
        <v>-5.2380952380952382E-2</v>
      </c>
    </row>
    <row r="15" spans="1:7" x14ac:dyDescent="0.3">
      <c r="D15" s="329">
        <v>0.3</v>
      </c>
      <c r="E15" s="329">
        <v>0.75</v>
      </c>
      <c r="G15">
        <f t="shared" si="1"/>
        <v>-2.0833333333333363E-2</v>
      </c>
    </row>
    <row r="16" spans="1:7" x14ac:dyDescent="0.3">
      <c r="D16" s="329">
        <v>0.4</v>
      </c>
      <c r="E16" s="329">
        <v>0.6</v>
      </c>
      <c r="G16">
        <f t="shared" si="1"/>
        <v>6.7500000000000032E-2</v>
      </c>
    </row>
    <row r="17" spans="6:7" x14ac:dyDescent="0.3">
      <c r="F17" t="s">
        <v>211</v>
      </c>
      <c r="G17" s="328">
        <f>SUM(G4:G16)</f>
        <v>-0.49968253968253973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9"/>
  <sheetViews>
    <sheetView tabSelected="1" zoomScale="76" zoomScaleNormal="76" workbookViewId="0">
      <pane ySplit="1" topLeftCell="A2" activePane="bottomLeft" state="frozen"/>
      <selection pane="bottomLeft" activeCell="D678" sqref="D678:D729"/>
    </sheetView>
  </sheetViews>
  <sheetFormatPr defaultRowHeight="14.4" x14ac:dyDescent="0.3"/>
  <cols>
    <col min="1" max="1" width="9.88671875" style="275" customWidth="1"/>
    <col min="2" max="2" width="13.5546875" style="275" customWidth="1"/>
    <col min="3" max="4" width="15.33203125" style="275" customWidth="1"/>
    <col min="5" max="5" width="18.44140625" style="275" customWidth="1"/>
    <col min="6" max="6" width="8.88671875" style="351" customWidth="1"/>
    <col min="7" max="7" width="12.6640625" style="275" customWidth="1"/>
    <col min="8" max="8" width="8.88671875" style="275" customWidth="1"/>
    <col min="9" max="9" width="16.33203125" style="275" customWidth="1"/>
    <col min="10" max="10" width="11.6640625" style="275" customWidth="1"/>
    <col min="11" max="11" width="18.33203125" style="275" customWidth="1"/>
    <col min="12" max="12" width="15.88671875" style="352" customWidth="1"/>
  </cols>
  <sheetData>
    <row r="1" spans="1:15" ht="13.2" customHeight="1" x14ac:dyDescent="0.3">
      <c r="A1" s="365" t="s">
        <v>213</v>
      </c>
      <c r="B1" s="365" t="s">
        <v>214</v>
      </c>
      <c r="C1" s="366" t="s">
        <v>215</v>
      </c>
      <c r="D1" t="s">
        <v>256</v>
      </c>
      <c r="E1" s="365" t="s">
        <v>220</v>
      </c>
      <c r="F1" s="365" t="s">
        <v>108</v>
      </c>
      <c r="G1" s="365" t="s">
        <v>104</v>
      </c>
      <c r="H1" s="365" t="s">
        <v>105</v>
      </c>
      <c r="I1" s="365" t="s">
        <v>221</v>
      </c>
      <c r="J1" s="365" t="s">
        <v>255</v>
      </c>
      <c r="K1" s="365" t="s">
        <v>218</v>
      </c>
      <c r="L1" s="365" t="s">
        <v>219</v>
      </c>
      <c r="M1" s="127"/>
    </row>
    <row r="2" spans="1:15" ht="13.2" customHeight="1" x14ac:dyDescent="0.3">
      <c r="A2" s="330">
        <v>1</v>
      </c>
      <c r="B2" s="330" t="s">
        <v>216</v>
      </c>
      <c r="C2" s="330" t="s">
        <v>217</v>
      </c>
      <c r="D2" s="330" t="s">
        <v>217</v>
      </c>
      <c r="E2" s="346" t="s">
        <v>246</v>
      </c>
      <c r="F2" s="331">
        <v>10697</v>
      </c>
      <c r="G2" s="330">
        <v>1485</v>
      </c>
      <c r="H2" s="330">
        <v>340</v>
      </c>
      <c r="I2" s="330"/>
      <c r="J2" s="330"/>
      <c r="K2" s="330"/>
      <c r="L2" s="332"/>
    </row>
    <row r="3" spans="1:15" x14ac:dyDescent="0.3">
      <c r="A3" s="330">
        <v>2</v>
      </c>
      <c r="B3" s="330" t="s">
        <v>216</v>
      </c>
      <c r="C3" s="330" t="s">
        <v>217</v>
      </c>
      <c r="D3" s="330" t="s">
        <v>217</v>
      </c>
      <c r="E3" s="346" t="s">
        <v>246</v>
      </c>
      <c r="F3" s="331">
        <v>6799</v>
      </c>
      <c r="G3" s="330">
        <v>1189</v>
      </c>
      <c r="H3" s="330">
        <v>342</v>
      </c>
      <c r="I3" s="330"/>
      <c r="J3" s="330"/>
      <c r="K3" s="330"/>
      <c r="L3" s="332"/>
    </row>
    <row r="4" spans="1:15" x14ac:dyDescent="0.3">
      <c r="A4" s="330">
        <v>3</v>
      </c>
      <c r="B4" s="330" t="s">
        <v>216</v>
      </c>
      <c r="C4" s="330" t="s">
        <v>217</v>
      </c>
      <c r="D4" s="330" t="s">
        <v>217</v>
      </c>
      <c r="E4" s="346" t="s">
        <v>246</v>
      </c>
      <c r="F4" s="331">
        <v>3902</v>
      </c>
      <c r="G4" s="330">
        <v>902</v>
      </c>
      <c r="H4" s="330">
        <v>264</v>
      </c>
      <c r="I4" s="330"/>
      <c r="J4" s="330"/>
      <c r="K4" s="330"/>
      <c r="L4" s="332"/>
    </row>
    <row r="5" spans="1:15" x14ac:dyDescent="0.3">
      <c r="A5" s="330">
        <v>4</v>
      </c>
      <c r="B5" s="330" t="s">
        <v>216</v>
      </c>
      <c r="C5" s="330" t="s">
        <v>217</v>
      </c>
      <c r="D5" s="330" t="s">
        <v>217</v>
      </c>
      <c r="E5" s="346" t="s">
        <v>246</v>
      </c>
      <c r="F5" s="331">
        <v>1717</v>
      </c>
      <c r="G5" s="330">
        <v>588</v>
      </c>
      <c r="H5" s="330">
        <v>182</v>
      </c>
      <c r="I5" s="330"/>
      <c r="J5" s="330"/>
      <c r="K5" s="330"/>
      <c r="L5" s="332"/>
      <c r="N5" s="335"/>
      <c r="O5" s="335"/>
    </row>
    <row r="6" spans="1:15" x14ac:dyDescent="0.3">
      <c r="A6" s="330">
        <v>5</v>
      </c>
      <c r="B6" s="330" t="s">
        <v>216</v>
      </c>
      <c r="C6" s="330" t="s">
        <v>217</v>
      </c>
      <c r="D6" s="330" t="s">
        <v>217</v>
      </c>
      <c r="E6" s="346" t="s">
        <v>246</v>
      </c>
      <c r="F6" s="331">
        <v>1106</v>
      </c>
      <c r="G6" s="330">
        <v>468</v>
      </c>
      <c r="H6" s="330">
        <v>135</v>
      </c>
      <c r="I6" s="330"/>
      <c r="J6" s="330"/>
      <c r="K6" s="330"/>
      <c r="L6" s="332"/>
    </row>
    <row r="7" spans="1:15" x14ac:dyDescent="0.3">
      <c r="A7" s="330">
        <v>6</v>
      </c>
      <c r="B7" s="330" t="s">
        <v>216</v>
      </c>
      <c r="C7" s="330" t="s">
        <v>217</v>
      </c>
      <c r="D7" s="330" t="s">
        <v>217</v>
      </c>
      <c r="E7" s="346" t="s">
        <v>246</v>
      </c>
      <c r="F7" s="331">
        <v>871</v>
      </c>
      <c r="G7" s="330">
        <v>324</v>
      </c>
      <c r="H7" s="330">
        <v>113</v>
      </c>
      <c r="I7" s="330"/>
      <c r="J7" s="330"/>
      <c r="K7" s="330"/>
      <c r="L7" s="332"/>
    </row>
    <row r="8" spans="1:15" x14ac:dyDescent="0.3">
      <c r="A8" s="330">
        <v>7</v>
      </c>
      <c r="B8" s="330" t="s">
        <v>216</v>
      </c>
      <c r="C8" s="330" t="s">
        <v>217</v>
      </c>
      <c r="D8" s="330" t="s">
        <v>217</v>
      </c>
      <c r="E8" s="346" t="s">
        <v>246</v>
      </c>
      <c r="F8" s="331">
        <v>663</v>
      </c>
      <c r="G8" s="346">
        <v>247</v>
      </c>
      <c r="H8" s="330">
        <v>82</v>
      </c>
      <c r="I8" s="330"/>
      <c r="J8" s="330"/>
      <c r="K8" s="330"/>
      <c r="L8" s="332"/>
    </row>
    <row r="9" spans="1:15" x14ac:dyDescent="0.3">
      <c r="A9" s="330">
        <v>8</v>
      </c>
      <c r="B9" s="330" t="s">
        <v>216</v>
      </c>
      <c r="C9" s="330" t="s">
        <v>217</v>
      </c>
      <c r="D9" s="330" t="s">
        <v>217</v>
      </c>
      <c r="E9" s="346" t="s">
        <v>246</v>
      </c>
      <c r="F9" s="331">
        <v>556</v>
      </c>
      <c r="G9" s="330">
        <v>188</v>
      </c>
      <c r="H9" s="330">
        <v>63</v>
      </c>
      <c r="I9" s="330"/>
      <c r="J9" s="330"/>
      <c r="K9" s="330"/>
      <c r="L9" s="332"/>
    </row>
    <row r="10" spans="1:15" x14ac:dyDescent="0.3">
      <c r="A10" s="330">
        <v>9</v>
      </c>
      <c r="B10" s="330" t="s">
        <v>216</v>
      </c>
      <c r="C10" s="330" t="s">
        <v>217</v>
      </c>
      <c r="D10" s="330" t="s">
        <v>217</v>
      </c>
      <c r="E10" s="346" t="s">
        <v>246</v>
      </c>
      <c r="F10" s="331">
        <v>423</v>
      </c>
      <c r="G10" s="330">
        <v>160</v>
      </c>
      <c r="H10" s="330">
        <v>57</v>
      </c>
      <c r="I10" s="330"/>
      <c r="J10" s="330"/>
      <c r="K10" s="330"/>
      <c r="L10" s="332"/>
    </row>
    <row r="11" spans="1:15" x14ac:dyDescent="0.3">
      <c r="A11" s="330">
        <v>10</v>
      </c>
      <c r="B11" s="330" t="s">
        <v>216</v>
      </c>
      <c r="C11" s="330" t="s">
        <v>217</v>
      </c>
      <c r="D11" s="330" t="s">
        <v>217</v>
      </c>
      <c r="E11" s="346" t="s">
        <v>246</v>
      </c>
      <c r="F11" s="331">
        <v>370</v>
      </c>
      <c r="G11" s="330">
        <v>139</v>
      </c>
      <c r="H11" s="330">
        <v>32</v>
      </c>
      <c r="I11" s="330"/>
      <c r="J11" s="330"/>
      <c r="K11" s="330"/>
      <c r="L11" s="332"/>
    </row>
    <row r="12" spans="1:15" x14ac:dyDescent="0.3">
      <c r="A12" s="330">
        <v>11</v>
      </c>
      <c r="B12" s="330" t="s">
        <v>216</v>
      </c>
      <c r="C12" s="330" t="s">
        <v>217</v>
      </c>
      <c r="D12" s="330" t="s">
        <v>217</v>
      </c>
      <c r="E12" s="346" t="s">
        <v>246</v>
      </c>
      <c r="F12" s="331">
        <v>404</v>
      </c>
      <c r="G12" s="330">
        <v>138</v>
      </c>
      <c r="H12" s="330">
        <v>30</v>
      </c>
      <c r="I12" s="330"/>
      <c r="J12" s="330"/>
      <c r="K12" s="330"/>
      <c r="L12" s="332"/>
    </row>
    <row r="13" spans="1:15" x14ac:dyDescent="0.3">
      <c r="A13" s="330">
        <v>12</v>
      </c>
      <c r="B13" s="330" t="s">
        <v>216</v>
      </c>
      <c r="C13" s="330" t="s">
        <v>217</v>
      </c>
      <c r="D13" s="330" t="s">
        <v>217</v>
      </c>
      <c r="E13" s="346" t="s">
        <v>246</v>
      </c>
      <c r="F13" s="331">
        <v>454</v>
      </c>
      <c r="G13" s="330">
        <v>153</v>
      </c>
      <c r="H13" s="330">
        <v>20</v>
      </c>
      <c r="I13" s="330"/>
      <c r="J13" s="330"/>
      <c r="K13" s="353">
        <v>0.79375705622746195</v>
      </c>
      <c r="L13" s="359">
        <f>10^K13</f>
        <v>6.2195226854207606</v>
      </c>
    </row>
    <row r="14" spans="1:15" x14ac:dyDescent="0.3">
      <c r="A14" s="330">
        <v>13</v>
      </c>
      <c r="B14" s="330" t="s">
        <v>216</v>
      </c>
      <c r="C14" s="330" t="s">
        <v>217</v>
      </c>
      <c r="D14" s="330" t="s">
        <v>217</v>
      </c>
      <c r="E14" s="346" t="s">
        <v>246</v>
      </c>
      <c r="F14" s="331">
        <v>382</v>
      </c>
      <c r="G14" s="330">
        <v>126</v>
      </c>
      <c r="H14" s="330">
        <v>28</v>
      </c>
      <c r="I14" s="330"/>
      <c r="J14" s="330"/>
      <c r="K14" s="330"/>
      <c r="L14" s="359"/>
    </row>
    <row r="15" spans="1:15" x14ac:dyDescent="0.3">
      <c r="A15" s="330">
        <v>14</v>
      </c>
      <c r="B15" s="330" t="s">
        <v>216</v>
      </c>
      <c r="C15" s="330" t="s">
        <v>217</v>
      </c>
      <c r="D15" s="330" t="s">
        <v>217</v>
      </c>
      <c r="E15" s="346" t="s">
        <v>246</v>
      </c>
      <c r="F15" s="331">
        <v>446</v>
      </c>
      <c r="G15" s="330">
        <v>150</v>
      </c>
      <c r="H15" s="330">
        <v>20</v>
      </c>
      <c r="I15" s="330"/>
      <c r="J15" s="330"/>
      <c r="K15" s="330"/>
      <c r="L15" s="359"/>
    </row>
    <row r="16" spans="1:15" x14ac:dyDescent="0.3">
      <c r="A16" s="330">
        <v>15</v>
      </c>
      <c r="B16" s="330" t="s">
        <v>216</v>
      </c>
      <c r="C16" s="330" t="s">
        <v>217</v>
      </c>
      <c r="D16" s="330" t="s">
        <v>217</v>
      </c>
      <c r="E16" s="346" t="s">
        <v>246</v>
      </c>
      <c r="F16" s="331">
        <v>475</v>
      </c>
      <c r="G16" s="330">
        <v>135</v>
      </c>
      <c r="H16" s="330">
        <v>21</v>
      </c>
      <c r="I16" s="330"/>
      <c r="J16" s="330"/>
      <c r="K16" s="330"/>
      <c r="L16" s="359"/>
    </row>
    <row r="17" spans="1:12" x14ac:dyDescent="0.3">
      <c r="A17" s="330">
        <v>16</v>
      </c>
      <c r="B17" s="330" t="s">
        <v>216</v>
      </c>
      <c r="C17" s="330" t="s">
        <v>217</v>
      </c>
      <c r="D17" s="330" t="s">
        <v>217</v>
      </c>
      <c r="E17" s="346" t="s">
        <v>246</v>
      </c>
      <c r="F17" s="331">
        <v>418</v>
      </c>
      <c r="G17" s="330">
        <v>161</v>
      </c>
      <c r="H17" s="330">
        <v>29</v>
      </c>
      <c r="I17" s="330"/>
      <c r="J17" s="330"/>
      <c r="K17" s="330"/>
      <c r="L17" s="359"/>
    </row>
    <row r="18" spans="1:12" x14ac:dyDescent="0.3">
      <c r="A18" s="330">
        <v>17</v>
      </c>
      <c r="B18" s="330" t="s">
        <v>216</v>
      </c>
      <c r="C18" s="330" t="s">
        <v>217</v>
      </c>
      <c r="D18" s="330" t="s">
        <v>217</v>
      </c>
      <c r="E18" s="346" t="s">
        <v>246</v>
      </c>
      <c r="F18" s="331">
        <v>537</v>
      </c>
      <c r="G18" s="330">
        <v>157</v>
      </c>
      <c r="H18" s="330">
        <v>32</v>
      </c>
      <c r="I18" s="330"/>
      <c r="J18" s="330"/>
      <c r="K18" s="354">
        <v>1.0751310752460534</v>
      </c>
      <c r="L18" s="359">
        <f t="shared" ref="L18:L77" si="0">10^K18</f>
        <v>11.888609856975304</v>
      </c>
    </row>
    <row r="19" spans="1:12" x14ac:dyDescent="0.3">
      <c r="A19" s="330">
        <v>18</v>
      </c>
      <c r="B19" s="330" t="s">
        <v>216</v>
      </c>
      <c r="C19" s="330" t="s">
        <v>217</v>
      </c>
      <c r="D19" s="330" t="s">
        <v>217</v>
      </c>
      <c r="E19" s="346" t="s">
        <v>246</v>
      </c>
      <c r="F19" s="331">
        <v>958</v>
      </c>
      <c r="G19" s="330">
        <v>183</v>
      </c>
      <c r="H19" s="330">
        <v>32</v>
      </c>
      <c r="I19" s="330"/>
      <c r="J19" s="330"/>
      <c r="K19" s="330"/>
      <c r="L19" s="359"/>
    </row>
    <row r="20" spans="1:12" x14ac:dyDescent="0.3">
      <c r="A20" s="330">
        <v>19</v>
      </c>
      <c r="B20" s="330" t="s">
        <v>216</v>
      </c>
      <c r="C20" s="330" t="s">
        <v>217</v>
      </c>
      <c r="D20" s="330" t="s">
        <v>217</v>
      </c>
      <c r="E20" s="346" t="s">
        <v>246</v>
      </c>
      <c r="F20" s="331">
        <v>1765</v>
      </c>
      <c r="G20" s="330">
        <v>247</v>
      </c>
      <c r="H20" s="330">
        <v>27</v>
      </c>
      <c r="I20" s="330"/>
      <c r="J20" s="330"/>
      <c r="K20" s="330"/>
      <c r="L20" s="359"/>
    </row>
    <row r="21" spans="1:12" x14ac:dyDescent="0.3">
      <c r="A21" s="330">
        <v>20</v>
      </c>
      <c r="B21" s="330" t="s">
        <v>216</v>
      </c>
      <c r="C21" s="330" t="s">
        <v>217</v>
      </c>
      <c r="D21" s="330" t="s">
        <v>217</v>
      </c>
      <c r="E21" s="346" t="s">
        <v>246</v>
      </c>
      <c r="F21" s="331">
        <v>2331</v>
      </c>
      <c r="G21" s="330">
        <v>339</v>
      </c>
      <c r="H21" s="330">
        <v>44</v>
      </c>
      <c r="I21" s="330"/>
      <c r="J21" s="330"/>
      <c r="K21" s="330"/>
      <c r="L21" s="359"/>
    </row>
    <row r="22" spans="1:12" x14ac:dyDescent="0.3">
      <c r="A22" s="330">
        <v>21</v>
      </c>
      <c r="B22" s="330" t="s">
        <v>216</v>
      </c>
      <c r="C22" s="330" t="s">
        <v>217</v>
      </c>
      <c r="D22" s="330" t="s">
        <v>217</v>
      </c>
      <c r="E22" s="346" t="s">
        <v>246</v>
      </c>
      <c r="F22" s="331">
        <v>3350</v>
      </c>
      <c r="G22" s="330">
        <v>479</v>
      </c>
      <c r="H22" s="330">
        <v>62</v>
      </c>
      <c r="I22" s="330"/>
      <c r="J22" s="330"/>
      <c r="K22" s="354">
        <v>1.5004305712368426</v>
      </c>
      <c r="L22" s="359">
        <f t="shared" si="0"/>
        <v>31.654143820003597</v>
      </c>
    </row>
    <row r="23" spans="1:12" x14ac:dyDescent="0.3">
      <c r="A23" s="330">
        <v>22</v>
      </c>
      <c r="B23" s="330" t="s">
        <v>216</v>
      </c>
      <c r="C23" s="330" t="s">
        <v>217</v>
      </c>
      <c r="D23" s="330" t="s">
        <v>217</v>
      </c>
      <c r="E23" s="346" t="s">
        <v>246</v>
      </c>
      <c r="F23" s="331">
        <v>4877</v>
      </c>
      <c r="G23" s="330">
        <v>648</v>
      </c>
      <c r="H23" s="330">
        <v>85</v>
      </c>
      <c r="I23" s="330"/>
      <c r="J23" s="330"/>
      <c r="K23" s="354">
        <v>1.8948394435491196</v>
      </c>
      <c r="L23" s="359">
        <f t="shared" si="0"/>
        <v>78.494539066236911</v>
      </c>
    </row>
    <row r="24" spans="1:12" x14ac:dyDescent="0.3">
      <c r="A24" s="330">
        <v>23</v>
      </c>
      <c r="B24" s="330" t="s">
        <v>216</v>
      </c>
      <c r="C24" s="330" t="s">
        <v>217</v>
      </c>
      <c r="D24" s="330" t="s">
        <v>217</v>
      </c>
      <c r="E24" s="346" t="s">
        <v>246</v>
      </c>
      <c r="F24" s="331">
        <v>9494</v>
      </c>
      <c r="G24" s="330">
        <v>861</v>
      </c>
      <c r="H24" s="330">
        <v>108</v>
      </c>
      <c r="I24" s="330"/>
      <c r="J24" s="330"/>
      <c r="K24" s="354">
        <v>2.682933142265413</v>
      </c>
      <c r="L24" s="359">
        <f t="shared" si="0"/>
        <v>481.87360958177214</v>
      </c>
    </row>
    <row r="25" spans="1:12" x14ac:dyDescent="0.3">
      <c r="A25" s="330">
        <v>24</v>
      </c>
      <c r="B25" s="330" t="s">
        <v>216</v>
      </c>
      <c r="C25" s="330" t="s">
        <v>217</v>
      </c>
      <c r="D25" s="330" t="s">
        <v>217</v>
      </c>
      <c r="E25" s="346" t="s">
        <v>246</v>
      </c>
      <c r="F25" s="331">
        <v>14956</v>
      </c>
      <c r="G25" s="330">
        <v>1180</v>
      </c>
      <c r="H25" s="330">
        <v>152</v>
      </c>
      <c r="I25" s="330"/>
      <c r="J25" s="330"/>
      <c r="K25" s="354">
        <v>2.0714289192068773</v>
      </c>
      <c r="L25" s="359">
        <f t="shared" si="0"/>
        <v>117.87695787390908</v>
      </c>
    </row>
    <row r="26" spans="1:12" x14ac:dyDescent="0.3">
      <c r="A26" s="330">
        <v>25</v>
      </c>
      <c r="B26" s="330" t="s">
        <v>216</v>
      </c>
      <c r="C26" s="330" t="s">
        <v>217</v>
      </c>
      <c r="D26" s="330" t="s">
        <v>217</v>
      </c>
      <c r="E26" s="346" t="s">
        <v>246</v>
      </c>
      <c r="F26" s="331">
        <v>17702</v>
      </c>
      <c r="G26" s="330">
        <v>1547</v>
      </c>
      <c r="H26" s="330">
        <v>273</v>
      </c>
      <c r="I26" s="330"/>
      <c r="J26" s="330"/>
      <c r="K26" s="354">
        <v>2.5743539680205632</v>
      </c>
      <c r="L26" s="359">
        <f t="shared" si="0"/>
        <v>375.27874537876698</v>
      </c>
    </row>
    <row r="27" spans="1:12" x14ac:dyDescent="0.3">
      <c r="A27" s="330">
        <v>26</v>
      </c>
      <c r="B27" s="330" t="s">
        <v>216</v>
      </c>
      <c r="C27" s="330" t="s">
        <v>217</v>
      </c>
      <c r="D27" s="330" t="s">
        <v>217</v>
      </c>
      <c r="E27" s="346" t="s">
        <v>246</v>
      </c>
      <c r="F27" s="333">
        <v>19581</v>
      </c>
      <c r="G27" s="330">
        <v>1652</v>
      </c>
      <c r="H27" s="330">
        <v>342</v>
      </c>
      <c r="I27" s="330"/>
      <c r="J27" s="330"/>
      <c r="K27" s="354">
        <v>2.985745468546912</v>
      </c>
      <c r="L27" s="359">
        <f t="shared" si="0"/>
        <v>967.71053392059969</v>
      </c>
    </row>
    <row r="28" spans="1:12" x14ac:dyDescent="0.3">
      <c r="A28" s="330">
        <v>27</v>
      </c>
      <c r="B28" s="330" t="s">
        <v>216</v>
      </c>
      <c r="C28" s="330" t="s">
        <v>217</v>
      </c>
      <c r="D28" s="330" t="s">
        <v>217</v>
      </c>
      <c r="E28" s="346" t="s">
        <v>246</v>
      </c>
      <c r="F28" s="333">
        <v>15431</v>
      </c>
      <c r="G28" s="330">
        <v>1802</v>
      </c>
      <c r="H28" s="330">
        <v>397</v>
      </c>
      <c r="I28" s="330"/>
      <c r="J28" s="330"/>
      <c r="K28" s="354">
        <v>0.88314638563335446</v>
      </c>
      <c r="L28" s="359">
        <f t="shared" si="0"/>
        <v>7.6409328956993328</v>
      </c>
    </row>
    <row r="29" spans="1:12" x14ac:dyDescent="0.3">
      <c r="A29" s="330">
        <v>28</v>
      </c>
      <c r="B29" s="330" t="s">
        <v>216</v>
      </c>
      <c r="C29" s="330" t="s">
        <v>217</v>
      </c>
      <c r="D29" s="330" t="s">
        <v>217</v>
      </c>
      <c r="E29" s="346" t="s">
        <v>246</v>
      </c>
      <c r="F29" s="333">
        <v>9412</v>
      </c>
      <c r="G29" s="330">
        <v>1525</v>
      </c>
      <c r="H29" s="330">
        <v>390</v>
      </c>
      <c r="I29" s="330"/>
      <c r="J29" s="330"/>
      <c r="K29" s="354">
        <v>2.284396346147362</v>
      </c>
      <c r="L29" s="359">
        <f t="shared" si="0"/>
        <v>192.48475833814999</v>
      </c>
    </row>
    <row r="30" spans="1:12" x14ac:dyDescent="0.3">
      <c r="A30" s="330">
        <v>29</v>
      </c>
      <c r="B30" s="330" t="s">
        <v>216</v>
      </c>
      <c r="C30" s="330" t="s">
        <v>217</v>
      </c>
      <c r="D30" s="330" t="s">
        <v>217</v>
      </c>
      <c r="E30" s="346" t="s">
        <v>246</v>
      </c>
      <c r="F30" s="333">
        <v>5380</v>
      </c>
      <c r="G30" s="330">
        <v>1251</v>
      </c>
      <c r="H30" s="330">
        <v>378</v>
      </c>
      <c r="I30" s="330"/>
      <c r="J30" s="330"/>
      <c r="K30" s="354">
        <v>2.2665212422911751</v>
      </c>
      <c r="L30" s="359">
        <f t="shared" si="0"/>
        <v>184.72311448077818</v>
      </c>
    </row>
    <row r="31" spans="1:12" x14ac:dyDescent="0.3">
      <c r="A31" s="330">
        <v>30</v>
      </c>
      <c r="B31" s="330" t="s">
        <v>216</v>
      </c>
      <c r="C31" s="330" t="s">
        <v>217</v>
      </c>
      <c r="D31" s="330" t="s">
        <v>217</v>
      </c>
      <c r="E31" s="346" t="s">
        <v>246</v>
      </c>
      <c r="F31" s="333">
        <v>4773</v>
      </c>
      <c r="G31" s="330">
        <v>892</v>
      </c>
      <c r="H31" s="330">
        <v>299</v>
      </c>
      <c r="I31" s="330"/>
      <c r="J31" s="330"/>
      <c r="K31" s="354">
        <v>1.9864705419546611</v>
      </c>
      <c r="L31" s="359">
        <f t="shared" si="0"/>
        <v>96.932751791817893</v>
      </c>
    </row>
    <row r="32" spans="1:12" x14ac:dyDescent="0.3">
      <c r="A32" s="330">
        <v>31</v>
      </c>
      <c r="B32" s="330" t="s">
        <v>216</v>
      </c>
      <c r="C32" s="330" t="s">
        <v>217</v>
      </c>
      <c r="D32" s="330" t="s">
        <v>217</v>
      </c>
      <c r="E32" s="346" t="s">
        <v>246</v>
      </c>
      <c r="F32" s="333">
        <v>3509</v>
      </c>
      <c r="G32" s="330">
        <v>715</v>
      </c>
      <c r="H32" s="330">
        <v>234</v>
      </c>
      <c r="I32" s="330"/>
      <c r="J32" s="330"/>
      <c r="K32" s="354">
        <v>2.1295852449625645</v>
      </c>
      <c r="L32" s="359">
        <f t="shared" si="0"/>
        <v>134.7675226172623</v>
      </c>
    </row>
    <row r="33" spans="1:12" x14ac:dyDescent="0.3">
      <c r="A33" s="330">
        <v>32</v>
      </c>
      <c r="B33" s="330" t="s">
        <v>216</v>
      </c>
      <c r="C33" s="330" t="s">
        <v>217</v>
      </c>
      <c r="D33" s="330" t="s">
        <v>217</v>
      </c>
      <c r="E33" s="346" t="s">
        <v>246</v>
      </c>
      <c r="F33" s="333">
        <v>2762</v>
      </c>
      <c r="G33" s="330">
        <v>566</v>
      </c>
      <c r="H33" s="330">
        <v>162</v>
      </c>
      <c r="I33" s="330"/>
      <c r="J33" s="330"/>
      <c r="K33" s="354">
        <v>1.6665599874603905</v>
      </c>
      <c r="L33" s="359">
        <f t="shared" si="0"/>
        <v>46.404488232671014</v>
      </c>
    </row>
    <row r="34" spans="1:12" x14ac:dyDescent="0.3">
      <c r="A34" s="330">
        <v>33</v>
      </c>
      <c r="B34" s="330" t="s">
        <v>216</v>
      </c>
      <c r="C34" s="330" t="s">
        <v>217</v>
      </c>
      <c r="D34" s="330" t="s">
        <v>217</v>
      </c>
      <c r="E34" s="346" t="s">
        <v>246</v>
      </c>
      <c r="F34" s="333">
        <v>1994</v>
      </c>
      <c r="G34" s="330">
        <v>428</v>
      </c>
      <c r="H34" s="330">
        <v>127</v>
      </c>
      <c r="I34" s="330"/>
      <c r="J34" s="330"/>
      <c r="K34" s="354">
        <v>1.3952763240142754</v>
      </c>
      <c r="L34" s="359">
        <f t="shared" si="0"/>
        <v>24.847135251882133</v>
      </c>
    </row>
    <row r="35" spans="1:12" x14ac:dyDescent="0.3">
      <c r="A35" s="330">
        <v>34</v>
      </c>
      <c r="B35" s="330" t="s">
        <v>216</v>
      </c>
      <c r="C35" s="330" t="s">
        <v>217</v>
      </c>
      <c r="D35" s="330" t="s">
        <v>217</v>
      </c>
      <c r="E35" s="346" t="s">
        <v>246</v>
      </c>
      <c r="F35" s="334">
        <v>1634</v>
      </c>
      <c r="G35" s="330">
        <v>365</v>
      </c>
      <c r="H35" s="330">
        <v>92</v>
      </c>
      <c r="I35" s="330"/>
      <c r="J35" s="330"/>
      <c r="K35" s="354">
        <v>1.3244114873465638</v>
      </c>
      <c r="L35" s="359">
        <f t="shared" si="0"/>
        <v>21.106269894814016</v>
      </c>
    </row>
    <row r="36" spans="1:12" x14ac:dyDescent="0.3">
      <c r="A36" s="330">
        <v>35</v>
      </c>
      <c r="B36" s="330" t="s">
        <v>216</v>
      </c>
      <c r="C36" s="330" t="s">
        <v>217</v>
      </c>
      <c r="D36" s="330" t="s">
        <v>217</v>
      </c>
      <c r="E36" s="346" t="s">
        <v>246</v>
      </c>
      <c r="F36" s="333">
        <v>1056</v>
      </c>
      <c r="G36" s="330">
        <v>296</v>
      </c>
      <c r="H36" s="330">
        <v>75</v>
      </c>
      <c r="I36" s="330"/>
      <c r="J36" s="330"/>
      <c r="K36" s="354">
        <v>2.8841575285181054</v>
      </c>
      <c r="L36" s="359">
        <f t="shared" si="0"/>
        <v>765.87435663962935</v>
      </c>
    </row>
    <row r="37" spans="1:12" x14ac:dyDescent="0.3">
      <c r="A37" s="330">
        <v>36</v>
      </c>
      <c r="B37" s="330" t="s">
        <v>216</v>
      </c>
      <c r="C37" s="330" t="s">
        <v>217</v>
      </c>
      <c r="D37" s="330" t="s">
        <v>217</v>
      </c>
      <c r="E37" s="346" t="s">
        <v>246</v>
      </c>
      <c r="F37" s="333">
        <v>761</v>
      </c>
      <c r="G37" s="330">
        <v>255</v>
      </c>
      <c r="H37" s="330">
        <v>56</v>
      </c>
      <c r="I37" s="330"/>
      <c r="J37" s="330"/>
      <c r="K37" s="354">
        <v>1.2270033028109208</v>
      </c>
      <c r="L37" s="359">
        <f t="shared" si="0"/>
        <v>16.865658516786539</v>
      </c>
    </row>
    <row r="38" spans="1:12" x14ac:dyDescent="0.3">
      <c r="A38" s="330">
        <v>37</v>
      </c>
      <c r="B38" s="330" t="s">
        <v>216</v>
      </c>
      <c r="C38" s="330" t="s">
        <v>217</v>
      </c>
      <c r="D38" s="330" t="s">
        <v>217</v>
      </c>
      <c r="E38" s="346" t="s">
        <v>246</v>
      </c>
      <c r="F38" s="333">
        <v>597</v>
      </c>
      <c r="G38" s="330">
        <v>206</v>
      </c>
      <c r="H38" s="330">
        <v>43</v>
      </c>
      <c r="I38" s="330"/>
      <c r="J38" s="330"/>
      <c r="K38" s="354">
        <v>0.76759949222219492</v>
      </c>
      <c r="L38" s="359">
        <f t="shared" si="0"/>
        <v>5.8559787516691255</v>
      </c>
    </row>
    <row r="39" spans="1:12" x14ac:dyDescent="0.3">
      <c r="A39" s="330">
        <v>38</v>
      </c>
      <c r="B39" s="330" t="s">
        <v>216</v>
      </c>
      <c r="C39" s="330" t="s">
        <v>217</v>
      </c>
      <c r="D39" s="330" t="s">
        <v>217</v>
      </c>
      <c r="E39" s="346" t="s">
        <v>246</v>
      </c>
      <c r="F39" s="333">
        <v>425</v>
      </c>
      <c r="G39" s="330">
        <v>135</v>
      </c>
      <c r="H39" s="330">
        <v>36</v>
      </c>
      <c r="I39" s="330"/>
      <c r="J39" s="330"/>
      <c r="K39" s="354">
        <v>0.88480620576057256</v>
      </c>
      <c r="L39" s="359">
        <f t="shared" si="0"/>
        <v>7.670191477756112</v>
      </c>
    </row>
    <row r="40" spans="1:12" x14ac:dyDescent="0.3">
      <c r="A40" s="330">
        <v>39</v>
      </c>
      <c r="B40" s="330" t="s">
        <v>216</v>
      </c>
      <c r="C40" s="330" t="s">
        <v>217</v>
      </c>
      <c r="D40" s="330" t="s">
        <v>217</v>
      </c>
      <c r="E40" s="346" t="s">
        <v>246</v>
      </c>
      <c r="F40" s="333">
        <v>249</v>
      </c>
      <c r="G40" s="330">
        <v>125</v>
      </c>
      <c r="H40" s="330">
        <v>19</v>
      </c>
      <c r="I40" s="330"/>
      <c r="J40" s="330"/>
      <c r="K40" s="354">
        <v>1.102960234999018</v>
      </c>
      <c r="L40" s="359">
        <f t="shared" si="0"/>
        <v>12.675358020529455</v>
      </c>
    </row>
    <row r="41" spans="1:12" x14ac:dyDescent="0.3">
      <c r="A41" s="330">
        <v>40</v>
      </c>
      <c r="B41" s="330" t="s">
        <v>216</v>
      </c>
      <c r="C41" s="330" t="s">
        <v>217</v>
      </c>
      <c r="D41" s="330" t="s">
        <v>217</v>
      </c>
      <c r="E41" s="346" t="s">
        <v>246</v>
      </c>
      <c r="F41" s="333">
        <v>157</v>
      </c>
      <c r="G41" s="330">
        <v>122</v>
      </c>
      <c r="H41" s="330">
        <v>14</v>
      </c>
      <c r="I41" s="330"/>
      <c r="J41" s="330"/>
      <c r="K41" s="354">
        <v>0.94614592002585329</v>
      </c>
      <c r="L41" s="359">
        <f t="shared" si="0"/>
        <v>8.833766591792207</v>
      </c>
    </row>
    <row r="42" spans="1:12" x14ac:dyDescent="0.3">
      <c r="A42" s="330">
        <v>41</v>
      </c>
      <c r="B42" s="330" t="s">
        <v>216</v>
      </c>
      <c r="C42" s="330" t="s">
        <v>217</v>
      </c>
      <c r="D42" s="330" t="s">
        <v>217</v>
      </c>
      <c r="E42" s="346" t="s">
        <v>246</v>
      </c>
      <c r="F42" s="333">
        <v>115</v>
      </c>
      <c r="G42" s="330">
        <v>96</v>
      </c>
      <c r="H42" s="330">
        <v>21</v>
      </c>
      <c r="I42" s="330"/>
      <c r="J42" s="330"/>
      <c r="K42" s="354">
        <v>0.64738140989087978</v>
      </c>
      <c r="L42" s="359">
        <f t="shared" si="0"/>
        <v>4.4399840491158633</v>
      </c>
    </row>
    <row r="43" spans="1:12" x14ac:dyDescent="0.3">
      <c r="A43" s="330">
        <v>42</v>
      </c>
      <c r="B43" s="330" t="s">
        <v>216</v>
      </c>
      <c r="C43" s="330" t="s">
        <v>217</v>
      </c>
      <c r="D43" s="330" t="s">
        <v>217</v>
      </c>
      <c r="E43" s="346" t="s">
        <v>246</v>
      </c>
      <c r="F43" s="333">
        <v>108</v>
      </c>
      <c r="G43" s="330">
        <v>73</v>
      </c>
      <c r="H43" s="330">
        <v>14</v>
      </c>
      <c r="I43" s="330"/>
      <c r="J43" s="330"/>
      <c r="K43" s="354">
        <v>0.37914001196506303</v>
      </c>
      <c r="L43" s="359">
        <f t="shared" si="0"/>
        <v>2.3940874605762712</v>
      </c>
    </row>
    <row r="44" spans="1:12" x14ac:dyDescent="0.3">
      <c r="A44" s="330">
        <v>43</v>
      </c>
      <c r="B44" s="330" t="s">
        <v>216</v>
      </c>
      <c r="C44" s="330" t="s">
        <v>217</v>
      </c>
      <c r="D44" s="330" t="s">
        <v>217</v>
      </c>
      <c r="E44" s="346" t="s">
        <v>246</v>
      </c>
      <c r="F44" s="333">
        <v>83</v>
      </c>
      <c r="G44" s="330">
        <v>47</v>
      </c>
      <c r="H44" s="330">
        <v>10</v>
      </c>
      <c r="I44" s="330"/>
      <c r="J44" s="330"/>
      <c r="K44" s="354">
        <v>0.31018981181038319</v>
      </c>
      <c r="L44" s="359">
        <f t="shared" si="0"/>
        <v>2.0426304972901637</v>
      </c>
    </row>
    <row r="45" spans="1:12" x14ac:dyDescent="0.3">
      <c r="A45" s="330">
        <v>44</v>
      </c>
      <c r="B45" s="330" t="s">
        <v>216</v>
      </c>
      <c r="C45" s="330" t="s">
        <v>217</v>
      </c>
      <c r="D45" s="330" t="s">
        <v>217</v>
      </c>
      <c r="E45" s="346" t="s">
        <v>246</v>
      </c>
      <c r="F45" s="333">
        <v>73</v>
      </c>
      <c r="G45" s="330">
        <v>63</v>
      </c>
      <c r="H45" s="330">
        <v>10</v>
      </c>
      <c r="I45" s="330"/>
      <c r="J45" s="330"/>
      <c r="K45" s="354">
        <v>0.54257234280520594</v>
      </c>
      <c r="L45" s="359">
        <f t="shared" si="0"/>
        <v>3.4879668026554342</v>
      </c>
    </row>
    <row r="46" spans="1:12" x14ac:dyDescent="0.3">
      <c r="A46" s="330">
        <v>45</v>
      </c>
      <c r="B46" s="330" t="s">
        <v>216</v>
      </c>
      <c r="C46" s="330" t="s">
        <v>217</v>
      </c>
      <c r="D46" s="330" t="s">
        <v>217</v>
      </c>
      <c r="E46" s="346" t="s">
        <v>246</v>
      </c>
      <c r="F46" s="333">
        <v>162</v>
      </c>
      <c r="G46" s="330">
        <v>89</v>
      </c>
      <c r="H46" s="330">
        <v>8</v>
      </c>
      <c r="I46" s="330"/>
      <c r="J46" s="330"/>
      <c r="K46" s="354">
        <v>1.1584671602827832</v>
      </c>
      <c r="L46" s="359">
        <f t="shared" si="0"/>
        <v>14.4034709249224</v>
      </c>
    </row>
    <row r="47" spans="1:12" x14ac:dyDescent="0.3">
      <c r="A47" s="330">
        <v>46</v>
      </c>
      <c r="B47" s="330" t="s">
        <v>216</v>
      </c>
      <c r="C47" s="330" t="s">
        <v>217</v>
      </c>
      <c r="D47" s="330" t="s">
        <v>217</v>
      </c>
      <c r="E47" s="346" t="s">
        <v>246</v>
      </c>
      <c r="F47" s="333">
        <v>966</v>
      </c>
      <c r="G47" s="330">
        <v>220</v>
      </c>
      <c r="H47" s="330">
        <v>8</v>
      </c>
      <c r="I47" s="330"/>
      <c r="J47" s="330"/>
      <c r="K47" s="354">
        <v>1.7883623645245568</v>
      </c>
      <c r="L47" s="359">
        <f t="shared" si="0"/>
        <v>61.427432663586714</v>
      </c>
    </row>
    <row r="48" spans="1:12" x14ac:dyDescent="0.3">
      <c r="A48" s="330">
        <v>47</v>
      </c>
      <c r="B48" s="330" t="s">
        <v>216</v>
      </c>
      <c r="C48" s="330" t="s">
        <v>217</v>
      </c>
      <c r="D48" s="330" t="s">
        <v>217</v>
      </c>
      <c r="E48" s="346" t="s">
        <v>246</v>
      </c>
      <c r="F48" s="333">
        <v>4155</v>
      </c>
      <c r="G48" s="330">
        <v>513</v>
      </c>
      <c r="H48" s="330">
        <v>15</v>
      </c>
      <c r="I48" s="330"/>
      <c r="J48" s="330"/>
      <c r="K48" s="354">
        <v>2.1977338467374192</v>
      </c>
      <c r="L48" s="359">
        <f t="shared" si="0"/>
        <v>157.66447417590098</v>
      </c>
    </row>
    <row r="49" spans="1:12" x14ac:dyDescent="0.3">
      <c r="A49" s="330">
        <v>48</v>
      </c>
      <c r="B49" s="330" t="s">
        <v>216</v>
      </c>
      <c r="C49" s="330" t="s">
        <v>217</v>
      </c>
      <c r="D49" s="330" t="s">
        <v>217</v>
      </c>
      <c r="E49" s="346" t="s">
        <v>246</v>
      </c>
      <c r="F49" s="333">
        <v>13952</v>
      </c>
      <c r="G49" s="330">
        <v>975</v>
      </c>
      <c r="H49" s="330">
        <v>25</v>
      </c>
      <c r="I49" s="330"/>
      <c r="J49" s="330"/>
      <c r="K49" s="354">
        <v>2.9430116557067705</v>
      </c>
      <c r="L49" s="359">
        <f t="shared" si="0"/>
        <v>877.0243586326136</v>
      </c>
    </row>
    <row r="50" spans="1:12" x14ac:dyDescent="0.3">
      <c r="A50" s="330">
        <v>49</v>
      </c>
      <c r="B50" s="330" t="s">
        <v>216</v>
      </c>
      <c r="C50" s="330" t="s">
        <v>217</v>
      </c>
      <c r="D50" s="330" t="s">
        <v>217</v>
      </c>
      <c r="E50" s="346" t="s">
        <v>246</v>
      </c>
      <c r="F50" s="333">
        <v>12209</v>
      </c>
      <c r="G50" s="330">
        <v>1089</v>
      </c>
      <c r="H50" s="330">
        <v>57</v>
      </c>
      <c r="I50" s="330"/>
      <c r="J50" s="330"/>
      <c r="K50" s="354">
        <v>2.4562742550995225</v>
      </c>
      <c r="L50" s="359">
        <f t="shared" si="0"/>
        <v>285.93956694311044</v>
      </c>
    </row>
    <row r="51" spans="1:12" x14ac:dyDescent="0.3">
      <c r="A51" s="330">
        <v>50</v>
      </c>
      <c r="B51" s="330" t="s">
        <v>216</v>
      </c>
      <c r="C51" s="330" t="s">
        <v>217</v>
      </c>
      <c r="D51" s="330" t="s">
        <v>217</v>
      </c>
      <c r="E51" s="346" t="s">
        <v>246</v>
      </c>
      <c r="F51" s="333">
        <v>5660</v>
      </c>
      <c r="G51" s="330">
        <v>895</v>
      </c>
      <c r="H51" s="330">
        <v>74</v>
      </c>
      <c r="I51" s="330"/>
      <c r="J51" s="330"/>
      <c r="K51" s="354">
        <v>2.0730714765916742</v>
      </c>
      <c r="L51" s="359">
        <f t="shared" si="0"/>
        <v>118.32362778332778</v>
      </c>
    </row>
    <row r="52" spans="1:12" x14ac:dyDescent="0.3">
      <c r="A52" s="330">
        <v>51</v>
      </c>
      <c r="B52" s="330" t="s">
        <v>216</v>
      </c>
      <c r="C52" s="330" t="s">
        <v>217</v>
      </c>
      <c r="D52" s="330" t="s">
        <v>217</v>
      </c>
      <c r="E52" s="346" t="s">
        <v>246</v>
      </c>
      <c r="F52" s="333">
        <v>2958</v>
      </c>
      <c r="G52" s="330">
        <v>627</v>
      </c>
      <c r="H52" s="330">
        <v>69</v>
      </c>
      <c r="I52" s="330"/>
      <c r="J52" s="330"/>
      <c r="K52" s="354">
        <v>1.6646370633828467</v>
      </c>
      <c r="L52" s="359">
        <f t="shared" si="0"/>
        <v>46.199477448755403</v>
      </c>
    </row>
    <row r="53" spans="1:12" x14ac:dyDescent="0.3">
      <c r="A53" s="330">
        <v>52</v>
      </c>
      <c r="B53" s="330" t="s">
        <v>216</v>
      </c>
      <c r="C53" s="330" t="s">
        <v>217</v>
      </c>
      <c r="D53" s="330" t="s">
        <v>217</v>
      </c>
      <c r="E53" s="346" t="s">
        <v>246</v>
      </c>
      <c r="F53" s="333">
        <v>1605</v>
      </c>
      <c r="G53" s="330">
        <v>464</v>
      </c>
      <c r="H53" s="330">
        <v>67</v>
      </c>
      <c r="I53" s="330"/>
      <c r="J53" s="330"/>
      <c r="K53" s="330"/>
      <c r="L53" s="359"/>
    </row>
    <row r="54" spans="1:12" x14ac:dyDescent="0.3">
      <c r="A54" s="301">
        <v>1</v>
      </c>
      <c r="B54" s="301" t="s">
        <v>216</v>
      </c>
      <c r="C54" s="301" t="s">
        <v>217</v>
      </c>
      <c r="D54" s="301" t="s">
        <v>217</v>
      </c>
      <c r="E54" s="301" t="s">
        <v>247</v>
      </c>
      <c r="F54" s="367">
        <v>10697</v>
      </c>
      <c r="G54" s="301">
        <v>1485</v>
      </c>
      <c r="H54" s="301">
        <v>340</v>
      </c>
      <c r="I54" s="301"/>
      <c r="J54" s="301"/>
      <c r="K54" s="301"/>
      <c r="L54" s="363"/>
    </row>
    <row r="55" spans="1:12" x14ac:dyDescent="0.3">
      <c r="A55" s="301">
        <v>2</v>
      </c>
      <c r="B55" s="301" t="s">
        <v>216</v>
      </c>
      <c r="C55" s="301" t="s">
        <v>217</v>
      </c>
      <c r="D55" s="301" t="s">
        <v>217</v>
      </c>
      <c r="E55" s="301" t="s">
        <v>247</v>
      </c>
      <c r="F55" s="367">
        <v>6799</v>
      </c>
      <c r="G55" s="301">
        <v>1189</v>
      </c>
      <c r="H55" s="301">
        <v>342</v>
      </c>
      <c r="I55" s="301"/>
      <c r="J55" s="301"/>
      <c r="K55" s="301"/>
      <c r="L55" s="363"/>
    </row>
    <row r="56" spans="1:12" x14ac:dyDescent="0.3">
      <c r="A56" s="301">
        <v>3</v>
      </c>
      <c r="B56" s="301" t="s">
        <v>216</v>
      </c>
      <c r="C56" s="301" t="s">
        <v>217</v>
      </c>
      <c r="D56" s="301" t="s">
        <v>217</v>
      </c>
      <c r="E56" s="301" t="s">
        <v>247</v>
      </c>
      <c r="F56" s="367">
        <v>3902</v>
      </c>
      <c r="G56" s="301">
        <v>902</v>
      </c>
      <c r="H56" s="301">
        <v>264</v>
      </c>
      <c r="I56" s="301"/>
      <c r="J56" s="301"/>
      <c r="K56" s="301"/>
      <c r="L56" s="363"/>
    </row>
    <row r="57" spans="1:12" x14ac:dyDescent="0.3">
      <c r="A57" s="301">
        <v>4</v>
      </c>
      <c r="B57" s="301" t="s">
        <v>216</v>
      </c>
      <c r="C57" s="301" t="s">
        <v>217</v>
      </c>
      <c r="D57" s="301" t="s">
        <v>217</v>
      </c>
      <c r="E57" s="301" t="s">
        <v>247</v>
      </c>
      <c r="F57" s="367">
        <v>1717</v>
      </c>
      <c r="G57" s="301">
        <v>588</v>
      </c>
      <c r="H57" s="301">
        <v>182</v>
      </c>
      <c r="I57" s="301"/>
      <c r="J57" s="301"/>
      <c r="K57" s="301"/>
      <c r="L57" s="363"/>
    </row>
    <row r="58" spans="1:12" x14ac:dyDescent="0.3">
      <c r="A58" s="301">
        <v>5</v>
      </c>
      <c r="B58" s="301" t="s">
        <v>216</v>
      </c>
      <c r="C58" s="301" t="s">
        <v>217</v>
      </c>
      <c r="D58" s="301" t="s">
        <v>217</v>
      </c>
      <c r="E58" s="301" t="s">
        <v>247</v>
      </c>
      <c r="F58" s="367">
        <v>1106</v>
      </c>
      <c r="G58" s="301">
        <v>468</v>
      </c>
      <c r="H58" s="301">
        <v>135</v>
      </c>
      <c r="I58" s="301"/>
      <c r="J58" s="301"/>
      <c r="K58" s="301"/>
      <c r="L58" s="363"/>
    </row>
    <row r="59" spans="1:12" x14ac:dyDescent="0.3">
      <c r="A59" s="301">
        <v>6</v>
      </c>
      <c r="B59" s="301" t="s">
        <v>216</v>
      </c>
      <c r="C59" s="301" t="s">
        <v>217</v>
      </c>
      <c r="D59" s="301" t="s">
        <v>217</v>
      </c>
      <c r="E59" s="301" t="s">
        <v>247</v>
      </c>
      <c r="F59" s="367">
        <v>871</v>
      </c>
      <c r="G59" s="301">
        <v>324</v>
      </c>
      <c r="H59" s="301">
        <v>113</v>
      </c>
      <c r="I59" s="301"/>
      <c r="J59" s="301"/>
      <c r="K59" s="301"/>
      <c r="L59" s="363"/>
    </row>
    <row r="60" spans="1:12" x14ac:dyDescent="0.3">
      <c r="A60" s="301">
        <v>7</v>
      </c>
      <c r="B60" s="301" t="s">
        <v>216</v>
      </c>
      <c r="C60" s="301" t="s">
        <v>217</v>
      </c>
      <c r="D60" s="301" t="s">
        <v>217</v>
      </c>
      <c r="E60" s="301" t="s">
        <v>247</v>
      </c>
      <c r="F60" s="367">
        <v>663</v>
      </c>
      <c r="G60" s="301">
        <v>247</v>
      </c>
      <c r="H60" s="301">
        <v>82</v>
      </c>
      <c r="I60" s="301"/>
      <c r="J60" s="301"/>
      <c r="K60" s="301"/>
      <c r="L60" s="363"/>
    </row>
    <row r="61" spans="1:12" x14ac:dyDescent="0.3">
      <c r="A61" s="301">
        <v>8</v>
      </c>
      <c r="B61" s="301" t="s">
        <v>216</v>
      </c>
      <c r="C61" s="301" t="s">
        <v>217</v>
      </c>
      <c r="D61" s="301" t="s">
        <v>217</v>
      </c>
      <c r="E61" s="301" t="s">
        <v>247</v>
      </c>
      <c r="F61" s="367">
        <v>556</v>
      </c>
      <c r="G61" s="301">
        <v>188</v>
      </c>
      <c r="H61" s="301">
        <v>63</v>
      </c>
      <c r="I61" s="301"/>
      <c r="J61" s="301"/>
      <c r="K61" s="301"/>
      <c r="L61" s="363"/>
    </row>
    <row r="62" spans="1:12" x14ac:dyDescent="0.3">
      <c r="A62" s="301">
        <v>9</v>
      </c>
      <c r="B62" s="301" t="s">
        <v>216</v>
      </c>
      <c r="C62" s="301" t="s">
        <v>217</v>
      </c>
      <c r="D62" s="301" t="s">
        <v>217</v>
      </c>
      <c r="E62" s="301" t="s">
        <v>247</v>
      </c>
      <c r="F62" s="367">
        <v>423</v>
      </c>
      <c r="G62" s="301">
        <v>160</v>
      </c>
      <c r="H62" s="301">
        <v>57</v>
      </c>
      <c r="I62" s="301"/>
      <c r="J62" s="301"/>
      <c r="K62" s="302">
        <v>-0.26865353484303267</v>
      </c>
      <c r="L62" s="363">
        <f t="shared" si="0"/>
        <v>0.53869936691255005</v>
      </c>
    </row>
    <row r="63" spans="1:12" x14ac:dyDescent="0.3">
      <c r="A63" s="301">
        <v>10</v>
      </c>
      <c r="B63" s="301" t="s">
        <v>216</v>
      </c>
      <c r="C63" s="301" t="s">
        <v>217</v>
      </c>
      <c r="D63" s="301" t="s">
        <v>217</v>
      </c>
      <c r="E63" s="301" t="s">
        <v>247</v>
      </c>
      <c r="F63" s="367">
        <v>370</v>
      </c>
      <c r="G63" s="301">
        <v>139</v>
      </c>
      <c r="H63" s="301">
        <v>32</v>
      </c>
      <c r="I63" s="301"/>
      <c r="J63" s="301"/>
      <c r="K63" s="301"/>
      <c r="L63" s="363"/>
    </row>
    <row r="64" spans="1:12" x14ac:dyDescent="0.3">
      <c r="A64" s="301">
        <v>11</v>
      </c>
      <c r="B64" s="301" t="s">
        <v>216</v>
      </c>
      <c r="C64" s="301" t="s">
        <v>217</v>
      </c>
      <c r="D64" s="301" t="s">
        <v>217</v>
      </c>
      <c r="E64" s="301" t="s">
        <v>247</v>
      </c>
      <c r="F64" s="367">
        <v>404</v>
      </c>
      <c r="G64" s="301">
        <v>138</v>
      </c>
      <c r="H64" s="301">
        <v>30</v>
      </c>
      <c r="I64" s="301"/>
      <c r="J64" s="301"/>
      <c r="K64" s="301"/>
      <c r="L64" s="363"/>
    </row>
    <row r="65" spans="1:12" x14ac:dyDescent="0.3">
      <c r="A65" s="301">
        <v>12</v>
      </c>
      <c r="B65" s="301" t="s">
        <v>216</v>
      </c>
      <c r="C65" s="301" t="s">
        <v>217</v>
      </c>
      <c r="D65" s="301" t="s">
        <v>217</v>
      </c>
      <c r="E65" s="301" t="s">
        <v>247</v>
      </c>
      <c r="F65" s="367">
        <v>454</v>
      </c>
      <c r="G65" s="301">
        <v>153</v>
      </c>
      <c r="H65" s="301">
        <v>20</v>
      </c>
      <c r="I65" s="301"/>
      <c r="J65" s="301"/>
      <c r="K65" s="301"/>
      <c r="L65" s="363"/>
    </row>
    <row r="66" spans="1:12" x14ac:dyDescent="0.3">
      <c r="A66" s="301">
        <v>13</v>
      </c>
      <c r="B66" s="301" t="s">
        <v>216</v>
      </c>
      <c r="C66" s="301" t="s">
        <v>217</v>
      </c>
      <c r="D66" s="301" t="s">
        <v>217</v>
      </c>
      <c r="E66" s="301" t="s">
        <v>247</v>
      </c>
      <c r="F66" s="367">
        <v>382</v>
      </c>
      <c r="G66" s="301">
        <v>126</v>
      </c>
      <c r="H66" s="301">
        <v>28</v>
      </c>
      <c r="I66" s="301"/>
      <c r="J66" s="301"/>
      <c r="K66" s="301"/>
      <c r="L66" s="363"/>
    </row>
    <row r="67" spans="1:12" x14ac:dyDescent="0.3">
      <c r="A67" s="301">
        <v>14</v>
      </c>
      <c r="B67" s="301" t="s">
        <v>216</v>
      </c>
      <c r="C67" s="301" t="s">
        <v>217</v>
      </c>
      <c r="D67" s="301" t="s">
        <v>217</v>
      </c>
      <c r="E67" s="301" t="s">
        <v>247</v>
      </c>
      <c r="F67" s="367">
        <v>446</v>
      </c>
      <c r="G67" s="301">
        <v>150</v>
      </c>
      <c r="H67" s="301">
        <v>20</v>
      </c>
      <c r="I67" s="301"/>
      <c r="J67" s="301"/>
      <c r="K67" s="300">
        <v>0</v>
      </c>
      <c r="L67" s="363">
        <f t="shared" si="0"/>
        <v>1</v>
      </c>
    </row>
    <row r="68" spans="1:12" x14ac:dyDescent="0.3">
      <c r="A68" s="301">
        <v>15</v>
      </c>
      <c r="B68" s="301" t="s">
        <v>216</v>
      </c>
      <c r="C68" s="301" t="s">
        <v>217</v>
      </c>
      <c r="D68" s="301" t="s">
        <v>217</v>
      </c>
      <c r="E68" s="301" t="s">
        <v>247</v>
      </c>
      <c r="F68" s="367">
        <v>475</v>
      </c>
      <c r="G68" s="301">
        <v>135</v>
      </c>
      <c r="H68" s="301">
        <v>21</v>
      </c>
      <c r="I68" s="301"/>
      <c r="J68" s="301"/>
      <c r="K68" s="301"/>
      <c r="L68" s="363"/>
    </row>
    <row r="69" spans="1:12" x14ac:dyDescent="0.3">
      <c r="A69" s="301">
        <v>16</v>
      </c>
      <c r="B69" s="301" t="s">
        <v>216</v>
      </c>
      <c r="C69" s="301" t="s">
        <v>217</v>
      </c>
      <c r="D69" s="301" t="s">
        <v>217</v>
      </c>
      <c r="E69" s="301" t="s">
        <v>247</v>
      </c>
      <c r="F69" s="367">
        <v>418</v>
      </c>
      <c r="G69" s="301">
        <v>161</v>
      </c>
      <c r="H69" s="301">
        <v>29</v>
      </c>
      <c r="I69" s="301"/>
      <c r="J69" s="301"/>
      <c r="K69" s="301"/>
      <c r="L69" s="363"/>
    </row>
    <row r="70" spans="1:12" x14ac:dyDescent="0.3">
      <c r="A70" s="301">
        <v>17</v>
      </c>
      <c r="B70" s="301" t="s">
        <v>216</v>
      </c>
      <c r="C70" s="301" t="s">
        <v>217</v>
      </c>
      <c r="D70" s="301" t="s">
        <v>217</v>
      </c>
      <c r="E70" s="301" t="s">
        <v>247</v>
      </c>
      <c r="F70" s="367">
        <v>537</v>
      </c>
      <c r="G70" s="301">
        <v>157</v>
      </c>
      <c r="H70" s="301">
        <v>32</v>
      </c>
      <c r="I70" s="301"/>
      <c r="J70" s="301"/>
      <c r="K70" s="301"/>
      <c r="L70" s="363"/>
    </row>
    <row r="71" spans="1:12" x14ac:dyDescent="0.3">
      <c r="A71" s="301">
        <v>18</v>
      </c>
      <c r="B71" s="301" t="s">
        <v>216</v>
      </c>
      <c r="C71" s="301" t="s">
        <v>217</v>
      </c>
      <c r="D71" s="301" t="s">
        <v>217</v>
      </c>
      <c r="E71" s="301" t="s">
        <v>247</v>
      </c>
      <c r="F71" s="367">
        <v>958</v>
      </c>
      <c r="G71" s="301">
        <v>183</v>
      </c>
      <c r="H71" s="301">
        <v>32</v>
      </c>
      <c r="I71" s="301"/>
      <c r="J71" s="301"/>
      <c r="K71" s="300">
        <v>0.2459647441591791</v>
      </c>
      <c r="L71" s="363">
        <f t="shared" si="0"/>
        <v>1.7618330157533</v>
      </c>
    </row>
    <row r="72" spans="1:12" x14ac:dyDescent="0.3">
      <c r="A72" s="301">
        <v>19</v>
      </c>
      <c r="B72" s="301" t="s">
        <v>216</v>
      </c>
      <c r="C72" s="301" t="s">
        <v>217</v>
      </c>
      <c r="D72" s="301" t="s">
        <v>217</v>
      </c>
      <c r="E72" s="301" t="s">
        <v>247</v>
      </c>
      <c r="F72" s="367">
        <v>1765</v>
      </c>
      <c r="G72" s="301">
        <v>247</v>
      </c>
      <c r="H72" s="301">
        <v>27</v>
      </c>
      <c r="I72" s="301"/>
      <c r="J72" s="301"/>
      <c r="K72" s="301"/>
      <c r="L72" s="363"/>
    </row>
    <row r="73" spans="1:12" x14ac:dyDescent="0.3">
      <c r="A73" s="301">
        <v>20</v>
      </c>
      <c r="B73" s="301" t="s">
        <v>216</v>
      </c>
      <c r="C73" s="301" t="s">
        <v>217</v>
      </c>
      <c r="D73" s="301" t="s">
        <v>217</v>
      </c>
      <c r="E73" s="301" t="s">
        <v>247</v>
      </c>
      <c r="F73" s="367">
        <v>2331</v>
      </c>
      <c r="G73" s="301">
        <v>339</v>
      </c>
      <c r="H73" s="301">
        <v>44</v>
      </c>
      <c r="I73" s="301"/>
      <c r="J73" s="301"/>
      <c r="K73" s="301"/>
      <c r="L73" s="363"/>
    </row>
    <row r="74" spans="1:12" x14ac:dyDescent="0.3">
      <c r="A74" s="301">
        <v>21</v>
      </c>
      <c r="B74" s="301" t="s">
        <v>216</v>
      </c>
      <c r="C74" s="301" t="s">
        <v>217</v>
      </c>
      <c r="D74" s="301" t="s">
        <v>217</v>
      </c>
      <c r="E74" s="301" t="s">
        <v>247</v>
      </c>
      <c r="F74" s="367">
        <v>3350</v>
      </c>
      <c r="G74" s="301">
        <v>479</v>
      </c>
      <c r="H74" s="301">
        <v>62</v>
      </c>
      <c r="I74" s="301"/>
      <c r="J74" s="301"/>
      <c r="K74" s="301"/>
      <c r="L74" s="363"/>
    </row>
    <row r="75" spans="1:12" ht="13.95" customHeight="1" x14ac:dyDescent="0.3">
      <c r="A75" s="301">
        <v>22</v>
      </c>
      <c r="B75" s="301" t="s">
        <v>216</v>
      </c>
      <c r="C75" s="301" t="s">
        <v>217</v>
      </c>
      <c r="D75" s="301" t="s">
        <v>217</v>
      </c>
      <c r="E75" s="301" t="s">
        <v>247</v>
      </c>
      <c r="F75" s="367">
        <v>4877</v>
      </c>
      <c r="G75" s="301">
        <v>648</v>
      </c>
      <c r="H75" s="301">
        <v>85</v>
      </c>
      <c r="I75" s="301"/>
      <c r="J75" s="301"/>
      <c r="K75" s="300">
        <v>1.9227840010297328</v>
      </c>
      <c r="L75" s="363">
        <f t="shared" si="0"/>
        <v>83.711283547537761</v>
      </c>
    </row>
    <row r="76" spans="1:12" x14ac:dyDescent="0.3">
      <c r="A76" s="301">
        <v>23</v>
      </c>
      <c r="B76" s="301" t="s">
        <v>216</v>
      </c>
      <c r="C76" s="301" t="s">
        <v>217</v>
      </c>
      <c r="D76" s="301" t="s">
        <v>217</v>
      </c>
      <c r="E76" s="301" t="s">
        <v>247</v>
      </c>
      <c r="F76" s="367">
        <v>9494</v>
      </c>
      <c r="G76" s="301">
        <v>861</v>
      </c>
      <c r="H76" s="301">
        <v>108</v>
      </c>
      <c r="I76" s="301"/>
      <c r="J76" s="301"/>
      <c r="K76" s="300">
        <v>2.2291362915463124</v>
      </c>
      <c r="L76" s="363">
        <f t="shared" si="0"/>
        <v>169.48696058623602</v>
      </c>
    </row>
    <row r="77" spans="1:12" x14ac:dyDescent="0.3">
      <c r="A77" s="301">
        <v>24</v>
      </c>
      <c r="B77" s="301" t="s">
        <v>216</v>
      </c>
      <c r="C77" s="301" t="s">
        <v>217</v>
      </c>
      <c r="D77" s="301" t="s">
        <v>217</v>
      </c>
      <c r="E77" s="301" t="s">
        <v>247</v>
      </c>
      <c r="F77" s="367">
        <v>14956</v>
      </c>
      <c r="G77" s="301">
        <v>1180</v>
      </c>
      <c r="H77" s="301">
        <v>152</v>
      </c>
      <c r="I77" s="301"/>
      <c r="J77" s="301"/>
      <c r="K77" s="300">
        <v>2.6366167350313288</v>
      </c>
      <c r="L77" s="363">
        <f t="shared" si="0"/>
        <v>433.12847371004102</v>
      </c>
    </row>
    <row r="78" spans="1:12" x14ac:dyDescent="0.3">
      <c r="A78" s="301">
        <v>25</v>
      </c>
      <c r="B78" s="301" t="s">
        <v>216</v>
      </c>
      <c r="C78" s="301" t="s">
        <v>217</v>
      </c>
      <c r="D78" s="301" t="s">
        <v>217</v>
      </c>
      <c r="E78" s="301" t="s">
        <v>247</v>
      </c>
      <c r="F78" s="367">
        <v>17702</v>
      </c>
      <c r="G78" s="301">
        <v>1547</v>
      </c>
      <c r="H78" s="301">
        <v>273</v>
      </c>
      <c r="I78" s="301"/>
      <c r="J78" s="301"/>
      <c r="K78" s="300">
        <v>2.6141981626363737</v>
      </c>
      <c r="L78" s="363">
        <f t="shared" ref="L78:L141" si="1">10^K78</f>
        <v>411.33736590949911</v>
      </c>
    </row>
    <row r="79" spans="1:12" x14ac:dyDescent="0.3">
      <c r="A79" s="301">
        <v>26</v>
      </c>
      <c r="B79" s="301" t="s">
        <v>216</v>
      </c>
      <c r="C79" s="301" t="s">
        <v>217</v>
      </c>
      <c r="D79" s="301" t="s">
        <v>217</v>
      </c>
      <c r="E79" s="301" t="s">
        <v>247</v>
      </c>
      <c r="F79" s="347">
        <v>19581</v>
      </c>
      <c r="G79" s="301">
        <v>1652</v>
      </c>
      <c r="H79" s="301">
        <v>342</v>
      </c>
      <c r="I79" s="301"/>
      <c r="J79" s="301"/>
      <c r="K79" s="300">
        <v>2.3241868521585216</v>
      </c>
      <c r="L79" s="363">
        <f t="shared" si="1"/>
        <v>210.95355676145024</v>
      </c>
    </row>
    <row r="80" spans="1:12" x14ac:dyDescent="0.3">
      <c r="A80" s="301">
        <v>27</v>
      </c>
      <c r="B80" s="301" t="s">
        <v>216</v>
      </c>
      <c r="C80" s="301" t="s">
        <v>217</v>
      </c>
      <c r="D80" s="301" t="s">
        <v>217</v>
      </c>
      <c r="E80" s="301" t="s">
        <v>247</v>
      </c>
      <c r="F80" s="347">
        <v>15431</v>
      </c>
      <c r="G80" s="301">
        <v>1802</v>
      </c>
      <c r="H80" s="301">
        <v>397</v>
      </c>
      <c r="I80" s="301"/>
      <c r="J80" s="301"/>
      <c r="K80" s="300">
        <v>3.2179358564811591</v>
      </c>
      <c r="L80" s="363">
        <f t="shared" si="1"/>
        <v>1651.7178282445823</v>
      </c>
    </row>
    <row r="81" spans="1:12" x14ac:dyDescent="0.3">
      <c r="A81" s="301">
        <v>28</v>
      </c>
      <c r="B81" s="301" t="s">
        <v>216</v>
      </c>
      <c r="C81" s="301" t="s">
        <v>217</v>
      </c>
      <c r="D81" s="301" t="s">
        <v>217</v>
      </c>
      <c r="E81" s="301" t="s">
        <v>247</v>
      </c>
      <c r="F81" s="347">
        <v>9412</v>
      </c>
      <c r="G81" s="301">
        <v>1525</v>
      </c>
      <c r="H81" s="301">
        <v>390</v>
      </c>
      <c r="I81" s="301"/>
      <c r="J81" s="301"/>
      <c r="K81" s="300">
        <v>2.4853953682757326</v>
      </c>
      <c r="L81" s="363">
        <f t="shared" si="1"/>
        <v>305.77034852942631</v>
      </c>
    </row>
    <row r="82" spans="1:12" x14ac:dyDescent="0.3">
      <c r="A82" s="301">
        <v>29</v>
      </c>
      <c r="B82" s="301" t="s">
        <v>216</v>
      </c>
      <c r="C82" s="301" t="s">
        <v>217</v>
      </c>
      <c r="D82" s="301" t="s">
        <v>217</v>
      </c>
      <c r="E82" s="301" t="s">
        <v>247</v>
      </c>
      <c r="F82" s="347">
        <v>5380</v>
      </c>
      <c r="G82" s="301">
        <v>1251</v>
      </c>
      <c r="H82" s="301">
        <v>378</v>
      </c>
      <c r="I82" s="301"/>
      <c r="J82" s="301"/>
      <c r="K82" s="300">
        <v>2.0140483069899462</v>
      </c>
      <c r="L82" s="363">
        <f t="shared" si="1"/>
        <v>103.28762871878502</v>
      </c>
    </row>
    <row r="83" spans="1:12" x14ac:dyDescent="0.3">
      <c r="A83" s="301">
        <v>30</v>
      </c>
      <c r="B83" s="301" t="s">
        <v>216</v>
      </c>
      <c r="C83" s="301" t="s">
        <v>217</v>
      </c>
      <c r="D83" s="301" t="s">
        <v>217</v>
      </c>
      <c r="E83" s="301" t="s">
        <v>247</v>
      </c>
      <c r="F83" s="347">
        <v>4773</v>
      </c>
      <c r="G83" s="301">
        <v>892</v>
      </c>
      <c r="H83" s="301">
        <v>299</v>
      </c>
      <c r="I83" s="301"/>
      <c r="J83" s="301"/>
      <c r="K83" s="300">
        <v>1.7347565274036438</v>
      </c>
      <c r="L83" s="363">
        <f t="shared" si="1"/>
        <v>54.294586181640668</v>
      </c>
    </row>
    <row r="84" spans="1:12" x14ac:dyDescent="0.3">
      <c r="A84" s="301">
        <v>31</v>
      </c>
      <c r="B84" s="301" t="s">
        <v>216</v>
      </c>
      <c r="C84" s="301" t="s">
        <v>217</v>
      </c>
      <c r="D84" s="301" t="s">
        <v>217</v>
      </c>
      <c r="E84" s="301" t="s">
        <v>247</v>
      </c>
      <c r="F84" s="347">
        <v>3509</v>
      </c>
      <c r="G84" s="301">
        <v>715</v>
      </c>
      <c r="H84" s="301">
        <v>234</v>
      </c>
      <c r="I84" s="301"/>
      <c r="J84" s="301"/>
      <c r="K84" s="300">
        <v>1.9979565777303232</v>
      </c>
      <c r="L84" s="363">
        <f t="shared" si="1"/>
        <v>99.53058982382025</v>
      </c>
    </row>
    <row r="85" spans="1:12" x14ac:dyDescent="0.3">
      <c r="A85" s="301">
        <v>32</v>
      </c>
      <c r="B85" s="301" t="s">
        <v>216</v>
      </c>
      <c r="C85" s="301" t="s">
        <v>217</v>
      </c>
      <c r="D85" s="301" t="s">
        <v>217</v>
      </c>
      <c r="E85" s="301" t="s">
        <v>247</v>
      </c>
      <c r="F85" s="347">
        <v>2762</v>
      </c>
      <c r="G85" s="301">
        <v>566</v>
      </c>
      <c r="H85" s="301">
        <v>162</v>
      </c>
      <c r="I85" s="301"/>
      <c r="J85" s="301"/>
      <c r="K85" s="300">
        <v>1.7637105171077623</v>
      </c>
      <c r="L85" s="363">
        <f t="shared" si="1"/>
        <v>58.03774327647934</v>
      </c>
    </row>
    <row r="86" spans="1:12" x14ac:dyDescent="0.3">
      <c r="A86" s="301">
        <v>33</v>
      </c>
      <c r="B86" s="301" t="s">
        <v>216</v>
      </c>
      <c r="C86" s="301" t="s">
        <v>217</v>
      </c>
      <c r="D86" s="301" t="s">
        <v>217</v>
      </c>
      <c r="E86" s="301" t="s">
        <v>247</v>
      </c>
      <c r="F86" s="347">
        <v>1994</v>
      </c>
      <c r="G86" s="301">
        <v>428</v>
      </c>
      <c r="H86" s="301">
        <v>127</v>
      </c>
      <c r="I86" s="301"/>
      <c r="J86" s="301"/>
      <c r="K86" s="300">
        <v>1.4456763395579524</v>
      </c>
      <c r="L86" s="363">
        <f t="shared" si="1"/>
        <v>27.904634573021731</v>
      </c>
    </row>
    <row r="87" spans="1:12" x14ac:dyDescent="0.3">
      <c r="A87" s="301">
        <v>34</v>
      </c>
      <c r="B87" s="301" t="s">
        <v>216</v>
      </c>
      <c r="C87" s="301" t="s">
        <v>217</v>
      </c>
      <c r="D87" s="301" t="s">
        <v>217</v>
      </c>
      <c r="E87" s="301" t="s">
        <v>247</v>
      </c>
      <c r="F87" s="368">
        <v>1634</v>
      </c>
      <c r="G87" s="301">
        <v>365</v>
      </c>
      <c r="H87" s="301">
        <v>92</v>
      </c>
      <c r="I87" s="301"/>
      <c r="J87" s="301"/>
      <c r="K87" s="300">
        <v>1.5529082021018941</v>
      </c>
      <c r="L87" s="363">
        <f t="shared" si="1"/>
        <v>35.719732848965386</v>
      </c>
    </row>
    <row r="88" spans="1:12" x14ac:dyDescent="0.3">
      <c r="A88" s="301">
        <v>35</v>
      </c>
      <c r="B88" s="301" t="s">
        <v>216</v>
      </c>
      <c r="C88" s="301" t="s">
        <v>217</v>
      </c>
      <c r="D88" s="301" t="s">
        <v>217</v>
      </c>
      <c r="E88" s="301" t="s">
        <v>247</v>
      </c>
      <c r="F88" s="347">
        <v>1056</v>
      </c>
      <c r="G88" s="301">
        <v>296</v>
      </c>
      <c r="H88" s="301">
        <v>75</v>
      </c>
      <c r="I88" s="301"/>
      <c r="J88" s="301"/>
      <c r="K88" s="300">
        <v>1.1319336979570238</v>
      </c>
      <c r="L88" s="363">
        <f t="shared" si="1"/>
        <v>13.549825366662473</v>
      </c>
    </row>
    <row r="89" spans="1:12" x14ac:dyDescent="0.3">
      <c r="A89" s="301">
        <v>36</v>
      </c>
      <c r="B89" s="301" t="s">
        <v>216</v>
      </c>
      <c r="C89" s="301" t="s">
        <v>217</v>
      </c>
      <c r="D89" s="301" t="s">
        <v>217</v>
      </c>
      <c r="E89" s="301" t="s">
        <v>247</v>
      </c>
      <c r="F89" s="347">
        <v>761</v>
      </c>
      <c r="G89" s="301">
        <v>255</v>
      </c>
      <c r="H89" s="301">
        <v>56</v>
      </c>
      <c r="I89" s="301"/>
      <c r="J89" s="301"/>
      <c r="K89" s="300">
        <v>1.428179221886646</v>
      </c>
      <c r="L89" s="363">
        <f t="shared" si="1"/>
        <v>26.802741751378907</v>
      </c>
    </row>
    <row r="90" spans="1:12" x14ac:dyDescent="0.3">
      <c r="A90" s="301">
        <v>37</v>
      </c>
      <c r="B90" s="301" t="s">
        <v>216</v>
      </c>
      <c r="C90" s="301" t="s">
        <v>217</v>
      </c>
      <c r="D90" s="301" t="s">
        <v>217</v>
      </c>
      <c r="E90" s="301" t="s">
        <v>247</v>
      </c>
      <c r="F90" s="347">
        <v>597</v>
      </c>
      <c r="G90" s="301">
        <v>206</v>
      </c>
      <c r="H90" s="301">
        <v>43</v>
      </c>
      <c r="I90" s="301"/>
      <c r="J90" s="301"/>
      <c r="K90" s="300">
        <v>0.81489859425257094</v>
      </c>
      <c r="L90" s="363">
        <f t="shared" si="1"/>
        <v>6.5297806749538516</v>
      </c>
    </row>
    <row r="91" spans="1:12" x14ac:dyDescent="0.3">
      <c r="A91" s="301">
        <v>38</v>
      </c>
      <c r="B91" s="301" t="s">
        <v>216</v>
      </c>
      <c r="C91" s="301" t="s">
        <v>217</v>
      </c>
      <c r="D91" s="301" t="s">
        <v>217</v>
      </c>
      <c r="E91" s="301" t="s">
        <v>247</v>
      </c>
      <c r="F91" s="347">
        <v>425</v>
      </c>
      <c r="G91" s="301">
        <v>135</v>
      </c>
      <c r="H91" s="301">
        <v>36</v>
      </c>
      <c r="I91" s="301"/>
      <c r="J91" s="301"/>
      <c r="K91" s="300">
        <v>0.66470387219550331</v>
      </c>
      <c r="L91" s="363">
        <f t="shared" si="1"/>
        <v>4.6206584998539517</v>
      </c>
    </row>
    <row r="92" spans="1:12" x14ac:dyDescent="0.3">
      <c r="A92" s="301">
        <v>39</v>
      </c>
      <c r="B92" s="301" t="s">
        <v>216</v>
      </c>
      <c r="C92" s="301" t="s">
        <v>217</v>
      </c>
      <c r="D92" s="301" t="s">
        <v>217</v>
      </c>
      <c r="E92" s="301" t="s">
        <v>247</v>
      </c>
      <c r="F92" s="347">
        <v>249</v>
      </c>
      <c r="G92" s="301">
        <v>125</v>
      </c>
      <c r="H92" s="301">
        <v>19</v>
      </c>
      <c r="I92" s="301"/>
      <c r="J92" s="301"/>
      <c r="K92" s="300">
        <v>1.2313968747284887</v>
      </c>
      <c r="L92" s="363">
        <f t="shared" si="1"/>
        <v>17.037147161911953</v>
      </c>
    </row>
    <row r="93" spans="1:12" x14ac:dyDescent="0.3">
      <c r="A93" s="301">
        <v>40</v>
      </c>
      <c r="B93" s="301" t="s">
        <v>216</v>
      </c>
      <c r="C93" s="301" t="s">
        <v>217</v>
      </c>
      <c r="D93" s="301" t="s">
        <v>217</v>
      </c>
      <c r="E93" s="301" t="s">
        <v>247</v>
      </c>
      <c r="F93" s="347">
        <v>157</v>
      </c>
      <c r="G93" s="301">
        <v>122</v>
      </c>
      <c r="H93" s="301">
        <v>14</v>
      </c>
      <c r="I93" s="301"/>
      <c r="J93" s="301"/>
      <c r="K93" s="300">
        <v>0.92678378793521066</v>
      </c>
      <c r="L93" s="363">
        <f t="shared" si="1"/>
        <v>8.4485813063018202</v>
      </c>
    </row>
    <row r="94" spans="1:12" x14ac:dyDescent="0.3">
      <c r="A94" s="301">
        <v>41</v>
      </c>
      <c r="B94" s="301" t="s">
        <v>216</v>
      </c>
      <c r="C94" s="301" t="s">
        <v>217</v>
      </c>
      <c r="D94" s="301" t="s">
        <v>217</v>
      </c>
      <c r="E94" s="301" t="s">
        <v>247</v>
      </c>
      <c r="F94" s="347">
        <v>115</v>
      </c>
      <c r="G94" s="301">
        <v>96</v>
      </c>
      <c r="H94" s="301">
        <v>21</v>
      </c>
      <c r="I94" s="301"/>
      <c r="J94" s="301"/>
      <c r="K94" s="300">
        <v>0.98918224873256222</v>
      </c>
      <c r="L94" s="363">
        <f t="shared" si="1"/>
        <v>9.7539887136342607</v>
      </c>
    </row>
    <row r="95" spans="1:12" x14ac:dyDescent="0.3">
      <c r="A95" s="301">
        <v>42</v>
      </c>
      <c r="B95" s="301" t="s">
        <v>216</v>
      </c>
      <c r="C95" s="301" t="s">
        <v>217</v>
      </c>
      <c r="D95" s="301" t="s">
        <v>217</v>
      </c>
      <c r="E95" s="301" t="s">
        <v>247</v>
      </c>
      <c r="F95" s="347">
        <v>108</v>
      </c>
      <c r="G95" s="301">
        <v>73</v>
      </c>
      <c r="H95" s="301">
        <v>14</v>
      </c>
      <c r="I95" s="301"/>
      <c r="J95" s="301"/>
      <c r="K95" s="300">
        <v>0.397345950668064</v>
      </c>
      <c r="L95" s="363">
        <f t="shared" si="1"/>
        <v>2.496582665005509</v>
      </c>
    </row>
    <row r="96" spans="1:12" x14ac:dyDescent="0.3">
      <c r="A96" s="301">
        <v>43</v>
      </c>
      <c r="B96" s="301" t="s">
        <v>216</v>
      </c>
      <c r="C96" s="301" t="s">
        <v>217</v>
      </c>
      <c r="D96" s="301" t="s">
        <v>217</v>
      </c>
      <c r="E96" s="301" t="s">
        <v>247</v>
      </c>
      <c r="F96" s="347">
        <v>83</v>
      </c>
      <c r="G96" s="301">
        <v>47</v>
      </c>
      <c r="H96" s="301">
        <v>10</v>
      </c>
      <c r="I96" s="301"/>
      <c r="J96" s="301"/>
      <c r="K96" s="300">
        <v>0.77347630128357758</v>
      </c>
      <c r="L96" s="363">
        <f t="shared" si="1"/>
        <v>5.9357595687009859</v>
      </c>
    </row>
    <row r="97" spans="1:12" x14ac:dyDescent="0.3">
      <c r="A97" s="301">
        <v>44</v>
      </c>
      <c r="B97" s="301" t="s">
        <v>216</v>
      </c>
      <c r="C97" s="301" t="s">
        <v>217</v>
      </c>
      <c r="D97" s="301" t="s">
        <v>217</v>
      </c>
      <c r="E97" s="301" t="s">
        <v>247</v>
      </c>
      <c r="F97" s="347">
        <v>73</v>
      </c>
      <c r="G97" s="301">
        <v>63</v>
      </c>
      <c r="H97" s="301">
        <v>10</v>
      </c>
      <c r="I97" s="301"/>
      <c r="J97" s="301"/>
      <c r="K97" s="300">
        <v>1.125031502010704</v>
      </c>
      <c r="L97" s="363">
        <f t="shared" si="1"/>
        <v>13.336181640625005</v>
      </c>
    </row>
    <row r="98" spans="1:12" x14ac:dyDescent="0.3">
      <c r="A98" s="301">
        <v>45</v>
      </c>
      <c r="B98" s="301" t="s">
        <v>216</v>
      </c>
      <c r="C98" s="301" t="s">
        <v>217</v>
      </c>
      <c r="D98" s="301" t="s">
        <v>217</v>
      </c>
      <c r="E98" s="301" t="s">
        <v>247</v>
      </c>
      <c r="F98" s="347">
        <v>162</v>
      </c>
      <c r="G98" s="301">
        <v>89</v>
      </c>
      <c r="H98" s="301">
        <v>8</v>
      </c>
      <c r="I98" s="301"/>
      <c r="J98" s="301"/>
      <c r="K98" s="300">
        <v>1.9746375555227558</v>
      </c>
      <c r="L98" s="363">
        <f t="shared" si="1"/>
        <v>94.32733302213714</v>
      </c>
    </row>
    <row r="99" spans="1:12" x14ac:dyDescent="0.3">
      <c r="A99" s="301">
        <v>46</v>
      </c>
      <c r="B99" s="301" t="s">
        <v>216</v>
      </c>
      <c r="C99" s="301" t="s">
        <v>217</v>
      </c>
      <c r="D99" s="301" t="s">
        <v>217</v>
      </c>
      <c r="E99" s="301" t="s">
        <v>247</v>
      </c>
      <c r="F99" s="347">
        <v>966</v>
      </c>
      <c r="G99" s="301">
        <v>220</v>
      </c>
      <c r="H99" s="301">
        <v>8</v>
      </c>
      <c r="I99" s="301"/>
      <c r="J99" s="301"/>
      <c r="K99" s="300">
        <v>2.5085723534312923</v>
      </c>
      <c r="L99" s="363">
        <f t="shared" si="1"/>
        <v>322.53166120879507</v>
      </c>
    </row>
    <row r="100" spans="1:12" x14ac:dyDescent="0.3">
      <c r="A100" s="301">
        <v>47</v>
      </c>
      <c r="B100" s="301" t="s">
        <v>216</v>
      </c>
      <c r="C100" s="301" t="s">
        <v>217</v>
      </c>
      <c r="D100" s="301" t="s">
        <v>217</v>
      </c>
      <c r="E100" s="301" t="s">
        <v>247</v>
      </c>
      <c r="F100" s="347">
        <v>4155</v>
      </c>
      <c r="G100" s="301">
        <v>513</v>
      </c>
      <c r="H100" s="301">
        <v>15</v>
      </c>
      <c r="I100" s="301"/>
      <c r="J100" s="301"/>
      <c r="K100" s="300">
        <v>2.9004044450572617</v>
      </c>
      <c r="L100" s="363">
        <f t="shared" si="1"/>
        <v>795.06831266442168</v>
      </c>
    </row>
    <row r="101" spans="1:12" x14ac:dyDescent="0.3">
      <c r="A101" s="301">
        <v>48</v>
      </c>
      <c r="B101" s="301" t="s">
        <v>216</v>
      </c>
      <c r="C101" s="301" t="s">
        <v>217</v>
      </c>
      <c r="D101" s="301" t="s">
        <v>217</v>
      </c>
      <c r="E101" s="301" t="s">
        <v>247</v>
      </c>
      <c r="F101" s="347">
        <v>13952</v>
      </c>
      <c r="G101" s="301">
        <v>975</v>
      </c>
      <c r="H101" s="301">
        <v>25</v>
      </c>
      <c r="I101" s="301"/>
      <c r="J101" s="301"/>
      <c r="K101" s="300">
        <v>2.8598654974550564</v>
      </c>
      <c r="L101" s="363">
        <f t="shared" si="1"/>
        <v>724.21163442183604</v>
      </c>
    </row>
    <row r="102" spans="1:12" x14ac:dyDescent="0.3">
      <c r="A102" s="301">
        <v>49</v>
      </c>
      <c r="B102" s="301" t="s">
        <v>216</v>
      </c>
      <c r="C102" s="301" t="s">
        <v>217</v>
      </c>
      <c r="D102" s="301" t="s">
        <v>217</v>
      </c>
      <c r="E102" s="301" t="s">
        <v>247</v>
      </c>
      <c r="F102" s="347">
        <v>12209</v>
      </c>
      <c r="G102" s="301">
        <v>1089</v>
      </c>
      <c r="H102" s="301">
        <v>57</v>
      </c>
      <c r="I102" s="301"/>
      <c r="J102" s="301"/>
      <c r="K102" s="300">
        <v>2.5047913180529364</v>
      </c>
      <c r="L102" s="363">
        <f t="shared" si="1"/>
        <v>319.73583844243274</v>
      </c>
    </row>
    <row r="103" spans="1:12" x14ac:dyDescent="0.3">
      <c r="A103" s="301">
        <v>50</v>
      </c>
      <c r="B103" s="301" t="s">
        <v>216</v>
      </c>
      <c r="C103" s="301" t="s">
        <v>217</v>
      </c>
      <c r="D103" s="301" t="s">
        <v>217</v>
      </c>
      <c r="E103" s="301" t="s">
        <v>247</v>
      </c>
      <c r="F103" s="347">
        <v>5660</v>
      </c>
      <c r="G103" s="301">
        <v>895</v>
      </c>
      <c r="H103" s="301">
        <v>74</v>
      </c>
      <c r="I103" s="301"/>
      <c r="J103" s="301"/>
      <c r="K103" s="300">
        <v>2.0316991287730093</v>
      </c>
      <c r="L103" s="363">
        <f t="shared" si="1"/>
        <v>107.57197165975766</v>
      </c>
    </row>
    <row r="104" spans="1:12" x14ac:dyDescent="0.3">
      <c r="A104" s="301">
        <v>51</v>
      </c>
      <c r="B104" s="301" t="s">
        <v>216</v>
      </c>
      <c r="C104" s="301" t="s">
        <v>217</v>
      </c>
      <c r="D104" s="301" t="s">
        <v>217</v>
      </c>
      <c r="E104" s="301" t="s">
        <v>247</v>
      </c>
      <c r="F104" s="347">
        <v>2958</v>
      </c>
      <c r="G104" s="301">
        <v>627</v>
      </c>
      <c r="H104" s="301">
        <v>69</v>
      </c>
      <c r="I104" s="301"/>
      <c r="J104" s="301"/>
      <c r="K104" s="300">
        <v>1.6677468905486181</v>
      </c>
      <c r="L104" s="363">
        <f t="shared" si="1"/>
        <v>46.531482618682254</v>
      </c>
    </row>
    <row r="105" spans="1:12" x14ac:dyDescent="0.3">
      <c r="A105" s="301">
        <v>52</v>
      </c>
      <c r="B105" s="301" t="s">
        <v>216</v>
      </c>
      <c r="C105" s="301" t="s">
        <v>217</v>
      </c>
      <c r="D105" s="301" t="s">
        <v>217</v>
      </c>
      <c r="E105" s="301" t="s">
        <v>247</v>
      </c>
      <c r="F105" s="347">
        <v>1605</v>
      </c>
      <c r="G105" s="301">
        <v>464</v>
      </c>
      <c r="H105" s="301">
        <v>67</v>
      </c>
      <c r="I105" s="301"/>
      <c r="J105" s="301"/>
      <c r="K105" s="301"/>
      <c r="L105" s="363"/>
    </row>
    <row r="106" spans="1:12" x14ac:dyDescent="0.3">
      <c r="A106" s="344">
        <v>1</v>
      </c>
      <c r="B106" s="344" t="s">
        <v>216</v>
      </c>
      <c r="C106" s="344" t="s">
        <v>222</v>
      </c>
      <c r="D106" s="344" t="s">
        <v>258</v>
      </c>
      <c r="E106" s="344" t="s">
        <v>236</v>
      </c>
      <c r="F106" s="399">
        <v>10456</v>
      </c>
      <c r="G106" s="344">
        <v>1564</v>
      </c>
      <c r="H106" s="344">
        <v>268</v>
      </c>
      <c r="I106" s="344"/>
      <c r="J106" s="344"/>
      <c r="K106" s="344"/>
      <c r="L106" s="362"/>
    </row>
    <row r="107" spans="1:12" x14ac:dyDescent="0.3">
      <c r="A107" s="344">
        <v>2</v>
      </c>
      <c r="B107" s="344" t="s">
        <v>216</v>
      </c>
      <c r="C107" s="344" t="s">
        <v>222</v>
      </c>
      <c r="D107" s="344" t="s">
        <v>258</v>
      </c>
      <c r="E107" s="344" t="s">
        <v>236</v>
      </c>
      <c r="F107" s="399">
        <v>6821</v>
      </c>
      <c r="G107" s="344">
        <v>1546</v>
      </c>
      <c r="H107" s="344">
        <v>299</v>
      </c>
      <c r="I107" s="344"/>
      <c r="J107" s="344"/>
      <c r="K107" s="344"/>
      <c r="L107" s="362"/>
    </row>
    <row r="108" spans="1:12" x14ac:dyDescent="0.3">
      <c r="A108" s="344">
        <v>3</v>
      </c>
      <c r="B108" s="344" t="s">
        <v>216</v>
      </c>
      <c r="C108" s="344" t="s">
        <v>222</v>
      </c>
      <c r="D108" s="344" t="s">
        <v>258</v>
      </c>
      <c r="E108" s="344" t="s">
        <v>236</v>
      </c>
      <c r="F108" s="399">
        <v>3572</v>
      </c>
      <c r="G108" s="344">
        <v>1170</v>
      </c>
      <c r="H108" s="344">
        <v>296</v>
      </c>
      <c r="I108" s="344"/>
      <c r="J108" s="344"/>
      <c r="K108" s="344"/>
      <c r="L108" s="362"/>
    </row>
    <row r="109" spans="1:12" x14ac:dyDescent="0.3">
      <c r="A109" s="344">
        <v>4</v>
      </c>
      <c r="B109" s="344" t="s">
        <v>216</v>
      </c>
      <c r="C109" s="344" t="s">
        <v>222</v>
      </c>
      <c r="D109" s="344" t="s">
        <v>258</v>
      </c>
      <c r="E109" s="344" t="s">
        <v>236</v>
      </c>
      <c r="F109" s="399">
        <v>1533</v>
      </c>
      <c r="G109" s="344">
        <v>682</v>
      </c>
      <c r="H109" s="344">
        <v>168</v>
      </c>
      <c r="I109" s="344"/>
      <c r="J109" s="344"/>
      <c r="K109" s="344"/>
      <c r="L109" s="362"/>
    </row>
    <row r="110" spans="1:12" x14ac:dyDescent="0.3">
      <c r="A110" s="344">
        <v>5</v>
      </c>
      <c r="B110" s="344" t="s">
        <v>216</v>
      </c>
      <c r="C110" s="344" t="s">
        <v>222</v>
      </c>
      <c r="D110" s="344" t="s">
        <v>258</v>
      </c>
      <c r="E110" s="344" t="s">
        <v>236</v>
      </c>
      <c r="F110" s="399">
        <v>1196</v>
      </c>
      <c r="G110" s="344">
        <v>555</v>
      </c>
      <c r="H110" s="344">
        <v>139</v>
      </c>
      <c r="I110" s="344"/>
      <c r="J110" s="344"/>
      <c r="K110" s="358">
        <v>4.297572990820047E-2</v>
      </c>
      <c r="L110" s="362">
        <f t="shared" si="1"/>
        <v>1.10401692134993</v>
      </c>
    </row>
    <row r="111" spans="1:12" x14ac:dyDescent="0.3">
      <c r="A111" s="344">
        <v>6</v>
      </c>
      <c r="B111" s="344" t="s">
        <v>216</v>
      </c>
      <c r="C111" s="344" t="s">
        <v>222</v>
      </c>
      <c r="D111" s="344" t="s">
        <v>258</v>
      </c>
      <c r="E111" s="344" t="s">
        <v>236</v>
      </c>
      <c r="F111" s="399">
        <v>1059</v>
      </c>
      <c r="G111" s="344">
        <v>475</v>
      </c>
      <c r="H111" s="344">
        <v>124</v>
      </c>
      <c r="I111" s="344"/>
      <c r="J111" s="344"/>
      <c r="K111" s="344"/>
      <c r="L111" s="362"/>
    </row>
    <row r="112" spans="1:12" x14ac:dyDescent="0.3">
      <c r="A112" s="344">
        <v>7</v>
      </c>
      <c r="B112" s="344" t="s">
        <v>216</v>
      </c>
      <c r="C112" s="344" t="s">
        <v>222</v>
      </c>
      <c r="D112" s="344" t="s">
        <v>258</v>
      </c>
      <c r="E112" s="344" t="s">
        <v>236</v>
      </c>
      <c r="F112" s="399">
        <v>739</v>
      </c>
      <c r="G112" s="344">
        <v>345</v>
      </c>
      <c r="H112" s="344">
        <v>78</v>
      </c>
      <c r="I112" s="344"/>
      <c r="J112" s="344"/>
      <c r="K112" s="344"/>
      <c r="L112" s="362"/>
    </row>
    <row r="113" spans="1:12" x14ac:dyDescent="0.3">
      <c r="A113" s="344">
        <v>8</v>
      </c>
      <c r="B113" s="344" t="s">
        <v>216</v>
      </c>
      <c r="C113" s="344" t="s">
        <v>222</v>
      </c>
      <c r="D113" s="344" t="s">
        <v>258</v>
      </c>
      <c r="E113" s="344" t="s">
        <v>236</v>
      </c>
      <c r="F113" s="399">
        <v>581</v>
      </c>
      <c r="G113" s="344">
        <v>254</v>
      </c>
      <c r="H113" s="344">
        <v>66</v>
      </c>
      <c r="I113" s="344"/>
      <c r="J113" s="344"/>
      <c r="K113" s="344"/>
      <c r="L113" s="362"/>
    </row>
    <row r="114" spans="1:12" x14ac:dyDescent="0.3">
      <c r="A114" s="344">
        <v>9</v>
      </c>
      <c r="B114" s="344" t="s">
        <v>216</v>
      </c>
      <c r="C114" s="344" t="s">
        <v>222</v>
      </c>
      <c r="D114" s="344" t="s">
        <v>258</v>
      </c>
      <c r="E114" s="344" t="s">
        <v>236</v>
      </c>
      <c r="F114" s="399">
        <v>466</v>
      </c>
      <c r="G114" s="344">
        <v>206</v>
      </c>
      <c r="H114" s="344">
        <v>52</v>
      </c>
      <c r="I114" s="344"/>
      <c r="J114" s="344"/>
      <c r="K114" s="358">
        <v>1.4601509190584991</v>
      </c>
      <c r="L114" s="362">
        <f t="shared" si="1"/>
        <v>28.850338896926615</v>
      </c>
    </row>
    <row r="115" spans="1:12" x14ac:dyDescent="0.3">
      <c r="A115" s="344">
        <v>10</v>
      </c>
      <c r="B115" s="344" t="s">
        <v>216</v>
      </c>
      <c r="C115" s="344" t="s">
        <v>222</v>
      </c>
      <c r="D115" s="344" t="s">
        <v>258</v>
      </c>
      <c r="E115" s="344" t="s">
        <v>236</v>
      </c>
      <c r="F115" s="399">
        <v>488</v>
      </c>
      <c r="G115" s="344">
        <v>192</v>
      </c>
      <c r="H115" s="344">
        <v>54</v>
      </c>
      <c r="I115" s="344"/>
      <c r="J115" s="344"/>
      <c r="K115" s="344"/>
      <c r="L115" s="362"/>
    </row>
    <row r="116" spans="1:12" x14ac:dyDescent="0.3">
      <c r="A116" s="344">
        <v>11</v>
      </c>
      <c r="B116" s="344" t="s">
        <v>216</v>
      </c>
      <c r="C116" s="344" t="s">
        <v>222</v>
      </c>
      <c r="D116" s="344" t="s">
        <v>258</v>
      </c>
      <c r="E116" s="344" t="s">
        <v>236</v>
      </c>
      <c r="F116" s="399">
        <v>528</v>
      </c>
      <c r="G116" s="344">
        <v>196</v>
      </c>
      <c r="H116" s="344">
        <v>31</v>
      </c>
      <c r="I116" s="344"/>
      <c r="J116" s="344"/>
      <c r="K116" s="344"/>
      <c r="L116" s="362"/>
    </row>
    <row r="117" spans="1:12" x14ac:dyDescent="0.3">
      <c r="A117" s="344">
        <v>12</v>
      </c>
      <c r="B117" s="344" t="s">
        <v>216</v>
      </c>
      <c r="C117" s="344" t="s">
        <v>222</v>
      </c>
      <c r="D117" s="344" t="s">
        <v>258</v>
      </c>
      <c r="E117" s="344" t="s">
        <v>236</v>
      </c>
      <c r="F117" s="399">
        <v>448</v>
      </c>
      <c r="G117" s="344">
        <v>179</v>
      </c>
      <c r="H117" s="344">
        <v>41</v>
      </c>
      <c r="I117" s="344"/>
      <c r="J117" s="344"/>
      <c r="K117" s="344"/>
      <c r="L117" s="362"/>
    </row>
    <row r="118" spans="1:12" x14ac:dyDescent="0.3">
      <c r="A118" s="344">
        <v>13</v>
      </c>
      <c r="B118" s="344" t="s">
        <v>216</v>
      </c>
      <c r="C118" s="344" t="s">
        <v>222</v>
      </c>
      <c r="D118" s="344" t="s">
        <v>258</v>
      </c>
      <c r="E118" s="344" t="s">
        <v>236</v>
      </c>
      <c r="F118" s="399">
        <v>434</v>
      </c>
      <c r="G118" s="344">
        <v>183</v>
      </c>
      <c r="H118" s="344">
        <v>38</v>
      </c>
      <c r="I118" s="344"/>
      <c r="J118" s="344"/>
      <c r="K118" s="344"/>
      <c r="L118" s="362"/>
    </row>
    <row r="119" spans="1:12" x14ac:dyDescent="0.3">
      <c r="A119" s="344">
        <v>14</v>
      </c>
      <c r="B119" s="344" t="s">
        <v>216</v>
      </c>
      <c r="C119" s="344" t="s">
        <v>222</v>
      </c>
      <c r="D119" s="344" t="s">
        <v>258</v>
      </c>
      <c r="E119" s="344" t="s">
        <v>236</v>
      </c>
      <c r="F119" s="399">
        <v>498</v>
      </c>
      <c r="G119" s="344">
        <v>189</v>
      </c>
      <c r="H119" s="344">
        <v>30</v>
      </c>
      <c r="I119" s="344"/>
      <c r="J119" s="344"/>
      <c r="K119" s="358">
        <v>0.23699735995608603</v>
      </c>
      <c r="L119" s="362">
        <f t="shared" si="1"/>
        <v>1.7258274007816703</v>
      </c>
    </row>
    <row r="120" spans="1:12" x14ac:dyDescent="0.3">
      <c r="A120" s="344">
        <v>15</v>
      </c>
      <c r="B120" s="344" t="s">
        <v>216</v>
      </c>
      <c r="C120" s="344" t="s">
        <v>222</v>
      </c>
      <c r="D120" s="344" t="s">
        <v>258</v>
      </c>
      <c r="E120" s="344" t="s">
        <v>236</v>
      </c>
      <c r="F120" s="399">
        <v>577</v>
      </c>
      <c r="G120" s="344">
        <v>211</v>
      </c>
      <c r="H120" s="344">
        <v>32</v>
      </c>
      <c r="I120" s="344"/>
      <c r="J120" s="344"/>
      <c r="K120" s="344"/>
      <c r="L120" s="362"/>
    </row>
    <row r="121" spans="1:12" x14ac:dyDescent="0.3">
      <c r="A121" s="344">
        <v>16</v>
      </c>
      <c r="B121" s="344" t="s">
        <v>216</v>
      </c>
      <c r="C121" s="344" t="s">
        <v>222</v>
      </c>
      <c r="D121" s="344" t="s">
        <v>258</v>
      </c>
      <c r="E121" s="344" t="s">
        <v>236</v>
      </c>
      <c r="F121" s="399">
        <v>596</v>
      </c>
      <c r="G121" s="344">
        <v>202</v>
      </c>
      <c r="H121" s="344">
        <v>30</v>
      </c>
      <c r="I121" s="344"/>
      <c r="J121" s="344"/>
      <c r="K121" s="344"/>
      <c r="L121" s="362"/>
    </row>
    <row r="122" spans="1:12" x14ac:dyDescent="0.3">
      <c r="A122" s="344">
        <v>17</v>
      </c>
      <c r="B122" s="344" t="s">
        <v>216</v>
      </c>
      <c r="C122" s="344" t="s">
        <v>222</v>
      </c>
      <c r="D122" s="344" t="s">
        <v>258</v>
      </c>
      <c r="E122" s="344" t="s">
        <v>236</v>
      </c>
      <c r="F122" s="399">
        <v>709</v>
      </c>
      <c r="G122" s="344">
        <v>234</v>
      </c>
      <c r="H122" s="344">
        <v>33</v>
      </c>
      <c r="I122" s="344"/>
      <c r="J122" s="344"/>
      <c r="K122" s="344"/>
      <c r="L122" s="362"/>
    </row>
    <row r="123" spans="1:12" x14ac:dyDescent="0.3">
      <c r="A123" s="344">
        <v>18</v>
      </c>
      <c r="B123" s="344" t="s">
        <v>216</v>
      </c>
      <c r="C123" s="344" t="s">
        <v>222</v>
      </c>
      <c r="D123" s="344" t="s">
        <v>258</v>
      </c>
      <c r="E123" s="344" t="s">
        <v>236</v>
      </c>
      <c r="F123" s="399">
        <v>1205</v>
      </c>
      <c r="G123" s="344">
        <v>309</v>
      </c>
      <c r="H123" s="344">
        <v>47</v>
      </c>
      <c r="I123" s="344"/>
      <c r="J123" s="344"/>
      <c r="K123" s="358">
        <v>1.2916917539301618</v>
      </c>
      <c r="L123" s="362">
        <f t="shared" si="1"/>
        <v>19.57454851695471</v>
      </c>
    </row>
    <row r="124" spans="1:12" x14ac:dyDescent="0.3">
      <c r="A124" s="344">
        <v>19</v>
      </c>
      <c r="B124" s="344" t="s">
        <v>216</v>
      </c>
      <c r="C124" s="344" t="s">
        <v>222</v>
      </c>
      <c r="D124" s="344" t="s">
        <v>258</v>
      </c>
      <c r="E124" s="344" t="s">
        <v>236</v>
      </c>
      <c r="F124" s="399">
        <v>2049</v>
      </c>
      <c r="G124" s="344">
        <v>344</v>
      </c>
      <c r="H124" s="344">
        <v>59</v>
      </c>
      <c r="I124" s="344"/>
      <c r="J124" s="344"/>
      <c r="K124" s="344"/>
      <c r="L124" s="362"/>
    </row>
    <row r="125" spans="1:12" x14ac:dyDescent="0.3">
      <c r="A125" s="344">
        <v>20</v>
      </c>
      <c r="B125" s="344" t="s">
        <v>216</v>
      </c>
      <c r="C125" s="344" t="s">
        <v>222</v>
      </c>
      <c r="D125" s="344" t="s">
        <v>258</v>
      </c>
      <c r="E125" s="344" t="s">
        <v>236</v>
      </c>
      <c r="F125" s="399">
        <v>3072</v>
      </c>
      <c r="G125" s="344">
        <v>542</v>
      </c>
      <c r="H125" s="344">
        <v>78</v>
      </c>
      <c r="I125" s="344"/>
      <c r="J125" s="344"/>
      <c r="K125" s="344"/>
      <c r="L125" s="362"/>
    </row>
    <row r="126" spans="1:12" x14ac:dyDescent="0.3">
      <c r="A126" s="344">
        <v>21</v>
      </c>
      <c r="B126" s="344" t="s">
        <v>216</v>
      </c>
      <c r="C126" s="344" t="s">
        <v>222</v>
      </c>
      <c r="D126" s="344" t="s">
        <v>258</v>
      </c>
      <c r="E126" s="344" t="s">
        <v>236</v>
      </c>
      <c r="F126" s="399">
        <v>4330</v>
      </c>
      <c r="G126" s="344">
        <v>769</v>
      </c>
      <c r="H126" s="344">
        <v>105</v>
      </c>
      <c r="I126" s="344"/>
      <c r="J126" s="344"/>
      <c r="K126" s="344"/>
      <c r="L126" s="362"/>
    </row>
    <row r="127" spans="1:12" x14ac:dyDescent="0.3">
      <c r="A127" s="344">
        <v>22</v>
      </c>
      <c r="B127" s="344" t="s">
        <v>216</v>
      </c>
      <c r="C127" s="344" t="s">
        <v>222</v>
      </c>
      <c r="D127" s="344" t="s">
        <v>258</v>
      </c>
      <c r="E127" s="344" t="s">
        <v>236</v>
      </c>
      <c r="F127" s="399">
        <v>5817</v>
      </c>
      <c r="G127" s="344">
        <v>881</v>
      </c>
      <c r="H127" s="344">
        <v>134</v>
      </c>
      <c r="I127" s="344"/>
      <c r="J127" s="344"/>
      <c r="K127" s="358">
        <v>1.8030254688849539</v>
      </c>
      <c r="L127" s="362">
        <f t="shared" si="1"/>
        <v>63.53681914660401</v>
      </c>
    </row>
    <row r="128" spans="1:12" x14ac:dyDescent="0.3">
      <c r="A128" s="344">
        <v>23</v>
      </c>
      <c r="B128" s="344" t="s">
        <v>216</v>
      </c>
      <c r="C128" s="344" t="s">
        <v>222</v>
      </c>
      <c r="D128" s="344" t="s">
        <v>258</v>
      </c>
      <c r="E128" s="344" t="s">
        <v>236</v>
      </c>
      <c r="F128" s="399">
        <v>11435</v>
      </c>
      <c r="G128" s="344">
        <v>1259</v>
      </c>
      <c r="H128" s="344">
        <v>198</v>
      </c>
      <c r="I128" s="344"/>
      <c r="J128" s="344"/>
      <c r="K128" s="344"/>
      <c r="L128" s="362"/>
    </row>
    <row r="129" spans="1:12" x14ac:dyDescent="0.3">
      <c r="A129" s="344">
        <v>24</v>
      </c>
      <c r="B129" s="344" t="s">
        <v>216</v>
      </c>
      <c r="C129" s="344" t="s">
        <v>222</v>
      </c>
      <c r="D129" s="344" t="s">
        <v>258</v>
      </c>
      <c r="E129" s="344" t="s">
        <v>236</v>
      </c>
      <c r="F129" s="399">
        <v>17218</v>
      </c>
      <c r="G129" s="344">
        <v>1660</v>
      </c>
      <c r="H129" s="344">
        <v>299</v>
      </c>
      <c r="I129" s="344"/>
      <c r="J129" s="344"/>
      <c r="K129" s="344"/>
      <c r="L129" s="362"/>
    </row>
    <row r="130" spans="1:12" x14ac:dyDescent="0.3">
      <c r="A130" s="344">
        <v>25</v>
      </c>
      <c r="B130" s="344" t="s">
        <v>216</v>
      </c>
      <c r="C130" s="344" t="s">
        <v>222</v>
      </c>
      <c r="D130" s="344" t="s">
        <v>258</v>
      </c>
      <c r="E130" s="344" t="s">
        <v>236</v>
      </c>
      <c r="F130" s="399">
        <v>22412</v>
      </c>
      <c r="G130" s="344">
        <v>2121</v>
      </c>
      <c r="H130" s="344">
        <v>422</v>
      </c>
      <c r="I130" s="344"/>
      <c r="J130" s="344"/>
      <c r="K130" s="344"/>
      <c r="L130" s="362"/>
    </row>
    <row r="131" spans="1:12" x14ac:dyDescent="0.3">
      <c r="A131" s="344">
        <v>26</v>
      </c>
      <c r="B131" s="344" t="s">
        <v>216</v>
      </c>
      <c r="C131" s="344" t="s">
        <v>222</v>
      </c>
      <c r="D131" s="344" t="s">
        <v>258</v>
      </c>
      <c r="E131" s="344" t="s">
        <v>236</v>
      </c>
      <c r="F131" s="350">
        <v>26824</v>
      </c>
      <c r="G131" s="344">
        <v>2391</v>
      </c>
      <c r="H131" s="344">
        <v>561</v>
      </c>
      <c r="I131" s="344"/>
      <c r="J131" s="344"/>
      <c r="K131" s="344"/>
      <c r="L131" s="362"/>
    </row>
    <row r="132" spans="1:12" x14ac:dyDescent="0.3">
      <c r="A132" s="344">
        <v>27</v>
      </c>
      <c r="B132" s="344" t="s">
        <v>216</v>
      </c>
      <c r="C132" s="344" t="s">
        <v>222</v>
      </c>
      <c r="D132" s="344" t="s">
        <v>258</v>
      </c>
      <c r="E132" s="344" t="s">
        <v>236</v>
      </c>
      <c r="F132" s="350">
        <v>20789</v>
      </c>
      <c r="G132" s="344">
        <v>2446</v>
      </c>
      <c r="H132" s="344">
        <v>569</v>
      </c>
      <c r="I132" s="344"/>
      <c r="J132" s="344"/>
      <c r="K132" s="344"/>
      <c r="L132" s="362"/>
    </row>
    <row r="133" spans="1:12" x14ac:dyDescent="0.3">
      <c r="A133" s="344">
        <v>28</v>
      </c>
      <c r="B133" s="344" t="s">
        <v>216</v>
      </c>
      <c r="C133" s="344" t="s">
        <v>222</v>
      </c>
      <c r="D133" s="344" t="s">
        <v>258</v>
      </c>
      <c r="E133" s="344" t="s">
        <v>236</v>
      </c>
      <c r="F133" s="350">
        <v>10939</v>
      </c>
      <c r="G133" s="344">
        <v>2084</v>
      </c>
      <c r="H133" s="344">
        <v>636</v>
      </c>
      <c r="I133" s="344"/>
      <c r="J133" s="344"/>
      <c r="K133" s="344"/>
      <c r="L133" s="362"/>
    </row>
    <row r="134" spans="1:12" x14ac:dyDescent="0.3">
      <c r="A134" s="344">
        <v>29</v>
      </c>
      <c r="B134" s="344" t="s">
        <v>216</v>
      </c>
      <c r="C134" s="344" t="s">
        <v>222</v>
      </c>
      <c r="D134" s="344" t="s">
        <v>258</v>
      </c>
      <c r="E134" s="344" t="s">
        <v>236</v>
      </c>
      <c r="F134" s="350">
        <v>6813</v>
      </c>
      <c r="G134" s="344">
        <v>1528</v>
      </c>
      <c r="H134" s="344">
        <v>493</v>
      </c>
      <c r="I134" s="344"/>
      <c r="J134" s="344"/>
      <c r="K134" s="344"/>
      <c r="L134" s="362"/>
    </row>
    <row r="135" spans="1:12" x14ac:dyDescent="0.3">
      <c r="A135" s="344">
        <v>30</v>
      </c>
      <c r="B135" s="344" t="s">
        <v>216</v>
      </c>
      <c r="C135" s="344" t="s">
        <v>222</v>
      </c>
      <c r="D135" s="344" t="s">
        <v>258</v>
      </c>
      <c r="E135" s="344" t="s">
        <v>236</v>
      </c>
      <c r="F135" s="350">
        <v>5921</v>
      </c>
      <c r="G135" s="344">
        <v>1095</v>
      </c>
      <c r="H135" s="344">
        <v>383</v>
      </c>
      <c r="I135" s="344"/>
      <c r="J135" s="344"/>
      <c r="K135" s="344"/>
      <c r="L135" s="362"/>
    </row>
    <row r="136" spans="1:12" x14ac:dyDescent="0.3">
      <c r="A136" s="344">
        <v>31</v>
      </c>
      <c r="B136" s="344" t="s">
        <v>216</v>
      </c>
      <c r="C136" s="344" t="s">
        <v>222</v>
      </c>
      <c r="D136" s="344" t="s">
        <v>258</v>
      </c>
      <c r="E136" s="344" t="s">
        <v>236</v>
      </c>
      <c r="F136" s="350">
        <v>3853</v>
      </c>
      <c r="G136" s="344">
        <v>733</v>
      </c>
      <c r="H136" s="344">
        <v>259</v>
      </c>
      <c r="I136" s="344"/>
      <c r="J136" s="344"/>
      <c r="K136" s="358">
        <v>1.8039441941671694</v>
      </c>
      <c r="L136" s="362">
        <f t="shared" si="1"/>
        <v>63.671369941867148</v>
      </c>
    </row>
    <row r="137" spans="1:12" x14ac:dyDescent="0.3">
      <c r="A137" s="344">
        <v>32</v>
      </c>
      <c r="B137" s="344" t="s">
        <v>216</v>
      </c>
      <c r="C137" s="344" t="s">
        <v>222</v>
      </c>
      <c r="D137" s="344" t="s">
        <v>258</v>
      </c>
      <c r="E137" s="344" t="s">
        <v>236</v>
      </c>
      <c r="F137" s="350">
        <v>2676</v>
      </c>
      <c r="G137" s="344">
        <v>517</v>
      </c>
      <c r="H137" s="344">
        <v>211</v>
      </c>
      <c r="I137" s="344"/>
      <c r="J137" s="344"/>
      <c r="K137" s="344"/>
      <c r="L137" s="362"/>
    </row>
    <row r="138" spans="1:12" x14ac:dyDescent="0.3">
      <c r="A138" s="344">
        <v>33</v>
      </c>
      <c r="B138" s="344" t="s">
        <v>216</v>
      </c>
      <c r="C138" s="344" t="s">
        <v>222</v>
      </c>
      <c r="D138" s="344" t="s">
        <v>258</v>
      </c>
      <c r="E138" s="344" t="s">
        <v>236</v>
      </c>
      <c r="F138" s="350">
        <v>2189</v>
      </c>
      <c r="G138" s="344">
        <v>410</v>
      </c>
      <c r="H138" s="344">
        <v>149</v>
      </c>
      <c r="I138" s="344"/>
      <c r="J138" s="344"/>
      <c r="K138" s="344"/>
      <c r="L138" s="362"/>
    </row>
    <row r="139" spans="1:12" x14ac:dyDescent="0.3">
      <c r="A139" s="344">
        <v>34</v>
      </c>
      <c r="B139" s="344" t="s">
        <v>216</v>
      </c>
      <c r="C139" s="344" t="s">
        <v>222</v>
      </c>
      <c r="D139" s="344" t="s">
        <v>258</v>
      </c>
      <c r="E139" s="344" t="s">
        <v>236</v>
      </c>
      <c r="F139" s="350">
        <v>1445</v>
      </c>
      <c r="G139" s="344">
        <v>334</v>
      </c>
      <c r="H139" s="344">
        <v>99</v>
      </c>
      <c r="I139" s="344"/>
      <c r="J139" s="344"/>
      <c r="K139" s="344"/>
      <c r="L139" s="362"/>
    </row>
    <row r="140" spans="1:12" x14ac:dyDescent="0.3">
      <c r="A140" s="344">
        <v>35</v>
      </c>
      <c r="B140" s="344" t="s">
        <v>216</v>
      </c>
      <c r="C140" s="344" t="s">
        <v>222</v>
      </c>
      <c r="D140" s="344" t="s">
        <v>258</v>
      </c>
      <c r="E140" s="344" t="s">
        <v>236</v>
      </c>
      <c r="F140" s="350">
        <v>923</v>
      </c>
      <c r="G140" s="344">
        <v>221</v>
      </c>
      <c r="H140" s="344">
        <v>67</v>
      </c>
      <c r="I140" s="344"/>
      <c r="J140" s="344"/>
      <c r="K140" s="344"/>
      <c r="L140" s="362"/>
    </row>
    <row r="141" spans="1:12" x14ac:dyDescent="0.3">
      <c r="A141" s="344">
        <v>36</v>
      </c>
      <c r="B141" s="344" t="s">
        <v>216</v>
      </c>
      <c r="C141" s="344" t="s">
        <v>222</v>
      </c>
      <c r="D141" s="344" t="s">
        <v>258</v>
      </c>
      <c r="E141" s="344" t="s">
        <v>236</v>
      </c>
      <c r="F141" s="350">
        <v>680</v>
      </c>
      <c r="G141" s="344">
        <v>197</v>
      </c>
      <c r="H141" s="344">
        <v>31</v>
      </c>
      <c r="I141" s="344"/>
      <c r="J141" s="344"/>
      <c r="K141" s="358">
        <v>1.1186631326482328</v>
      </c>
      <c r="L141" s="362">
        <f t="shared" si="1"/>
        <v>13.142050529012881</v>
      </c>
    </row>
    <row r="142" spans="1:12" x14ac:dyDescent="0.3">
      <c r="A142" s="344">
        <v>37</v>
      </c>
      <c r="B142" s="344" t="s">
        <v>216</v>
      </c>
      <c r="C142" s="344" t="s">
        <v>222</v>
      </c>
      <c r="D142" s="344" t="s">
        <v>258</v>
      </c>
      <c r="E142" s="344" t="s">
        <v>236</v>
      </c>
      <c r="F142" s="350">
        <v>478</v>
      </c>
      <c r="G142" s="344">
        <v>112</v>
      </c>
      <c r="H142" s="344">
        <v>40</v>
      </c>
      <c r="I142" s="344"/>
      <c r="J142" s="344"/>
      <c r="K142" s="344"/>
      <c r="L142" s="362"/>
    </row>
    <row r="143" spans="1:12" x14ac:dyDescent="0.3">
      <c r="A143" s="344">
        <v>38</v>
      </c>
      <c r="B143" s="344" t="s">
        <v>216</v>
      </c>
      <c r="C143" s="344" t="s">
        <v>222</v>
      </c>
      <c r="D143" s="344" t="s">
        <v>258</v>
      </c>
      <c r="E143" s="344" t="s">
        <v>236</v>
      </c>
      <c r="F143" s="350">
        <v>295</v>
      </c>
      <c r="G143" s="344">
        <v>89</v>
      </c>
      <c r="H143" s="344">
        <v>16</v>
      </c>
      <c r="I143" s="344"/>
      <c r="J143" s="344"/>
      <c r="K143" s="344"/>
      <c r="L143" s="362"/>
    </row>
    <row r="144" spans="1:12" x14ac:dyDescent="0.3">
      <c r="A144" s="344">
        <v>39</v>
      </c>
      <c r="B144" s="344" t="s">
        <v>216</v>
      </c>
      <c r="C144" s="344" t="s">
        <v>222</v>
      </c>
      <c r="D144" s="344" t="s">
        <v>258</v>
      </c>
      <c r="E144" s="344" t="s">
        <v>236</v>
      </c>
      <c r="F144" s="350">
        <v>272</v>
      </c>
      <c r="G144" s="344">
        <v>87</v>
      </c>
      <c r="H144" s="344">
        <v>24</v>
      </c>
      <c r="I144" s="344"/>
      <c r="J144" s="344"/>
      <c r="K144" s="344"/>
      <c r="L144" s="362"/>
    </row>
    <row r="145" spans="1:12" x14ac:dyDescent="0.3">
      <c r="A145" s="344">
        <v>40</v>
      </c>
      <c r="B145" s="344" t="s">
        <v>216</v>
      </c>
      <c r="C145" s="344" t="s">
        <v>222</v>
      </c>
      <c r="D145" s="344" t="s">
        <v>258</v>
      </c>
      <c r="E145" s="344" t="s">
        <v>236</v>
      </c>
      <c r="F145" s="350">
        <v>252</v>
      </c>
      <c r="G145" s="344">
        <v>87</v>
      </c>
      <c r="H145" s="344">
        <v>15</v>
      </c>
      <c r="I145" s="344"/>
      <c r="J145" s="344"/>
      <c r="K145" s="358">
        <v>1.6691188770346759</v>
      </c>
      <c r="L145" s="362">
        <f t="shared" ref="L145:L206" si="2">10^K145</f>
        <v>46.678713389805417</v>
      </c>
    </row>
    <row r="146" spans="1:12" x14ac:dyDescent="0.3">
      <c r="A146" s="344">
        <v>41</v>
      </c>
      <c r="B146" s="344" t="s">
        <v>216</v>
      </c>
      <c r="C146" s="344" t="s">
        <v>222</v>
      </c>
      <c r="D146" s="344" t="s">
        <v>258</v>
      </c>
      <c r="E146" s="344" t="s">
        <v>236</v>
      </c>
      <c r="F146" s="350">
        <v>163</v>
      </c>
      <c r="G146" s="344">
        <v>55</v>
      </c>
      <c r="H146" s="344">
        <v>8</v>
      </c>
      <c r="I146" s="344"/>
      <c r="J146" s="344"/>
      <c r="K146" s="344"/>
      <c r="L146" s="362"/>
    </row>
    <row r="147" spans="1:12" x14ac:dyDescent="0.3">
      <c r="A147" s="344">
        <v>42</v>
      </c>
      <c r="B147" s="344" t="s">
        <v>216</v>
      </c>
      <c r="C147" s="344" t="s">
        <v>222</v>
      </c>
      <c r="D147" s="344" t="s">
        <v>258</v>
      </c>
      <c r="E147" s="344" t="s">
        <v>236</v>
      </c>
      <c r="F147" s="350">
        <v>96</v>
      </c>
      <c r="G147" s="344">
        <v>50</v>
      </c>
      <c r="H147" s="344">
        <v>12</v>
      </c>
      <c r="I147" s="344"/>
      <c r="J147" s="344"/>
      <c r="K147" s="344"/>
      <c r="L147" s="362"/>
    </row>
    <row r="148" spans="1:12" x14ac:dyDescent="0.3">
      <c r="A148" s="344">
        <v>43</v>
      </c>
      <c r="B148" s="344" t="s">
        <v>216</v>
      </c>
      <c r="C148" s="344" t="s">
        <v>222</v>
      </c>
      <c r="D148" s="344" t="s">
        <v>258</v>
      </c>
      <c r="E148" s="344" t="s">
        <v>236</v>
      </c>
      <c r="F148" s="350">
        <v>85</v>
      </c>
      <c r="G148" s="344">
        <v>47</v>
      </c>
      <c r="H148" s="344">
        <v>6</v>
      </c>
      <c r="I148" s="344"/>
      <c r="J148" s="344"/>
      <c r="K148" s="344"/>
      <c r="L148" s="362"/>
    </row>
    <row r="149" spans="1:12" x14ac:dyDescent="0.3">
      <c r="A149" s="344">
        <v>44</v>
      </c>
      <c r="B149" s="344" t="s">
        <v>216</v>
      </c>
      <c r="C149" s="344" t="s">
        <v>222</v>
      </c>
      <c r="D149" s="344" t="s">
        <v>258</v>
      </c>
      <c r="E149" s="344" t="s">
        <v>236</v>
      </c>
      <c r="F149" s="350">
        <v>50</v>
      </c>
      <c r="G149" s="344">
        <v>46</v>
      </c>
      <c r="H149" s="344">
        <v>3</v>
      </c>
      <c r="I149" s="344"/>
      <c r="J149" s="344"/>
      <c r="K149" s="358">
        <v>1.4698718021475068</v>
      </c>
      <c r="L149" s="362">
        <f t="shared" si="2"/>
        <v>29.503381982141629</v>
      </c>
    </row>
    <row r="150" spans="1:12" x14ac:dyDescent="0.3">
      <c r="A150" s="344">
        <v>45</v>
      </c>
      <c r="B150" s="344" t="s">
        <v>216</v>
      </c>
      <c r="C150" s="344" t="s">
        <v>222</v>
      </c>
      <c r="D150" s="344" t="s">
        <v>258</v>
      </c>
      <c r="E150" s="344" t="s">
        <v>236</v>
      </c>
      <c r="F150" s="350">
        <v>86</v>
      </c>
      <c r="G150" s="344">
        <v>43</v>
      </c>
      <c r="H150" s="344">
        <v>4</v>
      </c>
      <c r="I150" s="344"/>
      <c r="J150" s="344"/>
      <c r="K150" s="344"/>
      <c r="L150" s="362"/>
    </row>
    <row r="151" spans="1:12" x14ac:dyDescent="0.3">
      <c r="A151" s="344">
        <v>46</v>
      </c>
      <c r="B151" s="344" t="s">
        <v>216</v>
      </c>
      <c r="C151" s="344" t="s">
        <v>222</v>
      </c>
      <c r="D151" s="344" t="s">
        <v>258</v>
      </c>
      <c r="E151" s="344" t="s">
        <v>236</v>
      </c>
      <c r="F151" s="350">
        <v>450</v>
      </c>
      <c r="G151" s="344">
        <v>80</v>
      </c>
      <c r="H151" s="344">
        <v>6</v>
      </c>
      <c r="I151" s="344"/>
      <c r="J151" s="344"/>
      <c r="K151" s="344"/>
      <c r="L151" s="362"/>
    </row>
    <row r="152" spans="1:12" x14ac:dyDescent="0.3">
      <c r="A152" s="344">
        <v>47</v>
      </c>
      <c r="B152" s="344" t="s">
        <v>216</v>
      </c>
      <c r="C152" s="344" t="s">
        <v>222</v>
      </c>
      <c r="D152" s="344" t="s">
        <v>258</v>
      </c>
      <c r="E152" s="344" t="s">
        <v>236</v>
      </c>
      <c r="F152" s="350">
        <v>2966</v>
      </c>
      <c r="G152" s="344">
        <v>268</v>
      </c>
      <c r="H152" s="344">
        <v>1</v>
      </c>
      <c r="I152" s="344"/>
      <c r="J152" s="344"/>
      <c r="K152" s="344"/>
      <c r="L152" s="362"/>
    </row>
    <row r="153" spans="1:12" x14ac:dyDescent="0.3">
      <c r="A153" s="344">
        <v>48</v>
      </c>
      <c r="B153" s="344" t="s">
        <v>216</v>
      </c>
      <c r="C153" s="344" t="s">
        <v>222</v>
      </c>
      <c r="D153" s="344" t="s">
        <v>258</v>
      </c>
      <c r="E153" s="344" t="s">
        <v>236</v>
      </c>
      <c r="F153" s="350">
        <v>18465</v>
      </c>
      <c r="G153" s="344">
        <v>769</v>
      </c>
      <c r="H153" s="344">
        <v>12</v>
      </c>
      <c r="I153" s="344"/>
      <c r="J153" s="344"/>
      <c r="K153" s="344"/>
      <c r="L153" s="362"/>
    </row>
    <row r="154" spans="1:12" x14ac:dyDescent="0.3">
      <c r="A154" s="344">
        <v>49</v>
      </c>
      <c r="B154" s="344" t="s">
        <v>216</v>
      </c>
      <c r="C154" s="344" t="s">
        <v>222</v>
      </c>
      <c r="D154" s="344" t="s">
        <v>258</v>
      </c>
      <c r="E154" s="344" t="s">
        <v>236</v>
      </c>
      <c r="F154" s="350">
        <v>19725</v>
      </c>
      <c r="G154" s="344">
        <v>1164</v>
      </c>
      <c r="H154" s="344">
        <v>43</v>
      </c>
      <c r="I154" s="344"/>
      <c r="J154" s="344"/>
      <c r="K154" s="358">
        <v>1.9701286818578927</v>
      </c>
      <c r="L154" s="362">
        <f t="shared" si="2"/>
        <v>93.353086588334122</v>
      </c>
    </row>
    <row r="155" spans="1:12" x14ac:dyDescent="0.3">
      <c r="A155" s="344">
        <v>50</v>
      </c>
      <c r="B155" s="344" t="s">
        <v>216</v>
      </c>
      <c r="C155" s="344" t="s">
        <v>222</v>
      </c>
      <c r="D155" s="344" t="s">
        <v>258</v>
      </c>
      <c r="E155" s="344" t="s">
        <v>236</v>
      </c>
      <c r="F155" s="350">
        <v>9279</v>
      </c>
      <c r="G155" s="344">
        <v>970</v>
      </c>
      <c r="H155" s="344">
        <v>65</v>
      </c>
      <c r="I155" s="344"/>
      <c r="J155" s="344"/>
      <c r="K155" s="344"/>
      <c r="L155" s="362"/>
    </row>
    <row r="156" spans="1:12" x14ac:dyDescent="0.3">
      <c r="A156" s="344">
        <v>51</v>
      </c>
      <c r="B156" s="344" t="s">
        <v>216</v>
      </c>
      <c r="C156" s="344" t="s">
        <v>222</v>
      </c>
      <c r="D156" s="344" t="s">
        <v>258</v>
      </c>
      <c r="E156" s="344" t="s">
        <v>236</v>
      </c>
      <c r="F156" s="350">
        <v>5104</v>
      </c>
      <c r="G156" s="344">
        <v>762</v>
      </c>
      <c r="H156" s="344">
        <v>81</v>
      </c>
      <c r="I156" s="344"/>
      <c r="J156" s="344"/>
      <c r="K156" s="344"/>
      <c r="L156" s="362"/>
    </row>
    <row r="157" spans="1:12" x14ac:dyDescent="0.3">
      <c r="A157" s="344">
        <v>52</v>
      </c>
      <c r="B157" s="344" t="s">
        <v>216</v>
      </c>
      <c r="C157" s="344" t="s">
        <v>222</v>
      </c>
      <c r="D157" s="344" t="s">
        <v>258</v>
      </c>
      <c r="E157" s="344" t="s">
        <v>236</v>
      </c>
      <c r="F157" s="350">
        <v>2640</v>
      </c>
      <c r="G157" s="344">
        <v>467</v>
      </c>
      <c r="H157" s="344">
        <v>58</v>
      </c>
      <c r="I157" s="344"/>
      <c r="J157" s="344"/>
      <c r="K157" s="344"/>
      <c r="L157" s="362"/>
    </row>
    <row r="158" spans="1:12" x14ac:dyDescent="0.3">
      <c r="A158" s="338">
        <v>1</v>
      </c>
      <c r="B158" s="338" t="s">
        <v>216</v>
      </c>
      <c r="C158" s="338" t="s">
        <v>222</v>
      </c>
      <c r="D158" s="338" t="s">
        <v>258</v>
      </c>
      <c r="E158" s="338" t="s">
        <v>223</v>
      </c>
      <c r="F158" s="400">
        <v>10456</v>
      </c>
      <c r="G158" s="338">
        <v>1564</v>
      </c>
      <c r="H158" s="338">
        <v>268</v>
      </c>
      <c r="I158" s="338"/>
      <c r="J158" s="338"/>
      <c r="K158" s="338"/>
      <c r="L158" s="391"/>
    </row>
    <row r="159" spans="1:12" x14ac:dyDescent="0.3">
      <c r="A159" s="338">
        <v>2</v>
      </c>
      <c r="B159" s="338" t="s">
        <v>216</v>
      </c>
      <c r="C159" s="338" t="s">
        <v>222</v>
      </c>
      <c r="D159" s="338" t="s">
        <v>258</v>
      </c>
      <c r="E159" s="338" t="s">
        <v>223</v>
      </c>
      <c r="F159" s="400">
        <v>6821</v>
      </c>
      <c r="G159" s="338">
        <v>1546</v>
      </c>
      <c r="H159" s="338">
        <v>299</v>
      </c>
      <c r="I159" s="338"/>
      <c r="J159" s="338"/>
      <c r="K159" s="338"/>
      <c r="L159" s="391"/>
    </row>
    <row r="160" spans="1:12" x14ac:dyDescent="0.3">
      <c r="A160" s="338">
        <v>3</v>
      </c>
      <c r="B160" s="338" t="s">
        <v>216</v>
      </c>
      <c r="C160" s="338" t="s">
        <v>222</v>
      </c>
      <c r="D160" s="338" t="s">
        <v>258</v>
      </c>
      <c r="E160" s="338" t="s">
        <v>223</v>
      </c>
      <c r="F160" s="400">
        <v>3572</v>
      </c>
      <c r="G160" s="338">
        <v>1170</v>
      </c>
      <c r="H160" s="338">
        <v>296</v>
      </c>
      <c r="I160" s="338"/>
      <c r="J160" s="338"/>
      <c r="K160" s="338"/>
      <c r="L160" s="391"/>
    </row>
    <row r="161" spans="1:12" x14ac:dyDescent="0.3">
      <c r="A161" s="338">
        <v>4</v>
      </c>
      <c r="B161" s="338" t="s">
        <v>216</v>
      </c>
      <c r="C161" s="338" t="s">
        <v>222</v>
      </c>
      <c r="D161" s="338" t="s">
        <v>258</v>
      </c>
      <c r="E161" s="338" t="s">
        <v>223</v>
      </c>
      <c r="F161" s="400">
        <v>1533</v>
      </c>
      <c r="G161" s="338">
        <v>682</v>
      </c>
      <c r="H161" s="338">
        <v>168</v>
      </c>
      <c r="I161" s="338"/>
      <c r="J161" s="338"/>
      <c r="K161" s="338"/>
      <c r="L161" s="391"/>
    </row>
    <row r="162" spans="1:12" x14ac:dyDescent="0.3">
      <c r="A162" s="338">
        <v>5</v>
      </c>
      <c r="B162" s="338" t="s">
        <v>216</v>
      </c>
      <c r="C162" s="338" t="s">
        <v>222</v>
      </c>
      <c r="D162" s="338" t="s">
        <v>258</v>
      </c>
      <c r="E162" s="338" t="s">
        <v>223</v>
      </c>
      <c r="F162" s="400">
        <v>1196</v>
      </c>
      <c r="G162" s="338">
        <v>555</v>
      </c>
      <c r="H162" s="338">
        <v>139</v>
      </c>
      <c r="I162" s="338"/>
      <c r="J162" s="338"/>
      <c r="K162" s="338"/>
      <c r="L162" s="391"/>
    </row>
    <row r="163" spans="1:12" x14ac:dyDescent="0.3">
      <c r="A163" s="338">
        <v>6</v>
      </c>
      <c r="B163" s="338" t="s">
        <v>216</v>
      </c>
      <c r="C163" s="338" t="s">
        <v>222</v>
      </c>
      <c r="D163" s="338" t="s">
        <v>258</v>
      </c>
      <c r="E163" s="338" t="s">
        <v>223</v>
      </c>
      <c r="F163" s="400">
        <v>1059</v>
      </c>
      <c r="G163" s="338">
        <v>475</v>
      </c>
      <c r="H163" s="338">
        <v>124</v>
      </c>
      <c r="I163" s="338"/>
      <c r="J163" s="338"/>
      <c r="K163" s="338"/>
      <c r="L163" s="391"/>
    </row>
    <row r="164" spans="1:12" x14ac:dyDescent="0.3">
      <c r="A164" s="338">
        <v>7</v>
      </c>
      <c r="B164" s="338" t="s">
        <v>216</v>
      </c>
      <c r="C164" s="338" t="s">
        <v>222</v>
      </c>
      <c r="D164" s="338" t="s">
        <v>258</v>
      </c>
      <c r="E164" s="338" t="s">
        <v>223</v>
      </c>
      <c r="F164" s="400">
        <v>739</v>
      </c>
      <c r="G164" s="338">
        <v>345</v>
      </c>
      <c r="H164" s="338">
        <v>78</v>
      </c>
      <c r="I164" s="338"/>
      <c r="J164" s="338"/>
      <c r="K164" s="338"/>
      <c r="L164" s="391"/>
    </row>
    <row r="165" spans="1:12" x14ac:dyDescent="0.3">
      <c r="A165" s="338">
        <v>8</v>
      </c>
      <c r="B165" s="338" t="s">
        <v>216</v>
      </c>
      <c r="C165" s="338" t="s">
        <v>222</v>
      </c>
      <c r="D165" s="338" t="s">
        <v>258</v>
      </c>
      <c r="E165" s="338" t="s">
        <v>223</v>
      </c>
      <c r="F165" s="400">
        <v>581</v>
      </c>
      <c r="G165" s="338">
        <v>254</v>
      </c>
      <c r="H165" s="338">
        <v>66</v>
      </c>
      <c r="I165" s="338"/>
      <c r="J165" s="338"/>
      <c r="K165" s="338"/>
      <c r="L165" s="391"/>
    </row>
    <row r="166" spans="1:12" x14ac:dyDescent="0.3">
      <c r="A166" s="338">
        <v>9</v>
      </c>
      <c r="B166" s="338" t="s">
        <v>216</v>
      </c>
      <c r="C166" s="338" t="s">
        <v>222</v>
      </c>
      <c r="D166" s="338" t="s">
        <v>258</v>
      </c>
      <c r="E166" s="338" t="s">
        <v>223</v>
      </c>
      <c r="F166" s="400">
        <v>466</v>
      </c>
      <c r="G166" s="338">
        <v>206</v>
      </c>
      <c r="H166" s="338">
        <v>52</v>
      </c>
      <c r="I166" s="338"/>
      <c r="J166" s="338"/>
      <c r="K166" s="338"/>
      <c r="L166" s="391"/>
    </row>
    <row r="167" spans="1:12" x14ac:dyDescent="0.3">
      <c r="A167" s="338">
        <v>10</v>
      </c>
      <c r="B167" s="338" t="s">
        <v>216</v>
      </c>
      <c r="C167" s="338" t="s">
        <v>222</v>
      </c>
      <c r="D167" s="338" t="s">
        <v>258</v>
      </c>
      <c r="E167" s="338" t="s">
        <v>223</v>
      </c>
      <c r="F167" s="400">
        <v>488</v>
      </c>
      <c r="G167" s="338">
        <v>192</v>
      </c>
      <c r="H167" s="338">
        <v>54</v>
      </c>
      <c r="I167" s="338"/>
      <c r="J167" s="338"/>
      <c r="K167" s="338"/>
      <c r="L167" s="391"/>
    </row>
    <row r="168" spans="1:12" x14ac:dyDescent="0.3">
      <c r="A168" s="338">
        <v>11</v>
      </c>
      <c r="B168" s="338" t="s">
        <v>216</v>
      </c>
      <c r="C168" s="338" t="s">
        <v>222</v>
      </c>
      <c r="D168" s="338" t="s">
        <v>258</v>
      </c>
      <c r="E168" s="338" t="s">
        <v>223</v>
      </c>
      <c r="F168" s="400">
        <v>528</v>
      </c>
      <c r="G168" s="338">
        <v>196</v>
      </c>
      <c r="H168" s="338">
        <v>31</v>
      </c>
      <c r="I168" s="338"/>
      <c r="J168" s="338"/>
      <c r="K168" s="338"/>
      <c r="L168" s="391"/>
    </row>
    <row r="169" spans="1:12" x14ac:dyDescent="0.3">
      <c r="A169" s="338">
        <v>12</v>
      </c>
      <c r="B169" s="338" t="s">
        <v>216</v>
      </c>
      <c r="C169" s="338" t="s">
        <v>222</v>
      </c>
      <c r="D169" s="338" t="s">
        <v>258</v>
      </c>
      <c r="E169" s="338" t="s">
        <v>223</v>
      </c>
      <c r="F169" s="400">
        <v>448</v>
      </c>
      <c r="G169" s="338">
        <v>179</v>
      </c>
      <c r="H169" s="338">
        <v>41</v>
      </c>
      <c r="I169" s="338"/>
      <c r="J169" s="338"/>
      <c r="K169" s="338"/>
      <c r="L169" s="391"/>
    </row>
    <row r="170" spans="1:12" x14ac:dyDescent="0.3">
      <c r="A170" s="338">
        <v>13</v>
      </c>
      <c r="B170" s="338" t="s">
        <v>216</v>
      </c>
      <c r="C170" s="338" t="s">
        <v>222</v>
      </c>
      <c r="D170" s="338" t="s">
        <v>258</v>
      </c>
      <c r="E170" s="338" t="s">
        <v>223</v>
      </c>
      <c r="F170" s="400">
        <v>434</v>
      </c>
      <c r="G170" s="338">
        <v>183</v>
      </c>
      <c r="H170" s="338">
        <v>38</v>
      </c>
      <c r="I170" s="338"/>
      <c r="J170" s="338"/>
      <c r="K170" s="338"/>
      <c r="L170" s="391"/>
    </row>
    <row r="171" spans="1:12" x14ac:dyDescent="0.3">
      <c r="A171" s="338">
        <v>14</v>
      </c>
      <c r="B171" s="338" t="s">
        <v>216</v>
      </c>
      <c r="C171" s="338" t="s">
        <v>222</v>
      </c>
      <c r="D171" s="338" t="s">
        <v>258</v>
      </c>
      <c r="E171" s="338" t="s">
        <v>223</v>
      </c>
      <c r="F171" s="400">
        <v>498</v>
      </c>
      <c r="G171" s="338">
        <v>189</v>
      </c>
      <c r="H171" s="338">
        <v>30</v>
      </c>
      <c r="I171" s="338"/>
      <c r="J171" s="338"/>
      <c r="K171" s="338"/>
      <c r="L171" s="391"/>
    </row>
    <row r="172" spans="1:12" x14ac:dyDescent="0.3">
      <c r="A172" s="338">
        <v>15</v>
      </c>
      <c r="B172" s="338" t="s">
        <v>216</v>
      </c>
      <c r="C172" s="338" t="s">
        <v>222</v>
      </c>
      <c r="D172" s="338" t="s">
        <v>258</v>
      </c>
      <c r="E172" s="338" t="s">
        <v>223</v>
      </c>
      <c r="F172" s="400">
        <v>577</v>
      </c>
      <c r="G172" s="338">
        <v>211</v>
      </c>
      <c r="H172" s="338">
        <v>32</v>
      </c>
      <c r="I172" s="338"/>
      <c r="J172" s="338"/>
      <c r="K172" s="338"/>
      <c r="L172" s="391"/>
    </row>
    <row r="173" spans="1:12" x14ac:dyDescent="0.3">
      <c r="A173" s="338">
        <v>16</v>
      </c>
      <c r="B173" s="338" t="s">
        <v>216</v>
      </c>
      <c r="C173" s="338" t="s">
        <v>222</v>
      </c>
      <c r="D173" s="338" t="s">
        <v>258</v>
      </c>
      <c r="E173" s="338" t="s">
        <v>223</v>
      </c>
      <c r="F173" s="400">
        <v>596</v>
      </c>
      <c r="G173" s="338">
        <v>202</v>
      </c>
      <c r="H173" s="338">
        <v>30</v>
      </c>
      <c r="I173" s="338"/>
      <c r="J173" s="338"/>
      <c r="K173" s="338"/>
      <c r="L173" s="391"/>
    </row>
    <row r="174" spans="1:12" x14ac:dyDescent="0.3">
      <c r="A174" s="338">
        <v>17</v>
      </c>
      <c r="B174" s="338" t="s">
        <v>216</v>
      </c>
      <c r="C174" s="338" t="s">
        <v>222</v>
      </c>
      <c r="D174" s="338" t="s">
        <v>258</v>
      </c>
      <c r="E174" s="338" t="s">
        <v>223</v>
      </c>
      <c r="F174" s="400">
        <v>709</v>
      </c>
      <c r="G174" s="338">
        <v>234</v>
      </c>
      <c r="H174" s="338">
        <v>33</v>
      </c>
      <c r="I174" s="338"/>
      <c r="J174" s="338"/>
      <c r="K174" s="338"/>
      <c r="L174" s="391"/>
    </row>
    <row r="175" spans="1:12" x14ac:dyDescent="0.3">
      <c r="A175" s="338">
        <v>18</v>
      </c>
      <c r="B175" s="338" t="s">
        <v>216</v>
      </c>
      <c r="C175" s="338" t="s">
        <v>222</v>
      </c>
      <c r="D175" s="338" t="s">
        <v>258</v>
      </c>
      <c r="E175" s="338" t="s">
        <v>223</v>
      </c>
      <c r="F175" s="400">
        <v>1205</v>
      </c>
      <c r="G175" s="338">
        <v>309</v>
      </c>
      <c r="H175" s="338">
        <v>47</v>
      </c>
      <c r="I175" s="338"/>
      <c r="J175" s="338"/>
      <c r="K175" s="338"/>
      <c r="L175" s="391"/>
    </row>
    <row r="176" spans="1:12" x14ac:dyDescent="0.3">
      <c r="A176" s="338">
        <v>19</v>
      </c>
      <c r="B176" s="338" t="s">
        <v>216</v>
      </c>
      <c r="C176" s="338" t="s">
        <v>222</v>
      </c>
      <c r="D176" s="338" t="s">
        <v>258</v>
      </c>
      <c r="E176" s="338" t="s">
        <v>223</v>
      </c>
      <c r="F176" s="400">
        <v>2049</v>
      </c>
      <c r="G176" s="338">
        <v>344</v>
      </c>
      <c r="H176" s="338">
        <v>59</v>
      </c>
      <c r="I176" s="338"/>
      <c r="J176" s="338"/>
      <c r="K176" s="338"/>
      <c r="L176" s="391"/>
    </row>
    <row r="177" spans="1:12" x14ac:dyDescent="0.3">
      <c r="A177" s="338">
        <v>20</v>
      </c>
      <c r="B177" s="338" t="s">
        <v>216</v>
      </c>
      <c r="C177" s="338" t="s">
        <v>222</v>
      </c>
      <c r="D177" s="338" t="s">
        <v>258</v>
      </c>
      <c r="E177" s="338" t="s">
        <v>223</v>
      </c>
      <c r="F177" s="400">
        <v>3072</v>
      </c>
      <c r="G177" s="338">
        <v>542</v>
      </c>
      <c r="H177" s="338">
        <v>78</v>
      </c>
      <c r="I177" s="338"/>
      <c r="J177" s="338"/>
      <c r="K177" s="338"/>
      <c r="L177" s="391"/>
    </row>
    <row r="178" spans="1:12" x14ac:dyDescent="0.3">
      <c r="A178" s="338">
        <v>21</v>
      </c>
      <c r="B178" s="338" t="s">
        <v>216</v>
      </c>
      <c r="C178" s="338" t="s">
        <v>222</v>
      </c>
      <c r="D178" s="338" t="s">
        <v>258</v>
      </c>
      <c r="E178" s="338" t="s">
        <v>223</v>
      </c>
      <c r="F178" s="400">
        <v>4330</v>
      </c>
      <c r="G178" s="338">
        <v>769</v>
      </c>
      <c r="H178" s="338">
        <v>105</v>
      </c>
      <c r="I178" s="338"/>
      <c r="J178" s="338"/>
      <c r="K178" s="392">
        <v>0.6074123323959153</v>
      </c>
      <c r="L178" s="391">
        <f t="shared" si="2"/>
        <v>4.0496019076327912</v>
      </c>
    </row>
    <row r="179" spans="1:12" x14ac:dyDescent="0.3">
      <c r="A179" s="338">
        <v>22</v>
      </c>
      <c r="B179" s="338" t="s">
        <v>216</v>
      </c>
      <c r="C179" s="338" t="s">
        <v>222</v>
      </c>
      <c r="D179" s="338" t="s">
        <v>258</v>
      </c>
      <c r="E179" s="338" t="s">
        <v>223</v>
      </c>
      <c r="F179" s="400">
        <v>5817</v>
      </c>
      <c r="G179" s="338">
        <v>881</v>
      </c>
      <c r="H179" s="338">
        <v>134</v>
      </c>
      <c r="I179" s="338"/>
      <c r="J179" s="338"/>
      <c r="K179" s="338"/>
      <c r="L179" s="391"/>
    </row>
    <row r="180" spans="1:12" x14ac:dyDescent="0.3">
      <c r="A180" s="338">
        <v>23</v>
      </c>
      <c r="B180" s="338" t="s">
        <v>216</v>
      </c>
      <c r="C180" s="338" t="s">
        <v>222</v>
      </c>
      <c r="D180" s="338" t="s">
        <v>258</v>
      </c>
      <c r="E180" s="338" t="s">
        <v>223</v>
      </c>
      <c r="F180" s="400">
        <v>11435</v>
      </c>
      <c r="G180" s="338">
        <v>1259</v>
      </c>
      <c r="H180" s="338">
        <v>198</v>
      </c>
      <c r="I180" s="338"/>
      <c r="J180" s="338"/>
      <c r="K180" s="338"/>
      <c r="L180" s="391"/>
    </row>
    <row r="181" spans="1:12" x14ac:dyDescent="0.3">
      <c r="A181" s="338">
        <v>24</v>
      </c>
      <c r="B181" s="338" t="s">
        <v>216</v>
      </c>
      <c r="C181" s="338" t="s">
        <v>222</v>
      </c>
      <c r="D181" s="338" t="s">
        <v>258</v>
      </c>
      <c r="E181" s="338" t="s">
        <v>223</v>
      </c>
      <c r="F181" s="400">
        <v>17218</v>
      </c>
      <c r="G181" s="338">
        <v>1660</v>
      </c>
      <c r="H181" s="338">
        <v>299</v>
      </c>
      <c r="I181" s="338"/>
      <c r="J181" s="338"/>
      <c r="K181" s="392">
        <v>2.6727295549125829</v>
      </c>
      <c r="L181" s="391">
        <f t="shared" si="2"/>
        <v>470.68412936463648</v>
      </c>
    </row>
    <row r="182" spans="1:12" x14ac:dyDescent="0.3">
      <c r="A182" s="338">
        <v>25</v>
      </c>
      <c r="B182" s="338" t="s">
        <v>216</v>
      </c>
      <c r="C182" s="338" t="s">
        <v>222</v>
      </c>
      <c r="D182" s="338" t="s">
        <v>258</v>
      </c>
      <c r="E182" s="338" t="s">
        <v>223</v>
      </c>
      <c r="F182" s="400">
        <v>22412</v>
      </c>
      <c r="G182" s="338">
        <v>2121</v>
      </c>
      <c r="H182" s="338">
        <v>422</v>
      </c>
      <c r="I182" s="338"/>
      <c r="J182" s="338"/>
      <c r="K182" s="392">
        <v>1.7768396616170288</v>
      </c>
      <c r="L182" s="391">
        <f t="shared" si="2"/>
        <v>59.81907066033812</v>
      </c>
    </row>
    <row r="183" spans="1:12" x14ac:dyDescent="0.3">
      <c r="A183" s="338">
        <v>26</v>
      </c>
      <c r="B183" s="338" t="s">
        <v>216</v>
      </c>
      <c r="C183" s="338" t="s">
        <v>222</v>
      </c>
      <c r="D183" s="338" t="s">
        <v>258</v>
      </c>
      <c r="E183" s="338" t="s">
        <v>223</v>
      </c>
      <c r="F183" s="393">
        <v>26824</v>
      </c>
      <c r="G183" s="338">
        <v>2391</v>
      </c>
      <c r="H183" s="338">
        <v>561</v>
      </c>
      <c r="I183" s="338"/>
      <c r="J183" s="338"/>
      <c r="K183" s="392">
        <v>2.9864707773952972</v>
      </c>
      <c r="L183" s="391">
        <f t="shared" si="2"/>
        <v>969.32804341218946</v>
      </c>
    </row>
    <row r="184" spans="1:12" x14ac:dyDescent="0.3">
      <c r="A184" s="338">
        <v>27</v>
      </c>
      <c r="B184" s="338" t="s">
        <v>216</v>
      </c>
      <c r="C184" s="338" t="s">
        <v>222</v>
      </c>
      <c r="D184" s="338" t="s">
        <v>258</v>
      </c>
      <c r="E184" s="338" t="s">
        <v>223</v>
      </c>
      <c r="F184" s="393">
        <v>20789</v>
      </c>
      <c r="G184" s="338">
        <v>2446</v>
      </c>
      <c r="H184" s="338">
        <v>569</v>
      </c>
      <c r="I184" s="338"/>
      <c r="J184" s="338"/>
      <c r="K184" s="392">
        <v>2.2825964969030168</v>
      </c>
      <c r="L184" s="391">
        <f t="shared" si="2"/>
        <v>191.68869329958505</v>
      </c>
    </row>
    <row r="185" spans="1:12" x14ac:dyDescent="0.3">
      <c r="A185" s="338">
        <v>28</v>
      </c>
      <c r="B185" s="338" t="s">
        <v>216</v>
      </c>
      <c r="C185" s="338" t="s">
        <v>222</v>
      </c>
      <c r="D185" s="338" t="s">
        <v>258</v>
      </c>
      <c r="E185" s="338" t="s">
        <v>223</v>
      </c>
      <c r="F185" s="393">
        <v>10939</v>
      </c>
      <c r="G185" s="338">
        <v>2084</v>
      </c>
      <c r="H185" s="338">
        <v>636</v>
      </c>
      <c r="I185" s="338"/>
      <c r="J185" s="338"/>
      <c r="K185" s="338"/>
      <c r="L185" s="391">
        <f t="shared" si="2"/>
        <v>1</v>
      </c>
    </row>
    <row r="186" spans="1:12" x14ac:dyDescent="0.3">
      <c r="A186" s="338">
        <v>29</v>
      </c>
      <c r="B186" s="338" t="s">
        <v>216</v>
      </c>
      <c r="C186" s="338" t="s">
        <v>222</v>
      </c>
      <c r="D186" s="338" t="s">
        <v>258</v>
      </c>
      <c r="E186" s="338" t="s">
        <v>223</v>
      </c>
      <c r="F186" s="393">
        <v>6813</v>
      </c>
      <c r="G186" s="338">
        <v>1528</v>
      </c>
      <c r="H186" s="338">
        <v>493</v>
      </c>
      <c r="I186" s="338"/>
      <c r="J186" s="338"/>
      <c r="K186" s="392">
        <v>2.1897425522355269</v>
      </c>
      <c r="L186" s="391">
        <f t="shared" si="2"/>
        <v>154.78987596472899</v>
      </c>
    </row>
    <row r="187" spans="1:12" x14ac:dyDescent="0.3">
      <c r="A187" s="338">
        <v>30</v>
      </c>
      <c r="B187" s="338" t="s">
        <v>216</v>
      </c>
      <c r="C187" s="338" t="s">
        <v>222</v>
      </c>
      <c r="D187" s="338" t="s">
        <v>258</v>
      </c>
      <c r="E187" s="338" t="s">
        <v>223</v>
      </c>
      <c r="F187" s="393">
        <v>5921</v>
      </c>
      <c r="G187" s="338">
        <v>1095</v>
      </c>
      <c r="H187" s="338">
        <v>383</v>
      </c>
      <c r="I187" s="338"/>
      <c r="J187" s="338"/>
      <c r="K187" s="392">
        <v>1.5918183737272467</v>
      </c>
      <c r="L187" s="391">
        <f t="shared" si="2"/>
        <v>39.067747641582905</v>
      </c>
    </row>
    <row r="188" spans="1:12" x14ac:dyDescent="0.3">
      <c r="A188" s="338">
        <v>31</v>
      </c>
      <c r="B188" s="338" t="s">
        <v>216</v>
      </c>
      <c r="C188" s="338" t="s">
        <v>222</v>
      </c>
      <c r="D188" s="338" t="s">
        <v>258</v>
      </c>
      <c r="E188" s="338" t="s">
        <v>223</v>
      </c>
      <c r="F188" s="393">
        <v>3853</v>
      </c>
      <c r="G188" s="338">
        <v>733</v>
      </c>
      <c r="H188" s="338">
        <v>259</v>
      </c>
      <c r="I188" s="338"/>
      <c r="J188" s="338"/>
      <c r="K188" s="392">
        <v>0.70339311608111066</v>
      </c>
      <c r="L188" s="391">
        <f t="shared" si="2"/>
        <v>5.0511831531719302</v>
      </c>
    </row>
    <row r="189" spans="1:12" x14ac:dyDescent="0.3">
      <c r="A189" s="338">
        <v>32</v>
      </c>
      <c r="B189" s="338" t="s">
        <v>216</v>
      </c>
      <c r="C189" s="338" t="s">
        <v>222</v>
      </c>
      <c r="D189" s="338" t="s">
        <v>258</v>
      </c>
      <c r="E189" s="338" t="s">
        <v>223</v>
      </c>
      <c r="F189" s="393">
        <v>2676</v>
      </c>
      <c r="G189" s="338">
        <v>517</v>
      </c>
      <c r="H189" s="338">
        <v>211</v>
      </c>
      <c r="I189" s="338"/>
      <c r="J189" s="338"/>
      <c r="K189" s="392">
        <v>1.5194671635886383</v>
      </c>
      <c r="L189" s="391">
        <f t="shared" si="2"/>
        <v>33.072510544134651</v>
      </c>
    </row>
    <row r="190" spans="1:12" x14ac:dyDescent="0.3">
      <c r="A190" s="338">
        <v>33</v>
      </c>
      <c r="B190" s="338" t="s">
        <v>216</v>
      </c>
      <c r="C190" s="338" t="s">
        <v>222</v>
      </c>
      <c r="D190" s="338" t="s">
        <v>258</v>
      </c>
      <c r="E190" s="338" t="s">
        <v>223</v>
      </c>
      <c r="F190" s="393">
        <v>2189</v>
      </c>
      <c r="G190" s="338">
        <v>410</v>
      </c>
      <c r="H190" s="338">
        <v>149</v>
      </c>
      <c r="I190" s="338"/>
      <c r="J190" s="338"/>
      <c r="K190" s="392">
        <v>1.418498085322748</v>
      </c>
      <c r="L190" s="391">
        <f t="shared" si="2"/>
        <v>26.211874825613858</v>
      </c>
    </row>
    <row r="191" spans="1:12" x14ac:dyDescent="0.3">
      <c r="A191" s="338">
        <v>34</v>
      </c>
      <c r="B191" s="338" t="s">
        <v>216</v>
      </c>
      <c r="C191" s="338" t="s">
        <v>222</v>
      </c>
      <c r="D191" s="338" t="s">
        <v>258</v>
      </c>
      <c r="E191" s="338" t="s">
        <v>223</v>
      </c>
      <c r="F191" s="393">
        <v>1445</v>
      </c>
      <c r="G191" s="338">
        <v>334</v>
      </c>
      <c r="H191" s="338">
        <v>99</v>
      </c>
      <c r="I191" s="338"/>
      <c r="J191" s="338"/>
      <c r="K191" s="392">
        <v>1.7075853947503865</v>
      </c>
      <c r="L191" s="391">
        <f t="shared" si="2"/>
        <v>51.001787185668952</v>
      </c>
    </row>
    <row r="192" spans="1:12" x14ac:dyDescent="0.3">
      <c r="A192" s="338">
        <v>35</v>
      </c>
      <c r="B192" s="338" t="s">
        <v>216</v>
      </c>
      <c r="C192" s="338" t="s">
        <v>222</v>
      </c>
      <c r="D192" s="338" t="s">
        <v>258</v>
      </c>
      <c r="E192" s="338" t="s">
        <v>223</v>
      </c>
      <c r="F192" s="393">
        <v>923</v>
      </c>
      <c r="G192" s="338">
        <v>221</v>
      </c>
      <c r="H192" s="338">
        <v>67</v>
      </c>
      <c r="I192" s="338"/>
      <c r="J192" s="338"/>
      <c r="K192" s="392">
        <v>0.88994445453924542</v>
      </c>
      <c r="L192" s="391">
        <f t="shared" si="2"/>
        <v>7.7614784240722674</v>
      </c>
    </row>
    <row r="193" spans="1:12" x14ac:dyDescent="0.3">
      <c r="A193" s="338">
        <v>36</v>
      </c>
      <c r="B193" s="338" t="s">
        <v>216</v>
      </c>
      <c r="C193" s="338" t="s">
        <v>222</v>
      </c>
      <c r="D193" s="338" t="s">
        <v>258</v>
      </c>
      <c r="E193" s="338" t="s">
        <v>223</v>
      </c>
      <c r="F193" s="393">
        <v>680</v>
      </c>
      <c r="G193" s="338">
        <v>197</v>
      </c>
      <c r="H193" s="338">
        <v>31</v>
      </c>
      <c r="I193" s="338"/>
      <c r="J193" s="338"/>
      <c r="K193" s="392">
        <v>1.2205142163130467</v>
      </c>
      <c r="L193" s="391">
        <f t="shared" si="2"/>
        <v>16.61553066603992</v>
      </c>
    </row>
    <row r="194" spans="1:12" x14ac:dyDescent="0.3">
      <c r="A194" s="338">
        <v>37</v>
      </c>
      <c r="B194" s="338" t="s">
        <v>216</v>
      </c>
      <c r="C194" s="338" t="s">
        <v>222</v>
      </c>
      <c r="D194" s="338" t="s">
        <v>258</v>
      </c>
      <c r="E194" s="338" t="s">
        <v>223</v>
      </c>
      <c r="F194" s="393">
        <v>478</v>
      </c>
      <c r="G194" s="338">
        <v>112</v>
      </c>
      <c r="H194" s="338">
        <v>40</v>
      </c>
      <c r="I194" s="338"/>
      <c r="J194" s="338"/>
      <c r="K194" s="392">
        <v>0.52835628416971403</v>
      </c>
      <c r="L194" s="391">
        <f t="shared" si="2"/>
        <v>3.3756412413655501</v>
      </c>
    </row>
    <row r="195" spans="1:12" x14ac:dyDescent="0.3">
      <c r="A195" s="338">
        <v>38</v>
      </c>
      <c r="B195" s="338" t="s">
        <v>216</v>
      </c>
      <c r="C195" s="338" t="s">
        <v>222</v>
      </c>
      <c r="D195" s="338" t="s">
        <v>258</v>
      </c>
      <c r="E195" s="338" t="s">
        <v>223</v>
      </c>
      <c r="F195" s="393">
        <v>295</v>
      </c>
      <c r="G195" s="338">
        <v>89</v>
      </c>
      <c r="H195" s="338">
        <v>16</v>
      </c>
      <c r="I195" s="338"/>
      <c r="J195" s="338"/>
      <c r="K195" s="392">
        <v>0.80194462846691605</v>
      </c>
      <c r="L195" s="391">
        <f t="shared" si="2"/>
        <v>6.3378889949954296</v>
      </c>
    </row>
    <row r="196" spans="1:12" x14ac:dyDescent="0.3">
      <c r="A196" s="338">
        <v>39</v>
      </c>
      <c r="B196" s="338" t="s">
        <v>216</v>
      </c>
      <c r="C196" s="338" t="s">
        <v>222</v>
      </c>
      <c r="D196" s="338" t="s">
        <v>258</v>
      </c>
      <c r="E196" s="338" t="s">
        <v>223</v>
      </c>
      <c r="F196" s="393">
        <v>272</v>
      </c>
      <c r="G196" s="338">
        <v>87</v>
      </c>
      <c r="H196" s="338">
        <v>24</v>
      </c>
      <c r="I196" s="338"/>
      <c r="J196" s="338"/>
      <c r="K196" s="392">
        <v>1.3495699688528429</v>
      </c>
      <c r="L196" s="391">
        <f t="shared" si="2"/>
        <v>22.365054913929537</v>
      </c>
    </row>
    <row r="197" spans="1:12" x14ac:dyDescent="0.3">
      <c r="A197" s="338">
        <v>40</v>
      </c>
      <c r="B197" s="338" t="s">
        <v>216</v>
      </c>
      <c r="C197" s="338" t="s">
        <v>222</v>
      </c>
      <c r="D197" s="338" t="s">
        <v>258</v>
      </c>
      <c r="E197" s="338" t="s">
        <v>223</v>
      </c>
      <c r="F197" s="393">
        <v>252</v>
      </c>
      <c r="G197" s="338">
        <v>87</v>
      </c>
      <c r="H197" s="338">
        <v>15</v>
      </c>
      <c r="I197" s="338"/>
      <c r="J197" s="338"/>
      <c r="K197" s="392">
        <v>8.540620529371841E-2</v>
      </c>
      <c r="L197" s="391">
        <f t="shared" si="2"/>
        <v>1.2173240586202971</v>
      </c>
    </row>
    <row r="198" spans="1:12" x14ac:dyDescent="0.3">
      <c r="A198" s="338">
        <v>41</v>
      </c>
      <c r="B198" s="338" t="s">
        <v>216</v>
      </c>
      <c r="C198" s="338" t="s">
        <v>222</v>
      </c>
      <c r="D198" s="338" t="s">
        <v>258</v>
      </c>
      <c r="E198" s="338" t="s">
        <v>223</v>
      </c>
      <c r="F198" s="393">
        <v>163</v>
      </c>
      <c r="G198" s="338">
        <v>55</v>
      </c>
      <c r="H198" s="338">
        <v>8</v>
      </c>
      <c r="I198" s="338"/>
      <c r="J198" s="338"/>
      <c r="K198" s="392">
        <v>0.8609371431751669</v>
      </c>
      <c r="L198" s="391">
        <f t="shared" si="2"/>
        <v>7.2600087340997224</v>
      </c>
    </row>
    <row r="199" spans="1:12" x14ac:dyDescent="0.3">
      <c r="A199" s="338">
        <v>42</v>
      </c>
      <c r="B199" s="338" t="s">
        <v>216</v>
      </c>
      <c r="C199" s="338" t="s">
        <v>222</v>
      </c>
      <c r="D199" s="338" t="s">
        <v>258</v>
      </c>
      <c r="E199" s="338" t="s">
        <v>223</v>
      </c>
      <c r="F199" s="393">
        <v>96</v>
      </c>
      <c r="G199" s="338">
        <v>50</v>
      </c>
      <c r="H199" s="338">
        <v>12</v>
      </c>
      <c r="I199" s="338"/>
      <c r="J199" s="338"/>
      <c r="K199" s="392">
        <v>0.52436653421357993</v>
      </c>
      <c r="L199" s="391">
        <f t="shared" si="2"/>
        <v>3.3447721174785077</v>
      </c>
    </row>
    <row r="200" spans="1:12" x14ac:dyDescent="0.3">
      <c r="A200" s="338">
        <v>43</v>
      </c>
      <c r="B200" s="338" t="s">
        <v>216</v>
      </c>
      <c r="C200" s="338" t="s">
        <v>222</v>
      </c>
      <c r="D200" s="338" t="s">
        <v>258</v>
      </c>
      <c r="E200" s="338" t="s">
        <v>223</v>
      </c>
      <c r="F200" s="393">
        <v>85</v>
      </c>
      <c r="G200" s="338">
        <v>47</v>
      </c>
      <c r="H200" s="338">
        <v>6</v>
      </c>
      <c r="I200" s="338"/>
      <c r="J200" s="338"/>
      <c r="K200" s="392">
        <v>0.1504285567281905</v>
      </c>
      <c r="L200" s="391">
        <f t="shared" si="2"/>
        <v>1.4139321081492364</v>
      </c>
    </row>
    <row r="201" spans="1:12" x14ac:dyDescent="0.3">
      <c r="A201" s="338">
        <v>44</v>
      </c>
      <c r="B201" s="338" t="s">
        <v>216</v>
      </c>
      <c r="C201" s="338" t="s">
        <v>222</v>
      </c>
      <c r="D201" s="338" t="s">
        <v>258</v>
      </c>
      <c r="E201" s="338" t="s">
        <v>223</v>
      </c>
      <c r="F201" s="393">
        <v>50</v>
      </c>
      <c r="G201" s="338">
        <v>46</v>
      </c>
      <c r="H201" s="338">
        <v>3</v>
      </c>
      <c r="I201" s="338"/>
      <c r="J201" s="338"/>
      <c r="K201" s="392">
        <v>0.73010177885768224</v>
      </c>
      <c r="L201" s="391">
        <f t="shared" si="2"/>
        <v>5.3715766692648126</v>
      </c>
    </row>
    <row r="202" spans="1:12" x14ac:dyDescent="0.3">
      <c r="A202" s="338">
        <v>45</v>
      </c>
      <c r="B202" s="338" t="s">
        <v>216</v>
      </c>
      <c r="C202" s="338" t="s">
        <v>222</v>
      </c>
      <c r="D202" s="338" t="s">
        <v>258</v>
      </c>
      <c r="E202" s="338" t="s">
        <v>223</v>
      </c>
      <c r="F202" s="393">
        <v>86</v>
      </c>
      <c r="G202" s="338">
        <v>43</v>
      </c>
      <c r="H202" s="338">
        <v>4</v>
      </c>
      <c r="I202" s="338"/>
      <c r="J202" s="338"/>
      <c r="K202" s="392">
        <v>1.3615152656702794</v>
      </c>
      <c r="L202" s="391">
        <f t="shared" si="2"/>
        <v>22.988745144435352</v>
      </c>
    </row>
    <row r="203" spans="1:12" x14ac:dyDescent="0.3">
      <c r="A203" s="338">
        <v>46</v>
      </c>
      <c r="B203" s="338" t="s">
        <v>216</v>
      </c>
      <c r="C203" s="338" t="s">
        <v>222</v>
      </c>
      <c r="D203" s="338" t="s">
        <v>258</v>
      </c>
      <c r="E203" s="338" t="s">
        <v>223</v>
      </c>
      <c r="F203" s="393">
        <v>450</v>
      </c>
      <c r="G203" s="338">
        <v>80</v>
      </c>
      <c r="H203" s="338">
        <v>6</v>
      </c>
      <c r="I203" s="338"/>
      <c r="J203" s="338"/>
      <c r="K203" s="392">
        <v>1.5381205623610741</v>
      </c>
      <c r="L203" s="391">
        <f t="shared" si="2"/>
        <v>34.52395662969473</v>
      </c>
    </row>
    <row r="204" spans="1:12" x14ac:dyDescent="0.3">
      <c r="A204" s="338">
        <v>47</v>
      </c>
      <c r="B204" s="338" t="s">
        <v>216</v>
      </c>
      <c r="C204" s="338" t="s">
        <v>222</v>
      </c>
      <c r="D204" s="338" t="s">
        <v>258</v>
      </c>
      <c r="E204" s="338" t="s">
        <v>223</v>
      </c>
      <c r="F204" s="393">
        <v>2966</v>
      </c>
      <c r="G204" s="338">
        <v>268</v>
      </c>
      <c r="H204" s="338">
        <v>1</v>
      </c>
      <c r="I204" s="338"/>
      <c r="J204" s="338"/>
      <c r="K204" s="338"/>
      <c r="L204" s="391"/>
    </row>
    <row r="205" spans="1:12" x14ac:dyDescent="0.3">
      <c r="A205" s="338">
        <v>48</v>
      </c>
      <c r="B205" s="338" t="s">
        <v>216</v>
      </c>
      <c r="C205" s="338" t="s">
        <v>222</v>
      </c>
      <c r="D205" s="338" t="s">
        <v>258</v>
      </c>
      <c r="E205" s="338" t="s">
        <v>223</v>
      </c>
      <c r="F205" s="393">
        <v>18465</v>
      </c>
      <c r="G205" s="338">
        <v>769</v>
      </c>
      <c r="H205" s="338">
        <v>12</v>
      </c>
      <c r="I205" s="338"/>
      <c r="J205" s="338"/>
      <c r="K205" s="392">
        <v>1.8044406054501956</v>
      </c>
      <c r="L205" s="391">
        <f t="shared" si="2"/>
        <v>63.744189787884153</v>
      </c>
    </row>
    <row r="206" spans="1:12" x14ac:dyDescent="0.3">
      <c r="A206" s="338">
        <v>49</v>
      </c>
      <c r="B206" s="338" t="s">
        <v>216</v>
      </c>
      <c r="C206" s="338" t="s">
        <v>222</v>
      </c>
      <c r="D206" s="338" t="s">
        <v>258</v>
      </c>
      <c r="E206" s="338" t="s">
        <v>223</v>
      </c>
      <c r="F206" s="393">
        <v>19725</v>
      </c>
      <c r="G206" s="338">
        <v>1164</v>
      </c>
      <c r="H206" s="338">
        <v>43</v>
      </c>
      <c r="I206" s="338"/>
      <c r="J206" s="338"/>
      <c r="K206" s="392">
        <v>2.6666351723257233</v>
      </c>
      <c r="L206" s="391">
        <f t="shared" si="2"/>
        <v>464.12522452218252</v>
      </c>
    </row>
    <row r="207" spans="1:12" x14ac:dyDescent="0.3">
      <c r="A207" s="338">
        <v>50</v>
      </c>
      <c r="B207" s="338" t="s">
        <v>216</v>
      </c>
      <c r="C207" s="338" t="s">
        <v>222</v>
      </c>
      <c r="D207" s="338" t="s">
        <v>258</v>
      </c>
      <c r="E207" s="338" t="s">
        <v>223</v>
      </c>
      <c r="F207" s="393">
        <v>9279</v>
      </c>
      <c r="G207" s="338">
        <v>970</v>
      </c>
      <c r="H207" s="338">
        <v>65</v>
      </c>
      <c r="I207" s="338"/>
      <c r="J207" s="338"/>
      <c r="K207" s="338"/>
      <c r="L207" s="391"/>
    </row>
    <row r="208" spans="1:12" x14ac:dyDescent="0.3">
      <c r="A208" s="338">
        <v>51</v>
      </c>
      <c r="B208" s="338" t="s">
        <v>216</v>
      </c>
      <c r="C208" s="338" t="s">
        <v>222</v>
      </c>
      <c r="D208" s="338" t="s">
        <v>258</v>
      </c>
      <c r="E208" s="338" t="s">
        <v>223</v>
      </c>
      <c r="F208" s="393">
        <v>5104</v>
      </c>
      <c r="G208" s="338">
        <v>762</v>
      </c>
      <c r="H208" s="338">
        <v>81</v>
      </c>
      <c r="I208" s="338"/>
      <c r="J208" s="338"/>
      <c r="K208" s="392">
        <v>1.7215488108948764</v>
      </c>
      <c r="L208" s="391">
        <f t="shared" ref="L208:L241" si="3">10^K208</f>
        <v>52.668240605568421</v>
      </c>
    </row>
    <row r="209" spans="1:12" x14ac:dyDescent="0.3">
      <c r="A209" s="338">
        <v>52</v>
      </c>
      <c r="B209" s="338" t="s">
        <v>216</v>
      </c>
      <c r="C209" s="338" t="s">
        <v>222</v>
      </c>
      <c r="D209" s="338" t="s">
        <v>258</v>
      </c>
      <c r="E209" s="338" t="s">
        <v>223</v>
      </c>
      <c r="F209" s="393">
        <v>2640</v>
      </c>
      <c r="G209" s="338">
        <v>467</v>
      </c>
      <c r="H209" s="338">
        <v>58</v>
      </c>
      <c r="I209" s="338"/>
      <c r="J209" s="338"/>
      <c r="K209" s="338"/>
      <c r="L209" s="391"/>
    </row>
    <row r="210" spans="1:12" x14ac:dyDescent="0.3">
      <c r="A210" s="341">
        <v>1</v>
      </c>
      <c r="B210" s="341" t="s">
        <v>216</v>
      </c>
      <c r="C210" s="341" t="s">
        <v>224</v>
      </c>
      <c r="D210" s="341" t="s">
        <v>224</v>
      </c>
      <c r="E210" s="341" t="s">
        <v>225</v>
      </c>
      <c r="F210" s="374">
        <v>6699</v>
      </c>
      <c r="G210" s="341">
        <v>956</v>
      </c>
      <c r="H210" s="341">
        <v>242</v>
      </c>
      <c r="I210" s="341"/>
      <c r="J210" s="341"/>
      <c r="K210" s="341"/>
      <c r="L210" s="375"/>
    </row>
    <row r="211" spans="1:12" x14ac:dyDescent="0.3">
      <c r="A211" s="341">
        <v>2</v>
      </c>
      <c r="B211" s="341" t="s">
        <v>216</v>
      </c>
      <c r="C211" s="341" t="s">
        <v>224</v>
      </c>
      <c r="D211" s="341" t="s">
        <v>224</v>
      </c>
      <c r="E211" s="341" t="s">
        <v>225</v>
      </c>
      <c r="F211" s="374">
        <v>4374</v>
      </c>
      <c r="G211" s="341">
        <v>939</v>
      </c>
      <c r="H211" s="341">
        <v>265</v>
      </c>
      <c r="I211" s="341"/>
      <c r="J211" s="341"/>
      <c r="K211" s="341"/>
      <c r="L211" s="375"/>
    </row>
    <row r="212" spans="1:12" x14ac:dyDescent="0.3">
      <c r="A212" s="341">
        <v>3</v>
      </c>
      <c r="B212" s="341" t="s">
        <v>216</v>
      </c>
      <c r="C212" s="341" t="s">
        <v>224</v>
      </c>
      <c r="D212" s="341" t="s">
        <v>224</v>
      </c>
      <c r="E212" s="341" t="s">
        <v>225</v>
      </c>
      <c r="F212" s="374">
        <v>2621</v>
      </c>
      <c r="G212" s="341">
        <v>732</v>
      </c>
      <c r="H212" s="341">
        <v>216</v>
      </c>
      <c r="I212" s="341"/>
      <c r="J212" s="341"/>
      <c r="K212" s="341"/>
      <c r="L212" s="375"/>
    </row>
    <row r="213" spans="1:12" x14ac:dyDescent="0.3">
      <c r="A213" s="341">
        <v>4</v>
      </c>
      <c r="B213" s="341" t="s">
        <v>216</v>
      </c>
      <c r="C213" s="341" t="s">
        <v>224</v>
      </c>
      <c r="D213" s="341" t="s">
        <v>224</v>
      </c>
      <c r="E213" s="341" t="s">
        <v>225</v>
      </c>
      <c r="F213" s="374">
        <v>1287</v>
      </c>
      <c r="G213" s="341">
        <v>433</v>
      </c>
      <c r="H213" s="341">
        <v>165</v>
      </c>
      <c r="I213" s="341"/>
      <c r="J213" s="341"/>
      <c r="K213" s="341"/>
      <c r="L213" s="375"/>
    </row>
    <row r="214" spans="1:12" x14ac:dyDescent="0.3">
      <c r="A214" s="341">
        <v>5</v>
      </c>
      <c r="B214" s="341" t="s">
        <v>216</v>
      </c>
      <c r="C214" s="341" t="s">
        <v>224</v>
      </c>
      <c r="D214" s="341" t="s">
        <v>224</v>
      </c>
      <c r="E214" s="341" t="s">
        <v>225</v>
      </c>
      <c r="F214" s="374">
        <v>884</v>
      </c>
      <c r="G214" s="341">
        <v>307</v>
      </c>
      <c r="H214" s="341">
        <v>115</v>
      </c>
      <c r="I214" s="341"/>
      <c r="J214" s="341"/>
      <c r="K214" s="341"/>
      <c r="L214" s="375"/>
    </row>
    <row r="215" spans="1:12" x14ac:dyDescent="0.3">
      <c r="A215" s="341">
        <v>6</v>
      </c>
      <c r="B215" s="341" t="s">
        <v>216</v>
      </c>
      <c r="C215" s="341" t="s">
        <v>224</v>
      </c>
      <c r="D215" s="341" t="s">
        <v>224</v>
      </c>
      <c r="E215" s="341" t="s">
        <v>225</v>
      </c>
      <c r="F215" s="374">
        <v>748</v>
      </c>
      <c r="G215" s="341">
        <v>241</v>
      </c>
      <c r="H215" s="341">
        <v>68</v>
      </c>
      <c r="I215" s="341"/>
      <c r="J215" s="341"/>
      <c r="K215" s="341"/>
      <c r="L215" s="375"/>
    </row>
    <row r="216" spans="1:12" x14ac:dyDescent="0.3">
      <c r="A216" s="341">
        <v>7</v>
      </c>
      <c r="B216" s="341" t="s">
        <v>216</v>
      </c>
      <c r="C216" s="341" t="s">
        <v>224</v>
      </c>
      <c r="D216" s="341" t="s">
        <v>224</v>
      </c>
      <c r="E216" s="341" t="s">
        <v>225</v>
      </c>
      <c r="F216" s="374">
        <v>495</v>
      </c>
      <c r="G216" s="341">
        <v>204</v>
      </c>
      <c r="H216" s="341">
        <v>52</v>
      </c>
      <c r="I216" s="341"/>
      <c r="J216" s="341"/>
      <c r="K216" s="341"/>
      <c r="L216" s="375"/>
    </row>
    <row r="217" spans="1:12" x14ac:dyDescent="0.3">
      <c r="A217" s="341">
        <v>8</v>
      </c>
      <c r="B217" s="341" t="s">
        <v>216</v>
      </c>
      <c r="C217" s="341" t="s">
        <v>224</v>
      </c>
      <c r="D217" s="341" t="s">
        <v>224</v>
      </c>
      <c r="E217" s="341" t="s">
        <v>225</v>
      </c>
      <c r="F217" s="374">
        <v>377</v>
      </c>
      <c r="G217" s="341">
        <v>140</v>
      </c>
      <c r="H217" s="341">
        <v>46</v>
      </c>
      <c r="I217" s="341"/>
      <c r="J217" s="341"/>
      <c r="K217" s="341"/>
      <c r="L217" s="375"/>
    </row>
    <row r="218" spans="1:12" x14ac:dyDescent="0.3">
      <c r="A218" s="341">
        <v>9</v>
      </c>
      <c r="B218" s="341" t="s">
        <v>216</v>
      </c>
      <c r="C218" s="341" t="s">
        <v>224</v>
      </c>
      <c r="D218" s="341" t="s">
        <v>224</v>
      </c>
      <c r="E218" s="341" t="s">
        <v>225</v>
      </c>
      <c r="F218" s="374">
        <v>324</v>
      </c>
      <c r="G218" s="341">
        <v>145</v>
      </c>
      <c r="H218" s="341">
        <v>32</v>
      </c>
      <c r="I218" s="341"/>
      <c r="J218" s="341"/>
      <c r="K218" s="356">
        <v>1.5174193594103973</v>
      </c>
      <c r="L218" s="375">
        <f t="shared" si="3"/>
        <v>32.916932689900307</v>
      </c>
    </row>
    <row r="219" spans="1:12" x14ac:dyDescent="0.3">
      <c r="A219" s="341">
        <v>10</v>
      </c>
      <c r="B219" s="341" t="s">
        <v>216</v>
      </c>
      <c r="C219" s="341" t="s">
        <v>224</v>
      </c>
      <c r="D219" s="341" t="s">
        <v>224</v>
      </c>
      <c r="E219" s="341" t="s">
        <v>225</v>
      </c>
      <c r="F219" s="374">
        <v>372</v>
      </c>
      <c r="G219" s="341">
        <v>139</v>
      </c>
      <c r="H219" s="341">
        <v>47</v>
      </c>
      <c r="I219" s="341"/>
      <c r="J219" s="341"/>
      <c r="K219" s="341"/>
      <c r="L219" s="375"/>
    </row>
    <row r="220" spans="1:12" x14ac:dyDescent="0.3">
      <c r="A220" s="341">
        <v>11</v>
      </c>
      <c r="B220" s="341" t="s">
        <v>216</v>
      </c>
      <c r="C220" s="341" t="s">
        <v>224</v>
      </c>
      <c r="D220" s="341" t="s">
        <v>224</v>
      </c>
      <c r="E220" s="341" t="s">
        <v>225</v>
      </c>
      <c r="F220" s="374">
        <v>334</v>
      </c>
      <c r="G220" s="341">
        <v>113</v>
      </c>
      <c r="H220" s="341">
        <v>22</v>
      </c>
      <c r="I220" s="341"/>
      <c r="J220" s="341"/>
      <c r="K220" s="356">
        <v>0.73851020638129206</v>
      </c>
      <c r="L220" s="375">
        <f t="shared" si="3"/>
        <v>5.4765897137778099</v>
      </c>
    </row>
    <row r="221" spans="1:12" x14ac:dyDescent="0.3">
      <c r="A221" s="341">
        <v>12</v>
      </c>
      <c r="B221" s="341" t="s">
        <v>216</v>
      </c>
      <c r="C221" s="341" t="s">
        <v>224</v>
      </c>
      <c r="D221" s="341" t="s">
        <v>224</v>
      </c>
      <c r="E221" s="341" t="s">
        <v>225</v>
      </c>
      <c r="F221" s="374">
        <v>280</v>
      </c>
      <c r="G221" s="341">
        <v>101</v>
      </c>
      <c r="H221" s="341">
        <v>17</v>
      </c>
      <c r="I221" s="341"/>
      <c r="J221" s="341"/>
      <c r="K221" s="341"/>
      <c r="L221" s="375"/>
    </row>
    <row r="222" spans="1:12" x14ac:dyDescent="0.3">
      <c r="A222" s="341">
        <v>13</v>
      </c>
      <c r="B222" s="341" t="s">
        <v>216</v>
      </c>
      <c r="C222" s="341" t="s">
        <v>224</v>
      </c>
      <c r="D222" s="341" t="s">
        <v>224</v>
      </c>
      <c r="E222" s="341" t="s">
        <v>225</v>
      </c>
      <c r="F222" s="374">
        <v>234</v>
      </c>
      <c r="G222" s="341">
        <v>97</v>
      </c>
      <c r="H222" s="341">
        <v>20</v>
      </c>
      <c r="I222" s="341"/>
      <c r="J222" s="341"/>
      <c r="K222" s="341"/>
      <c r="L222" s="375"/>
    </row>
    <row r="223" spans="1:12" x14ac:dyDescent="0.3">
      <c r="A223" s="341">
        <v>14</v>
      </c>
      <c r="B223" s="341" t="s">
        <v>216</v>
      </c>
      <c r="C223" s="341" t="s">
        <v>224</v>
      </c>
      <c r="D223" s="341" t="s">
        <v>224</v>
      </c>
      <c r="E223" s="341" t="s">
        <v>225</v>
      </c>
      <c r="F223" s="374">
        <v>282</v>
      </c>
      <c r="G223" s="341">
        <v>86</v>
      </c>
      <c r="H223" s="341">
        <v>20</v>
      </c>
      <c r="I223" s="341"/>
      <c r="J223" s="341"/>
      <c r="K223" s="341"/>
      <c r="L223" s="375"/>
    </row>
    <row r="224" spans="1:12" x14ac:dyDescent="0.3">
      <c r="A224" s="341">
        <v>15</v>
      </c>
      <c r="B224" s="341" t="s">
        <v>216</v>
      </c>
      <c r="C224" s="341" t="s">
        <v>224</v>
      </c>
      <c r="D224" s="341" t="s">
        <v>224</v>
      </c>
      <c r="E224" s="341" t="s">
        <v>225</v>
      </c>
      <c r="F224" s="374">
        <v>355</v>
      </c>
      <c r="G224" s="341">
        <v>110</v>
      </c>
      <c r="H224" s="341">
        <v>21</v>
      </c>
      <c r="I224" s="341"/>
      <c r="J224" s="341"/>
      <c r="K224" s="356">
        <v>0.1439487243395533</v>
      </c>
      <c r="L224" s="375">
        <f t="shared" si="3"/>
        <v>1.3929923274079099</v>
      </c>
    </row>
    <row r="225" spans="1:12" x14ac:dyDescent="0.3">
      <c r="A225" s="341">
        <v>16</v>
      </c>
      <c r="B225" s="341" t="s">
        <v>216</v>
      </c>
      <c r="C225" s="341" t="s">
        <v>224</v>
      </c>
      <c r="D225" s="341" t="s">
        <v>224</v>
      </c>
      <c r="E225" s="341" t="s">
        <v>225</v>
      </c>
      <c r="F225" s="374">
        <v>309</v>
      </c>
      <c r="G225" s="341">
        <v>99</v>
      </c>
      <c r="H225" s="341">
        <v>19</v>
      </c>
      <c r="I225" s="341"/>
      <c r="J225" s="341"/>
      <c r="K225" s="341"/>
      <c r="L225" s="375"/>
    </row>
    <row r="226" spans="1:12" x14ac:dyDescent="0.3">
      <c r="A226" s="341">
        <v>17</v>
      </c>
      <c r="B226" s="341" t="s">
        <v>216</v>
      </c>
      <c r="C226" s="341" t="s">
        <v>224</v>
      </c>
      <c r="D226" s="341" t="s">
        <v>224</v>
      </c>
      <c r="E226" s="341" t="s">
        <v>225</v>
      </c>
      <c r="F226" s="374">
        <v>356</v>
      </c>
      <c r="G226" s="341">
        <v>103</v>
      </c>
      <c r="H226" s="341">
        <v>19</v>
      </c>
      <c r="I226" s="341"/>
      <c r="J226" s="341"/>
      <c r="K226" s="341"/>
      <c r="L226" s="375"/>
    </row>
    <row r="227" spans="1:12" x14ac:dyDescent="0.3">
      <c r="A227" s="341">
        <v>18</v>
      </c>
      <c r="B227" s="341" t="s">
        <v>216</v>
      </c>
      <c r="C227" s="341" t="s">
        <v>224</v>
      </c>
      <c r="D227" s="341" t="s">
        <v>224</v>
      </c>
      <c r="E227" s="341" t="s">
        <v>225</v>
      </c>
      <c r="F227" s="374">
        <v>624</v>
      </c>
      <c r="G227" s="341">
        <v>126</v>
      </c>
      <c r="H227" s="341">
        <v>20</v>
      </c>
      <c r="I227" s="341"/>
      <c r="J227" s="341"/>
      <c r="K227" s="341"/>
      <c r="L227" s="375"/>
    </row>
    <row r="228" spans="1:12" x14ac:dyDescent="0.3">
      <c r="A228" s="341">
        <v>19</v>
      </c>
      <c r="B228" s="341" t="s">
        <v>216</v>
      </c>
      <c r="C228" s="341" t="s">
        <v>224</v>
      </c>
      <c r="D228" s="341" t="s">
        <v>224</v>
      </c>
      <c r="E228" s="341" t="s">
        <v>225</v>
      </c>
      <c r="F228" s="374">
        <v>1189</v>
      </c>
      <c r="G228" s="341">
        <v>188</v>
      </c>
      <c r="H228" s="341">
        <v>38</v>
      </c>
      <c r="I228" s="341"/>
      <c r="J228" s="341"/>
      <c r="K228" s="341"/>
      <c r="L228" s="375"/>
    </row>
    <row r="229" spans="1:12" x14ac:dyDescent="0.3">
      <c r="A229" s="341">
        <v>20</v>
      </c>
      <c r="B229" s="341" t="s">
        <v>216</v>
      </c>
      <c r="C229" s="341" t="s">
        <v>224</v>
      </c>
      <c r="D229" s="341" t="s">
        <v>224</v>
      </c>
      <c r="E229" s="341" t="s">
        <v>225</v>
      </c>
      <c r="F229" s="374">
        <v>1449</v>
      </c>
      <c r="G229" s="341">
        <v>280</v>
      </c>
      <c r="H229" s="341">
        <v>37</v>
      </c>
      <c r="I229" s="341"/>
      <c r="J229" s="341"/>
      <c r="K229" s="356">
        <v>1.1133559251664007</v>
      </c>
      <c r="L229" s="375">
        <f t="shared" si="3"/>
        <v>12.982428073882998</v>
      </c>
    </row>
    <row r="230" spans="1:12" x14ac:dyDescent="0.3">
      <c r="A230" s="341">
        <v>21</v>
      </c>
      <c r="B230" s="341" t="s">
        <v>216</v>
      </c>
      <c r="C230" s="341" t="s">
        <v>224</v>
      </c>
      <c r="D230" s="341" t="s">
        <v>224</v>
      </c>
      <c r="E230" s="341" t="s">
        <v>225</v>
      </c>
      <c r="F230" s="374">
        <v>2160</v>
      </c>
      <c r="G230" s="341">
        <v>380</v>
      </c>
      <c r="H230" s="341">
        <v>51</v>
      </c>
      <c r="I230" s="341"/>
      <c r="J230" s="341"/>
      <c r="K230" s="341"/>
      <c r="L230" s="375"/>
    </row>
    <row r="231" spans="1:12" x14ac:dyDescent="0.3">
      <c r="A231" s="341">
        <v>22</v>
      </c>
      <c r="B231" s="341" t="s">
        <v>216</v>
      </c>
      <c r="C231" s="341" t="s">
        <v>224</v>
      </c>
      <c r="D231" s="341" t="s">
        <v>224</v>
      </c>
      <c r="E231" s="341" t="s">
        <v>225</v>
      </c>
      <c r="F231" s="374">
        <v>3089</v>
      </c>
      <c r="G231" s="341">
        <v>488</v>
      </c>
      <c r="H231" s="341">
        <v>72</v>
      </c>
      <c r="I231" s="341"/>
      <c r="J231" s="341"/>
      <c r="K231" s="356">
        <v>-5.7531721651493978E-2</v>
      </c>
      <c r="L231" s="375">
        <f t="shared" si="3"/>
        <v>0.87592773595634787</v>
      </c>
    </row>
    <row r="232" spans="1:12" x14ac:dyDescent="0.3">
      <c r="A232" s="341">
        <v>23</v>
      </c>
      <c r="B232" s="341" t="s">
        <v>216</v>
      </c>
      <c r="C232" s="341" t="s">
        <v>224</v>
      </c>
      <c r="D232" s="341" t="s">
        <v>224</v>
      </c>
      <c r="E232" s="341" t="s">
        <v>225</v>
      </c>
      <c r="F232" s="374">
        <v>5783</v>
      </c>
      <c r="G232" s="341">
        <v>675</v>
      </c>
      <c r="H232" s="341">
        <v>120</v>
      </c>
      <c r="I232" s="341"/>
      <c r="J232" s="341"/>
      <c r="K232" s="341"/>
      <c r="L232" s="375"/>
    </row>
    <row r="233" spans="1:12" x14ac:dyDescent="0.3">
      <c r="A233" s="341">
        <v>24</v>
      </c>
      <c r="B233" s="341" t="s">
        <v>216</v>
      </c>
      <c r="C233" s="341" t="s">
        <v>224</v>
      </c>
      <c r="D233" s="341" t="s">
        <v>224</v>
      </c>
      <c r="E233" s="341" t="s">
        <v>225</v>
      </c>
      <c r="F233" s="374">
        <v>9089</v>
      </c>
      <c r="G233" s="341">
        <v>908</v>
      </c>
      <c r="H233" s="341">
        <v>190</v>
      </c>
      <c r="I233" s="341"/>
      <c r="J233" s="341"/>
      <c r="K233" s="341"/>
      <c r="L233" s="375"/>
    </row>
    <row r="234" spans="1:12" x14ac:dyDescent="0.3">
      <c r="A234" s="341">
        <v>25</v>
      </c>
      <c r="B234" s="341" t="s">
        <v>216</v>
      </c>
      <c r="C234" s="341" t="s">
        <v>224</v>
      </c>
      <c r="D234" s="341" t="s">
        <v>224</v>
      </c>
      <c r="E234" s="341" t="s">
        <v>225</v>
      </c>
      <c r="F234" s="374">
        <v>12206</v>
      </c>
      <c r="G234" s="341">
        <v>1156</v>
      </c>
      <c r="H234" s="341">
        <v>273</v>
      </c>
      <c r="I234" s="341"/>
      <c r="J234" s="341"/>
      <c r="K234" s="341"/>
      <c r="L234" s="375"/>
    </row>
    <row r="235" spans="1:12" x14ac:dyDescent="0.3">
      <c r="A235" s="341">
        <v>26</v>
      </c>
      <c r="B235" s="341" t="s">
        <v>216</v>
      </c>
      <c r="C235" s="341" t="s">
        <v>224</v>
      </c>
      <c r="D235" s="341" t="s">
        <v>224</v>
      </c>
      <c r="E235" s="341" t="s">
        <v>225</v>
      </c>
      <c r="F235" s="374">
        <v>14104</v>
      </c>
      <c r="G235" s="341">
        <v>1378</v>
      </c>
      <c r="H235" s="341">
        <v>366</v>
      </c>
      <c r="I235" s="341"/>
      <c r="J235" s="341"/>
      <c r="K235" s="356">
        <v>2.1692777828443726</v>
      </c>
      <c r="L235" s="375">
        <f t="shared" si="3"/>
        <v>147.66507246056406</v>
      </c>
    </row>
    <row r="236" spans="1:12" x14ac:dyDescent="0.3">
      <c r="A236" s="341">
        <v>27</v>
      </c>
      <c r="B236" s="341" t="s">
        <v>216</v>
      </c>
      <c r="C236" s="341" t="s">
        <v>224</v>
      </c>
      <c r="D236" s="341" t="s">
        <v>224</v>
      </c>
      <c r="E236" s="341" t="s">
        <v>225</v>
      </c>
      <c r="F236" s="374">
        <v>11885</v>
      </c>
      <c r="G236" s="341">
        <v>1452</v>
      </c>
      <c r="H236" s="341">
        <v>412</v>
      </c>
      <c r="I236" s="341"/>
      <c r="J236" s="341"/>
      <c r="K236" s="341"/>
      <c r="L236" s="375"/>
    </row>
    <row r="237" spans="1:12" x14ac:dyDescent="0.3">
      <c r="A237" s="341">
        <v>28</v>
      </c>
      <c r="B237" s="341" t="s">
        <v>216</v>
      </c>
      <c r="C237" s="341" t="s">
        <v>224</v>
      </c>
      <c r="D237" s="341" t="s">
        <v>224</v>
      </c>
      <c r="E237" s="341" t="s">
        <v>225</v>
      </c>
      <c r="F237" s="374">
        <v>6785</v>
      </c>
      <c r="G237" s="341">
        <v>1289</v>
      </c>
      <c r="H237" s="341">
        <v>423</v>
      </c>
      <c r="I237" s="341"/>
      <c r="J237" s="341"/>
      <c r="K237" s="341"/>
      <c r="L237" s="375"/>
    </row>
    <row r="238" spans="1:12" x14ac:dyDescent="0.3">
      <c r="A238" s="341">
        <v>29</v>
      </c>
      <c r="B238" s="341" t="s">
        <v>216</v>
      </c>
      <c r="C238" s="341" t="s">
        <v>224</v>
      </c>
      <c r="D238" s="341" t="s">
        <v>224</v>
      </c>
      <c r="E238" s="341" t="s">
        <v>225</v>
      </c>
      <c r="F238" s="374">
        <v>4308</v>
      </c>
      <c r="G238" s="341">
        <v>1019</v>
      </c>
      <c r="H238" s="341">
        <v>343</v>
      </c>
      <c r="I238" s="341"/>
      <c r="J238" s="341"/>
      <c r="K238" s="356">
        <v>2.0089317379113751</v>
      </c>
      <c r="L238" s="375">
        <f t="shared" si="3"/>
        <v>102.07790257979404</v>
      </c>
    </row>
    <row r="239" spans="1:12" x14ac:dyDescent="0.3">
      <c r="A239" s="341">
        <v>30</v>
      </c>
      <c r="B239" s="341" t="s">
        <v>216</v>
      </c>
      <c r="C239" s="341" t="s">
        <v>224</v>
      </c>
      <c r="D239" s="341" t="s">
        <v>224</v>
      </c>
      <c r="E239" s="341" t="s">
        <v>225</v>
      </c>
      <c r="F239" s="374">
        <v>3759</v>
      </c>
      <c r="G239" s="341">
        <v>615</v>
      </c>
      <c r="H239" s="341">
        <v>283</v>
      </c>
      <c r="I239" s="341"/>
      <c r="J239" s="341"/>
      <c r="K239" s="341"/>
      <c r="L239" s="375"/>
    </row>
    <row r="240" spans="1:12" x14ac:dyDescent="0.3">
      <c r="A240" s="341">
        <v>31</v>
      </c>
      <c r="B240" s="341" t="s">
        <v>216</v>
      </c>
      <c r="C240" s="341" t="s">
        <v>224</v>
      </c>
      <c r="D240" s="341" t="s">
        <v>224</v>
      </c>
      <c r="E240" s="341" t="s">
        <v>225</v>
      </c>
      <c r="F240" s="374">
        <v>2752</v>
      </c>
      <c r="G240" s="341">
        <v>519</v>
      </c>
      <c r="H240" s="341">
        <v>179</v>
      </c>
      <c r="I240" s="341"/>
      <c r="J240" s="341"/>
      <c r="K240" s="341"/>
      <c r="L240" s="375"/>
    </row>
    <row r="241" spans="1:12" x14ac:dyDescent="0.3">
      <c r="A241" s="341">
        <v>32</v>
      </c>
      <c r="B241" s="341" t="s">
        <v>216</v>
      </c>
      <c r="C241" s="341" t="s">
        <v>224</v>
      </c>
      <c r="D241" s="341" t="s">
        <v>224</v>
      </c>
      <c r="E241" s="341" t="s">
        <v>225</v>
      </c>
      <c r="F241" s="374">
        <v>1894</v>
      </c>
      <c r="G241" s="341">
        <v>387</v>
      </c>
      <c r="H241" s="341">
        <v>124</v>
      </c>
      <c r="I241" s="341"/>
      <c r="J241" s="341"/>
      <c r="K241" s="356">
        <v>1.5633521246470228</v>
      </c>
      <c r="L241" s="375">
        <f t="shared" si="3"/>
        <v>36.589133496187181</v>
      </c>
    </row>
    <row r="242" spans="1:12" x14ac:dyDescent="0.3">
      <c r="A242" s="341">
        <v>33</v>
      </c>
      <c r="B242" s="341" t="s">
        <v>216</v>
      </c>
      <c r="C242" s="341" t="s">
        <v>224</v>
      </c>
      <c r="D242" s="341" t="s">
        <v>224</v>
      </c>
      <c r="E242" s="341" t="s">
        <v>225</v>
      </c>
      <c r="F242" s="374">
        <v>1554</v>
      </c>
      <c r="G242" s="341">
        <v>355</v>
      </c>
      <c r="H242" s="341">
        <v>85</v>
      </c>
      <c r="I242" s="341"/>
      <c r="J242" s="341"/>
      <c r="K242" s="341"/>
      <c r="L242" s="375"/>
    </row>
    <row r="243" spans="1:12" x14ac:dyDescent="0.3">
      <c r="A243" s="341">
        <v>34</v>
      </c>
      <c r="B243" s="341" t="s">
        <v>216</v>
      </c>
      <c r="C243" s="341" t="s">
        <v>224</v>
      </c>
      <c r="D243" s="341" t="s">
        <v>224</v>
      </c>
      <c r="E243" s="341" t="s">
        <v>225</v>
      </c>
      <c r="F243" s="374">
        <v>946</v>
      </c>
      <c r="G243" s="341">
        <v>247</v>
      </c>
      <c r="H243" s="341">
        <v>69</v>
      </c>
      <c r="I243" s="341"/>
      <c r="J243" s="341"/>
      <c r="K243" s="341"/>
      <c r="L243" s="375"/>
    </row>
    <row r="244" spans="1:12" x14ac:dyDescent="0.3">
      <c r="A244" s="341">
        <v>35</v>
      </c>
      <c r="B244" s="341" t="s">
        <v>216</v>
      </c>
      <c r="C244" s="341" t="s">
        <v>224</v>
      </c>
      <c r="D244" s="341" t="s">
        <v>224</v>
      </c>
      <c r="E244" s="341" t="s">
        <v>225</v>
      </c>
      <c r="F244" s="374">
        <v>633</v>
      </c>
      <c r="G244" s="341">
        <v>165</v>
      </c>
      <c r="H244" s="341">
        <v>43</v>
      </c>
      <c r="I244" s="341"/>
      <c r="J244" s="341"/>
      <c r="K244" s="341"/>
      <c r="L244" s="375"/>
    </row>
    <row r="245" spans="1:12" x14ac:dyDescent="0.3">
      <c r="A245" s="341">
        <v>36</v>
      </c>
      <c r="B245" s="341" t="s">
        <v>216</v>
      </c>
      <c r="C245" s="341" t="s">
        <v>224</v>
      </c>
      <c r="D245" s="341" t="s">
        <v>224</v>
      </c>
      <c r="E245" s="341" t="s">
        <v>225</v>
      </c>
      <c r="F245" s="374">
        <v>386</v>
      </c>
      <c r="G245" s="341">
        <v>141</v>
      </c>
      <c r="H245" s="341">
        <v>38</v>
      </c>
      <c r="I245" s="341"/>
      <c r="J245" s="341"/>
      <c r="K245" s="341"/>
      <c r="L245" s="375"/>
    </row>
    <row r="246" spans="1:12" x14ac:dyDescent="0.3">
      <c r="A246" s="341">
        <v>37</v>
      </c>
      <c r="B246" s="341" t="s">
        <v>216</v>
      </c>
      <c r="C246" s="341" t="s">
        <v>224</v>
      </c>
      <c r="D246" s="341" t="s">
        <v>224</v>
      </c>
      <c r="E246" s="341" t="s">
        <v>225</v>
      </c>
      <c r="F246" s="374">
        <v>306</v>
      </c>
      <c r="G246" s="341">
        <v>96</v>
      </c>
      <c r="H246" s="341">
        <v>34</v>
      </c>
      <c r="I246" s="341"/>
      <c r="J246" s="341"/>
      <c r="K246" s="341"/>
      <c r="L246" s="375"/>
    </row>
    <row r="247" spans="1:12" x14ac:dyDescent="0.3">
      <c r="A247" s="341">
        <v>38</v>
      </c>
      <c r="B247" s="341" t="s">
        <v>216</v>
      </c>
      <c r="C247" s="341" t="s">
        <v>224</v>
      </c>
      <c r="D247" s="341" t="s">
        <v>224</v>
      </c>
      <c r="E247" s="341" t="s">
        <v>225</v>
      </c>
      <c r="F247" s="374">
        <v>197</v>
      </c>
      <c r="G247" s="341">
        <v>78</v>
      </c>
      <c r="H247" s="341">
        <v>17</v>
      </c>
      <c r="I247" s="341"/>
      <c r="J247" s="341"/>
      <c r="K247" s="341"/>
      <c r="L247" s="375"/>
    </row>
    <row r="248" spans="1:12" x14ac:dyDescent="0.3">
      <c r="A248" s="341">
        <v>39</v>
      </c>
      <c r="B248" s="341" t="s">
        <v>216</v>
      </c>
      <c r="C248" s="341" t="s">
        <v>224</v>
      </c>
      <c r="D248" s="341" t="s">
        <v>224</v>
      </c>
      <c r="E248" s="341" t="s">
        <v>225</v>
      </c>
      <c r="F248" s="374">
        <v>161</v>
      </c>
      <c r="G248" s="341">
        <v>74</v>
      </c>
      <c r="H248" s="341">
        <v>20</v>
      </c>
      <c r="I248" s="341"/>
      <c r="J248" s="341"/>
      <c r="K248" s="341"/>
      <c r="L248" s="375"/>
    </row>
    <row r="249" spans="1:12" x14ac:dyDescent="0.3">
      <c r="A249" s="341">
        <v>40</v>
      </c>
      <c r="B249" s="341" t="s">
        <v>216</v>
      </c>
      <c r="C249" s="341" t="s">
        <v>224</v>
      </c>
      <c r="D249" s="341" t="s">
        <v>224</v>
      </c>
      <c r="E249" s="341" t="s">
        <v>225</v>
      </c>
      <c r="F249" s="374">
        <v>99</v>
      </c>
      <c r="G249" s="341">
        <v>61</v>
      </c>
      <c r="H249" s="341">
        <v>14</v>
      </c>
      <c r="I249" s="341"/>
      <c r="J249" s="341"/>
      <c r="K249" s="341"/>
      <c r="L249" s="375"/>
    </row>
    <row r="250" spans="1:12" x14ac:dyDescent="0.3">
      <c r="A250" s="341">
        <v>41</v>
      </c>
      <c r="B250" s="341" t="s">
        <v>216</v>
      </c>
      <c r="C250" s="341" t="s">
        <v>224</v>
      </c>
      <c r="D250" s="341" t="s">
        <v>224</v>
      </c>
      <c r="E250" s="341" t="s">
        <v>225</v>
      </c>
      <c r="F250" s="374">
        <v>93</v>
      </c>
      <c r="G250" s="341">
        <v>49</v>
      </c>
      <c r="H250" s="341">
        <v>12</v>
      </c>
      <c r="I250" s="341"/>
      <c r="J250" s="341"/>
      <c r="K250" s="341"/>
      <c r="L250" s="375"/>
    </row>
    <row r="251" spans="1:12" x14ac:dyDescent="0.3">
      <c r="A251" s="341">
        <v>42</v>
      </c>
      <c r="B251" s="341" t="s">
        <v>216</v>
      </c>
      <c r="C251" s="341" t="s">
        <v>224</v>
      </c>
      <c r="D251" s="341" t="s">
        <v>224</v>
      </c>
      <c r="E251" s="341" t="s">
        <v>225</v>
      </c>
      <c r="F251" s="374">
        <v>56</v>
      </c>
      <c r="G251" s="341">
        <v>33</v>
      </c>
      <c r="H251" s="341">
        <v>10</v>
      </c>
      <c r="I251" s="341"/>
      <c r="J251" s="341"/>
      <c r="K251" s="341"/>
      <c r="L251" s="375"/>
    </row>
    <row r="252" spans="1:12" x14ac:dyDescent="0.3">
      <c r="A252" s="341">
        <v>43</v>
      </c>
      <c r="B252" s="341" t="s">
        <v>216</v>
      </c>
      <c r="C252" s="341" t="s">
        <v>224</v>
      </c>
      <c r="D252" s="341" t="s">
        <v>224</v>
      </c>
      <c r="E252" s="341" t="s">
        <v>225</v>
      </c>
      <c r="F252" s="374">
        <v>44</v>
      </c>
      <c r="G252" s="341">
        <v>27</v>
      </c>
      <c r="H252" s="341">
        <v>3</v>
      </c>
      <c r="I252" s="341"/>
      <c r="J252" s="341"/>
      <c r="K252" s="341"/>
      <c r="L252" s="375"/>
    </row>
    <row r="253" spans="1:12" x14ac:dyDescent="0.3">
      <c r="A253" s="341">
        <v>44</v>
      </c>
      <c r="B253" s="341" t="s">
        <v>216</v>
      </c>
      <c r="C253" s="341" t="s">
        <v>224</v>
      </c>
      <c r="D253" s="341" t="s">
        <v>224</v>
      </c>
      <c r="E253" s="341" t="s">
        <v>225</v>
      </c>
      <c r="F253" s="374">
        <v>35</v>
      </c>
      <c r="G253" s="341">
        <v>22</v>
      </c>
      <c r="H253" s="341">
        <v>2</v>
      </c>
      <c r="I253" s="341"/>
      <c r="J253" s="341"/>
      <c r="K253" s="341"/>
      <c r="L253" s="375"/>
    </row>
    <row r="254" spans="1:12" x14ac:dyDescent="0.3">
      <c r="A254" s="341">
        <v>45</v>
      </c>
      <c r="B254" s="341" t="s">
        <v>216</v>
      </c>
      <c r="C254" s="341" t="s">
        <v>224</v>
      </c>
      <c r="D254" s="341" t="s">
        <v>224</v>
      </c>
      <c r="E254" s="341" t="s">
        <v>225</v>
      </c>
      <c r="F254" s="374">
        <v>56</v>
      </c>
      <c r="G254" s="341">
        <v>21</v>
      </c>
      <c r="H254" s="341">
        <v>2</v>
      </c>
      <c r="I254" s="341"/>
      <c r="J254" s="341"/>
      <c r="K254" s="341"/>
      <c r="L254" s="375"/>
    </row>
    <row r="255" spans="1:12" x14ac:dyDescent="0.3">
      <c r="A255" s="341">
        <v>46</v>
      </c>
      <c r="B255" s="341" t="s">
        <v>216</v>
      </c>
      <c r="C255" s="341" t="s">
        <v>224</v>
      </c>
      <c r="D255" s="341" t="s">
        <v>224</v>
      </c>
      <c r="E255" s="341" t="s">
        <v>225</v>
      </c>
      <c r="F255" s="374">
        <v>173</v>
      </c>
      <c r="G255" s="341">
        <v>32</v>
      </c>
      <c r="H255" s="341">
        <v>4</v>
      </c>
      <c r="I255" s="341"/>
      <c r="J255" s="341"/>
      <c r="K255" s="341"/>
      <c r="L255" s="375"/>
    </row>
    <row r="256" spans="1:12" x14ac:dyDescent="0.3">
      <c r="A256" s="341">
        <v>47</v>
      </c>
      <c r="B256" s="341" t="s">
        <v>216</v>
      </c>
      <c r="C256" s="341" t="s">
        <v>224</v>
      </c>
      <c r="D256" s="341" t="s">
        <v>224</v>
      </c>
      <c r="E256" s="341" t="s">
        <v>225</v>
      </c>
      <c r="F256" s="374">
        <v>984</v>
      </c>
      <c r="G256" s="341">
        <v>127</v>
      </c>
      <c r="H256" s="341">
        <v>3</v>
      </c>
      <c r="I256" s="341"/>
      <c r="J256" s="341"/>
      <c r="K256" s="341"/>
      <c r="L256" s="342"/>
    </row>
    <row r="257" spans="1:12" x14ac:dyDescent="0.3">
      <c r="A257" s="341">
        <v>48</v>
      </c>
      <c r="B257" s="341" t="s">
        <v>216</v>
      </c>
      <c r="C257" s="341" t="s">
        <v>224</v>
      </c>
      <c r="D257" s="341" t="s">
        <v>224</v>
      </c>
      <c r="E257" s="341" t="s">
        <v>225</v>
      </c>
      <c r="F257" s="374">
        <v>7535</v>
      </c>
      <c r="G257" s="341">
        <v>416</v>
      </c>
      <c r="H257" s="341">
        <v>12</v>
      </c>
      <c r="I257" s="341"/>
      <c r="J257" s="341"/>
      <c r="K257" s="341"/>
      <c r="L257" s="342"/>
    </row>
    <row r="258" spans="1:12" x14ac:dyDescent="0.3">
      <c r="A258" s="341">
        <v>49</v>
      </c>
      <c r="B258" s="341" t="s">
        <v>216</v>
      </c>
      <c r="C258" s="341" t="s">
        <v>224</v>
      </c>
      <c r="D258" s="341" t="s">
        <v>224</v>
      </c>
      <c r="E258" s="341" t="s">
        <v>225</v>
      </c>
      <c r="F258" s="374">
        <v>11042</v>
      </c>
      <c r="G258" s="341">
        <v>667</v>
      </c>
      <c r="H258" s="341">
        <v>29</v>
      </c>
      <c r="I258" s="341"/>
      <c r="J258" s="341"/>
      <c r="K258" s="341"/>
      <c r="L258" s="342"/>
    </row>
    <row r="259" spans="1:12" x14ac:dyDescent="0.3">
      <c r="A259" s="341">
        <v>50</v>
      </c>
      <c r="B259" s="341" t="s">
        <v>216</v>
      </c>
      <c r="C259" s="341" t="s">
        <v>224</v>
      </c>
      <c r="D259" s="341" t="s">
        <v>224</v>
      </c>
      <c r="E259" s="341" t="s">
        <v>225</v>
      </c>
      <c r="F259" s="374">
        <v>4936</v>
      </c>
      <c r="G259" s="341">
        <v>651</v>
      </c>
      <c r="H259" s="341">
        <v>63</v>
      </c>
      <c r="I259" s="341"/>
      <c r="J259" s="341"/>
      <c r="K259" s="341"/>
      <c r="L259" s="342"/>
    </row>
    <row r="260" spans="1:12" x14ac:dyDescent="0.3">
      <c r="A260" s="341">
        <v>51</v>
      </c>
      <c r="B260" s="341" t="s">
        <v>216</v>
      </c>
      <c r="C260" s="341" t="s">
        <v>224</v>
      </c>
      <c r="D260" s="341" t="s">
        <v>224</v>
      </c>
      <c r="E260" s="341" t="s">
        <v>225</v>
      </c>
      <c r="F260" s="374">
        <v>2510</v>
      </c>
      <c r="G260" s="341">
        <v>454</v>
      </c>
      <c r="H260" s="341">
        <v>63</v>
      </c>
      <c r="I260" s="341"/>
      <c r="J260" s="341"/>
      <c r="K260" s="341"/>
      <c r="L260" s="342"/>
    </row>
    <row r="261" spans="1:12" x14ac:dyDescent="0.3">
      <c r="A261" s="341">
        <v>52</v>
      </c>
      <c r="B261" s="341" t="s">
        <v>216</v>
      </c>
      <c r="C261" s="341" t="s">
        <v>224</v>
      </c>
      <c r="D261" s="341" t="s">
        <v>224</v>
      </c>
      <c r="E261" s="341" t="s">
        <v>225</v>
      </c>
      <c r="F261" s="374">
        <v>1279</v>
      </c>
      <c r="G261" s="341">
        <v>348</v>
      </c>
      <c r="H261" s="341">
        <v>53</v>
      </c>
      <c r="I261" s="341"/>
      <c r="J261" s="341"/>
      <c r="K261" s="341"/>
      <c r="L261" s="342"/>
    </row>
    <row r="262" spans="1:12" x14ac:dyDescent="0.3">
      <c r="A262" s="344">
        <v>1</v>
      </c>
      <c r="B262" s="344" t="s">
        <v>216</v>
      </c>
      <c r="C262" s="344" t="s">
        <v>224</v>
      </c>
      <c r="D262" s="344" t="s">
        <v>224</v>
      </c>
      <c r="E262" s="344" t="s">
        <v>226</v>
      </c>
      <c r="F262" s="350">
        <v>6699</v>
      </c>
      <c r="G262" s="344">
        <v>956</v>
      </c>
      <c r="H262" s="344">
        <v>242</v>
      </c>
      <c r="I262" s="344"/>
      <c r="J262" s="344"/>
      <c r="K262" s="344"/>
      <c r="L262" s="345"/>
    </row>
    <row r="263" spans="1:12" x14ac:dyDescent="0.3">
      <c r="A263" s="344">
        <v>2</v>
      </c>
      <c r="B263" s="344" t="s">
        <v>216</v>
      </c>
      <c r="C263" s="344" t="s">
        <v>224</v>
      </c>
      <c r="D263" s="344" t="s">
        <v>224</v>
      </c>
      <c r="E263" s="344" t="s">
        <v>226</v>
      </c>
      <c r="F263" s="350">
        <v>4374</v>
      </c>
      <c r="G263" s="344">
        <v>939</v>
      </c>
      <c r="H263" s="344">
        <v>265</v>
      </c>
      <c r="I263" s="344"/>
      <c r="J263" s="344"/>
      <c r="K263" s="344"/>
      <c r="L263" s="345"/>
    </row>
    <row r="264" spans="1:12" x14ac:dyDescent="0.3">
      <c r="A264" s="344">
        <v>3</v>
      </c>
      <c r="B264" s="344" t="s">
        <v>216</v>
      </c>
      <c r="C264" s="344" t="s">
        <v>224</v>
      </c>
      <c r="D264" s="344" t="s">
        <v>224</v>
      </c>
      <c r="E264" s="344" t="s">
        <v>226</v>
      </c>
      <c r="F264" s="350">
        <v>2621</v>
      </c>
      <c r="G264" s="344">
        <v>732</v>
      </c>
      <c r="H264" s="344">
        <v>216</v>
      </c>
      <c r="I264" s="344"/>
      <c r="J264" s="344"/>
      <c r="K264" s="344"/>
      <c r="L264" s="345"/>
    </row>
    <row r="265" spans="1:12" x14ac:dyDescent="0.3">
      <c r="A265" s="344">
        <v>4</v>
      </c>
      <c r="B265" s="344" t="s">
        <v>216</v>
      </c>
      <c r="C265" s="344" t="s">
        <v>224</v>
      </c>
      <c r="D265" s="344" t="s">
        <v>224</v>
      </c>
      <c r="E265" s="344" t="s">
        <v>226</v>
      </c>
      <c r="F265" s="350">
        <v>1287</v>
      </c>
      <c r="G265" s="344">
        <v>433</v>
      </c>
      <c r="H265" s="344">
        <v>165</v>
      </c>
      <c r="I265" s="344"/>
      <c r="J265" s="344"/>
      <c r="K265" s="344"/>
      <c r="L265" s="345"/>
    </row>
    <row r="266" spans="1:12" x14ac:dyDescent="0.3">
      <c r="A266" s="344">
        <v>5</v>
      </c>
      <c r="B266" s="344" t="s">
        <v>216</v>
      </c>
      <c r="C266" s="344" t="s">
        <v>224</v>
      </c>
      <c r="D266" s="344" t="s">
        <v>224</v>
      </c>
      <c r="E266" s="344" t="s">
        <v>226</v>
      </c>
      <c r="F266" s="350">
        <v>884</v>
      </c>
      <c r="G266" s="344">
        <v>307</v>
      </c>
      <c r="H266" s="344">
        <v>115</v>
      </c>
      <c r="I266" s="344"/>
      <c r="J266" s="344"/>
      <c r="K266" s="344"/>
      <c r="L266" s="345"/>
    </row>
    <row r="267" spans="1:12" x14ac:dyDescent="0.3">
      <c r="A267" s="344">
        <v>6</v>
      </c>
      <c r="B267" s="344" t="s">
        <v>216</v>
      </c>
      <c r="C267" s="344" t="s">
        <v>224</v>
      </c>
      <c r="D267" s="344" t="s">
        <v>224</v>
      </c>
      <c r="E267" s="344" t="s">
        <v>226</v>
      </c>
      <c r="F267" s="350">
        <v>748</v>
      </c>
      <c r="G267" s="344">
        <v>241</v>
      </c>
      <c r="H267" s="344">
        <v>68</v>
      </c>
      <c r="I267" s="344"/>
      <c r="J267" s="344"/>
      <c r="K267" s="344"/>
      <c r="L267" s="345"/>
    </row>
    <row r="268" spans="1:12" x14ac:dyDescent="0.3">
      <c r="A268" s="344">
        <v>7</v>
      </c>
      <c r="B268" s="344" t="s">
        <v>216</v>
      </c>
      <c r="C268" s="344" t="s">
        <v>224</v>
      </c>
      <c r="D268" s="344" t="s">
        <v>224</v>
      </c>
      <c r="E268" s="344" t="s">
        <v>226</v>
      </c>
      <c r="F268" s="350">
        <v>495</v>
      </c>
      <c r="G268" s="344">
        <v>204</v>
      </c>
      <c r="H268" s="344">
        <v>52</v>
      </c>
      <c r="I268" s="344"/>
      <c r="J268" s="344"/>
      <c r="K268" s="344"/>
      <c r="L268" s="345"/>
    </row>
    <row r="269" spans="1:12" x14ac:dyDescent="0.3">
      <c r="A269" s="344">
        <v>8</v>
      </c>
      <c r="B269" s="344" t="s">
        <v>216</v>
      </c>
      <c r="C269" s="344" t="s">
        <v>224</v>
      </c>
      <c r="D269" s="344" t="s">
        <v>224</v>
      </c>
      <c r="E269" s="344" t="s">
        <v>226</v>
      </c>
      <c r="F269" s="350">
        <v>377</v>
      </c>
      <c r="G269" s="344">
        <v>140</v>
      </c>
      <c r="H269" s="344">
        <v>46</v>
      </c>
      <c r="I269" s="344"/>
      <c r="J269" s="344"/>
      <c r="K269" s="358">
        <v>-0.1684913863637226</v>
      </c>
      <c r="L269" s="362">
        <f>10^K269</f>
        <v>0.67843557620535089</v>
      </c>
    </row>
    <row r="270" spans="1:12" x14ac:dyDescent="0.3">
      <c r="A270" s="344">
        <v>9</v>
      </c>
      <c r="B270" s="344" t="s">
        <v>216</v>
      </c>
      <c r="C270" s="344" t="s">
        <v>224</v>
      </c>
      <c r="D270" s="344" t="s">
        <v>224</v>
      </c>
      <c r="E270" s="344" t="s">
        <v>226</v>
      </c>
      <c r="F270" s="350">
        <v>324</v>
      </c>
      <c r="G270" s="344">
        <v>145</v>
      </c>
      <c r="H270" s="344">
        <v>32</v>
      </c>
      <c r="I270" s="344"/>
      <c r="J270" s="344"/>
      <c r="K270" s="344"/>
      <c r="L270" s="345"/>
    </row>
    <row r="271" spans="1:12" x14ac:dyDescent="0.3">
      <c r="A271" s="344">
        <v>10</v>
      </c>
      <c r="B271" s="344" t="s">
        <v>216</v>
      </c>
      <c r="C271" s="344" t="s">
        <v>224</v>
      </c>
      <c r="D271" s="344" t="s">
        <v>224</v>
      </c>
      <c r="E271" s="344" t="s">
        <v>226</v>
      </c>
      <c r="F271" s="350">
        <v>372</v>
      </c>
      <c r="G271" s="344">
        <v>139</v>
      </c>
      <c r="H271" s="344">
        <v>47</v>
      </c>
      <c r="I271" s="344"/>
      <c r="J271" s="344"/>
      <c r="K271" s="344"/>
      <c r="L271" s="345"/>
    </row>
    <row r="272" spans="1:12" x14ac:dyDescent="0.3">
      <c r="A272" s="344">
        <v>11</v>
      </c>
      <c r="B272" s="344" t="s">
        <v>216</v>
      </c>
      <c r="C272" s="344" t="s">
        <v>224</v>
      </c>
      <c r="D272" s="344" t="s">
        <v>224</v>
      </c>
      <c r="E272" s="344" t="s">
        <v>226</v>
      </c>
      <c r="F272" s="350">
        <v>334</v>
      </c>
      <c r="G272" s="344">
        <v>113</v>
      </c>
      <c r="H272" s="344">
        <v>22</v>
      </c>
      <c r="I272" s="344"/>
      <c r="J272" s="344"/>
      <c r="K272" s="344"/>
      <c r="L272" s="345"/>
    </row>
    <row r="273" spans="1:12" x14ac:dyDescent="0.3">
      <c r="A273" s="344">
        <v>12</v>
      </c>
      <c r="B273" s="344" t="s">
        <v>216</v>
      </c>
      <c r="C273" s="344" t="s">
        <v>224</v>
      </c>
      <c r="D273" s="344" t="s">
        <v>224</v>
      </c>
      <c r="E273" s="344" t="s">
        <v>226</v>
      </c>
      <c r="F273" s="350">
        <v>280</v>
      </c>
      <c r="G273" s="344">
        <v>101</v>
      </c>
      <c r="H273" s="344">
        <v>17</v>
      </c>
      <c r="I273" s="344"/>
      <c r="J273" s="344"/>
      <c r="K273" s="344"/>
      <c r="L273" s="345"/>
    </row>
    <row r="274" spans="1:12" x14ac:dyDescent="0.3">
      <c r="A274" s="344">
        <v>13</v>
      </c>
      <c r="B274" s="344" t="s">
        <v>216</v>
      </c>
      <c r="C274" s="344" t="s">
        <v>224</v>
      </c>
      <c r="D274" s="344" t="s">
        <v>224</v>
      </c>
      <c r="E274" s="344" t="s">
        <v>226</v>
      </c>
      <c r="F274" s="350">
        <v>234</v>
      </c>
      <c r="G274" s="344">
        <v>97</v>
      </c>
      <c r="H274" s="344">
        <v>20</v>
      </c>
      <c r="I274" s="344"/>
      <c r="J274" s="344"/>
      <c r="K274" s="344"/>
      <c r="L274" s="345"/>
    </row>
    <row r="275" spans="1:12" x14ac:dyDescent="0.3">
      <c r="A275" s="344">
        <v>14</v>
      </c>
      <c r="B275" s="344" t="s">
        <v>216</v>
      </c>
      <c r="C275" s="344" t="s">
        <v>224</v>
      </c>
      <c r="D275" s="344" t="s">
        <v>224</v>
      </c>
      <c r="E275" s="344" t="s">
        <v>226</v>
      </c>
      <c r="F275" s="350">
        <v>282</v>
      </c>
      <c r="G275" s="344">
        <v>86</v>
      </c>
      <c r="H275" s="344">
        <v>20</v>
      </c>
      <c r="I275" s="344"/>
      <c r="J275" s="344"/>
      <c r="K275" s="344"/>
      <c r="L275" s="345"/>
    </row>
    <row r="276" spans="1:12" x14ac:dyDescent="0.3">
      <c r="A276" s="344">
        <v>15</v>
      </c>
      <c r="B276" s="344" t="s">
        <v>216</v>
      </c>
      <c r="C276" s="344" t="s">
        <v>224</v>
      </c>
      <c r="D276" s="344" t="s">
        <v>224</v>
      </c>
      <c r="E276" s="344" t="s">
        <v>226</v>
      </c>
      <c r="F276" s="350">
        <v>355</v>
      </c>
      <c r="G276" s="344">
        <v>110</v>
      </c>
      <c r="H276" s="344">
        <v>21</v>
      </c>
      <c r="I276" s="344"/>
      <c r="J276" s="344"/>
      <c r="K276" s="344"/>
      <c r="L276" s="345"/>
    </row>
    <row r="277" spans="1:12" x14ac:dyDescent="0.3">
      <c r="A277" s="344">
        <v>16</v>
      </c>
      <c r="B277" s="344" t="s">
        <v>216</v>
      </c>
      <c r="C277" s="344" t="s">
        <v>224</v>
      </c>
      <c r="D277" s="344" t="s">
        <v>224</v>
      </c>
      <c r="E277" s="344" t="s">
        <v>226</v>
      </c>
      <c r="F277" s="350">
        <v>309</v>
      </c>
      <c r="G277" s="344">
        <v>99</v>
      </c>
      <c r="H277" s="344">
        <v>19</v>
      </c>
      <c r="I277" s="344"/>
      <c r="J277" s="344"/>
      <c r="K277" s="344"/>
      <c r="L277" s="345"/>
    </row>
    <row r="278" spans="1:12" x14ac:dyDescent="0.3">
      <c r="A278" s="344">
        <v>17</v>
      </c>
      <c r="B278" s="344" t="s">
        <v>216</v>
      </c>
      <c r="C278" s="344" t="s">
        <v>224</v>
      </c>
      <c r="D278" s="344" t="s">
        <v>224</v>
      </c>
      <c r="E278" s="344" t="s">
        <v>226</v>
      </c>
      <c r="F278" s="350">
        <v>356</v>
      </c>
      <c r="G278" s="344">
        <v>103</v>
      </c>
      <c r="H278" s="344">
        <v>19</v>
      </c>
      <c r="I278" s="344"/>
      <c r="J278" s="344"/>
      <c r="K278" s="344"/>
      <c r="L278" s="345"/>
    </row>
    <row r="279" spans="1:12" x14ac:dyDescent="0.3">
      <c r="A279" s="344">
        <v>18</v>
      </c>
      <c r="B279" s="344" t="s">
        <v>216</v>
      </c>
      <c r="C279" s="344" t="s">
        <v>224</v>
      </c>
      <c r="D279" s="344" t="s">
        <v>224</v>
      </c>
      <c r="E279" s="344" t="s">
        <v>226</v>
      </c>
      <c r="F279" s="350">
        <v>624</v>
      </c>
      <c r="G279" s="344">
        <v>126</v>
      </c>
      <c r="H279" s="344">
        <v>20</v>
      </c>
      <c r="I279" s="344"/>
      <c r="J279" s="344"/>
      <c r="K279" s="344"/>
      <c r="L279" s="345"/>
    </row>
    <row r="280" spans="1:12" x14ac:dyDescent="0.3">
      <c r="A280" s="344">
        <v>19</v>
      </c>
      <c r="B280" s="344" t="s">
        <v>216</v>
      </c>
      <c r="C280" s="344" t="s">
        <v>224</v>
      </c>
      <c r="D280" s="344" t="s">
        <v>224</v>
      </c>
      <c r="E280" s="344" t="s">
        <v>226</v>
      </c>
      <c r="F280" s="350">
        <v>1189</v>
      </c>
      <c r="G280" s="344">
        <v>188</v>
      </c>
      <c r="H280" s="344">
        <v>38</v>
      </c>
      <c r="I280" s="344"/>
      <c r="J280" s="344"/>
      <c r="K280" s="344"/>
      <c r="L280" s="345"/>
    </row>
    <row r="281" spans="1:12" x14ac:dyDescent="0.3">
      <c r="A281" s="344">
        <v>20</v>
      </c>
      <c r="B281" s="344" t="s">
        <v>216</v>
      </c>
      <c r="C281" s="344" t="s">
        <v>224</v>
      </c>
      <c r="D281" s="344" t="s">
        <v>224</v>
      </c>
      <c r="E281" s="344" t="s">
        <v>226</v>
      </c>
      <c r="F281" s="350">
        <v>1449</v>
      </c>
      <c r="G281" s="344">
        <v>280</v>
      </c>
      <c r="H281" s="344">
        <v>37</v>
      </c>
      <c r="I281" s="344"/>
      <c r="J281" s="344"/>
      <c r="K281" s="344"/>
      <c r="L281" s="345"/>
    </row>
    <row r="282" spans="1:12" x14ac:dyDescent="0.3">
      <c r="A282" s="344">
        <v>21</v>
      </c>
      <c r="B282" s="344" t="s">
        <v>216</v>
      </c>
      <c r="C282" s="344" t="s">
        <v>224</v>
      </c>
      <c r="D282" s="344" t="s">
        <v>224</v>
      </c>
      <c r="E282" s="344" t="s">
        <v>226</v>
      </c>
      <c r="F282" s="350">
        <v>2160</v>
      </c>
      <c r="G282" s="344">
        <v>380</v>
      </c>
      <c r="H282" s="344">
        <v>51</v>
      </c>
      <c r="I282" s="344"/>
      <c r="J282" s="344"/>
      <c r="K282" s="358">
        <v>0.69320159133410897</v>
      </c>
      <c r="L282" s="362">
        <f>10^K282</f>
        <v>4.9340277910232508</v>
      </c>
    </row>
    <row r="283" spans="1:12" x14ac:dyDescent="0.3">
      <c r="A283" s="344">
        <v>22</v>
      </c>
      <c r="B283" s="344" t="s">
        <v>216</v>
      </c>
      <c r="C283" s="344" t="s">
        <v>224</v>
      </c>
      <c r="D283" s="344" t="s">
        <v>224</v>
      </c>
      <c r="E283" s="344" t="s">
        <v>226</v>
      </c>
      <c r="F283" s="350">
        <v>3089</v>
      </c>
      <c r="G283" s="344">
        <v>488</v>
      </c>
      <c r="H283" s="344">
        <v>72</v>
      </c>
      <c r="I283" s="344"/>
      <c r="J283" s="344"/>
      <c r="K283" s="344"/>
      <c r="L283" s="362"/>
    </row>
    <row r="284" spans="1:12" x14ac:dyDescent="0.3">
      <c r="A284" s="344">
        <v>23</v>
      </c>
      <c r="B284" s="344" t="s">
        <v>216</v>
      </c>
      <c r="C284" s="344" t="s">
        <v>224</v>
      </c>
      <c r="D284" s="344" t="s">
        <v>224</v>
      </c>
      <c r="E284" s="344" t="s">
        <v>226</v>
      </c>
      <c r="F284" s="350">
        <v>5783</v>
      </c>
      <c r="G284" s="344">
        <v>675</v>
      </c>
      <c r="H284" s="344">
        <v>120</v>
      </c>
      <c r="I284" s="344"/>
      <c r="J284" s="344"/>
      <c r="K284" s="358">
        <v>1.4767399557691452</v>
      </c>
      <c r="L284" s="362">
        <f t="shared" ref="L284:L312" si="4">10^K284</f>
        <v>29.973672360790005</v>
      </c>
    </row>
    <row r="285" spans="1:12" x14ac:dyDescent="0.3">
      <c r="A285" s="344">
        <v>24</v>
      </c>
      <c r="B285" s="344" t="s">
        <v>216</v>
      </c>
      <c r="C285" s="344" t="s">
        <v>224</v>
      </c>
      <c r="D285" s="344" t="s">
        <v>224</v>
      </c>
      <c r="E285" s="344" t="s">
        <v>226</v>
      </c>
      <c r="F285" s="350">
        <v>9089</v>
      </c>
      <c r="G285" s="344">
        <v>908</v>
      </c>
      <c r="H285" s="344">
        <v>190</v>
      </c>
      <c r="I285" s="344"/>
      <c r="J285" s="344"/>
      <c r="K285" s="358">
        <v>1.3786002012042802</v>
      </c>
      <c r="L285" s="362">
        <f t="shared" si="4"/>
        <v>23.911135537283812</v>
      </c>
    </row>
    <row r="286" spans="1:12" x14ac:dyDescent="0.3">
      <c r="A286" s="344">
        <v>25</v>
      </c>
      <c r="B286" s="344" t="s">
        <v>216</v>
      </c>
      <c r="C286" s="344" t="s">
        <v>224</v>
      </c>
      <c r="D286" s="344" t="s">
        <v>224</v>
      </c>
      <c r="E286" s="344" t="s">
        <v>226</v>
      </c>
      <c r="F286" s="350">
        <v>12206</v>
      </c>
      <c r="G286" s="344">
        <v>1156</v>
      </c>
      <c r="H286" s="344">
        <v>273</v>
      </c>
      <c r="I286" s="344"/>
      <c r="J286" s="344"/>
      <c r="K286" s="358">
        <v>8.1595614103199515E-2</v>
      </c>
      <c r="L286" s="362">
        <f t="shared" si="4"/>
        <v>1.20668972329218</v>
      </c>
    </row>
    <row r="287" spans="1:12" x14ac:dyDescent="0.3">
      <c r="A287" s="344">
        <v>26</v>
      </c>
      <c r="B287" s="344" t="s">
        <v>216</v>
      </c>
      <c r="C287" s="344" t="s">
        <v>224</v>
      </c>
      <c r="D287" s="344" t="s">
        <v>224</v>
      </c>
      <c r="E287" s="344" t="s">
        <v>226</v>
      </c>
      <c r="F287" s="350">
        <v>14104</v>
      </c>
      <c r="G287" s="344">
        <v>1378</v>
      </c>
      <c r="H287" s="344">
        <v>366</v>
      </c>
      <c r="I287" s="344"/>
      <c r="J287" s="344"/>
      <c r="K287" s="344"/>
      <c r="L287" s="362"/>
    </row>
    <row r="288" spans="1:12" x14ac:dyDescent="0.3">
      <c r="A288" s="344">
        <v>27</v>
      </c>
      <c r="B288" s="344" t="s">
        <v>216</v>
      </c>
      <c r="C288" s="344" t="s">
        <v>224</v>
      </c>
      <c r="D288" s="344" t="s">
        <v>224</v>
      </c>
      <c r="E288" s="344" t="s">
        <v>226</v>
      </c>
      <c r="F288" s="350">
        <v>11885</v>
      </c>
      <c r="G288" s="344">
        <v>1452</v>
      </c>
      <c r="H288" s="344">
        <v>412</v>
      </c>
      <c r="I288" s="344"/>
      <c r="J288" s="344"/>
      <c r="K288" s="358">
        <v>1.3898618752446559</v>
      </c>
      <c r="L288" s="362">
        <f t="shared" si="4"/>
        <v>24.539283343723799</v>
      </c>
    </row>
    <row r="289" spans="1:12" x14ac:dyDescent="0.3">
      <c r="A289" s="344">
        <v>28</v>
      </c>
      <c r="B289" s="344" t="s">
        <v>216</v>
      </c>
      <c r="C289" s="344" t="s">
        <v>224</v>
      </c>
      <c r="D289" s="344" t="s">
        <v>224</v>
      </c>
      <c r="E289" s="344" t="s">
        <v>226</v>
      </c>
      <c r="F289" s="350">
        <v>6785</v>
      </c>
      <c r="G289" s="344">
        <v>1289</v>
      </c>
      <c r="H289" s="344">
        <v>423</v>
      </c>
      <c r="I289" s="344"/>
      <c r="J289" s="344"/>
      <c r="K289" s="344"/>
      <c r="L289" s="362"/>
    </row>
    <row r="290" spans="1:12" x14ac:dyDescent="0.3">
      <c r="A290" s="344">
        <v>29</v>
      </c>
      <c r="B290" s="344" t="s">
        <v>216</v>
      </c>
      <c r="C290" s="344" t="s">
        <v>224</v>
      </c>
      <c r="D290" s="344" t="s">
        <v>224</v>
      </c>
      <c r="E290" s="344" t="s">
        <v>226</v>
      </c>
      <c r="F290" s="350">
        <v>4308</v>
      </c>
      <c r="G290" s="344">
        <v>1019</v>
      </c>
      <c r="H290" s="344">
        <v>343</v>
      </c>
      <c r="I290" s="344"/>
      <c r="J290" s="344"/>
      <c r="K290" s="358">
        <v>1.4178425319268675</v>
      </c>
      <c r="L290" s="362">
        <f t="shared" si="4"/>
        <v>26.172338699807906</v>
      </c>
    </row>
    <row r="291" spans="1:12" x14ac:dyDescent="0.3">
      <c r="A291" s="344">
        <v>30</v>
      </c>
      <c r="B291" s="344" t="s">
        <v>216</v>
      </c>
      <c r="C291" s="344" t="s">
        <v>224</v>
      </c>
      <c r="D291" s="344" t="s">
        <v>224</v>
      </c>
      <c r="E291" s="344" t="s">
        <v>226</v>
      </c>
      <c r="F291" s="350">
        <v>3759</v>
      </c>
      <c r="G291" s="344">
        <v>615</v>
      </c>
      <c r="H291" s="344">
        <v>283</v>
      </c>
      <c r="I291" s="344"/>
      <c r="J291" s="344"/>
      <c r="K291" s="358">
        <v>1.7364825767997418</v>
      </c>
      <c r="L291" s="362">
        <f t="shared" si="4"/>
        <v>54.510802638774031</v>
      </c>
    </row>
    <row r="292" spans="1:12" x14ac:dyDescent="0.3">
      <c r="A292" s="344">
        <v>31</v>
      </c>
      <c r="B292" s="344" t="s">
        <v>216</v>
      </c>
      <c r="C292" s="344" t="s">
        <v>224</v>
      </c>
      <c r="D292" s="344" t="s">
        <v>224</v>
      </c>
      <c r="E292" s="344" t="s">
        <v>226</v>
      </c>
      <c r="F292" s="350">
        <v>2752</v>
      </c>
      <c r="G292" s="344">
        <v>519</v>
      </c>
      <c r="H292" s="344">
        <v>179</v>
      </c>
      <c r="I292" s="344"/>
      <c r="J292" s="344"/>
      <c r="K292" s="344"/>
      <c r="L292" s="362"/>
    </row>
    <row r="293" spans="1:12" x14ac:dyDescent="0.3">
      <c r="A293" s="344">
        <v>32</v>
      </c>
      <c r="B293" s="344" t="s">
        <v>216</v>
      </c>
      <c r="C293" s="344" t="s">
        <v>224</v>
      </c>
      <c r="D293" s="344" t="s">
        <v>224</v>
      </c>
      <c r="E293" s="344" t="s">
        <v>226</v>
      </c>
      <c r="F293" s="350">
        <v>1894</v>
      </c>
      <c r="G293" s="344">
        <v>387</v>
      </c>
      <c r="H293" s="344">
        <v>124</v>
      </c>
      <c r="I293" s="344"/>
      <c r="J293" s="344"/>
      <c r="K293" s="344"/>
      <c r="L293" s="362"/>
    </row>
    <row r="294" spans="1:12" x14ac:dyDescent="0.3">
      <c r="A294" s="344">
        <v>33</v>
      </c>
      <c r="B294" s="344" t="s">
        <v>216</v>
      </c>
      <c r="C294" s="344" t="s">
        <v>224</v>
      </c>
      <c r="D294" s="344" t="s">
        <v>224</v>
      </c>
      <c r="E294" s="344" t="s">
        <v>226</v>
      </c>
      <c r="F294" s="350">
        <v>1554</v>
      </c>
      <c r="G294" s="344">
        <v>355</v>
      </c>
      <c r="H294" s="344">
        <v>85</v>
      </c>
      <c r="I294" s="344"/>
      <c r="J294" s="344"/>
      <c r="K294" s="344"/>
      <c r="L294" s="362"/>
    </row>
    <row r="295" spans="1:12" x14ac:dyDescent="0.3">
      <c r="A295" s="344">
        <v>34</v>
      </c>
      <c r="B295" s="344" t="s">
        <v>216</v>
      </c>
      <c r="C295" s="344" t="s">
        <v>224</v>
      </c>
      <c r="D295" s="344" t="s">
        <v>224</v>
      </c>
      <c r="E295" s="344" t="s">
        <v>226</v>
      </c>
      <c r="F295" s="350">
        <v>946</v>
      </c>
      <c r="G295" s="344">
        <v>247</v>
      </c>
      <c r="H295" s="344">
        <v>69</v>
      </c>
      <c r="I295" s="344"/>
      <c r="J295" s="344"/>
      <c r="K295" s="358">
        <v>1.054198015441038</v>
      </c>
      <c r="L295" s="362">
        <f t="shared" si="4"/>
        <v>11.329167959641437</v>
      </c>
    </row>
    <row r="296" spans="1:12" x14ac:dyDescent="0.3">
      <c r="A296" s="344">
        <v>35</v>
      </c>
      <c r="B296" s="344" t="s">
        <v>216</v>
      </c>
      <c r="C296" s="344" t="s">
        <v>224</v>
      </c>
      <c r="D296" s="344" t="s">
        <v>224</v>
      </c>
      <c r="E296" s="344" t="s">
        <v>226</v>
      </c>
      <c r="F296" s="350">
        <v>633</v>
      </c>
      <c r="G296" s="344">
        <v>165</v>
      </c>
      <c r="H296" s="344">
        <v>43</v>
      </c>
      <c r="I296" s="344"/>
      <c r="J296" s="344"/>
      <c r="K296" s="358">
        <v>0.21414497442310321</v>
      </c>
      <c r="L296" s="362">
        <f t="shared" si="4"/>
        <v>1.63736300809043</v>
      </c>
    </row>
    <row r="297" spans="1:12" x14ac:dyDescent="0.3">
      <c r="A297" s="344">
        <v>36</v>
      </c>
      <c r="B297" s="344" t="s">
        <v>216</v>
      </c>
      <c r="C297" s="344" t="s">
        <v>224</v>
      </c>
      <c r="D297" s="344" t="s">
        <v>224</v>
      </c>
      <c r="E297" s="344" t="s">
        <v>226</v>
      </c>
      <c r="F297" s="350">
        <v>386</v>
      </c>
      <c r="G297" s="344">
        <v>141</v>
      </c>
      <c r="H297" s="344">
        <v>38</v>
      </c>
      <c r="I297" s="344"/>
      <c r="J297" s="344"/>
      <c r="K297" s="358">
        <v>4.6952116375213675E-2</v>
      </c>
      <c r="L297" s="362">
        <f t="shared" si="4"/>
        <v>1.1141716825718782</v>
      </c>
    </row>
    <row r="298" spans="1:12" x14ac:dyDescent="0.3">
      <c r="A298" s="344">
        <v>37</v>
      </c>
      <c r="B298" s="344" t="s">
        <v>216</v>
      </c>
      <c r="C298" s="344" t="s">
        <v>224</v>
      </c>
      <c r="D298" s="344" t="s">
        <v>224</v>
      </c>
      <c r="E298" s="344" t="s">
        <v>226</v>
      </c>
      <c r="F298" s="350">
        <v>306</v>
      </c>
      <c r="G298" s="344">
        <v>96</v>
      </c>
      <c r="H298" s="344">
        <v>34</v>
      </c>
      <c r="I298" s="344"/>
      <c r="J298" s="344"/>
      <c r="K298" s="344"/>
      <c r="L298" s="362"/>
    </row>
    <row r="299" spans="1:12" x14ac:dyDescent="0.3">
      <c r="A299" s="344">
        <v>38</v>
      </c>
      <c r="B299" s="344" t="s">
        <v>216</v>
      </c>
      <c r="C299" s="344" t="s">
        <v>224</v>
      </c>
      <c r="D299" s="344" t="s">
        <v>224</v>
      </c>
      <c r="E299" s="344" t="s">
        <v>226</v>
      </c>
      <c r="F299" s="350">
        <v>197</v>
      </c>
      <c r="G299" s="344">
        <v>78</v>
      </c>
      <c r="H299" s="344">
        <v>17</v>
      </c>
      <c r="I299" s="344"/>
      <c r="J299" s="344"/>
      <c r="K299" s="358">
        <v>0.33332238673924425</v>
      </c>
      <c r="L299" s="362">
        <f t="shared" si="4"/>
        <v>2.1543803871894371</v>
      </c>
    </row>
    <row r="300" spans="1:12" x14ac:dyDescent="0.3">
      <c r="A300" s="344">
        <v>39</v>
      </c>
      <c r="B300" s="344" t="s">
        <v>216</v>
      </c>
      <c r="C300" s="344" t="s">
        <v>224</v>
      </c>
      <c r="D300" s="344" t="s">
        <v>224</v>
      </c>
      <c r="E300" s="344" t="s">
        <v>226</v>
      </c>
      <c r="F300" s="350">
        <v>161</v>
      </c>
      <c r="G300" s="344">
        <v>74</v>
      </c>
      <c r="H300" s="344">
        <v>20</v>
      </c>
      <c r="I300" s="344"/>
      <c r="J300" s="344"/>
      <c r="K300" s="358">
        <v>0</v>
      </c>
      <c r="L300" s="362">
        <f t="shared" si="4"/>
        <v>1</v>
      </c>
    </row>
    <row r="301" spans="1:12" x14ac:dyDescent="0.3">
      <c r="A301" s="344">
        <v>40</v>
      </c>
      <c r="B301" s="344" t="s">
        <v>216</v>
      </c>
      <c r="C301" s="344" t="s">
        <v>224</v>
      </c>
      <c r="D301" s="344" t="s">
        <v>224</v>
      </c>
      <c r="E301" s="344" t="s">
        <v>226</v>
      </c>
      <c r="F301" s="350">
        <v>99</v>
      </c>
      <c r="G301" s="344">
        <v>61</v>
      </c>
      <c r="H301" s="344">
        <v>14</v>
      </c>
      <c r="I301" s="344"/>
      <c r="J301" s="344"/>
      <c r="K301" s="358">
        <v>0</v>
      </c>
      <c r="L301" s="362">
        <f t="shared" si="4"/>
        <v>1</v>
      </c>
    </row>
    <row r="302" spans="1:12" x14ac:dyDescent="0.3">
      <c r="A302" s="344">
        <v>41</v>
      </c>
      <c r="B302" s="344" t="s">
        <v>216</v>
      </c>
      <c r="C302" s="344" t="s">
        <v>224</v>
      </c>
      <c r="D302" s="344" t="s">
        <v>224</v>
      </c>
      <c r="E302" s="344" t="s">
        <v>226</v>
      </c>
      <c r="F302" s="350">
        <v>93</v>
      </c>
      <c r="G302" s="344">
        <v>49</v>
      </c>
      <c r="H302" s="344">
        <v>12</v>
      </c>
      <c r="I302" s="344"/>
      <c r="J302" s="344"/>
      <c r="K302" s="358">
        <v>0</v>
      </c>
      <c r="L302" s="362">
        <f t="shared" si="4"/>
        <v>1</v>
      </c>
    </row>
    <row r="303" spans="1:12" x14ac:dyDescent="0.3">
      <c r="A303" s="344">
        <v>42</v>
      </c>
      <c r="B303" s="344" t="s">
        <v>216</v>
      </c>
      <c r="C303" s="344" t="s">
        <v>224</v>
      </c>
      <c r="D303" s="344" t="s">
        <v>224</v>
      </c>
      <c r="E303" s="344" t="s">
        <v>226</v>
      </c>
      <c r="F303" s="350">
        <v>56</v>
      </c>
      <c r="G303" s="344">
        <v>33</v>
      </c>
      <c r="H303" s="344">
        <v>10</v>
      </c>
      <c r="I303" s="344"/>
      <c r="J303" s="344"/>
      <c r="K303" s="344"/>
      <c r="L303" s="362"/>
    </row>
    <row r="304" spans="1:12" x14ac:dyDescent="0.3">
      <c r="A304" s="344">
        <v>43</v>
      </c>
      <c r="B304" s="344" t="s">
        <v>216</v>
      </c>
      <c r="C304" s="344" t="s">
        <v>224</v>
      </c>
      <c r="D304" s="344" t="s">
        <v>224</v>
      </c>
      <c r="E304" s="344" t="s">
        <v>226</v>
      </c>
      <c r="F304" s="350">
        <v>44</v>
      </c>
      <c r="G304" s="344">
        <v>27</v>
      </c>
      <c r="H304" s="344">
        <v>3</v>
      </c>
      <c r="I304" s="344"/>
      <c r="J304" s="344"/>
      <c r="K304" s="358">
        <v>0</v>
      </c>
      <c r="L304" s="362">
        <f t="shared" si="4"/>
        <v>1</v>
      </c>
    </row>
    <row r="305" spans="1:12" x14ac:dyDescent="0.3">
      <c r="A305" s="344">
        <v>44</v>
      </c>
      <c r="B305" s="344" t="s">
        <v>216</v>
      </c>
      <c r="C305" s="344" t="s">
        <v>224</v>
      </c>
      <c r="D305" s="344" t="s">
        <v>224</v>
      </c>
      <c r="E305" s="344" t="s">
        <v>226</v>
      </c>
      <c r="F305" s="350">
        <v>35</v>
      </c>
      <c r="G305" s="344">
        <v>22</v>
      </c>
      <c r="H305" s="344">
        <v>2</v>
      </c>
      <c r="I305" s="344"/>
      <c r="J305" s="344"/>
      <c r="K305" s="358">
        <v>0.59656510888745373</v>
      </c>
      <c r="L305" s="362">
        <f t="shared" si="4"/>
        <v>3.949709084569192</v>
      </c>
    </row>
    <row r="306" spans="1:12" x14ac:dyDescent="0.3">
      <c r="A306" s="344">
        <v>45</v>
      </c>
      <c r="B306" s="344" t="s">
        <v>216</v>
      </c>
      <c r="C306" s="344" t="s">
        <v>224</v>
      </c>
      <c r="D306" s="344" t="s">
        <v>224</v>
      </c>
      <c r="E306" s="344" t="s">
        <v>226</v>
      </c>
      <c r="F306" s="350">
        <v>56</v>
      </c>
      <c r="G306" s="344">
        <v>21</v>
      </c>
      <c r="H306" s="344">
        <v>2</v>
      </c>
      <c r="I306" s="344"/>
      <c r="J306" s="344"/>
      <c r="K306" s="358">
        <v>0</v>
      </c>
      <c r="L306" s="362">
        <f t="shared" si="4"/>
        <v>1</v>
      </c>
    </row>
    <row r="307" spans="1:12" x14ac:dyDescent="0.3">
      <c r="A307" s="344">
        <v>46</v>
      </c>
      <c r="B307" s="344" t="s">
        <v>216</v>
      </c>
      <c r="C307" s="344" t="s">
        <v>224</v>
      </c>
      <c r="D307" s="344" t="s">
        <v>224</v>
      </c>
      <c r="E307" s="344" t="s">
        <v>226</v>
      </c>
      <c r="F307" s="350">
        <v>173</v>
      </c>
      <c r="G307" s="344">
        <v>32</v>
      </c>
      <c r="H307" s="344">
        <v>4</v>
      </c>
      <c r="I307" s="344"/>
      <c r="J307" s="344"/>
      <c r="K307" s="358">
        <v>1.0141204489331759</v>
      </c>
      <c r="L307" s="362">
        <f t="shared" si="4"/>
        <v>10.33047875579523</v>
      </c>
    </row>
    <row r="308" spans="1:12" x14ac:dyDescent="0.3">
      <c r="A308" s="344">
        <v>47</v>
      </c>
      <c r="B308" s="344" t="s">
        <v>216</v>
      </c>
      <c r="C308" s="344" t="s">
        <v>224</v>
      </c>
      <c r="D308" s="344" t="s">
        <v>224</v>
      </c>
      <c r="E308" s="344" t="s">
        <v>226</v>
      </c>
      <c r="F308" s="350">
        <v>984</v>
      </c>
      <c r="G308" s="344">
        <v>127</v>
      </c>
      <c r="H308" s="344">
        <v>3</v>
      </c>
      <c r="I308" s="344"/>
      <c r="J308" s="344"/>
      <c r="K308" s="358">
        <v>0.58987376179199458</v>
      </c>
      <c r="L308" s="362">
        <f t="shared" si="4"/>
        <v>3.8893207603571365</v>
      </c>
    </row>
    <row r="309" spans="1:12" x14ac:dyDescent="0.3">
      <c r="A309" s="344">
        <v>48</v>
      </c>
      <c r="B309" s="344" t="s">
        <v>216</v>
      </c>
      <c r="C309" s="344" t="s">
        <v>224</v>
      </c>
      <c r="D309" s="344" t="s">
        <v>224</v>
      </c>
      <c r="E309" s="344" t="s">
        <v>226</v>
      </c>
      <c r="F309" s="350">
        <v>7535</v>
      </c>
      <c r="G309" s="344">
        <v>416</v>
      </c>
      <c r="H309" s="344">
        <v>12</v>
      </c>
      <c r="I309" s="344"/>
      <c r="J309" s="344"/>
      <c r="K309" s="358">
        <v>2.1143653123664219</v>
      </c>
      <c r="L309" s="362">
        <f t="shared" si="4"/>
        <v>130.12636924276541</v>
      </c>
    </row>
    <row r="310" spans="1:12" x14ac:dyDescent="0.3">
      <c r="A310" s="344">
        <v>49</v>
      </c>
      <c r="B310" s="344" t="s">
        <v>216</v>
      </c>
      <c r="C310" s="344" t="s">
        <v>224</v>
      </c>
      <c r="D310" s="344" t="s">
        <v>224</v>
      </c>
      <c r="E310" s="344" t="s">
        <v>226</v>
      </c>
      <c r="F310" s="350">
        <v>11042</v>
      </c>
      <c r="G310" s="344">
        <v>667</v>
      </c>
      <c r="H310" s="344">
        <v>29</v>
      </c>
      <c r="I310" s="344"/>
      <c r="J310" s="344"/>
      <c r="K310" s="358">
        <v>2.6296205161834725</v>
      </c>
      <c r="L310" s="362">
        <f t="shared" si="4"/>
        <v>426.20693907445821</v>
      </c>
    </row>
    <row r="311" spans="1:12" x14ac:dyDescent="0.3">
      <c r="A311" s="344">
        <v>50</v>
      </c>
      <c r="B311" s="344" t="s">
        <v>216</v>
      </c>
      <c r="C311" s="344" t="s">
        <v>224</v>
      </c>
      <c r="D311" s="344" t="s">
        <v>224</v>
      </c>
      <c r="E311" s="344" t="s">
        <v>226</v>
      </c>
      <c r="F311" s="350">
        <v>4936</v>
      </c>
      <c r="G311" s="344">
        <v>651</v>
      </c>
      <c r="H311" s="344">
        <v>63</v>
      </c>
      <c r="I311" s="344"/>
      <c r="J311" s="344"/>
      <c r="K311" s="344"/>
      <c r="L311" s="362"/>
    </row>
    <row r="312" spans="1:12" x14ac:dyDescent="0.3">
      <c r="A312" s="344">
        <v>51</v>
      </c>
      <c r="B312" s="344" t="s">
        <v>216</v>
      </c>
      <c r="C312" s="344" t="s">
        <v>224</v>
      </c>
      <c r="D312" s="344" t="s">
        <v>224</v>
      </c>
      <c r="E312" s="344" t="s">
        <v>226</v>
      </c>
      <c r="F312" s="350">
        <v>2510</v>
      </c>
      <c r="G312" s="344">
        <v>454</v>
      </c>
      <c r="H312" s="344">
        <v>63</v>
      </c>
      <c r="I312" s="344"/>
      <c r="J312" s="344"/>
      <c r="K312" s="358">
        <v>1.9068106778091378</v>
      </c>
      <c r="L312" s="362">
        <f t="shared" si="4"/>
        <v>80.688320860570855</v>
      </c>
    </row>
    <row r="313" spans="1:12" x14ac:dyDescent="0.3">
      <c r="A313" s="344">
        <v>52</v>
      </c>
      <c r="B313" s="344" t="s">
        <v>216</v>
      </c>
      <c r="C313" s="344" t="s">
        <v>224</v>
      </c>
      <c r="D313" s="344" t="s">
        <v>224</v>
      </c>
      <c r="E313" s="344" t="s">
        <v>226</v>
      </c>
      <c r="F313" s="350">
        <v>1279</v>
      </c>
      <c r="G313" s="344">
        <v>348</v>
      </c>
      <c r="H313" s="344">
        <v>53</v>
      </c>
      <c r="I313" s="344"/>
      <c r="J313" s="344"/>
      <c r="K313" s="344"/>
      <c r="L313" s="345"/>
    </row>
    <row r="314" spans="1:12" x14ac:dyDescent="0.3">
      <c r="A314" s="369">
        <v>1</v>
      </c>
      <c r="B314" s="369" t="s">
        <v>7</v>
      </c>
      <c r="C314" s="369" t="s">
        <v>227</v>
      </c>
      <c r="D314" s="369" t="s">
        <v>259</v>
      </c>
      <c r="E314" s="369" t="s">
        <v>228</v>
      </c>
      <c r="F314" s="370">
        <v>13461</v>
      </c>
      <c r="G314" s="369">
        <v>2792</v>
      </c>
      <c r="H314" s="369">
        <v>580</v>
      </c>
      <c r="I314" s="369"/>
      <c r="J314" s="369"/>
      <c r="K314" s="369"/>
      <c r="L314" s="371"/>
    </row>
    <row r="315" spans="1:12" x14ac:dyDescent="0.3">
      <c r="A315" s="369">
        <v>2</v>
      </c>
      <c r="B315" s="369" t="s">
        <v>7</v>
      </c>
      <c r="C315" s="369" t="s">
        <v>227</v>
      </c>
      <c r="D315" s="369" t="s">
        <v>259</v>
      </c>
      <c r="E315" s="369" t="s">
        <v>228</v>
      </c>
      <c r="F315" s="370">
        <v>8308</v>
      </c>
      <c r="G315" s="369">
        <v>2565</v>
      </c>
      <c r="H315" s="369">
        <v>499</v>
      </c>
      <c r="I315" s="369"/>
      <c r="J315" s="369"/>
      <c r="K315" s="369"/>
      <c r="L315" s="371"/>
    </row>
    <row r="316" spans="1:12" x14ac:dyDescent="0.3">
      <c r="A316" s="369">
        <v>3</v>
      </c>
      <c r="B316" s="369" t="s">
        <v>7</v>
      </c>
      <c r="C316" s="369" t="s">
        <v>227</v>
      </c>
      <c r="D316" s="369" t="s">
        <v>259</v>
      </c>
      <c r="E316" s="369" t="s">
        <v>228</v>
      </c>
      <c r="F316" s="370">
        <v>4260</v>
      </c>
      <c r="G316" s="369">
        <v>1496</v>
      </c>
      <c r="H316" s="369">
        <v>417</v>
      </c>
      <c r="I316" s="369"/>
      <c r="J316" s="369"/>
      <c r="K316" s="369"/>
      <c r="L316" s="371"/>
    </row>
    <row r="317" spans="1:12" x14ac:dyDescent="0.3">
      <c r="A317" s="369">
        <v>4</v>
      </c>
      <c r="B317" s="369" t="s">
        <v>7</v>
      </c>
      <c r="C317" s="369" t="s">
        <v>227</v>
      </c>
      <c r="D317" s="369" t="s">
        <v>259</v>
      </c>
      <c r="E317" s="369" t="s">
        <v>228</v>
      </c>
      <c r="F317" s="370">
        <v>2387</v>
      </c>
      <c r="G317" s="369">
        <v>899</v>
      </c>
      <c r="H317" s="369">
        <v>246</v>
      </c>
      <c r="I317" s="369"/>
      <c r="J317" s="369"/>
      <c r="K317" s="369"/>
      <c r="L317" s="371"/>
    </row>
    <row r="318" spans="1:12" x14ac:dyDescent="0.3">
      <c r="A318" s="369">
        <v>5</v>
      </c>
      <c r="B318" s="369" t="s">
        <v>7</v>
      </c>
      <c r="C318" s="369" t="s">
        <v>227</v>
      </c>
      <c r="D318" s="369" t="s">
        <v>259</v>
      </c>
      <c r="E318" s="369" t="s">
        <v>228</v>
      </c>
      <c r="F318" s="370">
        <v>1648</v>
      </c>
      <c r="G318" s="369">
        <v>636</v>
      </c>
      <c r="H318" s="369">
        <v>182</v>
      </c>
      <c r="I318" s="369"/>
      <c r="J318" s="369"/>
      <c r="K318" s="369"/>
      <c r="L318" s="371"/>
    </row>
    <row r="319" spans="1:12" x14ac:dyDescent="0.3">
      <c r="A319" s="369">
        <v>6</v>
      </c>
      <c r="B319" s="369" t="s">
        <v>7</v>
      </c>
      <c r="C319" s="369" t="s">
        <v>227</v>
      </c>
      <c r="D319" s="369" t="s">
        <v>259</v>
      </c>
      <c r="E319" s="369" t="s">
        <v>228</v>
      </c>
      <c r="F319" s="370">
        <v>1265</v>
      </c>
      <c r="G319" s="369">
        <v>480</v>
      </c>
      <c r="H319" s="369">
        <v>124</v>
      </c>
      <c r="I319" s="369"/>
      <c r="J319" s="369"/>
      <c r="K319" s="369"/>
      <c r="L319" s="371"/>
    </row>
    <row r="320" spans="1:12" x14ac:dyDescent="0.3">
      <c r="A320" s="369">
        <v>7</v>
      </c>
      <c r="B320" s="369" t="s">
        <v>7</v>
      </c>
      <c r="C320" s="369" t="s">
        <v>227</v>
      </c>
      <c r="D320" s="369" t="s">
        <v>259</v>
      </c>
      <c r="E320" s="369" t="s">
        <v>228</v>
      </c>
      <c r="F320" s="370">
        <v>1003</v>
      </c>
      <c r="G320" s="369">
        <v>384</v>
      </c>
      <c r="H320" s="369">
        <v>80</v>
      </c>
      <c r="I320" s="369"/>
      <c r="J320" s="369"/>
      <c r="K320" s="369"/>
      <c r="L320" s="371"/>
    </row>
    <row r="321" spans="1:12" x14ac:dyDescent="0.3">
      <c r="A321" s="369">
        <v>8</v>
      </c>
      <c r="B321" s="369" t="s">
        <v>7</v>
      </c>
      <c r="C321" s="369" t="s">
        <v>227</v>
      </c>
      <c r="D321" s="369" t="s">
        <v>259</v>
      </c>
      <c r="E321" s="369" t="s">
        <v>228</v>
      </c>
      <c r="F321" s="370">
        <v>867</v>
      </c>
      <c r="G321" s="369">
        <v>299</v>
      </c>
      <c r="H321" s="369">
        <v>71</v>
      </c>
      <c r="I321" s="369"/>
      <c r="J321" s="369"/>
      <c r="K321" s="369"/>
      <c r="L321" s="371"/>
    </row>
    <row r="322" spans="1:12" x14ac:dyDescent="0.3">
      <c r="A322" s="369">
        <v>9</v>
      </c>
      <c r="B322" s="369" t="s">
        <v>7</v>
      </c>
      <c r="C322" s="369" t="s">
        <v>227</v>
      </c>
      <c r="D322" s="369" t="s">
        <v>259</v>
      </c>
      <c r="E322" s="369" t="s">
        <v>228</v>
      </c>
      <c r="F322" s="370">
        <v>667</v>
      </c>
      <c r="G322" s="369">
        <v>266</v>
      </c>
      <c r="H322" s="369">
        <v>37</v>
      </c>
      <c r="I322" s="369"/>
      <c r="J322" s="369"/>
      <c r="K322" s="369"/>
      <c r="L322" s="371"/>
    </row>
    <row r="323" spans="1:12" x14ac:dyDescent="0.3">
      <c r="A323" s="369">
        <v>10</v>
      </c>
      <c r="B323" s="369" t="s">
        <v>7</v>
      </c>
      <c r="C323" s="369" t="s">
        <v>227</v>
      </c>
      <c r="D323" s="369" t="s">
        <v>259</v>
      </c>
      <c r="E323" s="369" t="s">
        <v>228</v>
      </c>
      <c r="F323" s="370">
        <v>544</v>
      </c>
      <c r="G323" s="369">
        <v>236</v>
      </c>
      <c r="H323" s="369">
        <v>32</v>
      </c>
      <c r="I323" s="369"/>
      <c r="J323" s="369"/>
      <c r="K323" s="372">
        <v>-0.22154995348953427</v>
      </c>
      <c r="L323" s="373">
        <f>10^K323</f>
        <v>0.60041294414169899</v>
      </c>
    </row>
    <row r="324" spans="1:12" x14ac:dyDescent="0.3">
      <c r="A324" s="369">
        <v>11</v>
      </c>
      <c r="B324" s="369" t="s">
        <v>7</v>
      </c>
      <c r="C324" s="369" t="s">
        <v>227</v>
      </c>
      <c r="D324" s="369" t="s">
        <v>259</v>
      </c>
      <c r="E324" s="369" t="s">
        <v>228</v>
      </c>
      <c r="F324" s="370">
        <v>530</v>
      </c>
      <c r="G324" s="369">
        <v>222</v>
      </c>
      <c r="H324" s="369">
        <v>32</v>
      </c>
      <c r="I324" s="369"/>
      <c r="J324" s="369"/>
      <c r="K324" s="369"/>
      <c r="L324" s="371"/>
    </row>
    <row r="325" spans="1:12" x14ac:dyDescent="0.3">
      <c r="A325" s="369">
        <v>12</v>
      </c>
      <c r="B325" s="369" t="s">
        <v>7</v>
      </c>
      <c r="C325" s="369" t="s">
        <v>227</v>
      </c>
      <c r="D325" s="369" t="s">
        <v>259</v>
      </c>
      <c r="E325" s="369" t="s">
        <v>228</v>
      </c>
      <c r="F325" s="370">
        <v>609</v>
      </c>
      <c r="G325" s="369">
        <v>173</v>
      </c>
      <c r="H325" s="369">
        <v>28</v>
      </c>
      <c r="I325" s="369"/>
      <c r="J325" s="369"/>
      <c r="K325" s="369"/>
      <c r="L325" s="371"/>
    </row>
    <row r="326" spans="1:12" x14ac:dyDescent="0.3">
      <c r="A326" s="369">
        <v>13</v>
      </c>
      <c r="B326" s="369" t="s">
        <v>7</v>
      </c>
      <c r="C326" s="369" t="s">
        <v>227</v>
      </c>
      <c r="D326" s="369" t="s">
        <v>259</v>
      </c>
      <c r="E326" s="369" t="s">
        <v>228</v>
      </c>
      <c r="F326" s="370">
        <v>485</v>
      </c>
      <c r="G326" s="369">
        <v>182</v>
      </c>
      <c r="H326" s="369">
        <v>25</v>
      </c>
      <c r="I326" s="369"/>
      <c r="J326" s="369"/>
      <c r="K326" s="369"/>
      <c r="L326" s="371"/>
    </row>
    <row r="327" spans="1:12" x14ac:dyDescent="0.3">
      <c r="A327" s="369">
        <v>14</v>
      </c>
      <c r="B327" s="369" t="s">
        <v>7</v>
      </c>
      <c r="C327" s="369" t="s">
        <v>227</v>
      </c>
      <c r="D327" s="369" t="s">
        <v>259</v>
      </c>
      <c r="E327" s="369" t="s">
        <v>228</v>
      </c>
      <c r="F327" s="370">
        <v>495</v>
      </c>
      <c r="G327" s="369">
        <v>169</v>
      </c>
      <c r="H327" s="369">
        <v>24</v>
      </c>
      <c r="I327" s="369"/>
      <c r="J327" s="369"/>
      <c r="K327" s="369"/>
      <c r="L327" s="371"/>
    </row>
    <row r="328" spans="1:12" x14ac:dyDescent="0.3">
      <c r="A328" s="369">
        <v>15</v>
      </c>
      <c r="B328" s="369" t="s">
        <v>7</v>
      </c>
      <c r="C328" s="369" t="s">
        <v>227</v>
      </c>
      <c r="D328" s="369" t="s">
        <v>259</v>
      </c>
      <c r="E328" s="369" t="s">
        <v>228</v>
      </c>
      <c r="F328" s="370">
        <v>589</v>
      </c>
      <c r="G328" s="369">
        <v>157</v>
      </c>
      <c r="H328" s="369">
        <v>17</v>
      </c>
      <c r="I328" s="369"/>
      <c r="J328" s="369"/>
      <c r="K328" s="372">
        <v>-0.11296686745201115</v>
      </c>
      <c r="L328" s="373">
        <f>10^K328</f>
        <v>0.77096228392756705</v>
      </c>
    </row>
    <row r="329" spans="1:12" x14ac:dyDescent="0.3">
      <c r="A329" s="369">
        <v>16</v>
      </c>
      <c r="B329" s="369" t="s">
        <v>7</v>
      </c>
      <c r="C329" s="369" t="s">
        <v>227</v>
      </c>
      <c r="D329" s="369" t="s">
        <v>259</v>
      </c>
      <c r="E329" s="369" t="s">
        <v>228</v>
      </c>
      <c r="F329" s="370">
        <v>536</v>
      </c>
      <c r="G329" s="369">
        <v>156</v>
      </c>
      <c r="H329" s="369">
        <v>14</v>
      </c>
      <c r="I329" s="369"/>
      <c r="J329" s="369"/>
      <c r="K329" s="369"/>
      <c r="L329" s="371"/>
    </row>
    <row r="330" spans="1:12" x14ac:dyDescent="0.3">
      <c r="A330" s="369">
        <v>17</v>
      </c>
      <c r="B330" s="369" t="s">
        <v>7</v>
      </c>
      <c r="C330" s="369" t="s">
        <v>227</v>
      </c>
      <c r="D330" s="369" t="s">
        <v>259</v>
      </c>
      <c r="E330" s="369" t="s">
        <v>228</v>
      </c>
      <c r="F330" s="370">
        <v>579</v>
      </c>
      <c r="G330" s="369">
        <v>169</v>
      </c>
      <c r="H330" s="369">
        <v>16</v>
      </c>
      <c r="I330" s="369"/>
      <c r="J330" s="369"/>
      <c r="K330" s="369"/>
      <c r="L330" s="371"/>
    </row>
    <row r="331" spans="1:12" x14ac:dyDescent="0.3">
      <c r="A331" s="369">
        <v>18</v>
      </c>
      <c r="B331" s="369" t="s">
        <v>7</v>
      </c>
      <c r="C331" s="369" t="s">
        <v>227</v>
      </c>
      <c r="D331" s="369" t="s">
        <v>259</v>
      </c>
      <c r="E331" s="369" t="s">
        <v>228</v>
      </c>
      <c r="F331" s="370">
        <v>731</v>
      </c>
      <c r="G331" s="369">
        <v>183</v>
      </c>
      <c r="H331" s="369">
        <v>18</v>
      </c>
      <c r="I331" s="369"/>
      <c r="J331" s="369"/>
      <c r="K331" s="369"/>
      <c r="L331" s="371"/>
    </row>
    <row r="332" spans="1:12" x14ac:dyDescent="0.3">
      <c r="A332" s="369">
        <v>19</v>
      </c>
      <c r="B332" s="369" t="s">
        <v>7</v>
      </c>
      <c r="C332" s="369" t="s">
        <v>227</v>
      </c>
      <c r="D332" s="369" t="s">
        <v>259</v>
      </c>
      <c r="E332" s="369" t="s">
        <v>228</v>
      </c>
      <c r="F332" s="370">
        <v>975</v>
      </c>
      <c r="G332" s="369">
        <v>203</v>
      </c>
      <c r="H332" s="369">
        <v>25</v>
      </c>
      <c r="I332" s="369"/>
      <c r="J332" s="369"/>
      <c r="K332" s="369"/>
      <c r="L332" s="371"/>
    </row>
    <row r="333" spans="1:12" x14ac:dyDescent="0.3">
      <c r="A333" s="369">
        <v>20</v>
      </c>
      <c r="B333" s="369" t="s">
        <v>7</v>
      </c>
      <c r="C333" s="369" t="s">
        <v>227</v>
      </c>
      <c r="D333" s="369" t="s">
        <v>259</v>
      </c>
      <c r="E333" s="369" t="s">
        <v>228</v>
      </c>
      <c r="F333" s="370">
        <v>1084</v>
      </c>
      <c r="G333" s="369">
        <v>241</v>
      </c>
      <c r="H333" s="369">
        <v>24</v>
      </c>
      <c r="I333" s="369"/>
      <c r="J333" s="369"/>
      <c r="K333" s="369"/>
      <c r="L333" s="371"/>
    </row>
    <row r="334" spans="1:12" x14ac:dyDescent="0.3">
      <c r="A334" s="369">
        <v>21</v>
      </c>
      <c r="B334" s="369" t="s">
        <v>7</v>
      </c>
      <c r="C334" s="369" t="s">
        <v>227</v>
      </c>
      <c r="D334" s="369" t="s">
        <v>259</v>
      </c>
      <c r="E334" s="369" t="s">
        <v>228</v>
      </c>
      <c r="F334" s="370">
        <v>1366</v>
      </c>
      <c r="G334" s="369">
        <v>276</v>
      </c>
      <c r="H334" s="369">
        <v>27</v>
      </c>
      <c r="I334" s="369"/>
      <c r="J334" s="369"/>
      <c r="K334" s="369"/>
      <c r="L334" s="371"/>
    </row>
    <row r="335" spans="1:12" x14ac:dyDescent="0.3">
      <c r="A335" s="369">
        <v>22</v>
      </c>
      <c r="B335" s="369" t="s">
        <v>7</v>
      </c>
      <c r="C335" s="369" t="s">
        <v>227</v>
      </c>
      <c r="D335" s="369" t="s">
        <v>259</v>
      </c>
      <c r="E335" s="369" t="s">
        <v>228</v>
      </c>
      <c r="F335" s="370">
        <v>1723</v>
      </c>
      <c r="G335" s="369">
        <v>384</v>
      </c>
      <c r="H335" s="369">
        <v>29</v>
      </c>
      <c r="I335" s="369"/>
      <c r="J335" s="369"/>
      <c r="K335" s="369"/>
      <c r="L335" s="371"/>
    </row>
    <row r="336" spans="1:12" x14ac:dyDescent="0.3">
      <c r="A336" s="369">
        <v>23</v>
      </c>
      <c r="B336" s="369" t="s">
        <v>7</v>
      </c>
      <c r="C336" s="369" t="s">
        <v>227</v>
      </c>
      <c r="D336" s="369" t="s">
        <v>259</v>
      </c>
      <c r="E336" s="369" t="s">
        <v>228</v>
      </c>
      <c r="F336" s="370">
        <v>5065</v>
      </c>
      <c r="G336" s="369">
        <v>546</v>
      </c>
      <c r="H336" s="369">
        <v>73</v>
      </c>
      <c r="I336" s="369"/>
      <c r="J336" s="369"/>
      <c r="K336" s="372">
        <v>0.93691526344639775</v>
      </c>
      <c r="L336" s="373">
        <f>10^K336</f>
        <v>8.6479916864511921</v>
      </c>
    </row>
    <row r="337" spans="1:12" x14ac:dyDescent="0.3">
      <c r="A337" s="369">
        <v>24</v>
      </c>
      <c r="B337" s="369" t="s">
        <v>7</v>
      </c>
      <c r="C337" s="369" t="s">
        <v>227</v>
      </c>
      <c r="D337" s="369" t="s">
        <v>259</v>
      </c>
      <c r="E337" s="369" t="s">
        <v>228</v>
      </c>
      <c r="F337" s="370">
        <v>4576</v>
      </c>
      <c r="G337" s="369">
        <v>632</v>
      </c>
      <c r="H337" s="369">
        <v>73</v>
      </c>
      <c r="I337" s="369"/>
      <c r="J337" s="369"/>
      <c r="K337" s="369"/>
      <c r="L337" s="371"/>
    </row>
    <row r="338" spans="1:12" x14ac:dyDescent="0.3">
      <c r="A338" s="369">
        <v>25</v>
      </c>
      <c r="B338" s="369" t="s">
        <v>7</v>
      </c>
      <c r="C338" s="369" t="s">
        <v>227</v>
      </c>
      <c r="D338" s="369" t="s">
        <v>259</v>
      </c>
      <c r="E338" s="369" t="s">
        <v>228</v>
      </c>
      <c r="F338" s="370">
        <v>5990</v>
      </c>
      <c r="G338" s="369">
        <v>1075</v>
      </c>
      <c r="H338" s="369">
        <v>136</v>
      </c>
      <c r="I338" s="369"/>
      <c r="J338" s="369"/>
      <c r="K338" s="369"/>
      <c r="L338" s="371"/>
    </row>
    <row r="339" spans="1:12" x14ac:dyDescent="0.3">
      <c r="A339" s="369">
        <v>26</v>
      </c>
      <c r="B339" s="369" t="s">
        <v>7</v>
      </c>
      <c r="C339" s="369" t="s">
        <v>227</v>
      </c>
      <c r="D339" s="369" t="s">
        <v>259</v>
      </c>
      <c r="E339" s="369" t="s">
        <v>228</v>
      </c>
      <c r="F339" s="370">
        <v>8417</v>
      </c>
      <c r="G339" s="369">
        <v>1352</v>
      </c>
      <c r="H339" s="369">
        <v>189</v>
      </c>
      <c r="I339" s="369"/>
      <c r="J339" s="369"/>
      <c r="K339" s="369"/>
      <c r="L339" s="371"/>
    </row>
    <row r="340" spans="1:12" x14ac:dyDescent="0.3">
      <c r="A340" s="369">
        <v>27</v>
      </c>
      <c r="B340" s="369" t="s">
        <v>7</v>
      </c>
      <c r="C340" s="369" t="s">
        <v>227</v>
      </c>
      <c r="D340" s="369" t="s">
        <v>259</v>
      </c>
      <c r="E340" s="369" t="s">
        <v>228</v>
      </c>
      <c r="F340" s="370">
        <v>9488</v>
      </c>
      <c r="G340" s="369">
        <v>1687</v>
      </c>
      <c r="H340" s="369">
        <v>273</v>
      </c>
      <c r="I340" s="369"/>
      <c r="J340" s="369"/>
      <c r="K340" s="369"/>
      <c r="L340" s="371"/>
    </row>
    <row r="341" spans="1:12" x14ac:dyDescent="0.3">
      <c r="A341" s="369">
        <v>28</v>
      </c>
      <c r="B341" s="369" t="s">
        <v>7</v>
      </c>
      <c r="C341" s="369" t="s">
        <v>227</v>
      </c>
      <c r="D341" s="369" t="s">
        <v>259</v>
      </c>
      <c r="E341" s="369" t="s">
        <v>228</v>
      </c>
      <c r="F341" s="370">
        <v>9806</v>
      </c>
      <c r="G341" s="369">
        <v>1983</v>
      </c>
      <c r="H341" s="369">
        <v>368</v>
      </c>
      <c r="I341" s="369"/>
      <c r="J341" s="369"/>
      <c r="K341" s="369"/>
      <c r="L341" s="371"/>
    </row>
    <row r="342" spans="1:12" x14ac:dyDescent="0.3">
      <c r="A342" s="369">
        <v>29</v>
      </c>
      <c r="B342" s="369" t="s">
        <v>7</v>
      </c>
      <c r="C342" s="369" t="s">
        <v>227</v>
      </c>
      <c r="D342" s="369" t="s">
        <v>259</v>
      </c>
      <c r="E342" s="369" t="s">
        <v>228</v>
      </c>
      <c r="F342" s="370">
        <v>9258</v>
      </c>
      <c r="G342" s="369">
        <v>2159</v>
      </c>
      <c r="H342" s="369">
        <v>402</v>
      </c>
      <c r="I342" s="369"/>
      <c r="J342" s="369"/>
      <c r="K342" s="372">
        <v>0.92072428419510832</v>
      </c>
      <c r="L342" s="373">
        <f>10^K342</f>
        <v>8.3315208250162609</v>
      </c>
    </row>
    <row r="343" spans="1:12" x14ac:dyDescent="0.3">
      <c r="A343" s="369">
        <v>30</v>
      </c>
      <c r="B343" s="369" t="s">
        <v>7</v>
      </c>
      <c r="C343" s="369" t="s">
        <v>227</v>
      </c>
      <c r="D343" s="369" t="s">
        <v>259</v>
      </c>
      <c r="E343" s="369" t="s">
        <v>228</v>
      </c>
      <c r="F343" s="370">
        <v>13206</v>
      </c>
      <c r="G343" s="369">
        <v>2378</v>
      </c>
      <c r="H343" s="369">
        <v>441</v>
      </c>
      <c r="I343" s="369"/>
      <c r="J343" s="369"/>
      <c r="K343" s="369"/>
      <c r="L343" s="371"/>
    </row>
    <row r="344" spans="1:12" x14ac:dyDescent="0.3">
      <c r="A344" s="369">
        <v>31</v>
      </c>
      <c r="B344" s="369" t="s">
        <v>7</v>
      </c>
      <c r="C344" s="369" t="s">
        <v>227</v>
      </c>
      <c r="D344" s="369" t="s">
        <v>259</v>
      </c>
      <c r="E344" s="369" t="s">
        <v>228</v>
      </c>
      <c r="F344" s="370">
        <v>14051</v>
      </c>
      <c r="G344" s="369">
        <v>2337</v>
      </c>
      <c r="H344" s="369">
        <v>478</v>
      </c>
      <c r="I344" s="369"/>
      <c r="J344" s="369"/>
      <c r="K344" s="369"/>
      <c r="L344" s="371"/>
    </row>
    <row r="345" spans="1:12" x14ac:dyDescent="0.3">
      <c r="A345" s="369">
        <v>32</v>
      </c>
      <c r="B345" s="369" t="s">
        <v>7</v>
      </c>
      <c r="C345" s="369" t="s">
        <v>227</v>
      </c>
      <c r="D345" s="369" t="s">
        <v>259</v>
      </c>
      <c r="E345" s="369" t="s">
        <v>228</v>
      </c>
      <c r="F345" s="370">
        <v>12314</v>
      </c>
      <c r="G345" s="369">
        <v>2191</v>
      </c>
      <c r="H345" s="369">
        <v>433</v>
      </c>
      <c r="I345" s="369"/>
      <c r="J345" s="369"/>
      <c r="K345" s="372">
        <v>1.8989129233145936</v>
      </c>
      <c r="L345" s="373">
        <f>10^K345</f>
        <v>79.234244872112654</v>
      </c>
    </row>
    <row r="346" spans="1:12" x14ac:dyDescent="0.3">
      <c r="A346" s="369">
        <v>33</v>
      </c>
      <c r="B346" s="369" t="s">
        <v>7</v>
      </c>
      <c r="C346" s="369" t="s">
        <v>227</v>
      </c>
      <c r="D346" s="369" t="s">
        <v>259</v>
      </c>
      <c r="E346" s="369" t="s">
        <v>228</v>
      </c>
      <c r="F346" s="370">
        <v>11927</v>
      </c>
      <c r="G346" s="369">
        <v>2049</v>
      </c>
      <c r="H346" s="369">
        <v>432</v>
      </c>
      <c r="I346" s="369"/>
      <c r="J346" s="369"/>
      <c r="K346" s="369"/>
      <c r="L346" s="371"/>
    </row>
    <row r="347" spans="1:12" x14ac:dyDescent="0.3">
      <c r="A347" s="369">
        <v>34</v>
      </c>
      <c r="B347" s="369" t="s">
        <v>7</v>
      </c>
      <c r="C347" s="369" t="s">
        <v>227</v>
      </c>
      <c r="D347" s="369" t="s">
        <v>259</v>
      </c>
      <c r="E347" s="369" t="s">
        <v>228</v>
      </c>
      <c r="F347" s="370">
        <v>9044</v>
      </c>
      <c r="G347" s="369">
        <v>1810</v>
      </c>
      <c r="H347" s="369">
        <v>365</v>
      </c>
      <c r="I347" s="369"/>
      <c r="J347" s="369"/>
      <c r="K347" s="369"/>
      <c r="L347" s="371"/>
    </row>
    <row r="348" spans="1:12" x14ac:dyDescent="0.3">
      <c r="A348" s="369">
        <v>35</v>
      </c>
      <c r="B348" s="369" t="s">
        <v>7</v>
      </c>
      <c r="C348" s="369" t="s">
        <v>227</v>
      </c>
      <c r="D348" s="369" t="s">
        <v>259</v>
      </c>
      <c r="E348" s="369" t="s">
        <v>228</v>
      </c>
      <c r="F348" s="370">
        <v>5799</v>
      </c>
      <c r="G348" s="369">
        <v>1341</v>
      </c>
      <c r="H348" s="369">
        <v>276</v>
      </c>
      <c r="I348" s="369"/>
      <c r="J348" s="369"/>
      <c r="K348" s="369"/>
      <c r="L348" s="371"/>
    </row>
    <row r="349" spans="1:12" x14ac:dyDescent="0.3">
      <c r="A349" s="369">
        <v>36</v>
      </c>
      <c r="B349" s="369" t="s">
        <v>7</v>
      </c>
      <c r="C349" s="369" t="s">
        <v>227</v>
      </c>
      <c r="D349" s="369" t="s">
        <v>259</v>
      </c>
      <c r="E349" s="369" t="s">
        <v>228</v>
      </c>
      <c r="F349" s="370">
        <v>3989</v>
      </c>
      <c r="G349" s="369">
        <v>1006</v>
      </c>
      <c r="H349" s="369">
        <v>192</v>
      </c>
      <c r="I349" s="369"/>
      <c r="J349" s="369"/>
      <c r="K349" s="369"/>
      <c r="L349" s="371"/>
    </row>
    <row r="350" spans="1:12" x14ac:dyDescent="0.3">
      <c r="A350" s="369">
        <v>37</v>
      </c>
      <c r="B350" s="369" t="s">
        <v>7</v>
      </c>
      <c r="C350" s="369" t="s">
        <v>227</v>
      </c>
      <c r="D350" s="369" t="s">
        <v>259</v>
      </c>
      <c r="E350" s="369" t="s">
        <v>228</v>
      </c>
      <c r="F350" s="370">
        <v>2376</v>
      </c>
      <c r="G350" s="369">
        <v>639</v>
      </c>
      <c r="H350" s="369">
        <v>134</v>
      </c>
      <c r="I350" s="369"/>
      <c r="J350" s="369"/>
      <c r="K350" s="372">
        <v>1.290643557333208</v>
      </c>
      <c r="L350" s="373">
        <f>10^K350</f>
        <v>19.527361101033748</v>
      </c>
    </row>
    <row r="351" spans="1:12" x14ac:dyDescent="0.3">
      <c r="A351" s="369">
        <v>38</v>
      </c>
      <c r="B351" s="369" t="s">
        <v>7</v>
      </c>
      <c r="C351" s="369" t="s">
        <v>227</v>
      </c>
      <c r="D351" s="369" t="s">
        <v>259</v>
      </c>
      <c r="E351" s="369" t="s">
        <v>228</v>
      </c>
      <c r="F351" s="370">
        <v>1297</v>
      </c>
      <c r="G351" s="369">
        <v>452</v>
      </c>
      <c r="H351" s="369">
        <v>97</v>
      </c>
      <c r="I351" s="369"/>
      <c r="J351" s="369"/>
      <c r="K351" s="369"/>
      <c r="L351" s="371"/>
    </row>
    <row r="352" spans="1:12" x14ac:dyDescent="0.3">
      <c r="A352" s="369">
        <v>39</v>
      </c>
      <c r="B352" s="369" t="s">
        <v>7</v>
      </c>
      <c r="C352" s="369" t="s">
        <v>227</v>
      </c>
      <c r="D352" s="369" t="s">
        <v>259</v>
      </c>
      <c r="E352" s="369" t="s">
        <v>228</v>
      </c>
      <c r="F352" s="370">
        <v>1047</v>
      </c>
      <c r="G352" s="369">
        <v>403</v>
      </c>
      <c r="H352" s="369">
        <v>73</v>
      </c>
      <c r="I352" s="369"/>
      <c r="J352" s="369"/>
      <c r="K352" s="369"/>
      <c r="L352" s="371"/>
    </row>
    <row r="353" spans="1:12" x14ac:dyDescent="0.3">
      <c r="A353" s="369">
        <v>40</v>
      </c>
      <c r="B353" s="369" t="s">
        <v>7</v>
      </c>
      <c r="C353" s="369" t="s">
        <v>227</v>
      </c>
      <c r="D353" s="369" t="s">
        <v>259</v>
      </c>
      <c r="E353" s="369" t="s">
        <v>228</v>
      </c>
      <c r="F353" s="370">
        <v>655</v>
      </c>
      <c r="G353" s="369">
        <v>240</v>
      </c>
      <c r="H353" s="369">
        <v>52</v>
      </c>
      <c r="I353" s="369"/>
      <c r="J353" s="369"/>
      <c r="K353" s="369"/>
      <c r="L353" s="371"/>
    </row>
    <row r="354" spans="1:12" x14ac:dyDescent="0.3">
      <c r="A354" s="369">
        <v>41</v>
      </c>
      <c r="B354" s="369" t="s">
        <v>7</v>
      </c>
      <c r="C354" s="369" t="s">
        <v>227</v>
      </c>
      <c r="D354" s="369" t="s">
        <v>259</v>
      </c>
      <c r="E354" s="369" t="s">
        <v>228</v>
      </c>
      <c r="F354" s="370">
        <v>495</v>
      </c>
      <c r="G354" s="369">
        <v>203</v>
      </c>
      <c r="H354" s="369">
        <v>31</v>
      </c>
      <c r="I354" s="369"/>
      <c r="J354" s="369"/>
      <c r="K354" s="372">
        <v>0</v>
      </c>
      <c r="L354" s="373">
        <f>10^K354</f>
        <v>1</v>
      </c>
    </row>
    <row r="355" spans="1:12" x14ac:dyDescent="0.3">
      <c r="A355" s="369">
        <v>42</v>
      </c>
      <c r="B355" s="369" t="s">
        <v>7</v>
      </c>
      <c r="C355" s="369" t="s">
        <v>227</v>
      </c>
      <c r="D355" s="369" t="s">
        <v>259</v>
      </c>
      <c r="E355" s="369" t="s">
        <v>228</v>
      </c>
      <c r="F355" s="370">
        <v>256</v>
      </c>
      <c r="G355" s="369">
        <v>128</v>
      </c>
      <c r="H355" s="369">
        <v>28</v>
      </c>
      <c r="I355" s="369"/>
      <c r="J355" s="369"/>
      <c r="K355" s="369"/>
      <c r="L355" s="371"/>
    </row>
    <row r="356" spans="1:12" x14ac:dyDescent="0.3">
      <c r="A356" s="369">
        <v>43</v>
      </c>
      <c r="B356" s="369" t="s">
        <v>7</v>
      </c>
      <c r="C356" s="369" t="s">
        <v>227</v>
      </c>
      <c r="D356" s="369" t="s">
        <v>259</v>
      </c>
      <c r="E356" s="369" t="s">
        <v>228</v>
      </c>
      <c r="F356" s="370">
        <v>195</v>
      </c>
      <c r="G356" s="369">
        <v>95</v>
      </c>
      <c r="H356" s="369">
        <v>16</v>
      </c>
      <c r="I356" s="369"/>
      <c r="J356" s="369"/>
      <c r="K356" s="369"/>
      <c r="L356" s="371"/>
    </row>
    <row r="357" spans="1:12" x14ac:dyDescent="0.3">
      <c r="A357" s="369">
        <v>44</v>
      </c>
      <c r="B357" s="369" t="s">
        <v>7</v>
      </c>
      <c r="C357" s="369" t="s">
        <v>227</v>
      </c>
      <c r="D357" s="369" t="s">
        <v>259</v>
      </c>
      <c r="E357" s="369" t="s">
        <v>228</v>
      </c>
      <c r="F357" s="370">
        <v>129</v>
      </c>
      <c r="G357" s="369">
        <v>98</v>
      </c>
      <c r="H357" s="369">
        <v>8</v>
      </c>
      <c r="I357" s="369"/>
      <c r="J357" s="369"/>
      <c r="K357" s="369"/>
      <c r="L357" s="371"/>
    </row>
    <row r="358" spans="1:12" x14ac:dyDescent="0.3">
      <c r="A358" s="369">
        <v>45</v>
      </c>
      <c r="B358" s="369" t="s">
        <v>7</v>
      </c>
      <c r="C358" s="369" t="s">
        <v>227</v>
      </c>
      <c r="D358" s="369" t="s">
        <v>259</v>
      </c>
      <c r="E358" s="369" t="s">
        <v>228</v>
      </c>
      <c r="F358" s="370">
        <v>125</v>
      </c>
      <c r="G358" s="369">
        <v>84</v>
      </c>
      <c r="H358" s="369">
        <v>13</v>
      </c>
      <c r="I358" s="369"/>
      <c r="J358" s="369"/>
      <c r="K358" s="372">
        <v>7.4772754746124478E-2</v>
      </c>
      <c r="L358" s="371">
        <f>10^L360</f>
        <v>1</v>
      </c>
    </row>
    <row r="359" spans="1:12" x14ac:dyDescent="0.3">
      <c r="A359" s="369">
        <v>46</v>
      </c>
      <c r="B359" s="369" t="s">
        <v>7</v>
      </c>
      <c r="C359" s="369" t="s">
        <v>227</v>
      </c>
      <c r="D359" s="369" t="s">
        <v>259</v>
      </c>
      <c r="E359" s="369" t="s">
        <v>228</v>
      </c>
      <c r="F359" s="370">
        <v>170</v>
      </c>
      <c r="G359" s="369">
        <v>97</v>
      </c>
      <c r="H359" s="369">
        <v>6</v>
      </c>
      <c r="I359" s="369"/>
      <c r="J359" s="369"/>
      <c r="K359" s="369"/>
      <c r="L359" s="371"/>
    </row>
    <row r="360" spans="1:12" x14ac:dyDescent="0.3">
      <c r="A360" s="369">
        <v>47</v>
      </c>
      <c r="B360" s="369" t="s">
        <v>7</v>
      </c>
      <c r="C360" s="369" t="s">
        <v>227</v>
      </c>
      <c r="D360" s="369" t="s">
        <v>259</v>
      </c>
      <c r="E360" s="369" t="s">
        <v>228</v>
      </c>
      <c r="F360" s="370">
        <v>544</v>
      </c>
      <c r="G360" s="369">
        <v>176</v>
      </c>
      <c r="H360" s="369">
        <v>2</v>
      </c>
      <c r="I360" s="369"/>
      <c r="J360" s="369"/>
      <c r="K360" s="369"/>
      <c r="L360" s="371"/>
    </row>
    <row r="361" spans="1:12" x14ac:dyDescent="0.3">
      <c r="A361" s="369">
        <v>48</v>
      </c>
      <c r="B361" s="369" t="s">
        <v>7</v>
      </c>
      <c r="C361" s="369" t="s">
        <v>227</v>
      </c>
      <c r="D361" s="369" t="s">
        <v>259</v>
      </c>
      <c r="E361" s="369" t="s">
        <v>228</v>
      </c>
      <c r="F361" s="370">
        <v>4019</v>
      </c>
      <c r="G361" s="369">
        <v>306</v>
      </c>
      <c r="H361" s="369">
        <v>2</v>
      </c>
      <c r="I361" s="369"/>
      <c r="J361" s="369"/>
      <c r="K361" s="369"/>
      <c r="L361" s="371"/>
    </row>
    <row r="362" spans="1:12" x14ac:dyDescent="0.3">
      <c r="A362" s="369">
        <v>49</v>
      </c>
      <c r="B362" s="369" t="s">
        <v>7</v>
      </c>
      <c r="C362" s="369" t="s">
        <v>227</v>
      </c>
      <c r="D362" s="369" t="s">
        <v>259</v>
      </c>
      <c r="E362" s="369" t="s">
        <v>228</v>
      </c>
      <c r="F362" s="370">
        <v>11473</v>
      </c>
      <c r="G362" s="369">
        <v>843</v>
      </c>
      <c r="H362" s="369">
        <v>7</v>
      </c>
      <c r="I362" s="369"/>
      <c r="J362" s="369"/>
      <c r="K362" s="369"/>
      <c r="L362" s="371"/>
    </row>
    <row r="363" spans="1:12" x14ac:dyDescent="0.3">
      <c r="A363" s="369">
        <v>50</v>
      </c>
      <c r="B363" s="369" t="s">
        <v>7</v>
      </c>
      <c r="C363" s="369" t="s">
        <v>227</v>
      </c>
      <c r="D363" s="369" t="s">
        <v>259</v>
      </c>
      <c r="E363" s="369" t="s">
        <v>228</v>
      </c>
      <c r="F363" s="370">
        <v>15562</v>
      </c>
      <c r="G363" s="369">
        <v>1180</v>
      </c>
      <c r="H363" s="369">
        <v>44</v>
      </c>
      <c r="I363" s="369"/>
      <c r="J363" s="369"/>
      <c r="K363" s="372">
        <v>2.1256147194278916</v>
      </c>
      <c r="L363" s="373">
        <f>10^K363</f>
        <v>133.5410293267698</v>
      </c>
    </row>
    <row r="364" spans="1:12" x14ac:dyDescent="0.3">
      <c r="A364" s="369">
        <v>51</v>
      </c>
      <c r="B364" s="369" t="s">
        <v>7</v>
      </c>
      <c r="C364" s="369" t="s">
        <v>227</v>
      </c>
      <c r="D364" s="369" t="s">
        <v>259</v>
      </c>
      <c r="E364" s="369" t="s">
        <v>228</v>
      </c>
      <c r="F364" s="370">
        <v>14012</v>
      </c>
      <c r="G364" s="369">
        <v>1513</v>
      </c>
      <c r="H364" s="369">
        <v>84</v>
      </c>
      <c r="I364" s="369"/>
      <c r="J364" s="369"/>
      <c r="K364" s="369"/>
      <c r="L364" s="371"/>
    </row>
    <row r="365" spans="1:12" x14ac:dyDescent="0.3">
      <c r="A365" s="369">
        <v>52</v>
      </c>
      <c r="B365" s="369" t="s">
        <v>7</v>
      </c>
      <c r="C365" s="369" t="s">
        <v>227</v>
      </c>
      <c r="D365" s="369" t="s">
        <v>259</v>
      </c>
      <c r="E365" s="369" t="s">
        <v>228</v>
      </c>
      <c r="F365" s="370">
        <v>7081</v>
      </c>
      <c r="G365" s="369">
        <v>1462</v>
      </c>
      <c r="H365" s="369">
        <v>118</v>
      </c>
      <c r="I365" s="369"/>
      <c r="J365" s="369"/>
      <c r="K365" s="369"/>
      <c r="L365" s="371"/>
    </row>
    <row r="366" spans="1:12" x14ac:dyDescent="0.3">
      <c r="A366" s="394">
        <v>1</v>
      </c>
      <c r="B366" s="394" t="s">
        <v>7</v>
      </c>
      <c r="C366" s="394" t="s">
        <v>227</v>
      </c>
      <c r="D366" s="394" t="s">
        <v>259</v>
      </c>
      <c r="E366" s="394" t="s">
        <v>229</v>
      </c>
      <c r="F366" s="395">
        <v>13461</v>
      </c>
      <c r="G366" s="394">
        <v>2792</v>
      </c>
      <c r="H366" s="394">
        <v>580</v>
      </c>
      <c r="I366" s="394"/>
      <c r="J366" s="394"/>
      <c r="K366" s="394"/>
      <c r="L366" s="396"/>
    </row>
    <row r="367" spans="1:12" x14ac:dyDescent="0.3">
      <c r="A367" s="394">
        <v>2</v>
      </c>
      <c r="B367" s="394" t="s">
        <v>7</v>
      </c>
      <c r="C367" s="394" t="s">
        <v>227</v>
      </c>
      <c r="D367" s="394" t="s">
        <v>259</v>
      </c>
      <c r="E367" s="394" t="s">
        <v>229</v>
      </c>
      <c r="F367" s="395">
        <v>8308</v>
      </c>
      <c r="G367" s="394">
        <v>2565</v>
      </c>
      <c r="H367" s="394">
        <v>499</v>
      </c>
      <c r="I367" s="394"/>
      <c r="J367" s="394"/>
      <c r="K367" s="394"/>
      <c r="L367" s="396"/>
    </row>
    <row r="368" spans="1:12" x14ac:dyDescent="0.3">
      <c r="A368" s="394">
        <v>3</v>
      </c>
      <c r="B368" s="394" t="s">
        <v>7</v>
      </c>
      <c r="C368" s="394" t="s">
        <v>227</v>
      </c>
      <c r="D368" s="394" t="s">
        <v>259</v>
      </c>
      <c r="E368" s="394" t="s">
        <v>229</v>
      </c>
      <c r="F368" s="395">
        <v>4260</v>
      </c>
      <c r="G368" s="394">
        <v>1496</v>
      </c>
      <c r="H368" s="394">
        <v>417</v>
      </c>
      <c r="I368" s="394"/>
      <c r="J368" s="394"/>
      <c r="K368" s="394"/>
      <c r="L368" s="396"/>
    </row>
    <row r="369" spans="1:12" x14ac:dyDescent="0.3">
      <c r="A369" s="394">
        <v>4</v>
      </c>
      <c r="B369" s="394" t="s">
        <v>7</v>
      </c>
      <c r="C369" s="394" t="s">
        <v>227</v>
      </c>
      <c r="D369" s="394" t="s">
        <v>259</v>
      </c>
      <c r="E369" s="394" t="s">
        <v>229</v>
      </c>
      <c r="F369" s="395">
        <v>2387</v>
      </c>
      <c r="G369" s="394">
        <v>899</v>
      </c>
      <c r="H369" s="394">
        <v>246</v>
      </c>
      <c r="I369" s="394"/>
      <c r="J369" s="394"/>
      <c r="K369" s="394"/>
      <c r="L369" s="396"/>
    </row>
    <row r="370" spans="1:12" x14ac:dyDescent="0.3">
      <c r="A370" s="394">
        <v>5</v>
      </c>
      <c r="B370" s="394" t="s">
        <v>7</v>
      </c>
      <c r="C370" s="394" t="s">
        <v>227</v>
      </c>
      <c r="D370" s="394" t="s">
        <v>259</v>
      </c>
      <c r="E370" s="394" t="s">
        <v>229</v>
      </c>
      <c r="F370" s="395">
        <v>1648</v>
      </c>
      <c r="G370" s="394">
        <v>636</v>
      </c>
      <c r="H370" s="394">
        <v>182</v>
      </c>
      <c r="I370" s="394"/>
      <c r="J370" s="394"/>
      <c r="K370" s="394"/>
      <c r="L370" s="396"/>
    </row>
    <row r="371" spans="1:12" x14ac:dyDescent="0.3">
      <c r="A371" s="394">
        <v>6</v>
      </c>
      <c r="B371" s="394" t="s">
        <v>7</v>
      </c>
      <c r="C371" s="394" t="s">
        <v>227</v>
      </c>
      <c r="D371" s="394" t="s">
        <v>259</v>
      </c>
      <c r="E371" s="394" t="s">
        <v>229</v>
      </c>
      <c r="F371" s="395">
        <v>1265</v>
      </c>
      <c r="G371" s="394">
        <v>480</v>
      </c>
      <c r="H371" s="394">
        <v>124</v>
      </c>
      <c r="I371" s="394"/>
      <c r="J371" s="394"/>
      <c r="K371" s="394"/>
      <c r="L371" s="396"/>
    </row>
    <row r="372" spans="1:12" x14ac:dyDescent="0.3">
      <c r="A372" s="394">
        <v>7</v>
      </c>
      <c r="B372" s="394" t="s">
        <v>7</v>
      </c>
      <c r="C372" s="394" t="s">
        <v>227</v>
      </c>
      <c r="D372" s="394" t="s">
        <v>259</v>
      </c>
      <c r="E372" s="394" t="s">
        <v>229</v>
      </c>
      <c r="F372" s="395">
        <v>1003</v>
      </c>
      <c r="G372" s="394">
        <v>384</v>
      </c>
      <c r="H372" s="394">
        <v>80</v>
      </c>
      <c r="I372" s="394"/>
      <c r="J372" s="394"/>
      <c r="K372" s="394"/>
      <c r="L372" s="396"/>
    </row>
    <row r="373" spans="1:12" x14ac:dyDescent="0.3">
      <c r="A373" s="394">
        <v>8</v>
      </c>
      <c r="B373" s="394" t="s">
        <v>7</v>
      </c>
      <c r="C373" s="394" t="s">
        <v>227</v>
      </c>
      <c r="D373" s="394" t="s">
        <v>259</v>
      </c>
      <c r="E373" s="394" t="s">
        <v>229</v>
      </c>
      <c r="F373" s="395">
        <v>867</v>
      </c>
      <c r="G373" s="394">
        <v>299</v>
      </c>
      <c r="H373" s="394">
        <v>71</v>
      </c>
      <c r="I373" s="394"/>
      <c r="J373" s="394"/>
      <c r="K373" s="394"/>
      <c r="L373" s="396"/>
    </row>
    <row r="374" spans="1:12" x14ac:dyDescent="0.3">
      <c r="A374" s="394">
        <v>9</v>
      </c>
      <c r="B374" s="394" t="s">
        <v>7</v>
      </c>
      <c r="C374" s="394" t="s">
        <v>227</v>
      </c>
      <c r="D374" s="394" t="s">
        <v>259</v>
      </c>
      <c r="E374" s="394" t="s">
        <v>229</v>
      </c>
      <c r="F374" s="395">
        <v>667</v>
      </c>
      <c r="G374" s="394">
        <v>266</v>
      </c>
      <c r="H374" s="394">
        <v>37</v>
      </c>
      <c r="I374" s="394"/>
      <c r="J374" s="394"/>
      <c r="K374" s="394"/>
      <c r="L374" s="396"/>
    </row>
    <row r="375" spans="1:12" x14ac:dyDescent="0.3">
      <c r="A375" s="394">
        <v>10</v>
      </c>
      <c r="B375" s="394" t="s">
        <v>7</v>
      </c>
      <c r="C375" s="394" t="s">
        <v>227</v>
      </c>
      <c r="D375" s="394" t="s">
        <v>259</v>
      </c>
      <c r="E375" s="394" t="s">
        <v>229</v>
      </c>
      <c r="F375" s="395">
        <v>544</v>
      </c>
      <c r="G375" s="394">
        <v>236</v>
      </c>
      <c r="H375" s="394">
        <v>32</v>
      </c>
      <c r="I375" s="394"/>
      <c r="J375" s="394"/>
      <c r="K375" s="397">
        <v>1.6722574780548045</v>
      </c>
      <c r="L375" s="398">
        <f>10^K375</f>
        <v>47.017277503500232</v>
      </c>
    </row>
    <row r="376" spans="1:12" x14ac:dyDescent="0.3">
      <c r="A376" s="394">
        <v>11</v>
      </c>
      <c r="B376" s="394" t="s">
        <v>7</v>
      </c>
      <c r="C376" s="394" t="s">
        <v>227</v>
      </c>
      <c r="D376" s="394" t="s">
        <v>259</v>
      </c>
      <c r="E376" s="394" t="s">
        <v>229</v>
      </c>
      <c r="F376" s="395">
        <v>530</v>
      </c>
      <c r="G376" s="394">
        <v>222</v>
      </c>
      <c r="H376" s="394">
        <v>32</v>
      </c>
      <c r="I376" s="394"/>
      <c r="J376" s="394"/>
      <c r="K376" s="394"/>
      <c r="L376" s="396"/>
    </row>
    <row r="377" spans="1:12" x14ac:dyDescent="0.3">
      <c r="A377" s="394">
        <v>12</v>
      </c>
      <c r="B377" s="394" t="s">
        <v>7</v>
      </c>
      <c r="C377" s="394" t="s">
        <v>227</v>
      </c>
      <c r="D377" s="394" t="s">
        <v>259</v>
      </c>
      <c r="E377" s="394" t="s">
        <v>229</v>
      </c>
      <c r="F377" s="395">
        <v>609</v>
      </c>
      <c r="G377" s="394">
        <v>173</v>
      </c>
      <c r="H377" s="394">
        <v>28</v>
      </c>
      <c r="I377" s="394"/>
      <c r="J377" s="394"/>
      <c r="K377" s="394"/>
      <c r="L377" s="396"/>
    </row>
    <row r="378" spans="1:12" x14ac:dyDescent="0.3">
      <c r="A378" s="394">
        <v>13</v>
      </c>
      <c r="B378" s="394" t="s">
        <v>7</v>
      </c>
      <c r="C378" s="394" t="s">
        <v>227</v>
      </c>
      <c r="D378" s="394" t="s">
        <v>259</v>
      </c>
      <c r="E378" s="394" t="s">
        <v>229</v>
      </c>
      <c r="F378" s="395">
        <v>485</v>
      </c>
      <c r="G378" s="394">
        <v>182</v>
      </c>
      <c r="H378" s="394">
        <v>25</v>
      </c>
      <c r="I378" s="394"/>
      <c r="J378" s="394"/>
      <c r="K378" s="394"/>
      <c r="L378" s="396"/>
    </row>
    <row r="379" spans="1:12" x14ac:dyDescent="0.3">
      <c r="A379" s="394">
        <v>14</v>
      </c>
      <c r="B379" s="394" t="s">
        <v>7</v>
      </c>
      <c r="C379" s="394" t="s">
        <v>227</v>
      </c>
      <c r="D379" s="394" t="s">
        <v>259</v>
      </c>
      <c r="E379" s="394" t="s">
        <v>229</v>
      </c>
      <c r="F379" s="395">
        <v>495</v>
      </c>
      <c r="G379" s="394">
        <v>169</v>
      </c>
      <c r="H379" s="394">
        <v>24</v>
      </c>
      <c r="I379" s="394"/>
      <c r="J379" s="394"/>
      <c r="K379" s="394"/>
      <c r="L379" s="396"/>
    </row>
    <row r="380" spans="1:12" x14ac:dyDescent="0.3">
      <c r="A380" s="394">
        <v>15</v>
      </c>
      <c r="B380" s="394" t="s">
        <v>7</v>
      </c>
      <c r="C380" s="394" t="s">
        <v>227</v>
      </c>
      <c r="D380" s="394" t="s">
        <v>259</v>
      </c>
      <c r="E380" s="394" t="s">
        <v>229</v>
      </c>
      <c r="F380" s="395">
        <v>589</v>
      </c>
      <c r="G380" s="394">
        <v>157</v>
      </c>
      <c r="H380" s="394">
        <v>17</v>
      </c>
      <c r="I380" s="394"/>
      <c r="J380" s="394"/>
      <c r="K380" s="397">
        <v>0.50981338600287429</v>
      </c>
      <c r="L380" s="398">
        <f>10^K380</f>
        <v>3.2345464034956306</v>
      </c>
    </row>
    <row r="381" spans="1:12" x14ac:dyDescent="0.3">
      <c r="A381" s="394">
        <v>16</v>
      </c>
      <c r="B381" s="394" t="s">
        <v>7</v>
      </c>
      <c r="C381" s="394" t="s">
        <v>227</v>
      </c>
      <c r="D381" s="394" t="s">
        <v>259</v>
      </c>
      <c r="E381" s="394" t="s">
        <v>229</v>
      </c>
      <c r="F381" s="395">
        <v>536</v>
      </c>
      <c r="G381" s="394">
        <v>156</v>
      </c>
      <c r="H381" s="394">
        <v>14</v>
      </c>
      <c r="I381" s="394"/>
      <c r="J381" s="394"/>
      <c r="K381" s="394"/>
      <c r="L381" s="396"/>
    </row>
    <row r="382" spans="1:12" x14ac:dyDescent="0.3">
      <c r="A382" s="394">
        <v>17</v>
      </c>
      <c r="B382" s="394" t="s">
        <v>7</v>
      </c>
      <c r="C382" s="394" t="s">
        <v>227</v>
      </c>
      <c r="D382" s="394" t="s">
        <v>259</v>
      </c>
      <c r="E382" s="394" t="s">
        <v>229</v>
      </c>
      <c r="F382" s="395">
        <v>579</v>
      </c>
      <c r="G382" s="394">
        <v>169</v>
      </c>
      <c r="H382" s="394">
        <v>16</v>
      </c>
      <c r="I382" s="394"/>
      <c r="J382" s="394"/>
      <c r="K382" s="394"/>
      <c r="L382" s="396"/>
    </row>
    <row r="383" spans="1:12" x14ac:dyDescent="0.3">
      <c r="A383" s="394">
        <v>18</v>
      </c>
      <c r="B383" s="394" t="s">
        <v>7</v>
      </c>
      <c r="C383" s="394" t="s">
        <v>227</v>
      </c>
      <c r="D383" s="394" t="s">
        <v>259</v>
      </c>
      <c r="E383" s="394" t="s">
        <v>229</v>
      </c>
      <c r="F383" s="395">
        <v>731</v>
      </c>
      <c r="G383" s="394">
        <v>183</v>
      </c>
      <c r="H383" s="394">
        <v>18</v>
      </c>
      <c r="I383" s="394"/>
      <c r="J383" s="394"/>
      <c r="K383" s="394"/>
      <c r="L383" s="396"/>
    </row>
    <row r="384" spans="1:12" x14ac:dyDescent="0.3">
      <c r="A384" s="394">
        <v>19</v>
      </c>
      <c r="B384" s="394" t="s">
        <v>7</v>
      </c>
      <c r="C384" s="394" t="s">
        <v>227</v>
      </c>
      <c r="D384" s="394" t="s">
        <v>259</v>
      </c>
      <c r="E384" s="394" t="s">
        <v>229</v>
      </c>
      <c r="F384" s="395">
        <v>975</v>
      </c>
      <c r="G384" s="394">
        <v>203</v>
      </c>
      <c r="H384" s="394">
        <v>25</v>
      </c>
      <c r="I384" s="394"/>
      <c r="J384" s="394"/>
      <c r="K384" s="394"/>
      <c r="L384" s="396"/>
    </row>
    <row r="385" spans="1:12" x14ac:dyDescent="0.3">
      <c r="A385" s="394">
        <v>20</v>
      </c>
      <c r="B385" s="394" t="s">
        <v>7</v>
      </c>
      <c r="C385" s="394" t="s">
        <v>227</v>
      </c>
      <c r="D385" s="394" t="s">
        <v>259</v>
      </c>
      <c r="E385" s="394" t="s">
        <v>229</v>
      </c>
      <c r="F385" s="395">
        <v>1084</v>
      </c>
      <c r="G385" s="394">
        <v>241</v>
      </c>
      <c r="H385" s="394">
        <v>24</v>
      </c>
      <c r="I385" s="394"/>
      <c r="J385" s="394"/>
      <c r="K385" s="394"/>
      <c r="L385" s="396"/>
    </row>
    <row r="386" spans="1:12" x14ac:dyDescent="0.3">
      <c r="A386" s="394">
        <v>21</v>
      </c>
      <c r="B386" s="394" t="s">
        <v>7</v>
      </c>
      <c r="C386" s="394" t="s">
        <v>227</v>
      </c>
      <c r="D386" s="394" t="s">
        <v>259</v>
      </c>
      <c r="E386" s="394" t="s">
        <v>229</v>
      </c>
      <c r="F386" s="395">
        <v>1366</v>
      </c>
      <c r="G386" s="394">
        <v>276</v>
      </c>
      <c r="H386" s="394">
        <v>27</v>
      </c>
      <c r="I386" s="394"/>
      <c r="J386" s="394"/>
      <c r="K386" s="394"/>
      <c r="L386" s="396"/>
    </row>
    <row r="387" spans="1:12" x14ac:dyDescent="0.3">
      <c r="A387" s="394">
        <v>22</v>
      </c>
      <c r="B387" s="394" t="s">
        <v>7</v>
      </c>
      <c r="C387" s="394" t="s">
        <v>227</v>
      </c>
      <c r="D387" s="394" t="s">
        <v>259</v>
      </c>
      <c r="E387" s="394" t="s">
        <v>229</v>
      </c>
      <c r="F387" s="395">
        <v>1723</v>
      </c>
      <c r="G387" s="394">
        <v>384</v>
      </c>
      <c r="H387" s="394">
        <v>29</v>
      </c>
      <c r="I387" s="394"/>
      <c r="J387" s="394"/>
      <c r="K387" s="397">
        <v>1.8316972082159662</v>
      </c>
      <c r="L387" s="398">
        <f>10^K387</f>
        <v>67.873025427059261</v>
      </c>
    </row>
    <row r="388" spans="1:12" x14ac:dyDescent="0.3">
      <c r="A388" s="394">
        <v>23</v>
      </c>
      <c r="B388" s="394" t="s">
        <v>7</v>
      </c>
      <c r="C388" s="394" t="s">
        <v>227</v>
      </c>
      <c r="D388" s="394" t="s">
        <v>259</v>
      </c>
      <c r="E388" s="394" t="s">
        <v>229</v>
      </c>
      <c r="F388" s="395">
        <v>5065</v>
      </c>
      <c r="G388" s="394">
        <v>546</v>
      </c>
      <c r="H388" s="394">
        <v>73</v>
      </c>
      <c r="I388" s="394"/>
      <c r="J388" s="394"/>
      <c r="K388" s="397">
        <v>2.3496814338792391</v>
      </c>
      <c r="L388" s="398">
        <f t="shared" ref="L388:L413" si="5">10^K388</f>
        <v>223.70795814358513</v>
      </c>
    </row>
    <row r="389" spans="1:12" x14ac:dyDescent="0.3">
      <c r="A389" s="394">
        <v>24</v>
      </c>
      <c r="B389" s="394" t="s">
        <v>7</v>
      </c>
      <c r="C389" s="394" t="s">
        <v>227</v>
      </c>
      <c r="D389" s="394" t="s">
        <v>259</v>
      </c>
      <c r="E389" s="394" t="s">
        <v>229</v>
      </c>
      <c r="F389" s="395">
        <v>4576</v>
      </c>
      <c r="G389" s="394">
        <v>632</v>
      </c>
      <c r="H389" s="394">
        <v>73</v>
      </c>
      <c r="I389" s="394"/>
      <c r="J389" s="394"/>
      <c r="K389" s="397">
        <v>2.9070898667321003</v>
      </c>
      <c r="L389" s="398">
        <f t="shared" si="5"/>
        <v>807.40208528479855</v>
      </c>
    </row>
    <row r="390" spans="1:12" x14ac:dyDescent="0.3">
      <c r="A390" s="394">
        <v>25</v>
      </c>
      <c r="B390" s="394" t="s">
        <v>7</v>
      </c>
      <c r="C390" s="394" t="s">
        <v>227</v>
      </c>
      <c r="D390" s="394" t="s">
        <v>259</v>
      </c>
      <c r="E390" s="394" t="s">
        <v>229</v>
      </c>
      <c r="F390" s="395">
        <v>5990</v>
      </c>
      <c r="G390" s="394">
        <v>1075</v>
      </c>
      <c r="H390" s="394">
        <v>136</v>
      </c>
      <c r="I390" s="394"/>
      <c r="J390" s="394"/>
      <c r="K390" s="397">
        <v>1.8570413280976914</v>
      </c>
      <c r="L390" s="398">
        <f t="shared" si="5"/>
        <v>71.951744507770272</v>
      </c>
    </row>
    <row r="391" spans="1:12" x14ac:dyDescent="0.3">
      <c r="A391" s="394">
        <v>26</v>
      </c>
      <c r="B391" s="394" t="s">
        <v>7</v>
      </c>
      <c r="C391" s="394" t="s">
        <v>227</v>
      </c>
      <c r="D391" s="394" t="s">
        <v>259</v>
      </c>
      <c r="E391" s="394" t="s">
        <v>229</v>
      </c>
      <c r="F391" s="395">
        <v>8417</v>
      </c>
      <c r="G391" s="394">
        <v>1352</v>
      </c>
      <c r="H391" s="394">
        <v>189</v>
      </c>
      <c r="I391" s="394"/>
      <c r="J391" s="394"/>
      <c r="K391" s="397">
        <v>1.7861071329466987</v>
      </c>
      <c r="L391" s="398">
        <f t="shared" si="5"/>
        <v>61.109275233988903</v>
      </c>
    </row>
    <row r="392" spans="1:12" x14ac:dyDescent="0.3">
      <c r="A392" s="394">
        <v>27</v>
      </c>
      <c r="B392" s="394" t="s">
        <v>7</v>
      </c>
      <c r="C392" s="394" t="s">
        <v>227</v>
      </c>
      <c r="D392" s="394" t="s">
        <v>259</v>
      </c>
      <c r="E392" s="394" t="s">
        <v>229</v>
      </c>
      <c r="F392" s="395">
        <v>9488</v>
      </c>
      <c r="G392" s="394">
        <v>1687</v>
      </c>
      <c r="H392" s="394">
        <v>273</v>
      </c>
      <c r="I392" s="394"/>
      <c r="J392" s="394"/>
      <c r="K392" s="397">
        <v>1.9074975412312059</v>
      </c>
      <c r="L392" s="398">
        <f t="shared" si="5"/>
        <v>80.816035368004606</v>
      </c>
    </row>
    <row r="393" spans="1:12" x14ac:dyDescent="0.3">
      <c r="A393" s="394">
        <v>28</v>
      </c>
      <c r="B393" s="394" t="s">
        <v>7</v>
      </c>
      <c r="C393" s="394" t="s">
        <v>227</v>
      </c>
      <c r="D393" s="394" t="s">
        <v>259</v>
      </c>
      <c r="E393" s="394" t="s">
        <v>229</v>
      </c>
      <c r="F393" s="395">
        <v>9806</v>
      </c>
      <c r="G393" s="394">
        <v>1983</v>
      </c>
      <c r="H393" s="394">
        <v>368</v>
      </c>
      <c r="I393" s="394"/>
      <c r="J393" s="394"/>
      <c r="K393" s="397">
        <v>1.8526645931402734</v>
      </c>
      <c r="L393" s="398">
        <f t="shared" si="5"/>
        <v>71.230270424667722</v>
      </c>
    </row>
    <row r="394" spans="1:12" x14ac:dyDescent="0.3">
      <c r="A394" s="394">
        <v>29</v>
      </c>
      <c r="B394" s="394" t="s">
        <v>7</v>
      </c>
      <c r="C394" s="394" t="s">
        <v>227</v>
      </c>
      <c r="D394" s="394" t="s">
        <v>259</v>
      </c>
      <c r="E394" s="394" t="s">
        <v>229</v>
      </c>
      <c r="F394" s="395">
        <v>9258</v>
      </c>
      <c r="G394" s="394">
        <v>2159</v>
      </c>
      <c r="H394" s="394">
        <v>402</v>
      </c>
      <c r="I394" s="394"/>
      <c r="J394" s="394"/>
      <c r="K394" s="397">
        <v>1.7644068050292294</v>
      </c>
      <c r="L394" s="398">
        <f t="shared" si="5"/>
        <v>58.130867627202242</v>
      </c>
    </row>
    <row r="395" spans="1:12" x14ac:dyDescent="0.3">
      <c r="A395" s="394">
        <v>30</v>
      </c>
      <c r="B395" s="394" t="s">
        <v>7</v>
      </c>
      <c r="C395" s="394" t="s">
        <v>227</v>
      </c>
      <c r="D395" s="394" t="s">
        <v>259</v>
      </c>
      <c r="E395" s="394" t="s">
        <v>229</v>
      </c>
      <c r="F395" s="395">
        <v>13206</v>
      </c>
      <c r="G395" s="394">
        <v>2378</v>
      </c>
      <c r="H395" s="394">
        <v>441</v>
      </c>
      <c r="I395" s="394"/>
      <c r="J395" s="394"/>
      <c r="K395" s="397">
        <v>2.1283274659739444</v>
      </c>
      <c r="L395" s="398">
        <f t="shared" si="5"/>
        <v>134.37778122571049</v>
      </c>
    </row>
    <row r="396" spans="1:12" x14ac:dyDescent="0.3">
      <c r="A396" s="394">
        <v>31</v>
      </c>
      <c r="B396" s="394" t="s">
        <v>7</v>
      </c>
      <c r="C396" s="394" t="s">
        <v>227</v>
      </c>
      <c r="D396" s="394" t="s">
        <v>259</v>
      </c>
      <c r="E396" s="394" t="s">
        <v>229</v>
      </c>
      <c r="F396" s="395">
        <v>14051</v>
      </c>
      <c r="G396" s="394">
        <v>2337</v>
      </c>
      <c r="H396" s="394">
        <v>478</v>
      </c>
      <c r="I396" s="394"/>
      <c r="J396" s="394"/>
      <c r="K396" s="397">
        <v>2.237015341744891</v>
      </c>
      <c r="L396" s="398">
        <f t="shared" si="5"/>
        <v>172.58988594522287</v>
      </c>
    </row>
    <row r="397" spans="1:12" x14ac:dyDescent="0.3">
      <c r="A397" s="394">
        <v>32</v>
      </c>
      <c r="B397" s="394" t="s">
        <v>7</v>
      </c>
      <c r="C397" s="394" t="s">
        <v>227</v>
      </c>
      <c r="D397" s="394" t="s">
        <v>259</v>
      </c>
      <c r="E397" s="394" t="s">
        <v>229</v>
      </c>
      <c r="F397" s="395">
        <v>12314</v>
      </c>
      <c r="G397" s="394">
        <v>2191</v>
      </c>
      <c r="H397" s="394">
        <v>433</v>
      </c>
      <c r="I397" s="394"/>
      <c r="J397" s="394"/>
      <c r="K397" s="397">
        <v>2.2905354215254201</v>
      </c>
      <c r="L397" s="398">
        <f t="shared" si="5"/>
        <v>195.22499551578457</v>
      </c>
    </row>
    <row r="398" spans="1:12" x14ac:dyDescent="0.3">
      <c r="A398" s="394">
        <v>33</v>
      </c>
      <c r="B398" s="394" t="s">
        <v>7</v>
      </c>
      <c r="C398" s="394" t="s">
        <v>227</v>
      </c>
      <c r="D398" s="394" t="s">
        <v>259</v>
      </c>
      <c r="E398" s="394" t="s">
        <v>229</v>
      </c>
      <c r="F398" s="395">
        <v>11927</v>
      </c>
      <c r="G398" s="394">
        <v>2049</v>
      </c>
      <c r="H398" s="394">
        <v>432</v>
      </c>
      <c r="I398" s="394"/>
      <c r="J398" s="394"/>
      <c r="K398" s="397">
        <v>2.5209871240588804</v>
      </c>
      <c r="L398" s="398">
        <f t="shared" si="5"/>
        <v>331.8846177081673</v>
      </c>
    </row>
    <row r="399" spans="1:12" x14ac:dyDescent="0.3">
      <c r="A399" s="394">
        <v>34</v>
      </c>
      <c r="B399" s="394" t="s">
        <v>7</v>
      </c>
      <c r="C399" s="394" t="s">
        <v>227</v>
      </c>
      <c r="D399" s="394" t="s">
        <v>259</v>
      </c>
      <c r="E399" s="394" t="s">
        <v>229</v>
      </c>
      <c r="F399" s="395">
        <v>9044</v>
      </c>
      <c r="G399" s="394">
        <v>1810</v>
      </c>
      <c r="H399" s="394">
        <v>365</v>
      </c>
      <c r="I399" s="394"/>
      <c r="J399" s="394"/>
      <c r="K399" s="397">
        <v>1.9740841374220843</v>
      </c>
      <c r="L399" s="398">
        <f t="shared" si="5"/>
        <v>94.207208983752224</v>
      </c>
    </row>
    <row r="400" spans="1:12" x14ac:dyDescent="0.3">
      <c r="A400" s="394">
        <v>35</v>
      </c>
      <c r="B400" s="394" t="s">
        <v>7</v>
      </c>
      <c r="C400" s="394" t="s">
        <v>227</v>
      </c>
      <c r="D400" s="394" t="s">
        <v>259</v>
      </c>
      <c r="E400" s="394" t="s">
        <v>229</v>
      </c>
      <c r="F400" s="395">
        <v>5799</v>
      </c>
      <c r="G400" s="394">
        <v>1341</v>
      </c>
      <c r="H400" s="394">
        <v>276</v>
      </c>
      <c r="I400" s="394"/>
      <c r="J400" s="394"/>
      <c r="K400" s="397">
        <v>1.9724400840666767</v>
      </c>
      <c r="L400" s="398">
        <f t="shared" si="5"/>
        <v>93.851254910838833</v>
      </c>
    </row>
    <row r="401" spans="1:12" x14ac:dyDescent="0.3">
      <c r="A401" s="394">
        <v>36</v>
      </c>
      <c r="B401" s="394" t="s">
        <v>7</v>
      </c>
      <c r="C401" s="394" t="s">
        <v>227</v>
      </c>
      <c r="D401" s="394" t="s">
        <v>259</v>
      </c>
      <c r="E401" s="394" t="s">
        <v>229</v>
      </c>
      <c r="F401" s="395">
        <v>3989</v>
      </c>
      <c r="G401" s="394">
        <v>1006</v>
      </c>
      <c r="H401" s="394">
        <v>192</v>
      </c>
      <c r="I401" s="394"/>
      <c r="J401" s="394"/>
      <c r="K401" s="397">
        <v>1.7814519122455588</v>
      </c>
      <c r="L401" s="398">
        <f t="shared" si="5"/>
        <v>60.457740511213053</v>
      </c>
    </row>
    <row r="402" spans="1:12" x14ac:dyDescent="0.3">
      <c r="A402" s="394">
        <v>37</v>
      </c>
      <c r="B402" s="394" t="s">
        <v>7</v>
      </c>
      <c r="C402" s="394" t="s">
        <v>227</v>
      </c>
      <c r="D402" s="394" t="s">
        <v>259</v>
      </c>
      <c r="E402" s="394" t="s">
        <v>229</v>
      </c>
      <c r="F402" s="395">
        <v>2376</v>
      </c>
      <c r="G402" s="394">
        <v>639</v>
      </c>
      <c r="H402" s="394">
        <v>134</v>
      </c>
      <c r="I402" s="394"/>
      <c r="J402" s="394"/>
      <c r="K402" s="397">
        <v>1.2772306657702188</v>
      </c>
      <c r="L402" s="398">
        <f t="shared" si="5"/>
        <v>18.93348961460347</v>
      </c>
    </row>
    <row r="403" spans="1:12" x14ac:dyDescent="0.3">
      <c r="A403" s="394">
        <v>38</v>
      </c>
      <c r="B403" s="394" t="s">
        <v>7</v>
      </c>
      <c r="C403" s="394" t="s">
        <v>227</v>
      </c>
      <c r="D403" s="394" t="s">
        <v>259</v>
      </c>
      <c r="E403" s="394" t="s">
        <v>229</v>
      </c>
      <c r="F403" s="395">
        <v>1297</v>
      </c>
      <c r="G403" s="394">
        <v>452</v>
      </c>
      <c r="H403" s="394">
        <v>97</v>
      </c>
      <c r="I403" s="394"/>
      <c r="J403" s="394"/>
      <c r="K403" s="397">
        <v>1.385388011131808</v>
      </c>
      <c r="L403" s="398">
        <f t="shared" si="5"/>
        <v>24.287790668254004</v>
      </c>
    </row>
    <row r="404" spans="1:12" x14ac:dyDescent="0.3">
      <c r="A404" s="394">
        <v>39</v>
      </c>
      <c r="B404" s="394" t="s">
        <v>7</v>
      </c>
      <c r="C404" s="394" t="s">
        <v>227</v>
      </c>
      <c r="D404" s="394" t="s">
        <v>259</v>
      </c>
      <c r="E404" s="394" t="s">
        <v>229</v>
      </c>
      <c r="F404" s="395">
        <v>1047</v>
      </c>
      <c r="G404" s="394">
        <v>403</v>
      </c>
      <c r="H404" s="394">
        <v>73</v>
      </c>
      <c r="I404" s="394"/>
      <c r="J404" s="394"/>
      <c r="K404" s="397">
        <v>1.0439627223204146</v>
      </c>
      <c r="L404" s="398">
        <f t="shared" si="5"/>
        <v>11.065288009692214</v>
      </c>
    </row>
    <row r="405" spans="1:12" x14ac:dyDescent="0.3">
      <c r="A405" s="394">
        <v>40</v>
      </c>
      <c r="B405" s="394" t="s">
        <v>7</v>
      </c>
      <c r="C405" s="394" t="s">
        <v>227</v>
      </c>
      <c r="D405" s="394" t="s">
        <v>259</v>
      </c>
      <c r="E405" s="394" t="s">
        <v>229</v>
      </c>
      <c r="F405" s="395">
        <v>655</v>
      </c>
      <c r="G405" s="394">
        <v>240</v>
      </c>
      <c r="H405" s="394">
        <v>52</v>
      </c>
      <c r="I405" s="394"/>
      <c r="J405" s="394"/>
      <c r="K405" s="397">
        <v>1.0079938494116381</v>
      </c>
      <c r="L405" s="398">
        <f t="shared" si="5"/>
        <v>10.185769626072478</v>
      </c>
    </row>
    <row r="406" spans="1:12" x14ac:dyDescent="0.3">
      <c r="A406" s="394">
        <v>41</v>
      </c>
      <c r="B406" s="394" t="s">
        <v>7</v>
      </c>
      <c r="C406" s="394" t="s">
        <v>227</v>
      </c>
      <c r="D406" s="394" t="s">
        <v>259</v>
      </c>
      <c r="E406" s="394" t="s">
        <v>229</v>
      </c>
      <c r="F406" s="395">
        <v>495</v>
      </c>
      <c r="G406" s="394">
        <v>203</v>
      </c>
      <c r="H406" s="394">
        <v>31</v>
      </c>
      <c r="I406" s="394"/>
      <c r="J406" s="394"/>
      <c r="K406" s="397">
        <v>0.28172093599215903</v>
      </c>
      <c r="L406" s="398">
        <f t="shared" si="5"/>
        <v>1.9130262793326867</v>
      </c>
    </row>
    <row r="407" spans="1:12" x14ac:dyDescent="0.3">
      <c r="A407" s="394">
        <v>42</v>
      </c>
      <c r="B407" s="394" t="s">
        <v>7</v>
      </c>
      <c r="C407" s="394" t="s">
        <v>227</v>
      </c>
      <c r="D407" s="394" t="s">
        <v>259</v>
      </c>
      <c r="E407" s="394" t="s">
        <v>229</v>
      </c>
      <c r="F407" s="395">
        <v>256</v>
      </c>
      <c r="G407" s="394">
        <v>128</v>
      </c>
      <c r="H407" s="394">
        <v>28</v>
      </c>
      <c r="I407" s="394"/>
      <c r="J407" s="394"/>
      <c r="K407" s="397">
        <v>0.77403899772397955</v>
      </c>
      <c r="L407" s="398">
        <f t="shared" si="5"/>
        <v>5.943455258194283</v>
      </c>
    </row>
    <row r="408" spans="1:12" x14ac:dyDescent="0.3">
      <c r="A408" s="394">
        <v>43</v>
      </c>
      <c r="B408" s="394" t="s">
        <v>7</v>
      </c>
      <c r="C408" s="394" t="s">
        <v>227</v>
      </c>
      <c r="D408" s="394" t="s">
        <v>259</v>
      </c>
      <c r="E408" s="394" t="s">
        <v>229</v>
      </c>
      <c r="F408" s="395">
        <v>195</v>
      </c>
      <c r="G408" s="394">
        <v>95</v>
      </c>
      <c r="H408" s="394">
        <v>16</v>
      </c>
      <c r="I408" s="394"/>
      <c r="J408" s="394"/>
      <c r="K408" s="397">
        <v>0.64559306889302293</v>
      </c>
      <c r="L408" s="398">
        <f t="shared" si="5"/>
        <v>4.4217386416026523</v>
      </c>
    </row>
    <row r="409" spans="1:12" x14ac:dyDescent="0.3">
      <c r="A409" s="394">
        <v>44</v>
      </c>
      <c r="B409" s="394" t="s">
        <v>7</v>
      </c>
      <c r="C409" s="394" t="s">
        <v>227</v>
      </c>
      <c r="D409" s="394" t="s">
        <v>259</v>
      </c>
      <c r="E409" s="394" t="s">
        <v>229</v>
      </c>
      <c r="F409" s="395">
        <v>129</v>
      </c>
      <c r="G409" s="394">
        <v>98</v>
      </c>
      <c r="H409" s="394">
        <v>8</v>
      </c>
      <c r="I409" s="394"/>
      <c r="J409" s="394"/>
      <c r="K409" s="397">
        <v>0.36153746968336153</v>
      </c>
      <c r="L409" s="398">
        <f t="shared" si="5"/>
        <v>2.2989920511537671</v>
      </c>
    </row>
    <row r="410" spans="1:12" x14ac:dyDescent="0.3">
      <c r="A410" s="394">
        <v>45</v>
      </c>
      <c r="B410" s="394" t="s">
        <v>7</v>
      </c>
      <c r="C410" s="394" t="s">
        <v>227</v>
      </c>
      <c r="D410" s="394" t="s">
        <v>259</v>
      </c>
      <c r="E410" s="394" t="s">
        <v>229</v>
      </c>
      <c r="F410" s="395">
        <v>125</v>
      </c>
      <c r="G410" s="394">
        <v>84</v>
      </c>
      <c r="H410" s="394">
        <v>13</v>
      </c>
      <c r="I410" s="394"/>
      <c r="J410" s="394"/>
      <c r="K410" s="397">
        <v>0</v>
      </c>
      <c r="L410" s="398">
        <f t="shared" si="5"/>
        <v>1</v>
      </c>
    </row>
    <row r="411" spans="1:12" x14ac:dyDescent="0.3">
      <c r="A411" s="394">
        <v>46</v>
      </c>
      <c r="B411" s="394" t="s">
        <v>7</v>
      </c>
      <c r="C411" s="394" t="s">
        <v>227</v>
      </c>
      <c r="D411" s="394" t="s">
        <v>259</v>
      </c>
      <c r="E411" s="394" t="s">
        <v>229</v>
      </c>
      <c r="F411" s="395">
        <v>170</v>
      </c>
      <c r="G411" s="394">
        <v>97</v>
      </c>
      <c r="H411" s="394">
        <v>6</v>
      </c>
      <c r="I411" s="394"/>
      <c r="J411" s="394"/>
      <c r="K411" s="397">
        <v>0.52005645877337359</v>
      </c>
      <c r="L411" s="398">
        <f t="shared" si="5"/>
        <v>3.3117417170076964</v>
      </c>
    </row>
    <row r="412" spans="1:12" x14ac:dyDescent="0.3">
      <c r="A412" s="394">
        <v>47</v>
      </c>
      <c r="B412" s="394" t="s">
        <v>7</v>
      </c>
      <c r="C412" s="394" t="s">
        <v>227</v>
      </c>
      <c r="D412" s="394" t="s">
        <v>259</v>
      </c>
      <c r="E412" s="394" t="s">
        <v>229</v>
      </c>
      <c r="F412" s="395">
        <v>544</v>
      </c>
      <c r="G412" s="394">
        <v>176</v>
      </c>
      <c r="H412" s="394">
        <v>2</v>
      </c>
      <c r="I412" s="394"/>
      <c r="J412" s="394"/>
      <c r="K412" s="397">
        <v>0.98126705190173857</v>
      </c>
      <c r="L412" s="398">
        <f t="shared" si="5"/>
        <v>9.5778284024219147</v>
      </c>
    </row>
    <row r="413" spans="1:12" x14ac:dyDescent="0.3">
      <c r="A413" s="394">
        <v>48</v>
      </c>
      <c r="B413" s="394" t="s">
        <v>7</v>
      </c>
      <c r="C413" s="394" t="s">
        <v>227</v>
      </c>
      <c r="D413" s="394" t="s">
        <v>259</v>
      </c>
      <c r="E413" s="394" t="s">
        <v>229</v>
      </c>
      <c r="F413" s="395">
        <v>4019</v>
      </c>
      <c r="G413" s="394">
        <v>306</v>
      </c>
      <c r="H413" s="394">
        <v>2</v>
      </c>
      <c r="I413" s="394"/>
      <c r="J413" s="394"/>
      <c r="K413" s="397">
        <v>1.2072353924959633</v>
      </c>
      <c r="L413" s="398">
        <f t="shared" si="5"/>
        <v>16.115188598632816</v>
      </c>
    </row>
    <row r="414" spans="1:12" x14ac:dyDescent="0.3">
      <c r="A414" s="394">
        <v>49</v>
      </c>
      <c r="B414" s="394" t="s">
        <v>7</v>
      </c>
      <c r="C414" s="394" t="s">
        <v>227</v>
      </c>
      <c r="D414" s="394" t="s">
        <v>259</v>
      </c>
      <c r="E414" s="394" t="s">
        <v>229</v>
      </c>
      <c r="F414" s="395">
        <v>11473</v>
      </c>
      <c r="G414" s="394">
        <v>843</v>
      </c>
      <c r="H414" s="394">
        <v>7</v>
      </c>
      <c r="I414" s="394"/>
      <c r="J414" s="394"/>
      <c r="K414" s="394"/>
      <c r="L414" s="396"/>
    </row>
    <row r="415" spans="1:12" x14ac:dyDescent="0.3">
      <c r="A415" s="394">
        <v>50</v>
      </c>
      <c r="B415" s="394" t="s">
        <v>7</v>
      </c>
      <c r="C415" s="394" t="s">
        <v>227</v>
      </c>
      <c r="D415" s="394" t="s">
        <v>259</v>
      </c>
      <c r="E415" s="394" t="s">
        <v>229</v>
      </c>
      <c r="F415" s="395">
        <v>15562</v>
      </c>
      <c r="G415" s="394">
        <v>1180</v>
      </c>
      <c r="H415" s="394">
        <v>44</v>
      </c>
      <c r="I415" s="394"/>
      <c r="J415" s="394"/>
      <c r="K415" s="397">
        <v>2.5647713006725628</v>
      </c>
      <c r="L415" s="398">
        <f>10^K415</f>
        <v>367.0889406788105</v>
      </c>
    </row>
    <row r="416" spans="1:12" x14ac:dyDescent="0.3">
      <c r="A416" s="394">
        <v>51</v>
      </c>
      <c r="B416" s="394" t="s">
        <v>7</v>
      </c>
      <c r="C416" s="394" t="s">
        <v>227</v>
      </c>
      <c r="D416" s="394" t="s">
        <v>259</v>
      </c>
      <c r="E416" s="394" t="s">
        <v>229</v>
      </c>
      <c r="F416" s="395">
        <v>14012</v>
      </c>
      <c r="G416" s="394">
        <v>1513</v>
      </c>
      <c r="H416" s="394">
        <v>84</v>
      </c>
      <c r="I416" s="394"/>
      <c r="J416" s="394"/>
      <c r="K416" s="394"/>
      <c r="L416" s="396"/>
    </row>
    <row r="417" spans="1:12" x14ac:dyDescent="0.3">
      <c r="A417" s="394">
        <v>52</v>
      </c>
      <c r="B417" s="394" t="s">
        <v>7</v>
      </c>
      <c r="C417" s="394" t="s">
        <v>227</v>
      </c>
      <c r="D417" s="394" t="s">
        <v>259</v>
      </c>
      <c r="E417" s="394" t="s">
        <v>229</v>
      </c>
      <c r="F417" s="395">
        <v>7081</v>
      </c>
      <c r="G417" s="394">
        <v>1462</v>
      </c>
      <c r="H417" s="394">
        <v>118</v>
      </c>
      <c r="I417" s="394"/>
      <c r="J417" s="394"/>
      <c r="K417" s="394"/>
      <c r="L417" s="396"/>
    </row>
    <row r="418" spans="1:12" x14ac:dyDescent="0.3">
      <c r="A418" s="341">
        <v>1</v>
      </c>
      <c r="B418" s="341" t="s">
        <v>5</v>
      </c>
      <c r="C418" s="341" t="s">
        <v>230</v>
      </c>
      <c r="D418" s="341" t="s">
        <v>230</v>
      </c>
      <c r="E418" s="341" t="s">
        <v>231</v>
      </c>
      <c r="F418" s="374">
        <v>824</v>
      </c>
      <c r="G418" s="341">
        <v>247</v>
      </c>
      <c r="H418" s="341">
        <v>48</v>
      </c>
      <c r="I418" s="341"/>
      <c r="J418" s="341"/>
      <c r="K418" s="341"/>
      <c r="L418" s="342"/>
    </row>
    <row r="419" spans="1:12" x14ac:dyDescent="0.3">
      <c r="A419" s="341">
        <v>2</v>
      </c>
      <c r="B419" s="341" t="s">
        <v>5</v>
      </c>
      <c r="C419" s="341" t="s">
        <v>230</v>
      </c>
      <c r="D419" s="341" t="s">
        <v>230</v>
      </c>
      <c r="E419" s="341" t="s">
        <v>231</v>
      </c>
      <c r="F419" s="374">
        <v>690</v>
      </c>
      <c r="G419" s="341">
        <v>303</v>
      </c>
      <c r="H419" s="341">
        <v>68</v>
      </c>
      <c r="I419" s="341"/>
      <c r="J419" s="341"/>
      <c r="K419" s="341"/>
      <c r="L419" s="342"/>
    </row>
    <row r="420" spans="1:12" x14ac:dyDescent="0.3">
      <c r="A420" s="341">
        <v>3</v>
      </c>
      <c r="B420" s="341" t="s">
        <v>5</v>
      </c>
      <c r="C420" s="341" t="s">
        <v>230</v>
      </c>
      <c r="D420" s="341" t="s">
        <v>230</v>
      </c>
      <c r="E420" s="341" t="s">
        <v>231</v>
      </c>
      <c r="F420" s="374">
        <v>529</v>
      </c>
      <c r="G420" s="341">
        <v>232</v>
      </c>
      <c r="H420" s="341">
        <v>63</v>
      </c>
      <c r="I420" s="341"/>
      <c r="J420" s="341"/>
      <c r="K420" s="341"/>
      <c r="L420" s="342"/>
    </row>
    <row r="421" spans="1:12" x14ac:dyDescent="0.3">
      <c r="A421" s="341">
        <v>4</v>
      </c>
      <c r="B421" s="341" t="s">
        <v>5</v>
      </c>
      <c r="C421" s="341" t="s">
        <v>230</v>
      </c>
      <c r="D421" s="341" t="s">
        <v>230</v>
      </c>
      <c r="E421" s="341" t="s">
        <v>231</v>
      </c>
      <c r="F421" s="374">
        <v>324</v>
      </c>
      <c r="G421" s="341">
        <v>157</v>
      </c>
      <c r="H421" s="341">
        <v>40</v>
      </c>
      <c r="I421" s="341"/>
      <c r="J421" s="341"/>
      <c r="K421" s="341"/>
      <c r="L421" s="342"/>
    </row>
    <row r="422" spans="1:12" x14ac:dyDescent="0.3">
      <c r="A422" s="341">
        <v>5</v>
      </c>
      <c r="B422" s="341" t="s">
        <v>5</v>
      </c>
      <c r="C422" s="341" t="s">
        <v>230</v>
      </c>
      <c r="D422" s="341" t="s">
        <v>230</v>
      </c>
      <c r="E422" s="341" t="s">
        <v>231</v>
      </c>
      <c r="F422" s="374">
        <v>240</v>
      </c>
      <c r="G422" s="341">
        <v>102</v>
      </c>
      <c r="H422" s="341">
        <v>38</v>
      </c>
      <c r="I422" s="341"/>
      <c r="J422" s="341"/>
      <c r="K422" s="341"/>
      <c r="L422" s="342"/>
    </row>
    <row r="423" spans="1:12" x14ac:dyDescent="0.3">
      <c r="A423" s="341">
        <v>6</v>
      </c>
      <c r="B423" s="341" t="s">
        <v>5</v>
      </c>
      <c r="C423" s="341" t="s">
        <v>230</v>
      </c>
      <c r="D423" s="341" t="s">
        <v>230</v>
      </c>
      <c r="E423" s="341" t="s">
        <v>231</v>
      </c>
      <c r="F423" s="374">
        <v>224</v>
      </c>
      <c r="G423" s="341">
        <v>75</v>
      </c>
      <c r="H423" s="341">
        <v>32</v>
      </c>
      <c r="I423" s="341"/>
      <c r="J423" s="341"/>
      <c r="K423" s="341"/>
      <c r="L423" s="342"/>
    </row>
    <row r="424" spans="1:12" x14ac:dyDescent="0.3">
      <c r="A424" s="341">
        <v>7</v>
      </c>
      <c r="B424" s="341" t="s">
        <v>5</v>
      </c>
      <c r="C424" s="341" t="s">
        <v>230</v>
      </c>
      <c r="D424" s="341" t="s">
        <v>230</v>
      </c>
      <c r="E424" s="341" t="s">
        <v>231</v>
      </c>
      <c r="F424" s="374">
        <v>168</v>
      </c>
      <c r="G424" s="341">
        <v>69</v>
      </c>
      <c r="H424" s="341">
        <v>16</v>
      </c>
      <c r="I424" s="341"/>
      <c r="J424" s="341"/>
      <c r="K424" s="341"/>
      <c r="L424" s="342"/>
    </row>
    <row r="425" spans="1:12" x14ac:dyDescent="0.3">
      <c r="A425" s="341">
        <v>8</v>
      </c>
      <c r="B425" s="341" t="s">
        <v>5</v>
      </c>
      <c r="C425" s="341" t="s">
        <v>230</v>
      </c>
      <c r="D425" s="341" t="s">
        <v>230</v>
      </c>
      <c r="E425" s="341" t="s">
        <v>231</v>
      </c>
      <c r="F425" s="374">
        <v>149</v>
      </c>
      <c r="G425" s="341">
        <v>60</v>
      </c>
      <c r="H425" s="341">
        <v>11</v>
      </c>
      <c r="I425" s="341"/>
      <c r="J425" s="341"/>
      <c r="K425" s="341"/>
      <c r="L425" s="342"/>
    </row>
    <row r="426" spans="1:12" x14ac:dyDescent="0.3">
      <c r="A426" s="341">
        <v>9</v>
      </c>
      <c r="B426" s="341" t="s">
        <v>5</v>
      </c>
      <c r="C426" s="341" t="s">
        <v>230</v>
      </c>
      <c r="D426" s="341" t="s">
        <v>230</v>
      </c>
      <c r="E426" s="341" t="s">
        <v>231</v>
      </c>
      <c r="F426" s="374">
        <v>156</v>
      </c>
      <c r="G426" s="341">
        <v>57</v>
      </c>
      <c r="H426" s="341">
        <v>17</v>
      </c>
      <c r="I426" s="341"/>
      <c r="J426" s="341"/>
      <c r="K426" s="341"/>
      <c r="L426" s="342"/>
    </row>
    <row r="427" spans="1:12" x14ac:dyDescent="0.3">
      <c r="A427" s="341">
        <v>10</v>
      </c>
      <c r="B427" s="341" t="s">
        <v>5</v>
      </c>
      <c r="C427" s="341" t="s">
        <v>230</v>
      </c>
      <c r="D427" s="341" t="s">
        <v>230</v>
      </c>
      <c r="E427" s="341" t="s">
        <v>231</v>
      </c>
      <c r="F427" s="374">
        <v>163</v>
      </c>
      <c r="G427" s="341">
        <v>61</v>
      </c>
      <c r="H427" s="341">
        <v>6</v>
      </c>
      <c r="I427" s="341"/>
      <c r="J427" s="341"/>
      <c r="K427" s="341"/>
      <c r="L427" s="342"/>
    </row>
    <row r="428" spans="1:12" x14ac:dyDescent="0.3">
      <c r="A428" s="341">
        <v>11</v>
      </c>
      <c r="B428" s="341" t="s">
        <v>5</v>
      </c>
      <c r="C428" s="341" t="s">
        <v>230</v>
      </c>
      <c r="D428" s="341" t="s">
        <v>230</v>
      </c>
      <c r="E428" s="341" t="s">
        <v>231</v>
      </c>
      <c r="F428" s="374">
        <v>182</v>
      </c>
      <c r="G428" s="341">
        <v>60</v>
      </c>
      <c r="H428" s="341">
        <v>8</v>
      </c>
      <c r="I428" s="341"/>
      <c r="J428" s="341"/>
      <c r="K428" s="356">
        <v>0.68676427601643797</v>
      </c>
      <c r="L428" s="375">
        <f>10^K428</f>
        <v>4.8614326788454596</v>
      </c>
    </row>
    <row r="429" spans="1:12" x14ac:dyDescent="0.3">
      <c r="A429" s="341">
        <v>12</v>
      </c>
      <c r="B429" s="341" t="s">
        <v>5</v>
      </c>
      <c r="C429" s="341" t="s">
        <v>230</v>
      </c>
      <c r="D429" s="341" t="s">
        <v>230</v>
      </c>
      <c r="E429" s="341" t="s">
        <v>231</v>
      </c>
      <c r="F429" s="374">
        <v>211</v>
      </c>
      <c r="G429" s="341">
        <v>86</v>
      </c>
      <c r="H429" s="341">
        <v>15</v>
      </c>
      <c r="I429" s="341"/>
      <c r="J429" s="341"/>
      <c r="K429" s="341"/>
      <c r="L429" s="342"/>
    </row>
    <row r="430" spans="1:12" x14ac:dyDescent="0.3">
      <c r="A430" s="341">
        <v>13</v>
      </c>
      <c r="B430" s="341" t="s">
        <v>5</v>
      </c>
      <c r="C430" s="341" t="s">
        <v>230</v>
      </c>
      <c r="D430" s="341" t="s">
        <v>230</v>
      </c>
      <c r="E430" s="341" t="s">
        <v>231</v>
      </c>
      <c r="F430" s="374">
        <v>207</v>
      </c>
      <c r="G430" s="341">
        <v>78</v>
      </c>
      <c r="H430" s="341">
        <v>19</v>
      </c>
      <c r="I430" s="341"/>
      <c r="J430" s="341"/>
      <c r="K430" s="341"/>
      <c r="L430" s="342"/>
    </row>
    <row r="431" spans="1:12" x14ac:dyDescent="0.3">
      <c r="A431" s="341">
        <v>14</v>
      </c>
      <c r="B431" s="341" t="s">
        <v>5</v>
      </c>
      <c r="C431" s="341" t="s">
        <v>230</v>
      </c>
      <c r="D431" s="341" t="s">
        <v>230</v>
      </c>
      <c r="E431" s="341" t="s">
        <v>231</v>
      </c>
      <c r="F431" s="374">
        <v>298</v>
      </c>
      <c r="G431" s="341">
        <v>101</v>
      </c>
      <c r="H431" s="341">
        <v>16</v>
      </c>
      <c r="I431" s="341"/>
      <c r="J431" s="341"/>
      <c r="K431" s="341"/>
      <c r="L431" s="342"/>
    </row>
    <row r="432" spans="1:12" x14ac:dyDescent="0.3">
      <c r="A432" s="341">
        <v>15</v>
      </c>
      <c r="B432" s="341" t="s">
        <v>5</v>
      </c>
      <c r="C432" s="341" t="s">
        <v>230</v>
      </c>
      <c r="D432" s="341" t="s">
        <v>230</v>
      </c>
      <c r="E432" s="341" t="s">
        <v>231</v>
      </c>
      <c r="F432" s="374">
        <v>433</v>
      </c>
      <c r="G432" s="341">
        <v>130</v>
      </c>
      <c r="H432" s="341">
        <v>21</v>
      </c>
      <c r="I432" s="341"/>
      <c r="J432" s="341"/>
      <c r="K432" s="341"/>
      <c r="L432" s="342"/>
    </row>
    <row r="433" spans="1:12" x14ac:dyDescent="0.3">
      <c r="A433" s="341">
        <v>16</v>
      </c>
      <c r="B433" s="341" t="s">
        <v>5</v>
      </c>
      <c r="C433" s="341" t="s">
        <v>230</v>
      </c>
      <c r="D433" s="341" t="s">
        <v>230</v>
      </c>
      <c r="E433" s="341" t="s">
        <v>231</v>
      </c>
      <c r="F433" s="374">
        <v>532</v>
      </c>
      <c r="G433" s="341">
        <v>153</v>
      </c>
      <c r="H433" s="341">
        <v>21</v>
      </c>
      <c r="I433" s="341"/>
      <c r="J433" s="341"/>
      <c r="K433" s="356">
        <v>1.229572765290053</v>
      </c>
      <c r="L433" s="375">
        <f>10^K433</f>
        <v>16.965738364628404</v>
      </c>
    </row>
    <row r="434" spans="1:12" x14ac:dyDescent="0.3">
      <c r="A434" s="341">
        <v>17</v>
      </c>
      <c r="B434" s="341" t="s">
        <v>5</v>
      </c>
      <c r="C434" s="341" t="s">
        <v>230</v>
      </c>
      <c r="D434" s="341" t="s">
        <v>230</v>
      </c>
      <c r="E434" s="341" t="s">
        <v>231</v>
      </c>
      <c r="F434" s="374">
        <v>623</v>
      </c>
      <c r="G434" s="341">
        <v>216</v>
      </c>
      <c r="H434" s="341">
        <v>34</v>
      </c>
      <c r="I434" s="341"/>
      <c r="J434" s="341"/>
      <c r="K434" s="341"/>
      <c r="L434" s="342"/>
    </row>
    <row r="435" spans="1:12" x14ac:dyDescent="0.3">
      <c r="A435" s="341">
        <v>18</v>
      </c>
      <c r="B435" s="341" t="s">
        <v>5</v>
      </c>
      <c r="C435" s="341" t="s">
        <v>230</v>
      </c>
      <c r="D435" s="341" t="s">
        <v>230</v>
      </c>
      <c r="E435" s="341" t="s">
        <v>231</v>
      </c>
      <c r="F435" s="374">
        <v>996</v>
      </c>
      <c r="G435" s="341">
        <v>257</v>
      </c>
      <c r="H435" s="341">
        <v>50</v>
      </c>
      <c r="I435" s="341"/>
      <c r="J435" s="341"/>
      <c r="K435" s="341"/>
      <c r="L435" s="342"/>
    </row>
    <row r="436" spans="1:12" x14ac:dyDescent="0.3">
      <c r="A436" s="341">
        <v>19</v>
      </c>
      <c r="B436" s="341" t="s">
        <v>5</v>
      </c>
      <c r="C436" s="341" t="s">
        <v>230</v>
      </c>
      <c r="D436" s="341" t="s">
        <v>230</v>
      </c>
      <c r="E436" s="341" t="s">
        <v>231</v>
      </c>
      <c r="F436" s="374">
        <v>986</v>
      </c>
      <c r="G436" s="341">
        <v>265</v>
      </c>
      <c r="H436" s="341">
        <v>66</v>
      </c>
      <c r="I436" s="341"/>
      <c r="J436" s="341"/>
      <c r="K436" s="341"/>
      <c r="L436" s="342"/>
    </row>
    <row r="437" spans="1:12" x14ac:dyDescent="0.3">
      <c r="A437" s="341">
        <v>20</v>
      </c>
      <c r="B437" s="341" t="s">
        <v>5</v>
      </c>
      <c r="C437" s="341" t="s">
        <v>230</v>
      </c>
      <c r="D437" s="341" t="s">
        <v>230</v>
      </c>
      <c r="E437" s="341" t="s">
        <v>231</v>
      </c>
      <c r="F437" s="374">
        <v>1016</v>
      </c>
      <c r="G437" s="341">
        <v>275</v>
      </c>
      <c r="H437" s="341">
        <v>51</v>
      </c>
      <c r="I437" s="341"/>
      <c r="J437" s="341"/>
      <c r="K437" s="341"/>
      <c r="L437" s="342"/>
    </row>
    <row r="438" spans="1:12" x14ac:dyDescent="0.3">
      <c r="A438" s="341">
        <v>21</v>
      </c>
      <c r="B438" s="341" t="s">
        <v>5</v>
      </c>
      <c r="C438" s="341" t="s">
        <v>230</v>
      </c>
      <c r="D438" s="341" t="s">
        <v>230</v>
      </c>
      <c r="E438" s="341" t="s">
        <v>231</v>
      </c>
      <c r="F438" s="374">
        <v>1350</v>
      </c>
      <c r="G438" s="341">
        <v>330</v>
      </c>
      <c r="H438" s="341">
        <v>82</v>
      </c>
      <c r="I438" s="341"/>
      <c r="J438" s="341"/>
      <c r="K438" s="356">
        <v>1.3927300922629462</v>
      </c>
      <c r="L438" s="375">
        <f>10^K438</f>
        <v>24.701884814671111</v>
      </c>
    </row>
    <row r="439" spans="1:12" x14ac:dyDescent="0.3">
      <c r="A439" s="341">
        <v>22</v>
      </c>
      <c r="B439" s="341" t="s">
        <v>5</v>
      </c>
      <c r="C439" s="341" t="s">
        <v>230</v>
      </c>
      <c r="D439" s="341" t="s">
        <v>230</v>
      </c>
      <c r="E439" s="341" t="s">
        <v>231</v>
      </c>
      <c r="F439" s="374">
        <v>1188</v>
      </c>
      <c r="G439" s="341">
        <v>275</v>
      </c>
      <c r="H439" s="341">
        <v>68</v>
      </c>
      <c r="I439" s="341"/>
      <c r="J439" s="341"/>
      <c r="K439" s="356">
        <v>1.2596196950112089</v>
      </c>
      <c r="L439" s="375">
        <f t="shared" ref="L439:L468" si="6">10^K439</f>
        <v>18.181080720862603</v>
      </c>
    </row>
    <row r="440" spans="1:12" x14ac:dyDescent="0.3">
      <c r="A440" s="341">
        <v>23</v>
      </c>
      <c r="B440" s="341" t="s">
        <v>5</v>
      </c>
      <c r="C440" s="341" t="s">
        <v>230</v>
      </c>
      <c r="D440" s="341" t="s">
        <v>230</v>
      </c>
      <c r="E440" s="341" t="s">
        <v>231</v>
      </c>
      <c r="F440" s="374">
        <v>1222</v>
      </c>
      <c r="G440" s="341">
        <v>256</v>
      </c>
      <c r="H440" s="341">
        <v>65</v>
      </c>
      <c r="I440" s="341"/>
      <c r="J440" s="341"/>
      <c r="K440" s="356">
        <v>1.5697769426544728</v>
      </c>
      <c r="L440" s="375">
        <f t="shared" si="6"/>
        <v>37.13444544344533</v>
      </c>
    </row>
    <row r="441" spans="1:12" x14ac:dyDescent="0.3">
      <c r="A441" s="341">
        <v>24</v>
      </c>
      <c r="B441" s="341" t="s">
        <v>5</v>
      </c>
      <c r="C441" s="341" t="s">
        <v>230</v>
      </c>
      <c r="D441" s="341" t="s">
        <v>230</v>
      </c>
      <c r="E441" s="341" t="s">
        <v>231</v>
      </c>
      <c r="F441" s="374">
        <v>1121</v>
      </c>
      <c r="G441" s="341">
        <v>242</v>
      </c>
      <c r="H441" s="341">
        <v>64</v>
      </c>
      <c r="I441" s="341"/>
      <c r="J441" s="341"/>
      <c r="K441" s="356">
        <v>0.47231594494813123</v>
      </c>
      <c r="L441" s="375">
        <f t="shared" si="6"/>
        <v>2.9669890598375006</v>
      </c>
    </row>
    <row r="442" spans="1:12" x14ac:dyDescent="0.3">
      <c r="A442" s="341">
        <v>25</v>
      </c>
      <c r="B442" s="341" t="s">
        <v>5</v>
      </c>
      <c r="C442" s="341" t="s">
        <v>230</v>
      </c>
      <c r="D442" s="341" t="s">
        <v>230</v>
      </c>
      <c r="E442" s="341" t="s">
        <v>231</v>
      </c>
      <c r="F442" s="374">
        <v>947</v>
      </c>
      <c r="G442" s="341">
        <v>219</v>
      </c>
      <c r="H442" s="341">
        <v>60</v>
      </c>
      <c r="I442" s="341"/>
      <c r="J442" s="341"/>
      <c r="K442" s="356">
        <v>1.9373372042791743</v>
      </c>
      <c r="L442" s="375">
        <f t="shared" si="6"/>
        <v>86.563977659964934</v>
      </c>
    </row>
    <row r="443" spans="1:12" x14ac:dyDescent="0.3">
      <c r="A443" s="341">
        <v>26</v>
      </c>
      <c r="B443" s="341" t="s">
        <v>5</v>
      </c>
      <c r="C443" s="341" t="s">
        <v>230</v>
      </c>
      <c r="D443" s="341" t="s">
        <v>230</v>
      </c>
      <c r="E443" s="341" t="s">
        <v>231</v>
      </c>
      <c r="F443" s="374">
        <v>1030</v>
      </c>
      <c r="G443" s="341">
        <v>194</v>
      </c>
      <c r="H443" s="341">
        <v>58</v>
      </c>
      <c r="I443" s="341"/>
      <c r="J443" s="341"/>
      <c r="K443" s="356">
        <v>1.5166853627087287</v>
      </c>
      <c r="L443" s="375">
        <f t="shared" si="6"/>
        <v>32.861347101172598</v>
      </c>
    </row>
    <row r="444" spans="1:12" x14ac:dyDescent="0.3">
      <c r="A444" s="341">
        <v>27</v>
      </c>
      <c r="B444" s="341" t="s">
        <v>5</v>
      </c>
      <c r="C444" s="341" t="s">
        <v>230</v>
      </c>
      <c r="D444" s="341" t="s">
        <v>230</v>
      </c>
      <c r="E444" s="341" t="s">
        <v>231</v>
      </c>
      <c r="F444" s="374">
        <v>923</v>
      </c>
      <c r="G444" s="341">
        <v>238</v>
      </c>
      <c r="H444" s="341">
        <v>45</v>
      </c>
      <c r="I444" s="341"/>
      <c r="J444" s="341"/>
      <c r="K444" s="356">
        <v>1.8511124992189989</v>
      </c>
      <c r="L444" s="375">
        <f t="shared" si="6"/>
        <v>70.976160010513041</v>
      </c>
    </row>
    <row r="445" spans="1:12" x14ac:dyDescent="0.3">
      <c r="A445" s="341">
        <v>28</v>
      </c>
      <c r="B445" s="341" t="s">
        <v>5</v>
      </c>
      <c r="C445" s="341" t="s">
        <v>230</v>
      </c>
      <c r="D445" s="341" t="s">
        <v>230</v>
      </c>
      <c r="E445" s="341" t="s">
        <v>231</v>
      </c>
      <c r="F445" s="374">
        <v>877</v>
      </c>
      <c r="G445" s="341">
        <v>209</v>
      </c>
      <c r="H445" s="341">
        <v>54</v>
      </c>
      <c r="I445" s="341"/>
      <c r="J445" s="341"/>
      <c r="K445" s="356">
        <v>1.9813768502557627</v>
      </c>
      <c r="L445" s="375">
        <f t="shared" si="6"/>
        <v>95.802501756317824</v>
      </c>
    </row>
    <row r="446" spans="1:12" x14ac:dyDescent="0.3">
      <c r="A446" s="341">
        <v>29</v>
      </c>
      <c r="B446" s="341" t="s">
        <v>5</v>
      </c>
      <c r="C446" s="341" t="s">
        <v>230</v>
      </c>
      <c r="D446" s="341" t="s">
        <v>230</v>
      </c>
      <c r="E446" s="341" t="s">
        <v>231</v>
      </c>
      <c r="F446" s="374">
        <v>809</v>
      </c>
      <c r="G446" s="341">
        <v>186</v>
      </c>
      <c r="H446" s="341">
        <v>52</v>
      </c>
      <c r="I446" s="341"/>
      <c r="J446" s="341"/>
      <c r="K446" s="356">
        <v>0.4991734354542719</v>
      </c>
      <c r="L446" s="375">
        <f t="shared" si="6"/>
        <v>3.1562648257430701</v>
      </c>
    </row>
    <row r="447" spans="1:12" x14ac:dyDescent="0.3">
      <c r="A447" s="341">
        <v>30</v>
      </c>
      <c r="B447" s="341" t="s">
        <v>5</v>
      </c>
      <c r="C447" s="341" t="s">
        <v>230</v>
      </c>
      <c r="D447" s="341" t="s">
        <v>230</v>
      </c>
      <c r="E447" s="341" t="s">
        <v>231</v>
      </c>
      <c r="F447" s="374">
        <v>955</v>
      </c>
      <c r="G447" s="341">
        <v>205</v>
      </c>
      <c r="H447" s="341">
        <v>48</v>
      </c>
      <c r="I447" s="341"/>
      <c r="J447" s="341"/>
      <c r="K447" s="356">
        <v>0.42302707938992756</v>
      </c>
      <c r="L447" s="375">
        <f t="shared" si="6"/>
        <v>2.6486652846239047</v>
      </c>
    </row>
    <row r="448" spans="1:12" x14ac:dyDescent="0.3">
      <c r="A448" s="341">
        <v>31</v>
      </c>
      <c r="B448" s="341" t="s">
        <v>5</v>
      </c>
      <c r="C448" s="341" t="s">
        <v>230</v>
      </c>
      <c r="D448" s="341" t="s">
        <v>230</v>
      </c>
      <c r="E448" s="341" t="s">
        <v>231</v>
      </c>
      <c r="F448" s="374">
        <v>1200</v>
      </c>
      <c r="G448" s="341">
        <v>226</v>
      </c>
      <c r="H448" s="341">
        <v>43</v>
      </c>
      <c r="I448" s="341"/>
      <c r="J448" s="341"/>
      <c r="K448" s="356">
        <v>0.50425258195309419</v>
      </c>
      <c r="L448" s="375">
        <f t="shared" si="6"/>
        <v>3.1933945660688443</v>
      </c>
    </row>
    <row r="449" spans="1:12" x14ac:dyDescent="0.3">
      <c r="A449" s="341">
        <v>32</v>
      </c>
      <c r="B449" s="341" t="s">
        <v>5</v>
      </c>
      <c r="C449" s="341" t="s">
        <v>230</v>
      </c>
      <c r="D449" s="341" t="s">
        <v>230</v>
      </c>
      <c r="E449" s="341" t="s">
        <v>231</v>
      </c>
      <c r="F449" s="374">
        <v>1490</v>
      </c>
      <c r="G449" s="341">
        <v>214</v>
      </c>
      <c r="H449" s="341">
        <v>48</v>
      </c>
      <c r="I449" s="341"/>
      <c r="J449" s="341"/>
      <c r="K449" s="356">
        <v>-4.8176666707801477E-2</v>
      </c>
      <c r="L449" s="375">
        <f t="shared" si="6"/>
        <v>0.89500061407381182</v>
      </c>
    </row>
    <row r="450" spans="1:12" x14ac:dyDescent="0.3">
      <c r="A450" s="341">
        <v>33</v>
      </c>
      <c r="B450" s="341" t="s">
        <v>5</v>
      </c>
      <c r="C450" s="341" t="s">
        <v>230</v>
      </c>
      <c r="D450" s="341" t="s">
        <v>230</v>
      </c>
      <c r="E450" s="341" t="s">
        <v>231</v>
      </c>
      <c r="F450" s="374">
        <v>1916</v>
      </c>
      <c r="G450" s="341">
        <v>273</v>
      </c>
      <c r="H450" s="341">
        <v>48</v>
      </c>
      <c r="I450" s="341"/>
      <c r="J450" s="341"/>
      <c r="K450" s="356">
        <v>1.7459816272643751</v>
      </c>
      <c r="L450" s="375">
        <f t="shared" si="6"/>
        <v>55.71621778059982</v>
      </c>
    </row>
    <row r="451" spans="1:12" x14ac:dyDescent="0.3">
      <c r="A451" s="341">
        <v>34</v>
      </c>
      <c r="B451" s="341" t="s">
        <v>5</v>
      </c>
      <c r="C451" s="341" t="s">
        <v>230</v>
      </c>
      <c r="D451" s="341" t="s">
        <v>230</v>
      </c>
      <c r="E451" s="341" t="s">
        <v>231</v>
      </c>
      <c r="F451" s="374">
        <v>1965</v>
      </c>
      <c r="G451" s="341">
        <v>278</v>
      </c>
      <c r="H451" s="341">
        <v>42</v>
      </c>
      <c r="I451" s="341"/>
      <c r="J451" s="341"/>
      <c r="K451" s="356">
        <v>1.8461018065408126</v>
      </c>
      <c r="L451" s="375">
        <f t="shared" si="6"/>
        <v>70.161975159937072</v>
      </c>
    </row>
    <row r="452" spans="1:12" x14ac:dyDescent="0.3">
      <c r="A452" s="341">
        <v>35</v>
      </c>
      <c r="B452" s="341" t="s">
        <v>5</v>
      </c>
      <c r="C452" s="341" t="s">
        <v>230</v>
      </c>
      <c r="D452" s="341" t="s">
        <v>230</v>
      </c>
      <c r="E452" s="341" t="s">
        <v>231</v>
      </c>
      <c r="F452" s="374">
        <v>1539</v>
      </c>
      <c r="G452" s="341">
        <v>260</v>
      </c>
      <c r="H452" s="341">
        <v>33</v>
      </c>
      <c r="I452" s="341"/>
      <c r="J452" s="341"/>
      <c r="K452" s="356">
        <v>1.8564243791124495</v>
      </c>
      <c r="L452" s="375">
        <f t="shared" si="6"/>
        <v>71.849604042208966</v>
      </c>
    </row>
    <row r="453" spans="1:12" x14ac:dyDescent="0.3">
      <c r="A453" s="341">
        <v>36</v>
      </c>
      <c r="B453" s="341" t="s">
        <v>5</v>
      </c>
      <c r="C453" s="341" t="s">
        <v>230</v>
      </c>
      <c r="D453" s="341" t="s">
        <v>230</v>
      </c>
      <c r="E453" s="341" t="s">
        <v>231</v>
      </c>
      <c r="F453" s="374">
        <v>1289</v>
      </c>
      <c r="G453" s="341">
        <v>234</v>
      </c>
      <c r="H453" s="341">
        <v>45</v>
      </c>
      <c r="I453" s="341"/>
      <c r="J453" s="341"/>
      <c r="K453" s="356">
        <v>1.2920494722926359</v>
      </c>
      <c r="L453" s="375">
        <f t="shared" si="6"/>
        <v>19.590678263683714</v>
      </c>
    </row>
    <row r="454" spans="1:12" x14ac:dyDescent="0.3">
      <c r="A454" s="341">
        <v>37</v>
      </c>
      <c r="B454" s="341" t="s">
        <v>5</v>
      </c>
      <c r="C454" s="341" t="s">
        <v>230</v>
      </c>
      <c r="D454" s="341" t="s">
        <v>230</v>
      </c>
      <c r="E454" s="341" t="s">
        <v>231</v>
      </c>
      <c r="F454" s="374">
        <v>881</v>
      </c>
      <c r="G454" s="341">
        <v>160</v>
      </c>
      <c r="H454" s="341">
        <v>34</v>
      </c>
      <c r="I454" s="341"/>
      <c r="J454" s="341"/>
      <c r="K454" s="356">
        <v>1.3985054210829326</v>
      </c>
      <c r="L454" s="375">
        <f t="shared" si="6"/>
        <v>25.032568951042336</v>
      </c>
    </row>
    <row r="455" spans="1:12" x14ac:dyDescent="0.3">
      <c r="A455" s="341">
        <v>38</v>
      </c>
      <c r="B455" s="341" t="s">
        <v>5</v>
      </c>
      <c r="C455" s="341" t="s">
        <v>230</v>
      </c>
      <c r="D455" s="341" t="s">
        <v>230</v>
      </c>
      <c r="E455" s="341" t="s">
        <v>231</v>
      </c>
      <c r="F455" s="374">
        <v>449</v>
      </c>
      <c r="G455" s="341">
        <v>127</v>
      </c>
      <c r="H455" s="341">
        <v>34</v>
      </c>
      <c r="I455" s="341"/>
      <c r="J455" s="341"/>
      <c r="K455" s="356">
        <v>2.5872314885361138</v>
      </c>
      <c r="L455" s="375">
        <f t="shared" si="6"/>
        <v>386.57297406877819</v>
      </c>
    </row>
    <row r="456" spans="1:12" x14ac:dyDescent="0.3">
      <c r="A456" s="341">
        <v>39</v>
      </c>
      <c r="B456" s="341" t="s">
        <v>5</v>
      </c>
      <c r="C456" s="341" t="s">
        <v>230</v>
      </c>
      <c r="D456" s="341" t="s">
        <v>230</v>
      </c>
      <c r="E456" s="341" t="s">
        <v>231</v>
      </c>
      <c r="F456" s="374">
        <v>350</v>
      </c>
      <c r="G456" s="341">
        <v>106</v>
      </c>
      <c r="H456" s="341">
        <v>11</v>
      </c>
      <c r="I456" s="341"/>
      <c r="J456" s="341"/>
      <c r="K456" s="356">
        <v>1.3788651727567693</v>
      </c>
      <c r="L456" s="375">
        <f t="shared" si="6"/>
        <v>23.925728639777837</v>
      </c>
    </row>
    <row r="457" spans="1:12" x14ac:dyDescent="0.3">
      <c r="A457" s="341">
        <v>40</v>
      </c>
      <c r="B457" s="341" t="s">
        <v>5</v>
      </c>
      <c r="C457" s="341" t="s">
        <v>230</v>
      </c>
      <c r="D457" s="341" t="s">
        <v>230</v>
      </c>
      <c r="E457" s="341" t="s">
        <v>231</v>
      </c>
      <c r="F457" s="374">
        <v>179</v>
      </c>
      <c r="G457" s="341">
        <v>72</v>
      </c>
      <c r="H457" s="341">
        <v>18</v>
      </c>
      <c r="I457" s="341"/>
      <c r="J457" s="341"/>
      <c r="K457" s="356">
        <v>0.98716758979410668</v>
      </c>
      <c r="L457" s="375">
        <f t="shared" si="6"/>
        <v>9.7088454937448301</v>
      </c>
    </row>
    <row r="458" spans="1:12" x14ac:dyDescent="0.3">
      <c r="A458" s="341">
        <v>41</v>
      </c>
      <c r="B458" s="341" t="s">
        <v>5</v>
      </c>
      <c r="C458" s="341" t="s">
        <v>230</v>
      </c>
      <c r="D458" s="341" t="s">
        <v>230</v>
      </c>
      <c r="E458" s="341" t="s">
        <v>231</v>
      </c>
      <c r="F458" s="374">
        <v>150</v>
      </c>
      <c r="G458" s="341">
        <v>58</v>
      </c>
      <c r="H458" s="341">
        <v>9</v>
      </c>
      <c r="I458" s="341"/>
      <c r="J458" s="341"/>
      <c r="K458" s="356">
        <v>0.29730436581608355</v>
      </c>
      <c r="L458" s="375">
        <f t="shared" si="6"/>
        <v>1.9829162225431327</v>
      </c>
    </row>
    <row r="459" spans="1:12" x14ac:dyDescent="0.3">
      <c r="A459" s="341">
        <v>42</v>
      </c>
      <c r="B459" s="341" t="s">
        <v>5</v>
      </c>
      <c r="C459" s="341" t="s">
        <v>230</v>
      </c>
      <c r="D459" s="341" t="s">
        <v>230</v>
      </c>
      <c r="E459" s="341" t="s">
        <v>231</v>
      </c>
      <c r="F459" s="374">
        <v>82</v>
      </c>
      <c r="G459" s="341">
        <v>46</v>
      </c>
      <c r="H459" s="341">
        <v>10</v>
      </c>
      <c r="I459" s="341"/>
      <c r="J459" s="341"/>
      <c r="K459" s="356">
        <v>0.5268966703039254</v>
      </c>
      <c r="L459" s="375">
        <f t="shared" si="6"/>
        <v>3.364315142436904</v>
      </c>
    </row>
    <row r="460" spans="1:12" x14ac:dyDescent="0.3">
      <c r="A460" s="341">
        <v>43</v>
      </c>
      <c r="B460" s="341" t="s">
        <v>5</v>
      </c>
      <c r="C460" s="341" t="s">
        <v>230</v>
      </c>
      <c r="D460" s="341" t="s">
        <v>230</v>
      </c>
      <c r="E460" s="341" t="s">
        <v>231</v>
      </c>
      <c r="F460" s="374">
        <v>54</v>
      </c>
      <c r="G460" s="341">
        <v>36</v>
      </c>
      <c r="H460" s="341">
        <v>9</v>
      </c>
      <c r="I460" s="341"/>
      <c r="J460" s="341"/>
      <c r="K460" s="356">
        <v>0.60675924755725563</v>
      </c>
      <c r="L460" s="375">
        <f t="shared" si="6"/>
        <v>4.0435167599697515</v>
      </c>
    </row>
    <row r="461" spans="1:12" x14ac:dyDescent="0.3">
      <c r="A461" s="341">
        <v>44</v>
      </c>
      <c r="B461" s="341" t="s">
        <v>5</v>
      </c>
      <c r="C461" s="341" t="s">
        <v>230</v>
      </c>
      <c r="D461" s="341" t="s">
        <v>230</v>
      </c>
      <c r="E461" s="341" t="s">
        <v>231</v>
      </c>
      <c r="F461" s="374">
        <v>49</v>
      </c>
      <c r="G461" s="341">
        <v>23</v>
      </c>
      <c r="H461" s="341">
        <v>8</v>
      </c>
      <c r="I461" s="341"/>
      <c r="J461" s="341"/>
      <c r="K461" s="356">
        <v>0.96054213807019173</v>
      </c>
      <c r="L461" s="375">
        <f t="shared" si="6"/>
        <v>9.1315003073945373</v>
      </c>
    </row>
    <row r="462" spans="1:12" x14ac:dyDescent="0.3">
      <c r="A462" s="341">
        <v>45</v>
      </c>
      <c r="B462" s="341" t="s">
        <v>5</v>
      </c>
      <c r="C462" s="341" t="s">
        <v>230</v>
      </c>
      <c r="D462" s="341" t="s">
        <v>230</v>
      </c>
      <c r="E462" s="341" t="s">
        <v>231</v>
      </c>
      <c r="F462" s="374">
        <v>47</v>
      </c>
      <c r="G462" s="341">
        <v>18</v>
      </c>
      <c r="H462" s="341">
        <v>6</v>
      </c>
      <c r="I462" s="341"/>
      <c r="J462" s="341"/>
      <c r="K462" s="356">
        <v>0.87925888933852847</v>
      </c>
      <c r="L462" s="375">
        <f t="shared" si="6"/>
        <v>7.5728418875713741</v>
      </c>
    </row>
    <row r="463" spans="1:12" x14ac:dyDescent="0.3">
      <c r="A463" s="341">
        <v>46</v>
      </c>
      <c r="B463" s="341" t="s">
        <v>5</v>
      </c>
      <c r="C463" s="341" t="s">
        <v>230</v>
      </c>
      <c r="D463" s="341" t="s">
        <v>230</v>
      </c>
      <c r="E463" s="341" t="s">
        <v>231</v>
      </c>
      <c r="F463" s="374">
        <v>35</v>
      </c>
      <c r="G463" s="341">
        <v>20</v>
      </c>
      <c r="H463" s="341">
        <v>1</v>
      </c>
      <c r="I463" s="341"/>
      <c r="J463" s="341"/>
      <c r="K463" s="356">
        <v>0.26668117996092522</v>
      </c>
      <c r="L463" s="375">
        <f t="shared" si="6"/>
        <v>1.8479115500742078</v>
      </c>
    </row>
    <row r="464" spans="1:12" x14ac:dyDescent="0.3">
      <c r="A464" s="341">
        <v>47</v>
      </c>
      <c r="B464" s="341" t="s">
        <v>5</v>
      </c>
      <c r="C464" s="341" t="s">
        <v>230</v>
      </c>
      <c r="D464" s="341" t="s">
        <v>230</v>
      </c>
      <c r="E464" s="341" t="s">
        <v>231</v>
      </c>
      <c r="F464" s="374">
        <v>74</v>
      </c>
      <c r="G464" s="341">
        <v>23</v>
      </c>
      <c r="H464" s="341">
        <v>1</v>
      </c>
      <c r="I464" s="341"/>
      <c r="J464" s="341"/>
      <c r="K464" s="356">
        <v>1.1976405333482829</v>
      </c>
      <c r="L464" s="375">
        <f t="shared" si="6"/>
        <v>15.763060170776992</v>
      </c>
    </row>
    <row r="465" spans="1:12" x14ac:dyDescent="0.3">
      <c r="A465" s="341">
        <v>48</v>
      </c>
      <c r="B465" s="341" t="s">
        <v>5</v>
      </c>
      <c r="C465" s="341" t="s">
        <v>230</v>
      </c>
      <c r="D465" s="341" t="s">
        <v>230</v>
      </c>
      <c r="E465" s="341" t="s">
        <v>231</v>
      </c>
      <c r="F465" s="374">
        <v>571</v>
      </c>
      <c r="G465" s="341">
        <v>59</v>
      </c>
      <c r="H465" s="341">
        <v>2</v>
      </c>
      <c r="I465" s="341"/>
      <c r="J465" s="341"/>
      <c r="K465" s="356">
        <v>2.009788586315354</v>
      </c>
      <c r="L465" s="375">
        <f t="shared" si="6"/>
        <v>102.2794976526378</v>
      </c>
    </row>
    <row r="466" spans="1:12" x14ac:dyDescent="0.3">
      <c r="A466" s="341">
        <v>49</v>
      </c>
      <c r="B466" s="341" t="s">
        <v>5</v>
      </c>
      <c r="C466" s="341" t="s">
        <v>230</v>
      </c>
      <c r="D466" s="341" t="s">
        <v>230</v>
      </c>
      <c r="E466" s="341" t="s">
        <v>231</v>
      </c>
      <c r="F466" s="374">
        <v>2276</v>
      </c>
      <c r="G466" s="341">
        <v>158</v>
      </c>
      <c r="H466" s="341">
        <v>2</v>
      </c>
      <c r="I466" s="341"/>
      <c r="J466" s="341"/>
      <c r="K466" s="356">
        <v>3.073312798760103</v>
      </c>
      <c r="L466" s="375">
        <f t="shared" si="6"/>
        <v>1183.8939433195162</v>
      </c>
    </row>
    <row r="467" spans="1:12" x14ac:dyDescent="0.3">
      <c r="A467" s="341">
        <v>50</v>
      </c>
      <c r="B467" s="341" t="s">
        <v>5</v>
      </c>
      <c r="C467" s="341" t="s">
        <v>230</v>
      </c>
      <c r="D467" s="341" t="s">
        <v>230</v>
      </c>
      <c r="E467" s="341" t="s">
        <v>231</v>
      </c>
      <c r="F467" s="374">
        <v>2934</v>
      </c>
      <c r="G467" s="341">
        <v>315</v>
      </c>
      <c r="H467" s="341">
        <v>9</v>
      </c>
      <c r="I467" s="341"/>
      <c r="J467" s="341"/>
      <c r="K467" s="356">
        <v>1.8711623076554413</v>
      </c>
      <c r="L467" s="375">
        <f t="shared" si="6"/>
        <v>74.329687624561572</v>
      </c>
    </row>
    <row r="468" spans="1:12" x14ac:dyDescent="0.3">
      <c r="A468" s="341">
        <v>51</v>
      </c>
      <c r="B468" s="341" t="s">
        <v>5</v>
      </c>
      <c r="C468" s="341" t="s">
        <v>230</v>
      </c>
      <c r="D468" s="341" t="s">
        <v>230</v>
      </c>
      <c r="E468" s="341" t="s">
        <v>231</v>
      </c>
      <c r="F468" s="374">
        <v>1740</v>
      </c>
      <c r="G468" s="341">
        <v>283</v>
      </c>
      <c r="H468" s="341">
        <v>17</v>
      </c>
      <c r="I468" s="341"/>
      <c r="J468" s="341"/>
      <c r="K468" s="356">
        <v>2.052076047137239</v>
      </c>
      <c r="L468" s="375">
        <f t="shared" si="6"/>
        <v>112.73948513731669</v>
      </c>
    </row>
    <row r="469" spans="1:12" x14ac:dyDescent="0.3">
      <c r="A469" s="341">
        <v>52</v>
      </c>
      <c r="B469" s="341" t="s">
        <v>5</v>
      </c>
      <c r="C469" s="341" t="s">
        <v>230</v>
      </c>
      <c r="D469" s="341" t="s">
        <v>230</v>
      </c>
      <c r="E469" s="341" t="s">
        <v>231</v>
      </c>
      <c r="F469" s="374">
        <v>795</v>
      </c>
      <c r="G469" s="341">
        <v>281</v>
      </c>
      <c r="H469" s="341">
        <v>24</v>
      </c>
      <c r="I469" s="341"/>
      <c r="J469" s="341"/>
      <c r="K469" s="341"/>
      <c r="L469" s="342"/>
    </row>
    <row r="470" spans="1:12" x14ac:dyDescent="0.3">
      <c r="A470" s="339">
        <v>1</v>
      </c>
      <c r="B470" s="339" t="s">
        <v>5</v>
      </c>
      <c r="C470" s="339" t="s">
        <v>230</v>
      </c>
      <c r="D470" s="339" t="s">
        <v>230</v>
      </c>
      <c r="E470" s="339" t="s">
        <v>232</v>
      </c>
      <c r="F470" s="348">
        <v>824</v>
      </c>
      <c r="G470" s="339">
        <v>247</v>
      </c>
      <c r="H470" s="339">
        <v>48</v>
      </c>
      <c r="I470" s="339"/>
      <c r="J470" s="339"/>
      <c r="K470" s="339"/>
      <c r="L470" s="340"/>
    </row>
    <row r="471" spans="1:12" x14ac:dyDescent="0.3">
      <c r="A471" s="339">
        <v>2</v>
      </c>
      <c r="B471" s="339" t="s">
        <v>5</v>
      </c>
      <c r="C471" s="339" t="s">
        <v>230</v>
      </c>
      <c r="D471" s="339" t="s">
        <v>230</v>
      </c>
      <c r="E471" s="339" t="s">
        <v>232</v>
      </c>
      <c r="F471" s="348">
        <v>690</v>
      </c>
      <c r="G471" s="339">
        <v>303</v>
      </c>
      <c r="H471" s="339">
        <v>68</v>
      </c>
      <c r="I471" s="339"/>
      <c r="J471" s="339"/>
      <c r="K471" s="339"/>
      <c r="L471" s="340"/>
    </row>
    <row r="472" spans="1:12" x14ac:dyDescent="0.3">
      <c r="A472" s="339">
        <v>3</v>
      </c>
      <c r="B472" s="339" t="s">
        <v>5</v>
      </c>
      <c r="C472" s="339" t="s">
        <v>230</v>
      </c>
      <c r="D472" s="339" t="s">
        <v>230</v>
      </c>
      <c r="E472" s="339" t="s">
        <v>232</v>
      </c>
      <c r="F472" s="348">
        <v>529</v>
      </c>
      <c r="G472" s="339">
        <v>232</v>
      </c>
      <c r="H472" s="339">
        <v>63</v>
      </c>
      <c r="I472" s="339"/>
      <c r="J472" s="339"/>
      <c r="K472" s="339"/>
      <c r="L472" s="340"/>
    </row>
    <row r="473" spans="1:12" x14ac:dyDescent="0.3">
      <c r="A473" s="339">
        <v>4</v>
      </c>
      <c r="B473" s="339" t="s">
        <v>5</v>
      </c>
      <c r="C473" s="339" t="s">
        <v>230</v>
      </c>
      <c r="D473" s="339" t="s">
        <v>230</v>
      </c>
      <c r="E473" s="339" t="s">
        <v>232</v>
      </c>
      <c r="F473" s="348">
        <v>324</v>
      </c>
      <c r="G473" s="339">
        <v>157</v>
      </c>
      <c r="H473" s="339">
        <v>40</v>
      </c>
      <c r="I473" s="339"/>
      <c r="J473" s="339"/>
      <c r="K473" s="339"/>
      <c r="L473" s="340"/>
    </row>
    <row r="474" spans="1:12" x14ac:dyDescent="0.3">
      <c r="A474" s="339">
        <v>5</v>
      </c>
      <c r="B474" s="339" t="s">
        <v>5</v>
      </c>
      <c r="C474" s="339" t="s">
        <v>230</v>
      </c>
      <c r="D474" s="339" t="s">
        <v>230</v>
      </c>
      <c r="E474" s="339" t="s">
        <v>232</v>
      </c>
      <c r="F474" s="348">
        <v>240</v>
      </c>
      <c r="G474" s="339">
        <v>102</v>
      </c>
      <c r="H474" s="339">
        <v>38</v>
      </c>
      <c r="I474" s="339"/>
      <c r="J474" s="339"/>
      <c r="K474" s="339"/>
      <c r="L474" s="340"/>
    </row>
    <row r="475" spans="1:12" x14ac:dyDescent="0.3">
      <c r="A475" s="339">
        <v>6</v>
      </c>
      <c r="B475" s="339" t="s">
        <v>5</v>
      </c>
      <c r="C475" s="339" t="s">
        <v>230</v>
      </c>
      <c r="D475" s="339" t="s">
        <v>230</v>
      </c>
      <c r="E475" s="339" t="s">
        <v>232</v>
      </c>
      <c r="F475" s="348">
        <v>224</v>
      </c>
      <c r="G475" s="339">
        <v>75</v>
      </c>
      <c r="H475" s="339">
        <v>32</v>
      </c>
      <c r="I475" s="339"/>
      <c r="J475" s="339"/>
      <c r="K475" s="339"/>
      <c r="L475" s="340"/>
    </row>
    <row r="476" spans="1:12" x14ac:dyDescent="0.3">
      <c r="A476" s="339">
        <v>7</v>
      </c>
      <c r="B476" s="339" t="s">
        <v>5</v>
      </c>
      <c r="C476" s="339" t="s">
        <v>230</v>
      </c>
      <c r="D476" s="339" t="s">
        <v>230</v>
      </c>
      <c r="E476" s="339" t="s">
        <v>232</v>
      </c>
      <c r="F476" s="348">
        <v>168</v>
      </c>
      <c r="G476" s="339">
        <v>69</v>
      </c>
      <c r="H476" s="339">
        <v>16</v>
      </c>
      <c r="I476" s="339"/>
      <c r="J476" s="339"/>
      <c r="K476" s="339"/>
      <c r="L476" s="340"/>
    </row>
    <row r="477" spans="1:12" x14ac:dyDescent="0.3">
      <c r="A477" s="339">
        <v>8</v>
      </c>
      <c r="B477" s="339" t="s">
        <v>5</v>
      </c>
      <c r="C477" s="339" t="s">
        <v>230</v>
      </c>
      <c r="D477" s="339" t="s">
        <v>230</v>
      </c>
      <c r="E477" s="339" t="s">
        <v>232</v>
      </c>
      <c r="F477" s="348">
        <v>149</v>
      </c>
      <c r="G477" s="339">
        <v>60</v>
      </c>
      <c r="H477" s="339">
        <v>11</v>
      </c>
      <c r="I477" s="339"/>
      <c r="J477" s="339"/>
      <c r="K477" s="339"/>
      <c r="L477" s="340"/>
    </row>
    <row r="478" spans="1:12" x14ac:dyDescent="0.3">
      <c r="A478" s="339">
        <v>9</v>
      </c>
      <c r="B478" s="339" t="s">
        <v>5</v>
      </c>
      <c r="C478" s="339" t="s">
        <v>230</v>
      </c>
      <c r="D478" s="339" t="s">
        <v>230</v>
      </c>
      <c r="E478" s="339" t="s">
        <v>232</v>
      </c>
      <c r="F478" s="348">
        <v>156</v>
      </c>
      <c r="G478" s="339">
        <v>57</v>
      </c>
      <c r="H478" s="339">
        <v>17</v>
      </c>
      <c r="I478" s="339"/>
      <c r="J478" s="339"/>
      <c r="K478" s="339"/>
      <c r="L478" s="340"/>
    </row>
    <row r="479" spans="1:12" x14ac:dyDescent="0.3">
      <c r="A479" s="339">
        <v>10</v>
      </c>
      <c r="B479" s="339" t="s">
        <v>5</v>
      </c>
      <c r="C479" s="339" t="s">
        <v>230</v>
      </c>
      <c r="D479" s="339" t="s">
        <v>230</v>
      </c>
      <c r="E479" s="339" t="s">
        <v>232</v>
      </c>
      <c r="F479" s="348">
        <v>163</v>
      </c>
      <c r="G479" s="339">
        <v>61</v>
      </c>
      <c r="H479" s="339">
        <v>6</v>
      </c>
      <c r="I479" s="339"/>
      <c r="J479" s="339"/>
      <c r="K479" s="339"/>
      <c r="L479" s="340"/>
    </row>
    <row r="480" spans="1:12" x14ac:dyDescent="0.3">
      <c r="A480" s="339">
        <v>11</v>
      </c>
      <c r="B480" s="339" t="s">
        <v>5</v>
      </c>
      <c r="C480" s="339" t="s">
        <v>230</v>
      </c>
      <c r="D480" s="339" t="s">
        <v>230</v>
      </c>
      <c r="E480" s="339" t="s">
        <v>232</v>
      </c>
      <c r="F480" s="348">
        <v>182</v>
      </c>
      <c r="G480" s="339">
        <v>60</v>
      </c>
      <c r="H480" s="339">
        <v>8</v>
      </c>
      <c r="I480" s="339"/>
      <c r="J480" s="339"/>
      <c r="K480" s="357">
        <v>-0.55236376334086335</v>
      </c>
      <c r="L480" s="361">
        <f>10^K480</f>
        <v>0.28030848016544302</v>
      </c>
    </row>
    <row r="481" spans="1:12" x14ac:dyDescent="0.3">
      <c r="A481" s="339">
        <v>12</v>
      </c>
      <c r="B481" s="339" t="s">
        <v>5</v>
      </c>
      <c r="C481" s="339" t="s">
        <v>230</v>
      </c>
      <c r="D481" s="339" t="s">
        <v>230</v>
      </c>
      <c r="E481" s="339" t="s">
        <v>232</v>
      </c>
      <c r="F481" s="348">
        <v>211</v>
      </c>
      <c r="G481" s="339">
        <v>86</v>
      </c>
      <c r="H481" s="339">
        <v>15</v>
      </c>
      <c r="I481" s="339"/>
      <c r="J481" s="339"/>
      <c r="K481" s="339"/>
      <c r="L481" s="340"/>
    </row>
    <row r="482" spans="1:12" x14ac:dyDescent="0.3">
      <c r="A482" s="339">
        <v>13</v>
      </c>
      <c r="B482" s="339" t="s">
        <v>5</v>
      </c>
      <c r="C482" s="339" t="s">
        <v>230</v>
      </c>
      <c r="D482" s="339" t="s">
        <v>230</v>
      </c>
      <c r="E482" s="339" t="s">
        <v>232</v>
      </c>
      <c r="F482" s="348">
        <v>207</v>
      </c>
      <c r="G482" s="339">
        <v>78</v>
      </c>
      <c r="H482" s="339">
        <v>19</v>
      </c>
      <c r="I482" s="339"/>
      <c r="J482" s="339"/>
      <c r="K482" s="339"/>
      <c r="L482" s="340"/>
    </row>
    <row r="483" spans="1:12" x14ac:dyDescent="0.3">
      <c r="A483" s="339">
        <v>14</v>
      </c>
      <c r="B483" s="339" t="s">
        <v>5</v>
      </c>
      <c r="C483" s="339" t="s">
        <v>230</v>
      </c>
      <c r="D483" s="339" t="s">
        <v>230</v>
      </c>
      <c r="E483" s="339" t="s">
        <v>232</v>
      </c>
      <c r="F483" s="348">
        <v>298</v>
      </c>
      <c r="G483" s="339">
        <v>101</v>
      </c>
      <c r="H483" s="339">
        <v>16</v>
      </c>
      <c r="I483" s="339"/>
      <c r="J483" s="339"/>
      <c r="K483" s="339"/>
      <c r="L483" s="340"/>
    </row>
    <row r="484" spans="1:12" x14ac:dyDescent="0.3">
      <c r="A484" s="339">
        <v>15</v>
      </c>
      <c r="B484" s="339" t="s">
        <v>5</v>
      </c>
      <c r="C484" s="339" t="s">
        <v>230</v>
      </c>
      <c r="D484" s="339" t="s">
        <v>230</v>
      </c>
      <c r="E484" s="339" t="s">
        <v>232</v>
      </c>
      <c r="F484" s="348">
        <v>433</v>
      </c>
      <c r="G484" s="339">
        <v>130</v>
      </c>
      <c r="H484" s="339">
        <v>21</v>
      </c>
      <c r="I484" s="339"/>
      <c r="J484" s="339"/>
      <c r="K484" s="339"/>
      <c r="L484" s="340"/>
    </row>
    <row r="485" spans="1:12" x14ac:dyDescent="0.3">
      <c r="A485" s="339">
        <v>16</v>
      </c>
      <c r="B485" s="339" t="s">
        <v>5</v>
      </c>
      <c r="C485" s="339" t="s">
        <v>230</v>
      </c>
      <c r="D485" s="339" t="s">
        <v>230</v>
      </c>
      <c r="E485" s="339" t="s">
        <v>232</v>
      </c>
      <c r="F485" s="348">
        <v>532</v>
      </c>
      <c r="G485" s="339">
        <v>153</v>
      </c>
      <c r="H485" s="339">
        <v>21</v>
      </c>
      <c r="I485" s="339"/>
      <c r="J485" s="339"/>
      <c r="K485" s="357">
        <v>1.6290889794284418</v>
      </c>
      <c r="L485" s="361">
        <f>10^K485</f>
        <v>42.568561982135414</v>
      </c>
    </row>
    <row r="486" spans="1:12" x14ac:dyDescent="0.3">
      <c r="A486" s="339">
        <v>17</v>
      </c>
      <c r="B486" s="339" t="s">
        <v>5</v>
      </c>
      <c r="C486" s="339" t="s">
        <v>230</v>
      </c>
      <c r="D486" s="339" t="s">
        <v>230</v>
      </c>
      <c r="E486" s="339" t="s">
        <v>232</v>
      </c>
      <c r="F486" s="348">
        <v>623</v>
      </c>
      <c r="G486" s="339">
        <v>216</v>
      </c>
      <c r="H486" s="339">
        <v>34</v>
      </c>
      <c r="I486" s="339"/>
      <c r="J486" s="339"/>
      <c r="K486" s="339"/>
      <c r="L486" s="340"/>
    </row>
    <row r="487" spans="1:12" x14ac:dyDescent="0.3">
      <c r="A487" s="339">
        <v>18</v>
      </c>
      <c r="B487" s="339" t="s">
        <v>5</v>
      </c>
      <c r="C487" s="339" t="s">
        <v>230</v>
      </c>
      <c r="D487" s="339" t="s">
        <v>230</v>
      </c>
      <c r="E487" s="339" t="s">
        <v>232</v>
      </c>
      <c r="F487" s="348">
        <v>996</v>
      </c>
      <c r="G487" s="339">
        <v>257</v>
      </c>
      <c r="H487" s="339">
        <v>50</v>
      </c>
      <c r="I487" s="339"/>
      <c r="J487" s="339"/>
      <c r="K487" s="339"/>
      <c r="L487" s="340"/>
    </row>
    <row r="488" spans="1:12" x14ac:dyDescent="0.3">
      <c r="A488" s="339">
        <v>19</v>
      </c>
      <c r="B488" s="339" t="s">
        <v>5</v>
      </c>
      <c r="C488" s="339" t="s">
        <v>230</v>
      </c>
      <c r="D488" s="339" t="s">
        <v>230</v>
      </c>
      <c r="E488" s="339" t="s">
        <v>232</v>
      </c>
      <c r="F488" s="348">
        <v>986</v>
      </c>
      <c r="G488" s="339">
        <v>265</v>
      </c>
      <c r="H488" s="339">
        <v>66</v>
      </c>
      <c r="I488" s="339"/>
      <c r="J488" s="339"/>
      <c r="K488" s="339"/>
      <c r="L488" s="340"/>
    </row>
    <row r="489" spans="1:12" x14ac:dyDescent="0.3">
      <c r="A489" s="339">
        <v>20</v>
      </c>
      <c r="B489" s="339" t="s">
        <v>5</v>
      </c>
      <c r="C489" s="339" t="s">
        <v>230</v>
      </c>
      <c r="D489" s="339" t="s">
        <v>230</v>
      </c>
      <c r="E489" s="339" t="s">
        <v>232</v>
      </c>
      <c r="F489" s="348">
        <v>1016</v>
      </c>
      <c r="G489" s="339">
        <v>275</v>
      </c>
      <c r="H489" s="339">
        <v>51</v>
      </c>
      <c r="I489" s="339"/>
      <c r="J489" s="339"/>
      <c r="K489" s="339"/>
      <c r="L489" s="340"/>
    </row>
    <row r="490" spans="1:12" x14ac:dyDescent="0.3">
      <c r="A490" s="339">
        <v>21</v>
      </c>
      <c r="B490" s="339" t="s">
        <v>5</v>
      </c>
      <c r="C490" s="339" t="s">
        <v>230</v>
      </c>
      <c r="D490" s="339" t="s">
        <v>230</v>
      </c>
      <c r="E490" s="339" t="s">
        <v>232</v>
      </c>
      <c r="F490" s="348">
        <v>1350</v>
      </c>
      <c r="G490" s="339">
        <v>330</v>
      </c>
      <c r="H490" s="339">
        <v>82</v>
      </c>
      <c r="I490" s="339"/>
      <c r="J490" s="339"/>
      <c r="K490" s="357">
        <v>1.3491854258582519</v>
      </c>
      <c r="L490" s="361">
        <f>10^K490</f>
        <v>22.345260697968207</v>
      </c>
    </row>
    <row r="491" spans="1:12" x14ac:dyDescent="0.3">
      <c r="A491" s="339">
        <v>22</v>
      </c>
      <c r="B491" s="339" t="s">
        <v>5</v>
      </c>
      <c r="C491" s="339" t="s">
        <v>230</v>
      </c>
      <c r="D491" s="339" t="s">
        <v>230</v>
      </c>
      <c r="E491" s="339" t="s">
        <v>232</v>
      </c>
      <c r="F491" s="348">
        <v>1188</v>
      </c>
      <c r="G491" s="339">
        <v>275</v>
      </c>
      <c r="H491" s="339">
        <v>68</v>
      </c>
      <c r="I491" s="339"/>
      <c r="J491" s="339"/>
      <c r="K491" s="357">
        <v>0.7869424489171265</v>
      </c>
      <c r="L491" s="361">
        <f t="shared" ref="L491:L520" si="7">10^K491</f>
        <v>6.1226925071404912</v>
      </c>
    </row>
    <row r="492" spans="1:12" x14ac:dyDescent="0.3">
      <c r="A492" s="339">
        <v>23</v>
      </c>
      <c r="B492" s="339" t="s">
        <v>5</v>
      </c>
      <c r="C492" s="339" t="s">
        <v>230</v>
      </c>
      <c r="D492" s="339" t="s">
        <v>230</v>
      </c>
      <c r="E492" s="339" t="s">
        <v>232</v>
      </c>
      <c r="F492" s="348">
        <v>1222</v>
      </c>
      <c r="G492" s="339">
        <v>256</v>
      </c>
      <c r="H492" s="339">
        <v>65</v>
      </c>
      <c r="I492" s="339"/>
      <c r="J492" s="339"/>
      <c r="K492" s="357">
        <v>1.3377887872913563</v>
      </c>
      <c r="L492" s="361">
        <f t="shared" si="7"/>
        <v>21.766509328569708</v>
      </c>
    </row>
    <row r="493" spans="1:12" x14ac:dyDescent="0.3">
      <c r="A493" s="339">
        <v>24</v>
      </c>
      <c r="B493" s="339" t="s">
        <v>5</v>
      </c>
      <c r="C493" s="339" t="s">
        <v>230</v>
      </c>
      <c r="D493" s="339" t="s">
        <v>230</v>
      </c>
      <c r="E493" s="339" t="s">
        <v>232</v>
      </c>
      <c r="F493" s="348">
        <v>1121</v>
      </c>
      <c r="G493" s="339">
        <v>242</v>
      </c>
      <c r="H493" s="339">
        <v>64</v>
      </c>
      <c r="I493" s="339"/>
      <c r="J493" s="339"/>
      <c r="K493" s="357">
        <v>1.4159737991849635</v>
      </c>
      <c r="L493" s="361">
        <f t="shared" si="7"/>
        <v>26.059963265243798</v>
      </c>
    </row>
    <row r="494" spans="1:12" x14ac:dyDescent="0.3">
      <c r="A494" s="339">
        <v>25</v>
      </c>
      <c r="B494" s="339" t="s">
        <v>5</v>
      </c>
      <c r="C494" s="339" t="s">
        <v>230</v>
      </c>
      <c r="D494" s="339" t="s">
        <v>230</v>
      </c>
      <c r="E494" s="339" t="s">
        <v>232</v>
      </c>
      <c r="F494" s="348">
        <v>947</v>
      </c>
      <c r="G494" s="339">
        <v>219</v>
      </c>
      <c r="H494" s="339">
        <v>60</v>
      </c>
      <c r="I494" s="339"/>
      <c r="J494" s="339"/>
      <c r="K494" s="357">
        <v>0.48103624134055289</v>
      </c>
      <c r="L494" s="361">
        <f t="shared" si="7"/>
        <v>3.0271660308448602</v>
      </c>
    </row>
    <row r="495" spans="1:12" x14ac:dyDescent="0.3">
      <c r="A495" s="339">
        <v>26</v>
      </c>
      <c r="B495" s="339" t="s">
        <v>5</v>
      </c>
      <c r="C495" s="339" t="s">
        <v>230</v>
      </c>
      <c r="D495" s="339" t="s">
        <v>230</v>
      </c>
      <c r="E495" s="339" t="s">
        <v>232</v>
      </c>
      <c r="F495" s="348">
        <v>1030</v>
      </c>
      <c r="G495" s="339">
        <v>194</v>
      </c>
      <c r="H495" s="339">
        <v>58</v>
      </c>
      <c r="I495" s="339"/>
      <c r="J495" s="339"/>
      <c r="K495" s="357">
        <v>0.78751701630641091</v>
      </c>
      <c r="L495" s="361">
        <f t="shared" si="7"/>
        <v>6.1307981306192803</v>
      </c>
    </row>
    <row r="496" spans="1:12" x14ac:dyDescent="0.3">
      <c r="A496" s="339">
        <v>27</v>
      </c>
      <c r="B496" s="339" t="s">
        <v>5</v>
      </c>
      <c r="C496" s="339" t="s">
        <v>230</v>
      </c>
      <c r="D496" s="339" t="s">
        <v>230</v>
      </c>
      <c r="E496" s="339" t="s">
        <v>232</v>
      </c>
      <c r="F496" s="348">
        <v>923</v>
      </c>
      <c r="G496" s="339">
        <v>238</v>
      </c>
      <c r="H496" s="339">
        <v>45</v>
      </c>
      <c r="I496" s="339"/>
      <c r="J496" s="339"/>
      <c r="K496" s="357">
        <v>1.906886095360423</v>
      </c>
      <c r="L496" s="361">
        <f t="shared" si="7"/>
        <v>80.702334034199666</v>
      </c>
    </row>
    <row r="497" spans="1:12" x14ac:dyDescent="0.3">
      <c r="A497" s="339">
        <v>28</v>
      </c>
      <c r="B497" s="339" t="s">
        <v>5</v>
      </c>
      <c r="C497" s="339" t="s">
        <v>230</v>
      </c>
      <c r="D497" s="339" t="s">
        <v>230</v>
      </c>
      <c r="E497" s="339" t="s">
        <v>232</v>
      </c>
      <c r="F497" s="348">
        <v>877</v>
      </c>
      <c r="G497" s="339">
        <v>209</v>
      </c>
      <c r="H497" s="339">
        <v>54</v>
      </c>
      <c r="I497" s="339"/>
      <c r="J497" s="339"/>
      <c r="K497" s="357">
        <v>1.6099827798593289</v>
      </c>
      <c r="L497" s="361">
        <f t="shared" si="7"/>
        <v>40.736412515445608</v>
      </c>
    </row>
    <row r="498" spans="1:12" x14ac:dyDescent="0.3">
      <c r="A498" s="339">
        <v>29</v>
      </c>
      <c r="B498" s="339" t="s">
        <v>5</v>
      </c>
      <c r="C498" s="339" t="s">
        <v>230</v>
      </c>
      <c r="D498" s="339" t="s">
        <v>230</v>
      </c>
      <c r="E498" s="339" t="s">
        <v>232</v>
      </c>
      <c r="F498" s="348">
        <v>809</v>
      </c>
      <c r="G498" s="339">
        <v>186</v>
      </c>
      <c r="H498" s="339">
        <v>52</v>
      </c>
      <c r="I498" s="339"/>
      <c r="J498" s="339"/>
      <c r="K498" s="357">
        <v>1.6832559263964977</v>
      </c>
      <c r="L498" s="361">
        <f t="shared" si="7"/>
        <v>48.223188945225338</v>
      </c>
    </row>
    <row r="499" spans="1:12" x14ac:dyDescent="0.3">
      <c r="A499" s="339">
        <v>30</v>
      </c>
      <c r="B499" s="339" t="s">
        <v>5</v>
      </c>
      <c r="C499" s="339" t="s">
        <v>230</v>
      </c>
      <c r="D499" s="339" t="s">
        <v>230</v>
      </c>
      <c r="E499" s="339" t="s">
        <v>232</v>
      </c>
      <c r="F499" s="348">
        <v>955</v>
      </c>
      <c r="G499" s="339">
        <v>205</v>
      </c>
      <c r="H499" s="339">
        <v>48</v>
      </c>
      <c r="I499" s="339"/>
      <c r="J499" s="339"/>
      <c r="K499" s="357">
        <v>2.0174156659298532</v>
      </c>
      <c r="L499" s="361">
        <f t="shared" si="7"/>
        <v>104.09159563025656</v>
      </c>
    </row>
    <row r="500" spans="1:12" x14ac:dyDescent="0.3">
      <c r="A500" s="339">
        <v>31</v>
      </c>
      <c r="B500" s="339" t="s">
        <v>5</v>
      </c>
      <c r="C500" s="339" t="s">
        <v>230</v>
      </c>
      <c r="D500" s="339" t="s">
        <v>230</v>
      </c>
      <c r="E500" s="339" t="s">
        <v>232</v>
      </c>
      <c r="F500" s="348">
        <v>1200</v>
      </c>
      <c r="G500" s="339">
        <v>226</v>
      </c>
      <c r="H500" s="339">
        <v>43</v>
      </c>
      <c r="I500" s="339"/>
      <c r="J500" s="339"/>
      <c r="K500" s="357">
        <v>2.04343606895912</v>
      </c>
      <c r="L500" s="361">
        <f t="shared" si="7"/>
        <v>110.51877664060014</v>
      </c>
    </row>
    <row r="501" spans="1:12" x14ac:dyDescent="0.3">
      <c r="A501" s="339">
        <v>32</v>
      </c>
      <c r="B501" s="339" t="s">
        <v>5</v>
      </c>
      <c r="C501" s="339" t="s">
        <v>230</v>
      </c>
      <c r="D501" s="339" t="s">
        <v>230</v>
      </c>
      <c r="E501" s="339" t="s">
        <v>232</v>
      </c>
      <c r="F501" s="348">
        <v>1490</v>
      </c>
      <c r="G501" s="339">
        <v>214</v>
      </c>
      <c r="H501" s="339">
        <v>48</v>
      </c>
      <c r="I501" s="339"/>
      <c r="J501" s="339"/>
      <c r="K501" s="357">
        <v>2.5220180816140765</v>
      </c>
      <c r="L501" s="361">
        <f t="shared" si="7"/>
        <v>332.67340368154134</v>
      </c>
    </row>
    <row r="502" spans="1:12" x14ac:dyDescent="0.3">
      <c r="A502" s="339">
        <v>33</v>
      </c>
      <c r="B502" s="339" t="s">
        <v>5</v>
      </c>
      <c r="C502" s="339" t="s">
        <v>230</v>
      </c>
      <c r="D502" s="339" t="s">
        <v>230</v>
      </c>
      <c r="E502" s="339" t="s">
        <v>232</v>
      </c>
      <c r="F502" s="348">
        <v>1916</v>
      </c>
      <c r="G502" s="339">
        <v>273</v>
      </c>
      <c r="H502" s="339">
        <v>48</v>
      </c>
      <c r="I502" s="339"/>
      <c r="J502" s="339"/>
      <c r="K502" s="357">
        <v>1.4706124393485056</v>
      </c>
      <c r="L502" s="361">
        <f t="shared" si="7"/>
        <v>29.55373939202757</v>
      </c>
    </row>
    <row r="503" spans="1:12" x14ac:dyDescent="0.3">
      <c r="A503" s="339">
        <v>34</v>
      </c>
      <c r="B503" s="339" t="s">
        <v>5</v>
      </c>
      <c r="C503" s="339" t="s">
        <v>230</v>
      </c>
      <c r="D503" s="339" t="s">
        <v>230</v>
      </c>
      <c r="E503" s="339" t="s">
        <v>232</v>
      </c>
      <c r="F503" s="348">
        <v>1965</v>
      </c>
      <c r="G503" s="339">
        <v>278</v>
      </c>
      <c r="H503" s="339">
        <v>42</v>
      </c>
      <c r="I503" s="339"/>
      <c r="J503" s="339"/>
      <c r="K503" s="357">
        <v>1.637181321319529</v>
      </c>
      <c r="L503" s="361">
        <f t="shared" si="7"/>
        <v>43.369191033499618</v>
      </c>
    </row>
    <row r="504" spans="1:12" x14ac:dyDescent="0.3">
      <c r="A504" s="339">
        <v>35</v>
      </c>
      <c r="B504" s="339" t="s">
        <v>5</v>
      </c>
      <c r="C504" s="339" t="s">
        <v>230</v>
      </c>
      <c r="D504" s="339" t="s">
        <v>230</v>
      </c>
      <c r="E504" s="339" t="s">
        <v>232</v>
      </c>
      <c r="F504" s="348">
        <v>1539</v>
      </c>
      <c r="G504" s="339">
        <v>260</v>
      </c>
      <c r="H504" s="339">
        <v>33</v>
      </c>
      <c r="I504" s="339"/>
      <c r="J504" s="339"/>
      <c r="K504" s="357">
        <v>2.3916692713310508</v>
      </c>
      <c r="L504" s="361">
        <f t="shared" si="7"/>
        <v>246.4162086953925</v>
      </c>
    </row>
    <row r="505" spans="1:12" x14ac:dyDescent="0.3">
      <c r="A505" s="339">
        <v>36</v>
      </c>
      <c r="B505" s="339" t="s">
        <v>5</v>
      </c>
      <c r="C505" s="339" t="s">
        <v>230</v>
      </c>
      <c r="D505" s="339" t="s">
        <v>230</v>
      </c>
      <c r="E505" s="339" t="s">
        <v>232</v>
      </c>
      <c r="F505" s="348">
        <v>1289</v>
      </c>
      <c r="G505" s="339">
        <v>234</v>
      </c>
      <c r="H505" s="339">
        <v>45</v>
      </c>
      <c r="I505" s="339"/>
      <c r="J505" s="339"/>
      <c r="K505" s="357">
        <v>2.2177048861043991</v>
      </c>
      <c r="L505" s="361">
        <f t="shared" si="7"/>
        <v>165.08396304383578</v>
      </c>
    </row>
    <row r="506" spans="1:12" x14ac:dyDescent="0.3">
      <c r="A506" s="339">
        <v>37</v>
      </c>
      <c r="B506" s="339" t="s">
        <v>5</v>
      </c>
      <c r="C506" s="339" t="s">
        <v>230</v>
      </c>
      <c r="D506" s="339" t="s">
        <v>230</v>
      </c>
      <c r="E506" s="339" t="s">
        <v>232</v>
      </c>
      <c r="F506" s="348">
        <v>881</v>
      </c>
      <c r="G506" s="339">
        <v>160</v>
      </c>
      <c r="H506" s="339">
        <v>34</v>
      </c>
      <c r="I506" s="339"/>
      <c r="J506" s="339"/>
      <c r="K506" s="357">
        <v>1.5893831737371114</v>
      </c>
      <c r="L506" s="361">
        <f t="shared" si="7"/>
        <v>38.849297834902409</v>
      </c>
    </row>
    <row r="507" spans="1:12" x14ac:dyDescent="0.3">
      <c r="A507" s="339">
        <v>38</v>
      </c>
      <c r="B507" s="339" t="s">
        <v>5</v>
      </c>
      <c r="C507" s="339" t="s">
        <v>230</v>
      </c>
      <c r="D507" s="339" t="s">
        <v>230</v>
      </c>
      <c r="E507" s="339" t="s">
        <v>232</v>
      </c>
      <c r="F507" s="348">
        <v>449</v>
      </c>
      <c r="G507" s="339">
        <v>127</v>
      </c>
      <c r="H507" s="339">
        <v>34</v>
      </c>
      <c r="I507" s="339"/>
      <c r="J507" s="339"/>
      <c r="K507" s="357">
        <v>1.3952760688773103</v>
      </c>
      <c r="L507" s="361">
        <f t="shared" si="7"/>
        <v>24.847120654826259</v>
      </c>
    </row>
    <row r="508" spans="1:12" x14ac:dyDescent="0.3">
      <c r="A508" s="339">
        <v>39</v>
      </c>
      <c r="B508" s="339" t="s">
        <v>5</v>
      </c>
      <c r="C508" s="339" t="s">
        <v>230</v>
      </c>
      <c r="D508" s="339" t="s">
        <v>230</v>
      </c>
      <c r="E508" s="339" t="s">
        <v>232</v>
      </c>
      <c r="F508" s="348">
        <v>350</v>
      </c>
      <c r="G508" s="339">
        <v>106</v>
      </c>
      <c r="H508" s="339">
        <v>11</v>
      </c>
      <c r="I508" s="339"/>
      <c r="J508" s="339"/>
      <c r="K508" s="357">
        <v>2.3024589466521035</v>
      </c>
      <c r="L508" s="361">
        <f t="shared" si="7"/>
        <v>200.65914003216517</v>
      </c>
    </row>
    <row r="509" spans="1:12" x14ac:dyDescent="0.3">
      <c r="A509" s="339">
        <v>40</v>
      </c>
      <c r="B509" s="339" t="s">
        <v>5</v>
      </c>
      <c r="C509" s="339" t="s">
        <v>230</v>
      </c>
      <c r="D509" s="339" t="s">
        <v>230</v>
      </c>
      <c r="E509" s="339" t="s">
        <v>232</v>
      </c>
      <c r="F509" s="348">
        <v>179</v>
      </c>
      <c r="G509" s="339">
        <v>72</v>
      </c>
      <c r="H509" s="339">
        <v>18</v>
      </c>
      <c r="I509" s="339"/>
      <c r="J509" s="339"/>
      <c r="K509" s="357">
        <v>0.11517559141957788</v>
      </c>
      <c r="L509" s="361">
        <f t="shared" si="7"/>
        <v>1.3036937737951473</v>
      </c>
    </row>
    <row r="510" spans="1:12" x14ac:dyDescent="0.3">
      <c r="A510" s="339">
        <v>41</v>
      </c>
      <c r="B510" s="339" t="s">
        <v>5</v>
      </c>
      <c r="C510" s="339" t="s">
        <v>230</v>
      </c>
      <c r="D510" s="339" t="s">
        <v>230</v>
      </c>
      <c r="E510" s="339" t="s">
        <v>232</v>
      </c>
      <c r="F510" s="348">
        <v>150</v>
      </c>
      <c r="G510" s="339">
        <v>58</v>
      </c>
      <c r="H510" s="339">
        <v>9</v>
      </c>
      <c r="I510" s="339"/>
      <c r="J510" s="339"/>
      <c r="K510" s="357">
        <v>0.99112217852996953</v>
      </c>
      <c r="L510" s="361">
        <f t="shared" si="7"/>
        <v>9.7976558062495069</v>
      </c>
    </row>
    <row r="511" spans="1:12" x14ac:dyDescent="0.3">
      <c r="A511" s="339">
        <v>42</v>
      </c>
      <c r="B511" s="339" t="s">
        <v>5</v>
      </c>
      <c r="C511" s="339" t="s">
        <v>230</v>
      </c>
      <c r="D511" s="339" t="s">
        <v>230</v>
      </c>
      <c r="E511" s="339" t="s">
        <v>232</v>
      </c>
      <c r="F511" s="348">
        <v>82</v>
      </c>
      <c r="G511" s="339">
        <v>46</v>
      </c>
      <c r="H511" s="339">
        <v>10</v>
      </c>
      <c r="I511" s="339"/>
      <c r="J511" s="339"/>
      <c r="K511" s="357">
        <v>-5.1576755743192267E-2</v>
      </c>
      <c r="L511" s="361">
        <f t="shared" si="7"/>
        <v>0.88802101660747901</v>
      </c>
    </row>
    <row r="512" spans="1:12" x14ac:dyDescent="0.3">
      <c r="A512" s="339">
        <v>43</v>
      </c>
      <c r="B512" s="339" t="s">
        <v>5</v>
      </c>
      <c r="C512" s="339" t="s">
        <v>230</v>
      </c>
      <c r="D512" s="339" t="s">
        <v>230</v>
      </c>
      <c r="E512" s="339" t="s">
        <v>232</v>
      </c>
      <c r="F512" s="348">
        <v>54</v>
      </c>
      <c r="G512" s="339">
        <v>36</v>
      </c>
      <c r="H512" s="339">
        <v>9</v>
      </c>
      <c r="I512" s="339"/>
      <c r="J512" s="339"/>
      <c r="K512" s="357">
        <v>0.19451799295493144</v>
      </c>
      <c r="L512" s="361">
        <f t="shared" si="7"/>
        <v>1.5650131568616752</v>
      </c>
    </row>
    <row r="513" spans="1:12" x14ac:dyDescent="0.3">
      <c r="A513" s="339">
        <v>44</v>
      </c>
      <c r="B513" s="339" t="s">
        <v>5</v>
      </c>
      <c r="C513" s="339" t="s">
        <v>230</v>
      </c>
      <c r="D513" s="339" t="s">
        <v>230</v>
      </c>
      <c r="E513" s="339" t="s">
        <v>232</v>
      </c>
      <c r="F513" s="348">
        <v>49</v>
      </c>
      <c r="G513" s="339">
        <v>23</v>
      </c>
      <c r="H513" s="339">
        <v>8</v>
      </c>
      <c r="I513" s="339"/>
      <c r="J513" s="339"/>
      <c r="K513" s="357">
        <v>0.7033672563235287</v>
      </c>
      <c r="L513" s="361">
        <f t="shared" si="7"/>
        <v>5.0508823930000784</v>
      </c>
    </row>
    <row r="514" spans="1:12" x14ac:dyDescent="0.3">
      <c r="A514" s="339">
        <v>45</v>
      </c>
      <c r="B514" s="339" t="s">
        <v>5</v>
      </c>
      <c r="C514" s="339" t="s">
        <v>230</v>
      </c>
      <c r="D514" s="339" t="s">
        <v>230</v>
      </c>
      <c r="E514" s="339" t="s">
        <v>232</v>
      </c>
      <c r="F514" s="348">
        <v>47</v>
      </c>
      <c r="G514" s="339">
        <v>18</v>
      </c>
      <c r="H514" s="339">
        <v>6</v>
      </c>
      <c r="I514" s="339"/>
      <c r="J514" s="339"/>
      <c r="K514" s="357">
        <v>0.50061399781974025</v>
      </c>
      <c r="L514" s="361">
        <f t="shared" si="7"/>
        <v>3.1667515939595754</v>
      </c>
    </row>
    <row r="515" spans="1:12" x14ac:dyDescent="0.3">
      <c r="A515" s="339">
        <v>46</v>
      </c>
      <c r="B515" s="339" t="s">
        <v>5</v>
      </c>
      <c r="C515" s="339" t="s">
        <v>230</v>
      </c>
      <c r="D515" s="339" t="s">
        <v>230</v>
      </c>
      <c r="E515" s="339" t="s">
        <v>232</v>
      </c>
      <c r="F515" s="348">
        <v>35</v>
      </c>
      <c r="G515" s="339">
        <v>20</v>
      </c>
      <c r="H515" s="339">
        <v>1</v>
      </c>
      <c r="I515" s="339"/>
      <c r="J515" s="339"/>
      <c r="K515" s="357">
        <v>0</v>
      </c>
      <c r="L515" s="361">
        <f t="shared" si="7"/>
        <v>1</v>
      </c>
    </row>
    <row r="516" spans="1:12" x14ac:dyDescent="0.3">
      <c r="A516" s="339">
        <v>47</v>
      </c>
      <c r="B516" s="339" t="s">
        <v>5</v>
      </c>
      <c r="C516" s="339" t="s">
        <v>230</v>
      </c>
      <c r="D516" s="339" t="s">
        <v>230</v>
      </c>
      <c r="E516" s="339" t="s">
        <v>232</v>
      </c>
      <c r="F516" s="348">
        <v>74</v>
      </c>
      <c r="G516" s="339">
        <v>23</v>
      </c>
      <c r="H516" s="339">
        <v>1</v>
      </c>
      <c r="I516" s="339"/>
      <c r="J516" s="339"/>
      <c r="K516" s="357">
        <v>1.4238292872111948</v>
      </c>
      <c r="L516" s="361">
        <f t="shared" si="7"/>
        <v>26.535622927607339</v>
      </c>
    </row>
    <row r="517" spans="1:12" x14ac:dyDescent="0.3">
      <c r="A517" s="339">
        <v>48</v>
      </c>
      <c r="B517" s="339" t="s">
        <v>5</v>
      </c>
      <c r="C517" s="339" t="s">
        <v>230</v>
      </c>
      <c r="D517" s="339" t="s">
        <v>230</v>
      </c>
      <c r="E517" s="339" t="s">
        <v>232</v>
      </c>
      <c r="F517" s="348">
        <v>571</v>
      </c>
      <c r="G517" s="339">
        <v>59</v>
      </c>
      <c r="H517" s="339">
        <v>2</v>
      </c>
      <c r="I517" s="339"/>
      <c r="J517" s="339"/>
      <c r="K517" s="357">
        <v>1.6709470509791424</v>
      </c>
      <c r="L517" s="361">
        <f t="shared" si="7"/>
        <v>46.875622807716844</v>
      </c>
    </row>
    <row r="518" spans="1:12" x14ac:dyDescent="0.3">
      <c r="A518" s="339">
        <v>49</v>
      </c>
      <c r="B518" s="339" t="s">
        <v>5</v>
      </c>
      <c r="C518" s="339" t="s">
        <v>230</v>
      </c>
      <c r="D518" s="339" t="s">
        <v>230</v>
      </c>
      <c r="E518" s="339" t="s">
        <v>232</v>
      </c>
      <c r="F518" s="348">
        <v>2276</v>
      </c>
      <c r="G518" s="339">
        <v>158</v>
      </c>
      <c r="H518" s="339">
        <v>2</v>
      </c>
      <c r="I518" s="339"/>
      <c r="J518" s="339"/>
      <c r="K518" s="357">
        <v>2.0805915962686372</v>
      </c>
      <c r="L518" s="361">
        <f t="shared" si="7"/>
        <v>120.39032760931521</v>
      </c>
    </row>
    <row r="519" spans="1:12" x14ac:dyDescent="0.3">
      <c r="A519" s="339">
        <v>50</v>
      </c>
      <c r="B519" s="339" t="s">
        <v>5</v>
      </c>
      <c r="C519" s="339" t="s">
        <v>230</v>
      </c>
      <c r="D519" s="339" t="s">
        <v>230</v>
      </c>
      <c r="E519" s="339" t="s">
        <v>232</v>
      </c>
      <c r="F519" s="348">
        <v>2934</v>
      </c>
      <c r="G519" s="339">
        <v>315</v>
      </c>
      <c r="H519" s="339">
        <v>9</v>
      </c>
      <c r="I519" s="339"/>
      <c r="J519" s="339"/>
      <c r="K519" s="357">
        <v>2.3436335388041489</v>
      </c>
      <c r="L519" s="361">
        <f t="shared" si="7"/>
        <v>220.61423866116274</v>
      </c>
    </row>
    <row r="520" spans="1:12" x14ac:dyDescent="0.3">
      <c r="A520" s="339">
        <v>51</v>
      </c>
      <c r="B520" s="339" t="s">
        <v>5</v>
      </c>
      <c r="C520" s="339" t="s">
        <v>230</v>
      </c>
      <c r="D520" s="339" t="s">
        <v>230</v>
      </c>
      <c r="E520" s="339" t="s">
        <v>232</v>
      </c>
      <c r="F520" s="348">
        <v>1740</v>
      </c>
      <c r="G520" s="339">
        <v>283</v>
      </c>
      <c r="H520" s="339">
        <v>17</v>
      </c>
      <c r="I520" s="339"/>
      <c r="J520" s="339"/>
      <c r="K520" s="357">
        <v>2.8692269022013335</v>
      </c>
      <c r="L520" s="361">
        <f t="shared" si="7"/>
        <v>739.99179139429293</v>
      </c>
    </row>
    <row r="521" spans="1:12" x14ac:dyDescent="0.3">
      <c r="A521" s="339">
        <v>52</v>
      </c>
      <c r="B521" s="339" t="s">
        <v>5</v>
      </c>
      <c r="C521" s="339" t="s">
        <v>230</v>
      </c>
      <c r="D521" s="339" t="s">
        <v>230</v>
      </c>
      <c r="E521" s="339" t="s">
        <v>232</v>
      </c>
      <c r="F521" s="348">
        <v>795</v>
      </c>
      <c r="G521" s="339">
        <v>281</v>
      </c>
      <c r="H521" s="339">
        <v>24</v>
      </c>
      <c r="I521" s="339"/>
      <c r="J521" s="339"/>
      <c r="K521" s="339"/>
      <c r="L521" s="340"/>
    </row>
    <row r="522" spans="1:12" x14ac:dyDescent="0.3">
      <c r="A522" s="376">
        <v>1</v>
      </c>
      <c r="B522" s="376" t="s">
        <v>233</v>
      </c>
      <c r="C522" s="376" t="s">
        <v>234</v>
      </c>
      <c r="D522" s="376" t="s">
        <v>234</v>
      </c>
      <c r="E522" s="376" t="s">
        <v>235</v>
      </c>
      <c r="F522" s="377">
        <v>12916</v>
      </c>
      <c r="G522" s="376">
        <v>1800</v>
      </c>
      <c r="H522" s="376">
        <v>492</v>
      </c>
      <c r="I522" s="376"/>
      <c r="J522" s="376"/>
      <c r="K522" s="376"/>
      <c r="L522" s="378"/>
    </row>
    <row r="523" spans="1:12" x14ac:dyDescent="0.3">
      <c r="A523" s="376">
        <v>2</v>
      </c>
      <c r="B523" s="376" t="s">
        <v>233</v>
      </c>
      <c r="C523" s="376" t="s">
        <v>234</v>
      </c>
      <c r="D523" s="376" t="s">
        <v>234</v>
      </c>
      <c r="E523" s="376" t="s">
        <v>235</v>
      </c>
      <c r="F523" s="377">
        <v>6900</v>
      </c>
      <c r="G523" s="376">
        <v>1522</v>
      </c>
      <c r="H523" s="376">
        <v>483</v>
      </c>
      <c r="I523" s="376"/>
      <c r="J523" s="376"/>
      <c r="K523" s="376"/>
      <c r="L523" s="378"/>
    </row>
    <row r="524" spans="1:12" x14ac:dyDescent="0.3">
      <c r="A524" s="376">
        <v>3</v>
      </c>
      <c r="B524" s="376" t="s">
        <v>233</v>
      </c>
      <c r="C524" s="376" t="s">
        <v>234</v>
      </c>
      <c r="D524" s="376" t="s">
        <v>234</v>
      </c>
      <c r="E524" s="376" t="s">
        <v>235</v>
      </c>
      <c r="F524" s="377">
        <v>3872</v>
      </c>
      <c r="G524" s="376">
        <v>1085</v>
      </c>
      <c r="H524" s="376">
        <v>404</v>
      </c>
      <c r="I524" s="376"/>
      <c r="J524" s="376"/>
      <c r="K524" s="376"/>
      <c r="L524" s="378"/>
    </row>
    <row r="525" spans="1:12" x14ac:dyDescent="0.3">
      <c r="A525" s="376">
        <v>4</v>
      </c>
      <c r="B525" s="376" t="s">
        <v>233</v>
      </c>
      <c r="C525" s="376" t="s">
        <v>234</v>
      </c>
      <c r="D525" s="376" t="s">
        <v>234</v>
      </c>
      <c r="E525" s="376" t="s">
        <v>235</v>
      </c>
      <c r="F525" s="377">
        <v>1962</v>
      </c>
      <c r="G525" s="376">
        <v>645</v>
      </c>
      <c r="H525" s="376">
        <v>268</v>
      </c>
      <c r="I525" s="376"/>
      <c r="J525" s="376"/>
      <c r="K525" s="376"/>
      <c r="L525" s="378"/>
    </row>
    <row r="526" spans="1:12" x14ac:dyDescent="0.3">
      <c r="A526" s="376">
        <v>5</v>
      </c>
      <c r="B526" s="376" t="s">
        <v>233</v>
      </c>
      <c r="C526" s="376" t="s">
        <v>234</v>
      </c>
      <c r="D526" s="376" t="s">
        <v>234</v>
      </c>
      <c r="E526" s="376" t="s">
        <v>235</v>
      </c>
      <c r="F526" s="377">
        <v>1250</v>
      </c>
      <c r="G526" s="376">
        <v>434</v>
      </c>
      <c r="H526" s="376">
        <v>191</v>
      </c>
      <c r="I526" s="376"/>
      <c r="J526" s="376"/>
      <c r="K526" s="376"/>
      <c r="L526" s="378"/>
    </row>
    <row r="527" spans="1:12" x14ac:dyDescent="0.3">
      <c r="A527" s="376">
        <v>6</v>
      </c>
      <c r="B527" s="376" t="s">
        <v>233</v>
      </c>
      <c r="C527" s="376" t="s">
        <v>234</v>
      </c>
      <c r="D527" s="376" t="s">
        <v>234</v>
      </c>
      <c r="E527" s="376" t="s">
        <v>235</v>
      </c>
      <c r="F527" s="377">
        <v>721</v>
      </c>
      <c r="G527" s="376">
        <v>273</v>
      </c>
      <c r="H527" s="376">
        <v>139</v>
      </c>
      <c r="I527" s="376"/>
      <c r="J527" s="376"/>
      <c r="K527" s="376"/>
      <c r="L527" s="378"/>
    </row>
    <row r="528" spans="1:12" x14ac:dyDescent="0.3">
      <c r="A528" s="376">
        <v>7</v>
      </c>
      <c r="B528" s="376" t="s">
        <v>233</v>
      </c>
      <c r="C528" s="376" t="s">
        <v>234</v>
      </c>
      <c r="D528" s="376" t="s">
        <v>234</v>
      </c>
      <c r="E528" s="376" t="s">
        <v>235</v>
      </c>
      <c r="F528" s="377">
        <v>396</v>
      </c>
      <c r="G528" s="376">
        <v>189</v>
      </c>
      <c r="H528" s="376">
        <v>75</v>
      </c>
      <c r="I528" s="376"/>
      <c r="J528" s="376"/>
      <c r="K528" s="376"/>
      <c r="L528" s="378"/>
    </row>
    <row r="529" spans="1:12" x14ac:dyDescent="0.3">
      <c r="A529" s="376">
        <v>8</v>
      </c>
      <c r="B529" s="376" t="s">
        <v>233</v>
      </c>
      <c r="C529" s="376" t="s">
        <v>234</v>
      </c>
      <c r="D529" s="376" t="s">
        <v>234</v>
      </c>
      <c r="E529" s="376" t="s">
        <v>235</v>
      </c>
      <c r="F529" s="377">
        <v>375</v>
      </c>
      <c r="G529" s="376">
        <v>146</v>
      </c>
      <c r="H529" s="376">
        <v>51</v>
      </c>
      <c r="I529" s="376"/>
      <c r="J529" s="376"/>
      <c r="K529" s="379">
        <v>-0.45203799233017711</v>
      </c>
      <c r="L529" s="380">
        <f>10^K529</f>
        <v>0.35315227447723901</v>
      </c>
    </row>
    <row r="530" spans="1:12" x14ac:dyDescent="0.3">
      <c r="A530" s="376">
        <v>9</v>
      </c>
      <c r="B530" s="376" t="s">
        <v>233</v>
      </c>
      <c r="C530" s="376" t="s">
        <v>234</v>
      </c>
      <c r="D530" s="376" t="s">
        <v>234</v>
      </c>
      <c r="E530" s="376" t="s">
        <v>235</v>
      </c>
      <c r="F530" s="377">
        <v>308</v>
      </c>
      <c r="G530" s="376">
        <v>111</v>
      </c>
      <c r="H530" s="376">
        <v>31</v>
      </c>
      <c r="I530" s="376"/>
      <c r="J530" s="376"/>
      <c r="K530" s="376"/>
      <c r="L530" s="378"/>
    </row>
    <row r="531" spans="1:12" x14ac:dyDescent="0.3">
      <c r="A531" s="376">
        <v>10</v>
      </c>
      <c r="B531" s="376" t="s">
        <v>233</v>
      </c>
      <c r="C531" s="376" t="s">
        <v>234</v>
      </c>
      <c r="D531" s="376" t="s">
        <v>234</v>
      </c>
      <c r="E531" s="376" t="s">
        <v>235</v>
      </c>
      <c r="F531" s="377">
        <v>212</v>
      </c>
      <c r="G531" s="376">
        <v>98</v>
      </c>
      <c r="H531" s="376">
        <v>26</v>
      </c>
      <c r="I531" s="376"/>
      <c r="J531" s="376"/>
      <c r="K531" s="376"/>
      <c r="L531" s="378"/>
    </row>
    <row r="532" spans="1:12" x14ac:dyDescent="0.3">
      <c r="A532" s="376">
        <v>11</v>
      </c>
      <c r="B532" s="376" t="s">
        <v>233</v>
      </c>
      <c r="C532" s="376" t="s">
        <v>234</v>
      </c>
      <c r="D532" s="376" t="s">
        <v>234</v>
      </c>
      <c r="E532" s="376" t="s">
        <v>235</v>
      </c>
      <c r="F532" s="377">
        <v>149</v>
      </c>
      <c r="G532" s="376">
        <v>82</v>
      </c>
      <c r="H532" s="376">
        <v>18</v>
      </c>
      <c r="I532" s="376"/>
      <c r="J532" s="376"/>
      <c r="K532" s="376"/>
      <c r="L532" s="378"/>
    </row>
    <row r="533" spans="1:12" x14ac:dyDescent="0.3">
      <c r="A533" s="376">
        <v>12</v>
      </c>
      <c r="B533" s="376" t="s">
        <v>233</v>
      </c>
      <c r="C533" s="376" t="s">
        <v>234</v>
      </c>
      <c r="D533" s="376" t="s">
        <v>234</v>
      </c>
      <c r="E533" s="376" t="s">
        <v>235</v>
      </c>
      <c r="F533" s="377">
        <v>145</v>
      </c>
      <c r="G533" s="376">
        <v>73</v>
      </c>
      <c r="H533" s="376">
        <v>16</v>
      </c>
      <c r="I533" s="376"/>
      <c r="J533" s="376"/>
      <c r="K533" s="379">
        <v>5.6145659646647146E-2</v>
      </c>
      <c r="L533" s="380">
        <f>10^K533</f>
        <v>1.1380089028757401</v>
      </c>
    </row>
    <row r="534" spans="1:12" x14ac:dyDescent="0.3">
      <c r="A534" s="376">
        <v>13</v>
      </c>
      <c r="B534" s="376" t="s">
        <v>233</v>
      </c>
      <c r="C534" s="376" t="s">
        <v>234</v>
      </c>
      <c r="D534" s="376" t="s">
        <v>234</v>
      </c>
      <c r="E534" s="376" t="s">
        <v>235</v>
      </c>
      <c r="F534" s="377">
        <v>143</v>
      </c>
      <c r="G534" s="376">
        <v>39</v>
      </c>
      <c r="H534" s="376">
        <v>6</v>
      </c>
      <c r="I534" s="376"/>
      <c r="J534" s="376"/>
      <c r="K534" s="376"/>
      <c r="L534" s="378"/>
    </row>
    <row r="535" spans="1:12" x14ac:dyDescent="0.3">
      <c r="A535" s="376">
        <v>14</v>
      </c>
      <c r="B535" s="376" t="s">
        <v>233</v>
      </c>
      <c r="C535" s="376" t="s">
        <v>234</v>
      </c>
      <c r="D535" s="376" t="s">
        <v>234</v>
      </c>
      <c r="E535" s="376" t="s">
        <v>235</v>
      </c>
      <c r="F535" s="377">
        <v>145</v>
      </c>
      <c r="G535" s="376">
        <v>64</v>
      </c>
      <c r="H535" s="376">
        <v>6</v>
      </c>
      <c r="I535" s="376"/>
      <c r="J535" s="376"/>
      <c r="K535" s="376"/>
      <c r="L535" s="378"/>
    </row>
    <row r="536" spans="1:12" x14ac:dyDescent="0.3">
      <c r="A536" s="376">
        <v>15</v>
      </c>
      <c r="B536" s="376" t="s">
        <v>233</v>
      </c>
      <c r="C536" s="376" t="s">
        <v>234</v>
      </c>
      <c r="D536" s="376" t="s">
        <v>234</v>
      </c>
      <c r="E536" s="376" t="s">
        <v>235</v>
      </c>
      <c r="F536" s="377">
        <v>183</v>
      </c>
      <c r="G536" s="376">
        <v>71</v>
      </c>
      <c r="H536" s="376">
        <v>8</v>
      </c>
      <c r="I536" s="376"/>
      <c r="J536" s="376"/>
      <c r="K536" s="376"/>
      <c r="L536" s="378"/>
    </row>
    <row r="537" spans="1:12" x14ac:dyDescent="0.3">
      <c r="A537" s="376">
        <v>16</v>
      </c>
      <c r="B537" s="376" t="s">
        <v>233</v>
      </c>
      <c r="C537" s="376" t="s">
        <v>234</v>
      </c>
      <c r="D537" s="376" t="s">
        <v>234</v>
      </c>
      <c r="E537" s="376" t="s">
        <v>235</v>
      </c>
      <c r="F537" s="377">
        <v>125</v>
      </c>
      <c r="G537" s="376">
        <v>71</v>
      </c>
      <c r="H537" s="376">
        <v>11</v>
      </c>
      <c r="I537" s="376"/>
      <c r="J537" s="376"/>
      <c r="K537" s="376"/>
      <c r="L537" s="378"/>
    </row>
    <row r="538" spans="1:12" x14ac:dyDescent="0.3">
      <c r="A538" s="376">
        <v>17</v>
      </c>
      <c r="B538" s="376" t="s">
        <v>233</v>
      </c>
      <c r="C538" s="376" t="s">
        <v>234</v>
      </c>
      <c r="D538" s="376" t="s">
        <v>234</v>
      </c>
      <c r="E538" s="376" t="s">
        <v>235</v>
      </c>
      <c r="F538" s="377">
        <v>152</v>
      </c>
      <c r="G538" s="376">
        <v>42</v>
      </c>
      <c r="H538" s="376">
        <v>9</v>
      </c>
      <c r="I538" s="376"/>
      <c r="J538" s="376"/>
      <c r="K538" s="379">
        <v>-7.5528167199448465E-2</v>
      </c>
      <c r="L538" s="380">
        <f>10^K538</f>
        <v>0.84037250097917005</v>
      </c>
    </row>
    <row r="539" spans="1:12" x14ac:dyDescent="0.3">
      <c r="A539" s="376">
        <v>18</v>
      </c>
      <c r="B539" s="376" t="s">
        <v>233</v>
      </c>
      <c r="C539" s="376" t="s">
        <v>234</v>
      </c>
      <c r="D539" s="376" t="s">
        <v>234</v>
      </c>
      <c r="E539" s="376" t="s">
        <v>235</v>
      </c>
      <c r="F539" s="377">
        <v>216</v>
      </c>
      <c r="G539" s="376">
        <v>57</v>
      </c>
      <c r="H539" s="376">
        <v>7</v>
      </c>
      <c r="I539" s="376"/>
      <c r="J539" s="376"/>
      <c r="K539" s="376"/>
      <c r="L539" s="378"/>
    </row>
    <row r="540" spans="1:12" x14ac:dyDescent="0.3">
      <c r="A540" s="376">
        <v>19</v>
      </c>
      <c r="B540" s="376" t="s">
        <v>233</v>
      </c>
      <c r="C540" s="376" t="s">
        <v>234</v>
      </c>
      <c r="D540" s="376" t="s">
        <v>234</v>
      </c>
      <c r="E540" s="376" t="s">
        <v>235</v>
      </c>
      <c r="F540" s="377">
        <v>219</v>
      </c>
      <c r="G540" s="376">
        <v>72</v>
      </c>
      <c r="H540" s="376">
        <v>11</v>
      </c>
      <c r="I540" s="376"/>
      <c r="J540" s="376"/>
      <c r="K540" s="376"/>
      <c r="L540" s="378"/>
    </row>
    <row r="541" spans="1:12" x14ac:dyDescent="0.3">
      <c r="A541" s="376">
        <v>20</v>
      </c>
      <c r="B541" s="376" t="s">
        <v>233</v>
      </c>
      <c r="C541" s="376" t="s">
        <v>234</v>
      </c>
      <c r="D541" s="376" t="s">
        <v>234</v>
      </c>
      <c r="E541" s="376" t="s">
        <v>235</v>
      </c>
      <c r="F541" s="377">
        <v>311</v>
      </c>
      <c r="G541" s="376">
        <v>78</v>
      </c>
      <c r="H541" s="376">
        <v>9</v>
      </c>
      <c r="I541" s="376"/>
      <c r="J541" s="376"/>
      <c r="K541" s="376"/>
      <c r="L541" s="378"/>
    </row>
    <row r="542" spans="1:12" x14ac:dyDescent="0.3">
      <c r="A542" s="376">
        <v>21</v>
      </c>
      <c r="B542" s="376" t="s">
        <v>233</v>
      </c>
      <c r="C542" s="376" t="s">
        <v>234</v>
      </c>
      <c r="D542" s="376" t="s">
        <v>234</v>
      </c>
      <c r="E542" s="376" t="s">
        <v>235</v>
      </c>
      <c r="F542" s="377">
        <v>351</v>
      </c>
      <c r="G542" s="376">
        <v>90</v>
      </c>
      <c r="H542" s="376">
        <v>9</v>
      </c>
      <c r="I542" s="376"/>
      <c r="J542" s="376"/>
      <c r="K542" s="379">
        <v>1.3571314884537562</v>
      </c>
      <c r="L542" s="380">
        <f>10^K542</f>
        <v>22.757863511844604</v>
      </c>
    </row>
    <row r="543" spans="1:12" x14ac:dyDescent="0.3">
      <c r="A543" s="376">
        <v>22</v>
      </c>
      <c r="B543" s="376" t="s">
        <v>233</v>
      </c>
      <c r="C543" s="376" t="s">
        <v>234</v>
      </c>
      <c r="D543" s="376" t="s">
        <v>234</v>
      </c>
      <c r="E543" s="376" t="s">
        <v>235</v>
      </c>
      <c r="F543" s="377">
        <v>426</v>
      </c>
      <c r="G543" s="376">
        <v>87</v>
      </c>
      <c r="H543" s="376">
        <v>24</v>
      </c>
      <c r="I543" s="376"/>
      <c r="J543" s="376"/>
      <c r="K543" s="379">
        <v>1.2524904834107804</v>
      </c>
      <c r="L543" s="380">
        <f t="shared" ref="L543:L548" si="8">10^K543</f>
        <v>17.885063375745503</v>
      </c>
    </row>
    <row r="544" spans="1:12" x14ac:dyDescent="0.3">
      <c r="A544" s="376">
        <v>23</v>
      </c>
      <c r="B544" s="376" t="s">
        <v>233</v>
      </c>
      <c r="C544" s="376" t="s">
        <v>234</v>
      </c>
      <c r="D544" s="376" t="s">
        <v>234</v>
      </c>
      <c r="E544" s="376" t="s">
        <v>235</v>
      </c>
      <c r="F544" s="377">
        <v>1028</v>
      </c>
      <c r="G544" s="376">
        <v>156</v>
      </c>
      <c r="H544" s="376">
        <v>23</v>
      </c>
      <c r="I544" s="376"/>
      <c r="J544" s="376"/>
      <c r="K544" s="379">
        <v>1.5059488572332163</v>
      </c>
      <c r="L544" s="380">
        <f t="shared" si="8"/>
        <v>32.058917746251922</v>
      </c>
    </row>
    <row r="545" spans="1:12" x14ac:dyDescent="0.3">
      <c r="A545" s="376">
        <v>24</v>
      </c>
      <c r="B545" s="376" t="s">
        <v>233</v>
      </c>
      <c r="C545" s="376" t="s">
        <v>234</v>
      </c>
      <c r="D545" s="376" t="s">
        <v>234</v>
      </c>
      <c r="E545" s="376" t="s">
        <v>235</v>
      </c>
      <c r="F545" s="377">
        <v>1333</v>
      </c>
      <c r="G545" s="376">
        <v>168</v>
      </c>
      <c r="H545" s="376">
        <v>18</v>
      </c>
      <c r="I545" s="376"/>
      <c r="J545" s="376"/>
      <c r="K545" s="379">
        <v>1.848163273925751</v>
      </c>
      <c r="L545" s="380">
        <f t="shared" si="8"/>
        <v>70.495804961846815</v>
      </c>
    </row>
    <row r="546" spans="1:12" x14ac:dyDescent="0.3">
      <c r="A546" s="376">
        <v>25</v>
      </c>
      <c r="B546" s="376" t="s">
        <v>233</v>
      </c>
      <c r="C546" s="376" t="s">
        <v>234</v>
      </c>
      <c r="D546" s="376" t="s">
        <v>234</v>
      </c>
      <c r="E546" s="376" t="s">
        <v>235</v>
      </c>
      <c r="F546" s="377">
        <v>1724</v>
      </c>
      <c r="G546" s="376">
        <v>262</v>
      </c>
      <c r="H546" s="376">
        <v>26</v>
      </c>
      <c r="I546" s="376"/>
      <c r="J546" s="376"/>
      <c r="K546" s="379">
        <v>1.4037756291181627</v>
      </c>
      <c r="L546" s="380">
        <f t="shared" si="8"/>
        <v>25.338192375338807</v>
      </c>
    </row>
    <row r="547" spans="1:12" x14ac:dyDescent="0.3">
      <c r="A547" s="376">
        <v>26</v>
      </c>
      <c r="B547" s="376" t="s">
        <v>233</v>
      </c>
      <c r="C547" s="376" t="s">
        <v>234</v>
      </c>
      <c r="D547" s="376" t="s">
        <v>234</v>
      </c>
      <c r="E547" s="376" t="s">
        <v>235</v>
      </c>
      <c r="F547" s="377">
        <v>2717</v>
      </c>
      <c r="G547" s="376">
        <v>344</v>
      </c>
      <c r="H547" s="376">
        <v>39</v>
      </c>
      <c r="I547" s="376"/>
      <c r="J547" s="376"/>
      <c r="K547" s="379">
        <v>1.5741536379355709</v>
      </c>
      <c r="L547" s="380">
        <f t="shared" si="8"/>
        <v>37.51056778187651</v>
      </c>
    </row>
    <row r="548" spans="1:12" x14ac:dyDescent="0.3">
      <c r="A548" s="376">
        <v>27</v>
      </c>
      <c r="B548" s="376" t="s">
        <v>233</v>
      </c>
      <c r="C548" s="376" t="s">
        <v>234</v>
      </c>
      <c r="D548" s="376" t="s">
        <v>234</v>
      </c>
      <c r="E548" s="376" t="s">
        <v>235</v>
      </c>
      <c r="F548" s="377">
        <v>3087</v>
      </c>
      <c r="G548" s="376">
        <v>483</v>
      </c>
      <c r="H548" s="376">
        <v>53</v>
      </c>
      <c r="I548" s="376"/>
      <c r="J548" s="376"/>
      <c r="K548" s="379">
        <v>1.7433680911020117</v>
      </c>
      <c r="L548" s="380">
        <f t="shared" si="8"/>
        <v>55.381930604273052</v>
      </c>
    </row>
    <row r="549" spans="1:12" x14ac:dyDescent="0.3">
      <c r="A549" s="376">
        <v>28</v>
      </c>
      <c r="B549" s="376" t="s">
        <v>233</v>
      </c>
      <c r="C549" s="376" t="s">
        <v>234</v>
      </c>
      <c r="D549" s="376" t="s">
        <v>234</v>
      </c>
      <c r="E549" s="376" t="s">
        <v>235</v>
      </c>
      <c r="F549" s="377">
        <v>940</v>
      </c>
      <c r="G549" s="376">
        <v>357</v>
      </c>
      <c r="H549" s="376">
        <v>87</v>
      </c>
      <c r="I549" s="376"/>
      <c r="J549" s="376"/>
      <c r="K549" s="376"/>
      <c r="L549" s="378"/>
    </row>
    <row r="550" spans="1:12" x14ac:dyDescent="0.3">
      <c r="A550" s="376">
        <v>29</v>
      </c>
      <c r="B550" s="376" t="s">
        <v>233</v>
      </c>
      <c r="C550" s="376" t="s">
        <v>234</v>
      </c>
      <c r="D550" s="376" t="s">
        <v>234</v>
      </c>
      <c r="E550" s="376" t="s">
        <v>235</v>
      </c>
      <c r="F550" s="377">
        <v>2667</v>
      </c>
      <c r="G550" s="376">
        <v>557</v>
      </c>
      <c r="H550" s="376">
        <v>82</v>
      </c>
      <c r="I550" s="376"/>
      <c r="J550" s="376"/>
      <c r="K550" s="379">
        <v>2.4593787664531073</v>
      </c>
      <c r="L550" s="380">
        <f>10^K550</f>
        <v>287.99090093495937</v>
      </c>
    </row>
    <row r="551" spans="1:12" x14ac:dyDescent="0.3">
      <c r="A551" s="376">
        <v>30</v>
      </c>
      <c r="B551" s="376" t="s">
        <v>233</v>
      </c>
      <c r="C551" s="376" t="s">
        <v>234</v>
      </c>
      <c r="D551" s="376" t="s">
        <v>234</v>
      </c>
      <c r="E551" s="376" t="s">
        <v>235</v>
      </c>
      <c r="F551" s="377">
        <v>4352</v>
      </c>
      <c r="G551" s="376">
        <v>587</v>
      </c>
      <c r="H551" s="376">
        <v>107</v>
      </c>
      <c r="I551" s="376"/>
      <c r="J551" s="376"/>
      <c r="K551" s="379">
        <v>2.405608102499901</v>
      </c>
      <c r="L551" s="380">
        <f t="shared" ref="L551:L571" si="9">10^K551</f>
        <v>254.45330872827677</v>
      </c>
    </row>
    <row r="552" spans="1:12" x14ac:dyDescent="0.3">
      <c r="A552" s="376">
        <v>31</v>
      </c>
      <c r="B552" s="376" t="s">
        <v>233</v>
      </c>
      <c r="C552" s="376" t="s">
        <v>234</v>
      </c>
      <c r="D552" s="376" t="s">
        <v>234</v>
      </c>
      <c r="E552" s="376" t="s">
        <v>235</v>
      </c>
      <c r="F552" s="377">
        <v>6310</v>
      </c>
      <c r="G552" s="376">
        <v>748</v>
      </c>
      <c r="H552" s="376">
        <v>151</v>
      </c>
      <c r="I552" s="376"/>
      <c r="J552" s="376"/>
      <c r="K552" s="379">
        <v>2.3622047938543083</v>
      </c>
      <c r="L552" s="380">
        <f t="shared" si="9"/>
        <v>230.25273303596339</v>
      </c>
    </row>
    <row r="553" spans="1:12" x14ac:dyDescent="0.3">
      <c r="A553" s="376">
        <v>32</v>
      </c>
      <c r="B553" s="376" t="s">
        <v>233</v>
      </c>
      <c r="C553" s="376" t="s">
        <v>234</v>
      </c>
      <c r="D553" s="376" t="s">
        <v>234</v>
      </c>
      <c r="E553" s="376" t="s">
        <v>235</v>
      </c>
      <c r="F553" s="377">
        <v>7241</v>
      </c>
      <c r="G553" s="376">
        <v>883</v>
      </c>
      <c r="H553" s="376">
        <v>163</v>
      </c>
      <c r="I553" s="376"/>
      <c r="J553" s="376"/>
      <c r="K553" s="379">
        <v>2.377677048067357</v>
      </c>
      <c r="L553" s="380">
        <f t="shared" si="9"/>
        <v>238.60363084442761</v>
      </c>
    </row>
    <row r="554" spans="1:12" x14ac:dyDescent="0.3">
      <c r="A554" s="376">
        <v>33</v>
      </c>
      <c r="B554" s="376" t="s">
        <v>233</v>
      </c>
      <c r="C554" s="376" t="s">
        <v>234</v>
      </c>
      <c r="D554" s="376" t="s">
        <v>234</v>
      </c>
      <c r="E554" s="376" t="s">
        <v>235</v>
      </c>
      <c r="F554" s="377">
        <v>9003</v>
      </c>
      <c r="G554" s="376">
        <v>974</v>
      </c>
      <c r="H554" s="376">
        <v>192</v>
      </c>
      <c r="I554" s="376"/>
      <c r="J554" s="376"/>
      <c r="K554" s="379">
        <v>2.1471310793715412</v>
      </c>
      <c r="L554" s="380">
        <f t="shared" si="9"/>
        <v>140.32371676698031</v>
      </c>
    </row>
    <row r="555" spans="1:12" x14ac:dyDescent="0.3">
      <c r="A555" s="376">
        <v>34</v>
      </c>
      <c r="B555" s="376" t="s">
        <v>233</v>
      </c>
      <c r="C555" s="376" t="s">
        <v>234</v>
      </c>
      <c r="D555" s="376" t="s">
        <v>234</v>
      </c>
      <c r="E555" s="376" t="s">
        <v>235</v>
      </c>
      <c r="F555" s="377">
        <v>6724</v>
      </c>
      <c r="G555" s="376">
        <v>890</v>
      </c>
      <c r="H555" s="376">
        <v>200</v>
      </c>
      <c r="I555" s="376"/>
      <c r="J555" s="376"/>
      <c r="K555" s="379">
        <v>1.8926221097436506</v>
      </c>
      <c r="L555" s="380">
        <f t="shared" si="9"/>
        <v>78.094798691418731</v>
      </c>
    </row>
    <row r="556" spans="1:12" x14ac:dyDescent="0.3">
      <c r="A556" s="376">
        <v>35</v>
      </c>
      <c r="B556" s="376" t="s">
        <v>233</v>
      </c>
      <c r="C556" s="376" t="s">
        <v>234</v>
      </c>
      <c r="D556" s="376" t="s">
        <v>234</v>
      </c>
      <c r="E556" s="376" t="s">
        <v>235</v>
      </c>
      <c r="F556" s="377">
        <v>4826</v>
      </c>
      <c r="G556" s="376">
        <v>713</v>
      </c>
      <c r="H556" s="376">
        <v>195</v>
      </c>
      <c r="I556" s="376"/>
      <c r="J556" s="376"/>
      <c r="K556" s="379">
        <v>2.2193337247873464</v>
      </c>
      <c r="L556" s="380">
        <f t="shared" si="9"/>
        <v>165.70427952980509</v>
      </c>
    </row>
    <row r="557" spans="1:12" x14ac:dyDescent="0.3">
      <c r="A557" s="376">
        <v>36</v>
      </c>
      <c r="B557" s="376" t="s">
        <v>233</v>
      </c>
      <c r="C557" s="376" t="s">
        <v>234</v>
      </c>
      <c r="D557" s="376" t="s">
        <v>234</v>
      </c>
      <c r="E557" s="376" t="s">
        <v>235</v>
      </c>
      <c r="F557" s="377">
        <v>2853</v>
      </c>
      <c r="G557" s="376">
        <v>492</v>
      </c>
      <c r="H557" s="376">
        <v>145</v>
      </c>
      <c r="I557" s="376"/>
      <c r="J557" s="376"/>
      <c r="K557" s="379">
        <v>1.8307293348734353</v>
      </c>
      <c r="L557" s="380">
        <f t="shared" si="9"/>
        <v>67.721931301817662</v>
      </c>
    </row>
    <row r="558" spans="1:12" x14ac:dyDescent="0.3">
      <c r="A558" s="376">
        <v>37</v>
      </c>
      <c r="B558" s="376" t="s">
        <v>233</v>
      </c>
      <c r="C558" s="376" t="s">
        <v>234</v>
      </c>
      <c r="D558" s="376" t="s">
        <v>234</v>
      </c>
      <c r="E558" s="376" t="s">
        <v>235</v>
      </c>
      <c r="F558" s="377">
        <v>1876</v>
      </c>
      <c r="G558" s="376">
        <v>366</v>
      </c>
      <c r="H558" s="376">
        <v>109</v>
      </c>
      <c r="I558" s="376"/>
      <c r="J558" s="376"/>
      <c r="K558" s="379">
        <v>1.1035135865435559</v>
      </c>
      <c r="L558" s="380">
        <f t="shared" si="9"/>
        <v>12.69151848189685</v>
      </c>
    </row>
    <row r="559" spans="1:12" x14ac:dyDescent="0.3">
      <c r="A559" s="376">
        <v>38</v>
      </c>
      <c r="B559" s="376" t="s">
        <v>233</v>
      </c>
      <c r="C559" s="376" t="s">
        <v>234</v>
      </c>
      <c r="D559" s="376" t="s">
        <v>234</v>
      </c>
      <c r="E559" s="376" t="s">
        <v>235</v>
      </c>
      <c r="F559" s="377">
        <v>961</v>
      </c>
      <c r="G559" s="376">
        <v>207</v>
      </c>
      <c r="H559" s="376">
        <v>79</v>
      </c>
      <c r="I559" s="376"/>
      <c r="J559" s="376"/>
      <c r="K559" s="379">
        <v>1.1391208158314403</v>
      </c>
      <c r="L559" s="380">
        <f t="shared" si="9"/>
        <v>13.77592646345801</v>
      </c>
    </row>
    <row r="560" spans="1:12" x14ac:dyDescent="0.3">
      <c r="A560" s="376">
        <v>39</v>
      </c>
      <c r="B560" s="376" t="s">
        <v>233</v>
      </c>
      <c r="C560" s="376" t="s">
        <v>234</v>
      </c>
      <c r="D560" s="376" t="s">
        <v>234</v>
      </c>
      <c r="E560" s="376" t="s">
        <v>235</v>
      </c>
      <c r="F560" s="377">
        <v>623</v>
      </c>
      <c r="G560" s="376">
        <v>162</v>
      </c>
      <c r="H560" s="376">
        <v>44</v>
      </c>
      <c r="I560" s="376"/>
      <c r="J560" s="376"/>
      <c r="K560" s="379">
        <v>1.567342556350541</v>
      </c>
      <c r="L560" s="380">
        <f t="shared" si="9"/>
        <v>36.926875004963023</v>
      </c>
    </row>
    <row r="561" spans="1:12" x14ac:dyDescent="0.3">
      <c r="A561" s="376">
        <v>40</v>
      </c>
      <c r="B561" s="376" t="s">
        <v>233</v>
      </c>
      <c r="C561" s="376" t="s">
        <v>234</v>
      </c>
      <c r="D561" s="376" t="s">
        <v>234</v>
      </c>
      <c r="E561" s="376" t="s">
        <v>235</v>
      </c>
      <c r="F561" s="377">
        <v>406</v>
      </c>
      <c r="G561" s="376">
        <v>107</v>
      </c>
      <c r="H561" s="376">
        <v>47</v>
      </c>
      <c r="I561" s="376"/>
      <c r="J561" s="376"/>
      <c r="K561" s="379">
        <v>1.1528871297096088</v>
      </c>
      <c r="L561" s="380">
        <f t="shared" si="9"/>
        <v>14.219591812211645</v>
      </c>
    </row>
    <row r="562" spans="1:12" x14ac:dyDescent="0.3">
      <c r="A562" s="376">
        <v>41</v>
      </c>
      <c r="B562" s="376" t="s">
        <v>233</v>
      </c>
      <c r="C562" s="376" t="s">
        <v>234</v>
      </c>
      <c r="D562" s="376" t="s">
        <v>234</v>
      </c>
      <c r="E562" s="376" t="s">
        <v>235</v>
      </c>
      <c r="F562" s="377">
        <v>359</v>
      </c>
      <c r="G562" s="376">
        <v>87</v>
      </c>
      <c r="H562" s="376">
        <v>32</v>
      </c>
      <c r="I562" s="376"/>
      <c r="J562" s="376"/>
      <c r="K562" s="379">
        <v>1.2664757392918575</v>
      </c>
      <c r="L562" s="380">
        <f t="shared" si="9"/>
        <v>18.470376121754555</v>
      </c>
    </row>
    <row r="563" spans="1:12" x14ac:dyDescent="0.3">
      <c r="A563" s="376">
        <v>42</v>
      </c>
      <c r="B563" s="376" t="s">
        <v>233</v>
      </c>
      <c r="C563" s="376" t="s">
        <v>234</v>
      </c>
      <c r="D563" s="376" t="s">
        <v>234</v>
      </c>
      <c r="E563" s="376" t="s">
        <v>235</v>
      </c>
      <c r="F563" s="377">
        <v>243</v>
      </c>
      <c r="G563" s="376">
        <v>50</v>
      </c>
      <c r="H563" s="376">
        <v>21</v>
      </c>
      <c r="I563" s="376"/>
      <c r="J563" s="376"/>
      <c r="K563" s="379">
        <v>1.1251944785839401</v>
      </c>
      <c r="L563" s="380">
        <f t="shared" si="9"/>
        <v>13.341187214364815</v>
      </c>
    </row>
    <row r="564" spans="1:12" x14ac:dyDescent="0.3">
      <c r="A564" s="376">
        <v>43</v>
      </c>
      <c r="B564" s="376" t="s">
        <v>233</v>
      </c>
      <c r="C564" s="376" t="s">
        <v>234</v>
      </c>
      <c r="D564" s="376" t="s">
        <v>234</v>
      </c>
      <c r="E564" s="376" t="s">
        <v>235</v>
      </c>
      <c r="F564" s="377">
        <v>112</v>
      </c>
      <c r="G564" s="376">
        <v>46</v>
      </c>
      <c r="H564" s="376">
        <v>6</v>
      </c>
      <c r="I564" s="376"/>
      <c r="J564" s="376"/>
      <c r="K564" s="379">
        <v>1.2123002986161826</v>
      </c>
      <c r="L564" s="380">
        <f>10^K564</f>
        <v>16.304230203433917</v>
      </c>
    </row>
    <row r="565" spans="1:12" x14ac:dyDescent="0.3">
      <c r="A565" s="376">
        <v>44</v>
      </c>
      <c r="B565" s="376" t="s">
        <v>233</v>
      </c>
      <c r="C565" s="376" t="s">
        <v>234</v>
      </c>
      <c r="D565" s="376" t="s">
        <v>234</v>
      </c>
      <c r="E565" s="376" t="s">
        <v>235</v>
      </c>
      <c r="F565" s="377">
        <v>108</v>
      </c>
      <c r="G565" s="376">
        <v>24</v>
      </c>
      <c r="H565" s="376">
        <v>5</v>
      </c>
      <c r="I565" s="376"/>
      <c r="J565" s="376"/>
      <c r="K565" s="379">
        <v>1.0053228771273917</v>
      </c>
      <c r="L565" s="380">
        <f t="shared" si="9"/>
        <v>10.123317947193065</v>
      </c>
    </row>
    <row r="566" spans="1:12" x14ac:dyDescent="0.3">
      <c r="A566" s="376">
        <v>45</v>
      </c>
      <c r="B566" s="376" t="s">
        <v>233</v>
      </c>
      <c r="C566" s="376" t="s">
        <v>234</v>
      </c>
      <c r="D566" s="376" t="s">
        <v>234</v>
      </c>
      <c r="E566" s="376" t="s">
        <v>235</v>
      </c>
      <c r="F566" s="377">
        <v>72</v>
      </c>
      <c r="G566" s="376">
        <v>46</v>
      </c>
      <c r="H566" s="376">
        <v>6</v>
      </c>
      <c r="I566" s="376"/>
      <c r="J566" s="376"/>
      <c r="K566" s="379">
        <v>1.1319105382712777</v>
      </c>
      <c r="L566" s="380">
        <f t="shared" si="9"/>
        <v>13.549102812397241</v>
      </c>
    </row>
    <row r="567" spans="1:12" x14ac:dyDescent="0.3">
      <c r="A567" s="376">
        <v>46</v>
      </c>
      <c r="B567" s="376" t="s">
        <v>233</v>
      </c>
      <c r="C567" s="376" t="s">
        <v>234</v>
      </c>
      <c r="D567" s="376" t="s">
        <v>234</v>
      </c>
      <c r="E567" s="376" t="s">
        <v>235</v>
      </c>
      <c r="F567" s="377">
        <v>90</v>
      </c>
      <c r="G567" s="376">
        <v>28</v>
      </c>
      <c r="H567" s="376">
        <v>8</v>
      </c>
      <c r="I567" s="376"/>
      <c r="J567" s="376"/>
      <c r="K567" s="379">
        <v>1.690268528648883</v>
      </c>
      <c r="L567" s="380">
        <f t="shared" si="9"/>
        <v>49.0081748183893</v>
      </c>
    </row>
    <row r="568" spans="1:12" x14ac:dyDescent="0.3">
      <c r="A568" s="376">
        <v>47</v>
      </c>
      <c r="B568" s="376" t="s">
        <v>233</v>
      </c>
      <c r="C568" s="376" t="s">
        <v>234</v>
      </c>
      <c r="D568" s="376" t="s">
        <v>234</v>
      </c>
      <c r="E568" s="376" t="s">
        <v>235</v>
      </c>
      <c r="F568" s="377">
        <v>194</v>
      </c>
      <c r="G568" s="376">
        <v>33</v>
      </c>
      <c r="H568" s="376">
        <v>4</v>
      </c>
      <c r="I568" s="376"/>
      <c r="J568" s="376"/>
      <c r="K568" s="379">
        <v>1.4674832217320122</v>
      </c>
      <c r="L568" s="380">
        <f t="shared" si="9"/>
        <v>29.341561453683045</v>
      </c>
    </row>
    <row r="569" spans="1:12" x14ac:dyDescent="0.3">
      <c r="A569" s="376">
        <v>48</v>
      </c>
      <c r="B569" s="376" t="s">
        <v>233</v>
      </c>
      <c r="C569" s="376" t="s">
        <v>234</v>
      </c>
      <c r="D569" s="376" t="s">
        <v>234</v>
      </c>
      <c r="E569" s="376" t="s">
        <v>235</v>
      </c>
      <c r="F569" s="377">
        <v>1954</v>
      </c>
      <c r="G569" s="376">
        <v>176</v>
      </c>
      <c r="H569" s="376">
        <v>3</v>
      </c>
      <c r="I569" s="376"/>
      <c r="J569" s="376"/>
      <c r="K569" s="379">
        <v>2.2930929777776776</v>
      </c>
      <c r="L569" s="380">
        <f t="shared" si="9"/>
        <v>196.37806561528438</v>
      </c>
    </row>
    <row r="570" spans="1:12" x14ac:dyDescent="0.3">
      <c r="A570" s="376">
        <v>49</v>
      </c>
      <c r="B570" s="376" t="s">
        <v>233</v>
      </c>
      <c r="C570" s="376" t="s">
        <v>234</v>
      </c>
      <c r="D570" s="376" t="s">
        <v>234</v>
      </c>
      <c r="E570" s="376" t="s">
        <v>235</v>
      </c>
      <c r="F570" s="377">
        <v>8907</v>
      </c>
      <c r="G570" s="376">
        <v>604</v>
      </c>
      <c r="H570" s="376">
        <v>11</v>
      </c>
      <c r="I570" s="376"/>
      <c r="J570" s="376"/>
      <c r="K570" s="379">
        <v>2.5241302859726478</v>
      </c>
      <c r="L570" s="380">
        <f t="shared" si="9"/>
        <v>334.29531175263082</v>
      </c>
    </row>
    <row r="571" spans="1:12" x14ac:dyDescent="0.3">
      <c r="A571" s="376">
        <v>50</v>
      </c>
      <c r="B571" s="376" t="s">
        <v>233</v>
      </c>
      <c r="C571" s="376" t="s">
        <v>234</v>
      </c>
      <c r="D571" s="376" t="s">
        <v>234</v>
      </c>
      <c r="E571" s="376" t="s">
        <v>235</v>
      </c>
      <c r="F571" s="377">
        <v>11858</v>
      </c>
      <c r="G571" s="376">
        <v>936</v>
      </c>
      <c r="H571" s="376">
        <v>37</v>
      </c>
      <c r="I571" s="376"/>
      <c r="J571" s="376"/>
      <c r="K571" s="379">
        <v>2.4031755204124172</v>
      </c>
      <c r="L571" s="380">
        <f t="shared" si="9"/>
        <v>253.03204205571399</v>
      </c>
    </row>
    <row r="572" spans="1:12" x14ac:dyDescent="0.3">
      <c r="A572" s="376">
        <v>51</v>
      </c>
      <c r="B572" s="376" t="s">
        <v>233</v>
      </c>
      <c r="C572" s="376" t="s">
        <v>234</v>
      </c>
      <c r="D572" s="376" t="s">
        <v>234</v>
      </c>
      <c r="E572" s="376" t="s">
        <v>235</v>
      </c>
      <c r="F572" s="377">
        <v>9266</v>
      </c>
      <c r="G572" s="376">
        <v>796</v>
      </c>
      <c r="H572" s="376">
        <v>77</v>
      </c>
      <c r="I572" s="376"/>
      <c r="J572" s="376"/>
      <c r="K572" s="376"/>
      <c r="L572" s="378"/>
    </row>
    <row r="573" spans="1:12" x14ac:dyDescent="0.3">
      <c r="A573" s="376">
        <v>52</v>
      </c>
      <c r="B573" s="376" t="s">
        <v>233</v>
      </c>
      <c r="C573" s="376" t="s">
        <v>234</v>
      </c>
      <c r="D573" s="376" t="s">
        <v>234</v>
      </c>
      <c r="E573" s="376" t="s">
        <v>235</v>
      </c>
      <c r="F573" s="377">
        <v>5152</v>
      </c>
      <c r="G573" s="376">
        <v>637</v>
      </c>
      <c r="H573" s="376">
        <v>75</v>
      </c>
      <c r="I573" s="376"/>
      <c r="J573" s="376"/>
      <c r="K573" s="376"/>
      <c r="L573" s="378"/>
    </row>
    <row r="574" spans="1:12" x14ac:dyDescent="0.3">
      <c r="A574" s="381">
        <v>1</v>
      </c>
      <c r="B574" s="381" t="s">
        <v>233</v>
      </c>
      <c r="C574" s="381" t="s">
        <v>234</v>
      </c>
      <c r="D574" s="381" t="s">
        <v>234</v>
      </c>
      <c r="E574" s="381" t="s">
        <v>236</v>
      </c>
      <c r="F574" s="382">
        <v>12916</v>
      </c>
      <c r="G574" s="381">
        <v>1800</v>
      </c>
      <c r="H574" s="381">
        <v>492</v>
      </c>
      <c r="I574" s="381"/>
      <c r="J574" s="381"/>
      <c r="K574" s="381"/>
      <c r="L574" s="383"/>
    </row>
    <row r="575" spans="1:12" x14ac:dyDescent="0.3">
      <c r="A575" s="381">
        <v>2</v>
      </c>
      <c r="B575" s="381" t="s">
        <v>233</v>
      </c>
      <c r="C575" s="381" t="s">
        <v>234</v>
      </c>
      <c r="D575" s="381" t="s">
        <v>234</v>
      </c>
      <c r="E575" s="381" t="s">
        <v>236</v>
      </c>
      <c r="F575" s="382">
        <v>6900</v>
      </c>
      <c r="G575" s="381">
        <v>1522</v>
      </c>
      <c r="H575" s="381">
        <v>483</v>
      </c>
      <c r="I575" s="381"/>
      <c r="J575" s="381"/>
      <c r="K575" s="381"/>
      <c r="L575" s="383"/>
    </row>
    <row r="576" spans="1:12" x14ac:dyDescent="0.3">
      <c r="A576" s="381">
        <v>3</v>
      </c>
      <c r="B576" s="381" t="s">
        <v>233</v>
      </c>
      <c r="C576" s="381" t="s">
        <v>234</v>
      </c>
      <c r="D576" s="381" t="s">
        <v>234</v>
      </c>
      <c r="E576" s="381" t="s">
        <v>236</v>
      </c>
      <c r="F576" s="382">
        <v>3872</v>
      </c>
      <c r="G576" s="381">
        <v>1085</v>
      </c>
      <c r="H576" s="381">
        <v>404</v>
      </c>
      <c r="I576" s="381"/>
      <c r="J576" s="381"/>
      <c r="K576" s="381"/>
      <c r="L576" s="383"/>
    </row>
    <row r="577" spans="1:12" x14ac:dyDescent="0.3">
      <c r="A577" s="381">
        <v>4</v>
      </c>
      <c r="B577" s="381" t="s">
        <v>233</v>
      </c>
      <c r="C577" s="381" t="s">
        <v>234</v>
      </c>
      <c r="D577" s="381" t="s">
        <v>234</v>
      </c>
      <c r="E577" s="381" t="s">
        <v>236</v>
      </c>
      <c r="F577" s="382">
        <v>1962</v>
      </c>
      <c r="G577" s="381">
        <v>645</v>
      </c>
      <c r="H577" s="381">
        <v>268</v>
      </c>
      <c r="I577" s="381"/>
      <c r="J577" s="381"/>
      <c r="K577" s="381"/>
      <c r="L577" s="383"/>
    </row>
    <row r="578" spans="1:12" x14ac:dyDescent="0.3">
      <c r="A578" s="381">
        <v>5</v>
      </c>
      <c r="B578" s="381" t="s">
        <v>233</v>
      </c>
      <c r="C578" s="381" t="s">
        <v>234</v>
      </c>
      <c r="D578" s="381" t="s">
        <v>234</v>
      </c>
      <c r="E578" s="381" t="s">
        <v>236</v>
      </c>
      <c r="F578" s="382">
        <v>1250</v>
      </c>
      <c r="G578" s="381">
        <v>434</v>
      </c>
      <c r="H578" s="381">
        <v>191</v>
      </c>
      <c r="I578" s="381"/>
      <c r="J578" s="381"/>
      <c r="K578" s="381"/>
      <c r="L578" s="383"/>
    </row>
    <row r="579" spans="1:12" x14ac:dyDescent="0.3">
      <c r="A579" s="381">
        <v>6</v>
      </c>
      <c r="B579" s="381" t="s">
        <v>233</v>
      </c>
      <c r="C579" s="381" t="s">
        <v>234</v>
      </c>
      <c r="D579" s="381" t="s">
        <v>234</v>
      </c>
      <c r="E579" s="381" t="s">
        <v>236</v>
      </c>
      <c r="F579" s="382">
        <v>721</v>
      </c>
      <c r="G579" s="381">
        <v>273</v>
      </c>
      <c r="H579" s="381">
        <v>139</v>
      </c>
      <c r="I579" s="381"/>
      <c r="J579" s="381"/>
      <c r="K579" s="381"/>
      <c r="L579" s="383"/>
    </row>
    <row r="580" spans="1:12" x14ac:dyDescent="0.3">
      <c r="A580" s="381">
        <v>7</v>
      </c>
      <c r="B580" s="381" t="s">
        <v>233</v>
      </c>
      <c r="C580" s="381" t="s">
        <v>234</v>
      </c>
      <c r="D580" s="381" t="s">
        <v>234</v>
      </c>
      <c r="E580" s="381" t="s">
        <v>236</v>
      </c>
      <c r="F580" s="382">
        <v>396</v>
      </c>
      <c r="G580" s="381">
        <v>189</v>
      </c>
      <c r="H580" s="381">
        <v>75</v>
      </c>
      <c r="I580" s="381"/>
      <c r="J580" s="381"/>
      <c r="K580" s="381"/>
      <c r="L580" s="383"/>
    </row>
    <row r="581" spans="1:12" x14ac:dyDescent="0.3">
      <c r="A581" s="381">
        <v>8</v>
      </c>
      <c r="B581" s="381" t="s">
        <v>233</v>
      </c>
      <c r="C581" s="381" t="s">
        <v>234</v>
      </c>
      <c r="D581" s="381" t="s">
        <v>234</v>
      </c>
      <c r="E581" s="381" t="s">
        <v>236</v>
      </c>
      <c r="F581" s="382">
        <v>375</v>
      </c>
      <c r="G581" s="381">
        <v>146</v>
      </c>
      <c r="H581" s="381">
        <v>51</v>
      </c>
      <c r="I581" s="381"/>
      <c r="J581" s="381"/>
      <c r="K581" s="384">
        <v>1.2152104719914509</v>
      </c>
      <c r="L581" s="385">
        <f>10^K581</f>
        <v>16.413850443703804</v>
      </c>
    </row>
    <row r="582" spans="1:12" x14ac:dyDescent="0.3">
      <c r="A582" s="381">
        <v>9</v>
      </c>
      <c r="B582" s="381" t="s">
        <v>233</v>
      </c>
      <c r="C582" s="381" t="s">
        <v>234</v>
      </c>
      <c r="D582" s="381" t="s">
        <v>234</v>
      </c>
      <c r="E582" s="381" t="s">
        <v>236</v>
      </c>
      <c r="F582" s="382">
        <v>308</v>
      </c>
      <c r="G582" s="381">
        <v>111</v>
      </c>
      <c r="H582" s="381">
        <v>31</v>
      </c>
      <c r="I582" s="381"/>
      <c r="J582" s="381"/>
      <c r="K582" s="381"/>
      <c r="L582" s="383"/>
    </row>
    <row r="583" spans="1:12" x14ac:dyDescent="0.3">
      <c r="A583" s="381">
        <v>10</v>
      </c>
      <c r="B583" s="381" t="s">
        <v>233</v>
      </c>
      <c r="C583" s="381" t="s">
        <v>234</v>
      </c>
      <c r="D583" s="381" t="s">
        <v>234</v>
      </c>
      <c r="E583" s="381" t="s">
        <v>236</v>
      </c>
      <c r="F583" s="382">
        <v>212</v>
      </c>
      <c r="G583" s="381">
        <v>98</v>
      </c>
      <c r="H583" s="381">
        <v>26</v>
      </c>
      <c r="I583" s="381"/>
      <c r="J583" s="381"/>
      <c r="K583" s="381"/>
      <c r="L583" s="383"/>
    </row>
    <row r="584" spans="1:12" x14ac:dyDescent="0.3">
      <c r="A584" s="381">
        <v>11</v>
      </c>
      <c r="B584" s="381" t="s">
        <v>233</v>
      </c>
      <c r="C584" s="381" t="s">
        <v>234</v>
      </c>
      <c r="D584" s="381" t="s">
        <v>234</v>
      </c>
      <c r="E584" s="381" t="s">
        <v>236</v>
      </c>
      <c r="F584" s="382">
        <v>149</v>
      </c>
      <c r="G584" s="381">
        <v>82</v>
      </c>
      <c r="H584" s="381">
        <v>18</v>
      </c>
      <c r="I584" s="381"/>
      <c r="J584" s="381"/>
      <c r="K584" s="381"/>
      <c r="L584" s="383"/>
    </row>
    <row r="585" spans="1:12" x14ac:dyDescent="0.3">
      <c r="A585" s="381">
        <v>12</v>
      </c>
      <c r="B585" s="381" t="s">
        <v>233</v>
      </c>
      <c r="C585" s="381" t="s">
        <v>234</v>
      </c>
      <c r="D585" s="381" t="s">
        <v>234</v>
      </c>
      <c r="E585" s="381" t="s">
        <v>236</v>
      </c>
      <c r="F585" s="382">
        <v>145</v>
      </c>
      <c r="G585" s="381">
        <v>73</v>
      </c>
      <c r="H585" s="381">
        <v>16</v>
      </c>
      <c r="I585" s="381"/>
      <c r="J585" s="381"/>
      <c r="K585" s="384">
        <v>-0.52504562072868344</v>
      </c>
      <c r="L585" s="385">
        <f>10^K585</f>
        <v>0.29850690340509201</v>
      </c>
    </row>
    <row r="586" spans="1:12" x14ac:dyDescent="0.3">
      <c r="A586" s="381">
        <v>13</v>
      </c>
      <c r="B586" s="381" t="s">
        <v>233</v>
      </c>
      <c r="C586" s="381" t="s">
        <v>234</v>
      </c>
      <c r="D586" s="381" t="s">
        <v>234</v>
      </c>
      <c r="E586" s="381" t="s">
        <v>236</v>
      </c>
      <c r="F586" s="382">
        <v>143</v>
      </c>
      <c r="G586" s="381">
        <v>39</v>
      </c>
      <c r="H586" s="381">
        <v>6</v>
      </c>
      <c r="I586" s="381"/>
      <c r="J586" s="381"/>
      <c r="K586" s="381"/>
      <c r="L586" s="383"/>
    </row>
    <row r="587" spans="1:12" x14ac:dyDescent="0.3">
      <c r="A587" s="381">
        <v>14</v>
      </c>
      <c r="B587" s="381" t="s">
        <v>233</v>
      </c>
      <c r="C587" s="381" t="s">
        <v>234</v>
      </c>
      <c r="D587" s="381" t="s">
        <v>234</v>
      </c>
      <c r="E587" s="381" t="s">
        <v>236</v>
      </c>
      <c r="F587" s="382">
        <v>145</v>
      </c>
      <c r="G587" s="381">
        <v>64</v>
      </c>
      <c r="H587" s="381">
        <v>6</v>
      </c>
      <c r="I587" s="381"/>
      <c r="J587" s="381"/>
      <c r="K587" s="381"/>
      <c r="L587" s="383"/>
    </row>
    <row r="588" spans="1:12" x14ac:dyDescent="0.3">
      <c r="A588" s="381">
        <v>15</v>
      </c>
      <c r="B588" s="381" t="s">
        <v>233</v>
      </c>
      <c r="C588" s="381" t="s">
        <v>234</v>
      </c>
      <c r="D588" s="381" t="s">
        <v>234</v>
      </c>
      <c r="E588" s="381" t="s">
        <v>236</v>
      </c>
      <c r="F588" s="382">
        <v>183</v>
      </c>
      <c r="G588" s="381">
        <v>71</v>
      </c>
      <c r="H588" s="381">
        <v>8</v>
      </c>
      <c r="I588" s="381"/>
      <c r="J588" s="381"/>
      <c r="K588" s="381"/>
      <c r="L588" s="383"/>
    </row>
    <row r="589" spans="1:12" x14ac:dyDescent="0.3">
      <c r="A589" s="381">
        <v>16</v>
      </c>
      <c r="B589" s="381" t="s">
        <v>233</v>
      </c>
      <c r="C589" s="381" t="s">
        <v>234</v>
      </c>
      <c r="D589" s="381" t="s">
        <v>234</v>
      </c>
      <c r="E589" s="381" t="s">
        <v>236</v>
      </c>
      <c r="F589" s="382">
        <v>125</v>
      </c>
      <c r="G589" s="381">
        <v>71</v>
      </c>
      <c r="H589" s="381">
        <v>11</v>
      </c>
      <c r="I589" s="381"/>
      <c r="J589" s="381"/>
      <c r="K589" s="381"/>
      <c r="L589" s="383"/>
    </row>
    <row r="590" spans="1:12" x14ac:dyDescent="0.3">
      <c r="A590" s="381">
        <v>17</v>
      </c>
      <c r="B590" s="381" t="s">
        <v>233</v>
      </c>
      <c r="C590" s="381" t="s">
        <v>234</v>
      </c>
      <c r="D590" s="381" t="s">
        <v>234</v>
      </c>
      <c r="E590" s="381" t="s">
        <v>236</v>
      </c>
      <c r="F590" s="382">
        <v>152</v>
      </c>
      <c r="G590" s="381">
        <v>42</v>
      </c>
      <c r="H590" s="381">
        <v>9</v>
      </c>
      <c r="I590" s="381"/>
      <c r="J590" s="381"/>
      <c r="K590" s="384">
        <v>0.54735560886881451</v>
      </c>
      <c r="L590" s="385">
        <f>10^K590</f>
        <v>3.5265951740498407</v>
      </c>
    </row>
    <row r="591" spans="1:12" x14ac:dyDescent="0.3">
      <c r="A591" s="381">
        <v>18</v>
      </c>
      <c r="B591" s="381" t="s">
        <v>233</v>
      </c>
      <c r="C591" s="381" t="s">
        <v>234</v>
      </c>
      <c r="D591" s="381" t="s">
        <v>234</v>
      </c>
      <c r="E591" s="381" t="s">
        <v>236</v>
      </c>
      <c r="F591" s="382">
        <v>216</v>
      </c>
      <c r="G591" s="381">
        <v>57</v>
      </c>
      <c r="H591" s="381">
        <v>7</v>
      </c>
      <c r="I591" s="381"/>
      <c r="J591" s="381"/>
      <c r="K591" s="384">
        <v>-0.19415822400274016</v>
      </c>
      <c r="L591" s="385">
        <f>10^K591</f>
        <v>0.63950180703279902</v>
      </c>
    </row>
    <row r="592" spans="1:12" x14ac:dyDescent="0.3">
      <c r="A592" s="381">
        <v>19</v>
      </c>
      <c r="B592" s="381" t="s">
        <v>233</v>
      </c>
      <c r="C592" s="381" t="s">
        <v>234</v>
      </c>
      <c r="D592" s="381" t="s">
        <v>234</v>
      </c>
      <c r="E592" s="381" t="s">
        <v>236</v>
      </c>
      <c r="F592" s="382">
        <v>219</v>
      </c>
      <c r="G592" s="381">
        <v>72</v>
      </c>
      <c r="H592" s="381">
        <v>11</v>
      </c>
      <c r="I592" s="381"/>
      <c r="J592" s="381"/>
      <c r="K592" s="381"/>
      <c r="L592" s="383"/>
    </row>
    <row r="593" spans="1:12" x14ac:dyDescent="0.3">
      <c r="A593" s="381">
        <v>20</v>
      </c>
      <c r="B593" s="381" t="s">
        <v>233</v>
      </c>
      <c r="C593" s="381" t="s">
        <v>234</v>
      </c>
      <c r="D593" s="381" t="s">
        <v>234</v>
      </c>
      <c r="E593" s="381" t="s">
        <v>236</v>
      </c>
      <c r="F593" s="382">
        <v>311</v>
      </c>
      <c r="G593" s="381">
        <v>78</v>
      </c>
      <c r="H593" s="381">
        <v>9</v>
      </c>
      <c r="I593" s="381"/>
      <c r="J593" s="381"/>
      <c r="K593" s="381"/>
      <c r="L593" s="383"/>
    </row>
    <row r="594" spans="1:12" x14ac:dyDescent="0.3">
      <c r="A594" s="381">
        <v>21</v>
      </c>
      <c r="B594" s="381" t="s">
        <v>233</v>
      </c>
      <c r="C594" s="381" t="s">
        <v>234</v>
      </c>
      <c r="D594" s="381" t="s">
        <v>234</v>
      </c>
      <c r="E594" s="381" t="s">
        <v>236</v>
      </c>
      <c r="F594" s="382">
        <v>351</v>
      </c>
      <c r="G594" s="381">
        <v>90</v>
      </c>
      <c r="H594" s="381">
        <v>9</v>
      </c>
      <c r="I594" s="381"/>
      <c r="J594" s="381"/>
      <c r="K594" s="384">
        <v>5.8482188012407205E-2</v>
      </c>
      <c r="L594" s="385">
        <f>10^K594</f>
        <v>1.1441479532086101</v>
      </c>
    </row>
    <row r="595" spans="1:12" x14ac:dyDescent="0.3">
      <c r="A595" s="381">
        <v>22</v>
      </c>
      <c r="B595" s="381" t="s">
        <v>233</v>
      </c>
      <c r="C595" s="381" t="s">
        <v>234</v>
      </c>
      <c r="D595" s="381" t="s">
        <v>234</v>
      </c>
      <c r="E595" s="381" t="s">
        <v>236</v>
      </c>
      <c r="F595" s="382">
        <v>426</v>
      </c>
      <c r="G595" s="381">
        <v>87</v>
      </c>
      <c r="H595" s="381">
        <v>24</v>
      </c>
      <c r="I595" s="381"/>
      <c r="J595" s="381"/>
      <c r="K595" s="384">
        <v>0.67948480714221227</v>
      </c>
      <c r="L595" s="385">
        <f t="shared" ref="L595:L600" si="10">10^K595</f>
        <v>4.7806264186391996</v>
      </c>
    </row>
    <row r="596" spans="1:12" x14ac:dyDescent="0.3">
      <c r="A596" s="381">
        <v>23</v>
      </c>
      <c r="B596" s="381" t="s">
        <v>233</v>
      </c>
      <c r="C596" s="381" t="s">
        <v>234</v>
      </c>
      <c r="D596" s="381" t="s">
        <v>234</v>
      </c>
      <c r="E596" s="381" t="s">
        <v>236</v>
      </c>
      <c r="F596" s="382">
        <v>1028</v>
      </c>
      <c r="G596" s="381">
        <v>156</v>
      </c>
      <c r="H596" s="381">
        <v>23</v>
      </c>
      <c r="I596" s="381"/>
      <c r="J596" s="381"/>
      <c r="K596" s="384">
        <v>0.71202310983647443</v>
      </c>
      <c r="L596" s="385">
        <f t="shared" si="10"/>
        <v>5.1525606184589599</v>
      </c>
    </row>
    <row r="597" spans="1:12" x14ac:dyDescent="0.3">
      <c r="A597" s="381">
        <v>24</v>
      </c>
      <c r="B597" s="381" t="s">
        <v>233</v>
      </c>
      <c r="C597" s="381" t="s">
        <v>234</v>
      </c>
      <c r="D597" s="381" t="s">
        <v>234</v>
      </c>
      <c r="E597" s="381" t="s">
        <v>236</v>
      </c>
      <c r="F597" s="382">
        <v>1333</v>
      </c>
      <c r="G597" s="381">
        <v>168</v>
      </c>
      <c r="H597" s="381">
        <v>18</v>
      </c>
      <c r="I597" s="381"/>
      <c r="J597" s="381"/>
      <c r="K597" s="384">
        <v>0.91701535631566533</v>
      </c>
      <c r="L597" s="385">
        <f t="shared" si="10"/>
        <v>8.2606715815407927</v>
      </c>
    </row>
    <row r="598" spans="1:12" x14ac:dyDescent="0.3">
      <c r="A598" s="381">
        <v>25</v>
      </c>
      <c r="B598" s="381" t="s">
        <v>233</v>
      </c>
      <c r="C598" s="381" t="s">
        <v>234</v>
      </c>
      <c r="D598" s="381" t="s">
        <v>234</v>
      </c>
      <c r="E598" s="381" t="s">
        <v>236</v>
      </c>
      <c r="F598" s="382">
        <v>1724</v>
      </c>
      <c r="G598" s="381">
        <v>262</v>
      </c>
      <c r="H598" s="381">
        <v>26</v>
      </c>
      <c r="I598" s="381"/>
      <c r="J598" s="381"/>
      <c r="K598" s="384">
        <v>1.2778914437847697</v>
      </c>
      <c r="L598" s="385">
        <f t="shared" si="10"/>
        <v>18.962318799933605</v>
      </c>
    </row>
    <row r="599" spans="1:12" x14ac:dyDescent="0.3">
      <c r="A599" s="381">
        <v>26</v>
      </c>
      <c r="B599" s="381" t="s">
        <v>233</v>
      </c>
      <c r="C599" s="381" t="s">
        <v>234</v>
      </c>
      <c r="D599" s="381" t="s">
        <v>234</v>
      </c>
      <c r="E599" s="381" t="s">
        <v>236</v>
      </c>
      <c r="F599" s="382">
        <v>2717</v>
      </c>
      <c r="G599" s="381">
        <v>344</v>
      </c>
      <c r="H599" s="381">
        <v>39</v>
      </c>
      <c r="I599" s="381"/>
      <c r="J599" s="381"/>
      <c r="K599" s="384">
        <v>1.4864427533440203</v>
      </c>
      <c r="L599" s="385">
        <f t="shared" si="10"/>
        <v>30.650866274931008</v>
      </c>
    </row>
    <row r="600" spans="1:12" x14ac:dyDescent="0.3">
      <c r="A600" s="381">
        <v>27</v>
      </c>
      <c r="B600" s="381" t="s">
        <v>233</v>
      </c>
      <c r="C600" s="381" t="s">
        <v>234</v>
      </c>
      <c r="D600" s="381" t="s">
        <v>234</v>
      </c>
      <c r="E600" s="381" t="s">
        <v>236</v>
      </c>
      <c r="F600" s="382">
        <v>3087</v>
      </c>
      <c r="G600" s="381">
        <v>483</v>
      </c>
      <c r="H600" s="381">
        <v>53</v>
      </c>
      <c r="I600" s="381"/>
      <c r="J600" s="381"/>
      <c r="K600" s="384">
        <v>2.2613549859172566</v>
      </c>
      <c r="L600" s="385">
        <f t="shared" si="10"/>
        <v>182.53871372767907</v>
      </c>
    </row>
    <row r="601" spans="1:12" x14ac:dyDescent="0.3">
      <c r="A601" s="381">
        <v>28</v>
      </c>
      <c r="B601" s="381" t="s">
        <v>233</v>
      </c>
      <c r="C601" s="381" t="s">
        <v>234</v>
      </c>
      <c r="D601" s="381" t="s">
        <v>234</v>
      </c>
      <c r="E601" s="381" t="s">
        <v>236</v>
      </c>
      <c r="F601" s="382">
        <v>940</v>
      </c>
      <c r="G601" s="381">
        <v>357</v>
      </c>
      <c r="H601" s="381">
        <v>87</v>
      </c>
      <c r="I601" s="381"/>
      <c r="J601" s="381"/>
      <c r="K601" s="381"/>
      <c r="L601" s="383"/>
    </row>
    <row r="602" spans="1:12" x14ac:dyDescent="0.3">
      <c r="A602" s="381">
        <v>29</v>
      </c>
      <c r="B602" s="381" t="s">
        <v>233</v>
      </c>
      <c r="C602" s="381" t="s">
        <v>234</v>
      </c>
      <c r="D602" s="381" t="s">
        <v>234</v>
      </c>
      <c r="E602" s="381" t="s">
        <v>236</v>
      </c>
      <c r="F602" s="382">
        <v>2667</v>
      </c>
      <c r="G602" s="381">
        <v>557</v>
      </c>
      <c r="H602" s="381">
        <v>82</v>
      </c>
      <c r="I602" s="381"/>
      <c r="J602" s="381"/>
      <c r="K602" s="384">
        <v>2.0045353864207538</v>
      </c>
      <c r="L602" s="385">
        <f>10^K602</f>
        <v>101.04978327848508</v>
      </c>
    </row>
    <row r="603" spans="1:12" x14ac:dyDescent="0.3">
      <c r="A603" s="381">
        <v>30</v>
      </c>
      <c r="B603" s="381" t="s">
        <v>233</v>
      </c>
      <c r="C603" s="381" t="s">
        <v>234</v>
      </c>
      <c r="D603" s="381" t="s">
        <v>234</v>
      </c>
      <c r="E603" s="381" t="s">
        <v>236</v>
      </c>
      <c r="F603" s="382">
        <v>4352</v>
      </c>
      <c r="G603" s="381">
        <v>587</v>
      </c>
      <c r="H603" s="381">
        <v>107</v>
      </c>
      <c r="I603" s="381"/>
      <c r="J603" s="381"/>
      <c r="K603" s="384">
        <v>1.9419212872686464</v>
      </c>
      <c r="L603" s="385">
        <f t="shared" ref="L603:L619" si="11">10^K603</f>
        <v>87.482520512172172</v>
      </c>
    </row>
    <row r="604" spans="1:12" x14ac:dyDescent="0.3">
      <c r="A604" s="381">
        <v>31</v>
      </c>
      <c r="B604" s="381" t="s">
        <v>233</v>
      </c>
      <c r="C604" s="381" t="s">
        <v>234</v>
      </c>
      <c r="D604" s="381" t="s">
        <v>234</v>
      </c>
      <c r="E604" s="381" t="s">
        <v>236</v>
      </c>
      <c r="F604" s="382">
        <v>6310</v>
      </c>
      <c r="G604" s="381">
        <v>748</v>
      </c>
      <c r="H604" s="381">
        <v>151</v>
      </c>
      <c r="I604" s="381"/>
      <c r="J604" s="381"/>
      <c r="K604" s="384">
        <v>2.1257851094317481</v>
      </c>
      <c r="L604" s="385">
        <f t="shared" si="11"/>
        <v>133.59343275731925</v>
      </c>
    </row>
    <row r="605" spans="1:12" x14ac:dyDescent="0.3">
      <c r="A605" s="381">
        <v>32</v>
      </c>
      <c r="B605" s="381" t="s">
        <v>233</v>
      </c>
      <c r="C605" s="381" t="s">
        <v>234</v>
      </c>
      <c r="D605" s="381" t="s">
        <v>234</v>
      </c>
      <c r="E605" s="381" t="s">
        <v>236</v>
      </c>
      <c r="F605" s="382">
        <v>7241</v>
      </c>
      <c r="G605" s="381">
        <v>883</v>
      </c>
      <c r="H605" s="381">
        <v>163</v>
      </c>
      <c r="I605" s="381"/>
      <c r="J605" s="381"/>
      <c r="K605" s="384">
        <v>2.2481734719818856</v>
      </c>
      <c r="L605" s="385">
        <f t="shared" si="11"/>
        <v>177.08161412453174</v>
      </c>
    </row>
    <row r="606" spans="1:12" x14ac:dyDescent="0.3">
      <c r="A606" s="381">
        <v>33</v>
      </c>
      <c r="B606" s="381" t="s">
        <v>233</v>
      </c>
      <c r="C606" s="381" t="s">
        <v>234</v>
      </c>
      <c r="D606" s="381" t="s">
        <v>234</v>
      </c>
      <c r="E606" s="381" t="s">
        <v>236</v>
      </c>
      <c r="F606" s="382">
        <v>9003</v>
      </c>
      <c r="G606" s="381">
        <v>974</v>
      </c>
      <c r="H606" s="381">
        <v>192</v>
      </c>
      <c r="I606" s="381"/>
      <c r="J606" s="381"/>
      <c r="K606" s="384">
        <v>2.2513966049095324</v>
      </c>
      <c r="L606" s="385">
        <f t="shared" si="11"/>
        <v>178.40072086879195</v>
      </c>
    </row>
    <row r="607" spans="1:12" x14ac:dyDescent="0.3">
      <c r="A607" s="381">
        <v>34</v>
      </c>
      <c r="B607" s="381" t="s">
        <v>233</v>
      </c>
      <c r="C607" s="381" t="s">
        <v>234</v>
      </c>
      <c r="D607" s="381" t="s">
        <v>234</v>
      </c>
      <c r="E607" s="381" t="s">
        <v>236</v>
      </c>
      <c r="F607" s="382">
        <v>6724</v>
      </c>
      <c r="G607" s="381">
        <v>890</v>
      </c>
      <c r="H607" s="381">
        <v>200</v>
      </c>
      <c r="I607" s="381"/>
      <c r="J607" s="381"/>
      <c r="K607" s="384">
        <v>1.8457861452812623</v>
      </c>
      <c r="L607" s="385">
        <f t="shared" si="11"/>
        <v>70.110997375176893</v>
      </c>
    </row>
    <row r="608" spans="1:12" x14ac:dyDescent="0.3">
      <c r="A608" s="381">
        <v>35</v>
      </c>
      <c r="B608" s="381" t="s">
        <v>233</v>
      </c>
      <c r="C608" s="381" t="s">
        <v>234</v>
      </c>
      <c r="D608" s="381" t="s">
        <v>234</v>
      </c>
      <c r="E608" s="381" t="s">
        <v>236</v>
      </c>
      <c r="F608" s="382">
        <v>4826</v>
      </c>
      <c r="G608" s="381">
        <v>713</v>
      </c>
      <c r="H608" s="381">
        <v>195</v>
      </c>
      <c r="I608" s="381"/>
      <c r="J608" s="381"/>
      <c r="K608" s="384">
        <v>1.6562634158763998</v>
      </c>
      <c r="L608" s="385">
        <f t="shared" si="11"/>
        <v>45.317236258059161</v>
      </c>
    </row>
    <row r="609" spans="1:12" x14ac:dyDescent="0.3">
      <c r="A609" s="381">
        <v>36</v>
      </c>
      <c r="B609" s="381" t="s">
        <v>233</v>
      </c>
      <c r="C609" s="381" t="s">
        <v>234</v>
      </c>
      <c r="D609" s="381" t="s">
        <v>234</v>
      </c>
      <c r="E609" s="381" t="s">
        <v>236</v>
      </c>
      <c r="F609" s="382">
        <v>2853</v>
      </c>
      <c r="G609" s="381">
        <v>492</v>
      </c>
      <c r="H609" s="381">
        <v>145</v>
      </c>
      <c r="I609" s="381"/>
      <c r="J609" s="381"/>
      <c r="K609" s="384">
        <v>1.8378684113962098</v>
      </c>
      <c r="L609" s="385">
        <f t="shared" si="11"/>
        <v>68.844367046745489</v>
      </c>
    </row>
    <row r="610" spans="1:12" x14ac:dyDescent="0.3">
      <c r="A610" s="381">
        <v>37</v>
      </c>
      <c r="B610" s="381" t="s">
        <v>233</v>
      </c>
      <c r="C610" s="381" t="s">
        <v>234</v>
      </c>
      <c r="D610" s="381" t="s">
        <v>234</v>
      </c>
      <c r="E610" s="381" t="s">
        <v>236</v>
      </c>
      <c r="F610" s="382">
        <v>1876</v>
      </c>
      <c r="G610" s="381">
        <v>366</v>
      </c>
      <c r="H610" s="381">
        <v>109</v>
      </c>
      <c r="I610" s="381"/>
      <c r="J610" s="381"/>
      <c r="K610" s="384">
        <v>1.7979040097777559</v>
      </c>
      <c r="L610" s="385">
        <f t="shared" si="11"/>
        <v>62.791955714323102</v>
      </c>
    </row>
    <row r="611" spans="1:12" x14ac:dyDescent="0.3">
      <c r="A611" s="381">
        <v>38</v>
      </c>
      <c r="B611" s="381" t="s">
        <v>233</v>
      </c>
      <c r="C611" s="381" t="s">
        <v>234</v>
      </c>
      <c r="D611" s="381" t="s">
        <v>234</v>
      </c>
      <c r="E611" s="381" t="s">
        <v>236</v>
      </c>
      <c r="F611" s="382">
        <v>961</v>
      </c>
      <c r="G611" s="381">
        <v>207</v>
      </c>
      <c r="H611" s="381">
        <v>79</v>
      </c>
      <c r="I611" s="381"/>
      <c r="J611" s="381"/>
      <c r="K611" s="384">
        <v>1.2882877924430678</v>
      </c>
      <c r="L611" s="385">
        <f t="shared" si="11"/>
        <v>19.421724640593244</v>
      </c>
    </row>
    <row r="612" spans="1:12" x14ac:dyDescent="0.3">
      <c r="A612" s="381">
        <v>39</v>
      </c>
      <c r="B612" s="381" t="s">
        <v>233</v>
      </c>
      <c r="C612" s="381" t="s">
        <v>234</v>
      </c>
      <c r="D612" s="381" t="s">
        <v>234</v>
      </c>
      <c r="E612" s="381" t="s">
        <v>236</v>
      </c>
      <c r="F612" s="382">
        <v>623</v>
      </c>
      <c r="G612" s="381">
        <v>162</v>
      </c>
      <c r="H612" s="381">
        <v>44</v>
      </c>
      <c r="I612" s="381"/>
      <c r="J612" s="381"/>
      <c r="K612" s="384">
        <v>2.004091024958957</v>
      </c>
      <c r="L612" s="385">
        <f t="shared" si="11"/>
        <v>100.94644402971082</v>
      </c>
    </row>
    <row r="613" spans="1:12" x14ac:dyDescent="0.3">
      <c r="A613" s="381">
        <v>40</v>
      </c>
      <c r="B613" s="381" t="s">
        <v>233</v>
      </c>
      <c r="C613" s="381" t="s">
        <v>234</v>
      </c>
      <c r="D613" s="381" t="s">
        <v>234</v>
      </c>
      <c r="E613" s="381" t="s">
        <v>236</v>
      </c>
      <c r="F613" s="382">
        <v>406</v>
      </c>
      <c r="G613" s="381">
        <v>107</v>
      </c>
      <c r="H613" s="381">
        <v>47</v>
      </c>
      <c r="I613" s="381"/>
      <c r="J613" s="381"/>
      <c r="K613" s="384">
        <v>1.3775749940335247</v>
      </c>
      <c r="L613" s="385">
        <f t="shared" si="11"/>
        <v>23.854756841854172</v>
      </c>
    </row>
    <row r="614" spans="1:12" x14ac:dyDescent="0.3">
      <c r="A614" s="381">
        <v>41</v>
      </c>
      <c r="B614" s="381" t="s">
        <v>233</v>
      </c>
      <c r="C614" s="381" t="s">
        <v>234</v>
      </c>
      <c r="D614" s="381" t="s">
        <v>234</v>
      </c>
      <c r="E614" s="381" t="s">
        <v>236</v>
      </c>
      <c r="F614" s="382">
        <v>359</v>
      </c>
      <c r="G614" s="381">
        <v>87</v>
      </c>
      <c r="H614" s="381">
        <v>32</v>
      </c>
      <c r="I614" s="381"/>
      <c r="J614" s="381"/>
      <c r="K614" s="384">
        <v>0.69752581862193153</v>
      </c>
      <c r="L614" s="385">
        <f t="shared" si="11"/>
        <v>4.9834008119544224</v>
      </c>
    </row>
    <row r="615" spans="1:12" x14ac:dyDescent="0.3">
      <c r="A615" s="381">
        <v>42</v>
      </c>
      <c r="B615" s="381" t="s">
        <v>233</v>
      </c>
      <c r="C615" s="381" t="s">
        <v>234</v>
      </c>
      <c r="D615" s="381" t="s">
        <v>234</v>
      </c>
      <c r="E615" s="381" t="s">
        <v>236</v>
      </c>
      <c r="F615" s="382">
        <v>243</v>
      </c>
      <c r="G615" s="381">
        <v>50</v>
      </c>
      <c r="H615" s="381">
        <v>21</v>
      </c>
      <c r="I615" s="381"/>
      <c r="J615" s="381"/>
      <c r="K615" s="384">
        <v>-2.0864642147305056E-2</v>
      </c>
      <c r="L615" s="385">
        <f t="shared" si="11"/>
        <v>0.95309317111968994</v>
      </c>
    </row>
    <row r="616" spans="1:12" x14ac:dyDescent="0.3">
      <c r="A616" s="381">
        <v>43</v>
      </c>
      <c r="B616" s="381" t="s">
        <v>233</v>
      </c>
      <c r="C616" s="381" t="s">
        <v>234</v>
      </c>
      <c r="D616" s="381" t="s">
        <v>234</v>
      </c>
      <c r="E616" s="381" t="s">
        <v>236</v>
      </c>
      <c r="F616" s="382">
        <v>112</v>
      </c>
      <c r="G616" s="381">
        <v>46</v>
      </c>
      <c r="H616" s="381">
        <v>6</v>
      </c>
      <c r="I616" s="381"/>
      <c r="J616" s="381"/>
      <c r="K616" s="384">
        <v>1.6196349789796238</v>
      </c>
      <c r="L616" s="385">
        <f t="shared" si="11"/>
        <v>41.651915530769202</v>
      </c>
    </row>
    <row r="617" spans="1:12" x14ac:dyDescent="0.3">
      <c r="A617" s="381">
        <v>44</v>
      </c>
      <c r="B617" s="381" t="s">
        <v>233</v>
      </c>
      <c r="C617" s="381" t="s">
        <v>234</v>
      </c>
      <c r="D617" s="381" t="s">
        <v>234</v>
      </c>
      <c r="E617" s="381" t="s">
        <v>236</v>
      </c>
      <c r="F617" s="382">
        <v>108</v>
      </c>
      <c r="G617" s="381">
        <v>24</v>
      </c>
      <c r="H617" s="381">
        <v>5</v>
      </c>
      <c r="I617" s="381"/>
      <c r="J617" s="381"/>
      <c r="K617" s="384">
        <v>0.59513578309140058</v>
      </c>
      <c r="L617" s="385">
        <f t="shared" si="11"/>
        <v>3.9367313895906726</v>
      </c>
    </row>
    <row r="618" spans="1:12" x14ac:dyDescent="0.3">
      <c r="A618" s="381">
        <v>45</v>
      </c>
      <c r="B618" s="381" t="s">
        <v>233</v>
      </c>
      <c r="C618" s="381" t="s">
        <v>234</v>
      </c>
      <c r="D618" s="381" t="s">
        <v>234</v>
      </c>
      <c r="E618" s="381" t="s">
        <v>236</v>
      </c>
      <c r="F618" s="382">
        <v>72</v>
      </c>
      <c r="G618" s="381">
        <v>46</v>
      </c>
      <c r="H618" s="381">
        <v>6</v>
      </c>
      <c r="I618" s="381"/>
      <c r="J618" s="381"/>
      <c r="K618" s="384">
        <v>0.51249360551956624</v>
      </c>
      <c r="L618" s="385">
        <f t="shared" si="11"/>
        <v>3.2545699148761984</v>
      </c>
    </row>
    <row r="619" spans="1:12" x14ac:dyDescent="0.3">
      <c r="A619" s="381">
        <v>46</v>
      </c>
      <c r="B619" s="381" t="s">
        <v>233</v>
      </c>
      <c r="C619" s="381" t="s">
        <v>234</v>
      </c>
      <c r="D619" s="381" t="s">
        <v>234</v>
      </c>
      <c r="E619" s="381" t="s">
        <v>236</v>
      </c>
      <c r="F619" s="382">
        <v>90</v>
      </c>
      <c r="G619" s="381">
        <v>28</v>
      </c>
      <c r="H619" s="381">
        <v>8</v>
      </c>
      <c r="I619" s="381"/>
      <c r="J619" s="381"/>
      <c r="K619" s="384">
        <v>0.88989452598817198</v>
      </c>
      <c r="L619" s="385">
        <f t="shared" si="11"/>
        <v>7.7605861790326198</v>
      </c>
    </row>
    <row r="620" spans="1:12" x14ac:dyDescent="0.3">
      <c r="A620" s="381">
        <v>47</v>
      </c>
      <c r="B620" s="381" t="s">
        <v>233</v>
      </c>
      <c r="C620" s="381" t="s">
        <v>234</v>
      </c>
      <c r="D620" s="381" t="s">
        <v>234</v>
      </c>
      <c r="E620" s="381" t="s">
        <v>236</v>
      </c>
      <c r="F620" s="382">
        <v>194</v>
      </c>
      <c r="G620" s="381">
        <v>33</v>
      </c>
      <c r="H620" s="381">
        <v>4</v>
      </c>
      <c r="I620" s="381"/>
      <c r="J620" s="381"/>
      <c r="K620" s="381"/>
      <c r="L620" s="383"/>
    </row>
    <row r="621" spans="1:12" x14ac:dyDescent="0.3">
      <c r="A621" s="381">
        <v>48</v>
      </c>
      <c r="B621" s="381" t="s">
        <v>233</v>
      </c>
      <c r="C621" s="381" t="s">
        <v>234</v>
      </c>
      <c r="D621" s="381" t="s">
        <v>234</v>
      </c>
      <c r="E621" s="381" t="s">
        <v>236</v>
      </c>
      <c r="F621" s="382">
        <v>1954</v>
      </c>
      <c r="G621" s="381">
        <v>176</v>
      </c>
      <c r="H621" s="381">
        <v>3</v>
      </c>
      <c r="I621" s="381"/>
      <c r="J621" s="381"/>
      <c r="K621" s="384">
        <v>2.4499515431523498</v>
      </c>
      <c r="L621" s="385">
        <f>10^K621</f>
        <v>281.80684848707557</v>
      </c>
    </row>
    <row r="622" spans="1:12" x14ac:dyDescent="0.3">
      <c r="A622" s="381">
        <v>49</v>
      </c>
      <c r="B622" s="381" t="s">
        <v>233</v>
      </c>
      <c r="C622" s="381" t="s">
        <v>234</v>
      </c>
      <c r="D622" s="381" t="s">
        <v>234</v>
      </c>
      <c r="E622" s="381" t="s">
        <v>236</v>
      </c>
      <c r="F622" s="382">
        <v>8907</v>
      </c>
      <c r="G622" s="381">
        <v>604</v>
      </c>
      <c r="H622" s="381">
        <v>11</v>
      </c>
      <c r="I622" s="381"/>
      <c r="J622" s="381"/>
      <c r="K622" s="384">
        <v>2.424916094258359</v>
      </c>
      <c r="L622" s="385">
        <f t="shared" ref="L622:L623" si="12">10^K622</f>
        <v>266.02110570790836</v>
      </c>
    </row>
    <row r="623" spans="1:12" x14ac:dyDescent="0.3">
      <c r="A623" s="381">
        <v>50</v>
      </c>
      <c r="B623" s="381" t="s">
        <v>233</v>
      </c>
      <c r="C623" s="381" t="s">
        <v>234</v>
      </c>
      <c r="D623" s="381" t="s">
        <v>234</v>
      </c>
      <c r="E623" s="381" t="s">
        <v>236</v>
      </c>
      <c r="F623" s="382">
        <v>11858</v>
      </c>
      <c r="G623" s="381">
        <v>936</v>
      </c>
      <c r="H623" s="381">
        <v>37</v>
      </c>
      <c r="I623" s="381"/>
      <c r="J623" s="381"/>
      <c r="K623" s="384">
        <v>2.8762048417968975</v>
      </c>
      <c r="L623" s="385">
        <f t="shared" si="12"/>
        <v>751.97749235192191</v>
      </c>
    </row>
    <row r="624" spans="1:12" x14ac:dyDescent="0.3">
      <c r="A624" s="381">
        <v>51</v>
      </c>
      <c r="B624" s="381" t="s">
        <v>233</v>
      </c>
      <c r="C624" s="381" t="s">
        <v>234</v>
      </c>
      <c r="D624" s="381" t="s">
        <v>234</v>
      </c>
      <c r="E624" s="381" t="s">
        <v>236</v>
      </c>
      <c r="F624" s="382">
        <v>9266</v>
      </c>
      <c r="G624" s="381">
        <v>796</v>
      </c>
      <c r="H624" s="381">
        <v>77</v>
      </c>
      <c r="I624" s="381"/>
      <c r="J624" s="381"/>
      <c r="K624" s="381"/>
      <c r="L624" s="383"/>
    </row>
    <row r="625" spans="1:12" x14ac:dyDescent="0.3">
      <c r="A625" s="381">
        <v>52</v>
      </c>
      <c r="B625" s="381" t="s">
        <v>233</v>
      </c>
      <c r="C625" s="381" t="s">
        <v>234</v>
      </c>
      <c r="D625" s="381" t="s">
        <v>234</v>
      </c>
      <c r="E625" s="381" t="s">
        <v>236</v>
      </c>
      <c r="F625" s="382">
        <v>5152</v>
      </c>
      <c r="G625" s="381">
        <v>637</v>
      </c>
      <c r="H625" s="381">
        <v>75</v>
      </c>
      <c r="I625" s="381"/>
      <c r="J625" s="381"/>
      <c r="K625" s="381"/>
      <c r="L625" s="383"/>
    </row>
    <row r="626" spans="1:12" x14ac:dyDescent="0.3">
      <c r="A626" s="339">
        <v>1</v>
      </c>
      <c r="B626" s="339" t="s">
        <v>237</v>
      </c>
      <c r="C626" s="339" t="s">
        <v>238</v>
      </c>
      <c r="D626" s="339" t="s">
        <v>260</v>
      </c>
      <c r="E626" s="339" t="s">
        <v>239</v>
      </c>
      <c r="F626" s="348">
        <v>998</v>
      </c>
      <c r="G626" s="339">
        <v>202</v>
      </c>
      <c r="H626" s="339">
        <v>74</v>
      </c>
      <c r="I626" s="339"/>
      <c r="J626" s="339"/>
      <c r="K626" s="339"/>
      <c r="L626" s="340"/>
    </row>
    <row r="627" spans="1:12" x14ac:dyDescent="0.3">
      <c r="A627" s="339">
        <v>2</v>
      </c>
      <c r="B627" s="339" t="s">
        <v>237</v>
      </c>
      <c r="C627" s="339" t="s">
        <v>238</v>
      </c>
      <c r="D627" s="339" t="s">
        <v>260</v>
      </c>
      <c r="E627" s="339" t="s">
        <v>239</v>
      </c>
      <c r="F627" s="348">
        <v>595</v>
      </c>
      <c r="G627" s="339">
        <v>160</v>
      </c>
      <c r="H627" s="339">
        <v>51</v>
      </c>
      <c r="I627" s="339"/>
      <c r="J627" s="339"/>
      <c r="K627" s="339"/>
      <c r="L627" s="340"/>
    </row>
    <row r="628" spans="1:12" x14ac:dyDescent="0.3">
      <c r="A628" s="339">
        <v>3</v>
      </c>
      <c r="B628" s="339" t="s">
        <v>237</v>
      </c>
      <c r="C628" s="339" t="s">
        <v>238</v>
      </c>
      <c r="D628" s="339" t="s">
        <v>260</v>
      </c>
      <c r="E628" s="339" t="s">
        <v>239</v>
      </c>
      <c r="F628" s="348">
        <v>302</v>
      </c>
      <c r="G628" s="339">
        <v>100</v>
      </c>
      <c r="H628" s="339">
        <v>45</v>
      </c>
      <c r="I628" s="339"/>
      <c r="J628" s="339"/>
      <c r="K628" s="339"/>
      <c r="L628" s="340"/>
    </row>
    <row r="629" spans="1:12" x14ac:dyDescent="0.3">
      <c r="A629" s="339">
        <v>4</v>
      </c>
      <c r="B629" s="339" t="s">
        <v>237</v>
      </c>
      <c r="C629" s="339" t="s">
        <v>238</v>
      </c>
      <c r="D629" s="339" t="s">
        <v>260</v>
      </c>
      <c r="E629" s="339" t="s">
        <v>239</v>
      </c>
      <c r="F629" s="348">
        <v>207</v>
      </c>
      <c r="G629" s="339">
        <v>61</v>
      </c>
      <c r="H629" s="339">
        <v>16</v>
      </c>
      <c r="I629" s="339"/>
      <c r="J629" s="339"/>
      <c r="K629" s="339"/>
      <c r="L629" s="340"/>
    </row>
    <row r="630" spans="1:12" x14ac:dyDescent="0.3">
      <c r="A630" s="339">
        <v>5</v>
      </c>
      <c r="B630" s="339" t="s">
        <v>237</v>
      </c>
      <c r="C630" s="339" t="s">
        <v>238</v>
      </c>
      <c r="D630" s="339" t="s">
        <v>260</v>
      </c>
      <c r="E630" s="339" t="s">
        <v>239</v>
      </c>
      <c r="F630" s="348">
        <v>116</v>
      </c>
      <c r="G630" s="339">
        <v>41</v>
      </c>
      <c r="H630" s="339">
        <v>19</v>
      </c>
      <c r="I630" s="339"/>
      <c r="J630" s="339"/>
      <c r="K630" s="339"/>
      <c r="L630" s="340"/>
    </row>
    <row r="631" spans="1:12" x14ac:dyDescent="0.3">
      <c r="A631" s="339">
        <v>6</v>
      </c>
      <c r="B631" s="339" t="s">
        <v>237</v>
      </c>
      <c r="C631" s="339" t="s">
        <v>238</v>
      </c>
      <c r="D631" s="339" t="s">
        <v>260</v>
      </c>
      <c r="E631" s="339" t="s">
        <v>239</v>
      </c>
      <c r="F631" s="348">
        <v>87</v>
      </c>
      <c r="G631" s="339">
        <v>44</v>
      </c>
      <c r="H631" s="339">
        <v>8</v>
      </c>
      <c r="I631" s="339"/>
      <c r="J631" s="339"/>
      <c r="K631" s="339"/>
      <c r="L631" s="340"/>
    </row>
    <row r="632" spans="1:12" x14ac:dyDescent="0.3">
      <c r="A632" s="339">
        <v>7</v>
      </c>
      <c r="B632" s="339" t="s">
        <v>237</v>
      </c>
      <c r="C632" s="339" t="s">
        <v>238</v>
      </c>
      <c r="D632" s="339" t="s">
        <v>260</v>
      </c>
      <c r="E632" s="339" t="s">
        <v>239</v>
      </c>
      <c r="F632" s="348">
        <v>50</v>
      </c>
      <c r="G632" s="339">
        <v>27</v>
      </c>
      <c r="H632" s="339">
        <v>9</v>
      </c>
      <c r="I632" s="339"/>
      <c r="J632" s="339"/>
      <c r="K632" s="339"/>
      <c r="L632" s="340"/>
    </row>
    <row r="633" spans="1:12" x14ac:dyDescent="0.3">
      <c r="A633" s="339">
        <v>8</v>
      </c>
      <c r="B633" s="339" t="s">
        <v>237</v>
      </c>
      <c r="C633" s="339" t="s">
        <v>238</v>
      </c>
      <c r="D633" s="339" t="s">
        <v>260</v>
      </c>
      <c r="E633" s="339" t="s">
        <v>239</v>
      </c>
      <c r="F633" s="348">
        <v>27</v>
      </c>
      <c r="G633" s="339">
        <v>19</v>
      </c>
      <c r="H633" s="339">
        <v>6</v>
      </c>
      <c r="I633" s="339"/>
      <c r="J633" s="339"/>
      <c r="K633" s="339"/>
      <c r="L633" s="340"/>
    </row>
    <row r="634" spans="1:12" x14ac:dyDescent="0.3">
      <c r="A634" s="339">
        <v>9</v>
      </c>
      <c r="B634" s="339" t="s">
        <v>237</v>
      </c>
      <c r="C634" s="339" t="s">
        <v>238</v>
      </c>
      <c r="D634" s="339" t="s">
        <v>260</v>
      </c>
      <c r="E634" s="339" t="s">
        <v>239</v>
      </c>
      <c r="F634" s="348">
        <v>48</v>
      </c>
      <c r="G634" s="339">
        <v>22</v>
      </c>
      <c r="H634" s="339">
        <v>4</v>
      </c>
      <c r="I634" s="339"/>
      <c r="J634" s="339"/>
      <c r="K634" s="339"/>
      <c r="L634" s="340"/>
    </row>
    <row r="635" spans="1:12" x14ac:dyDescent="0.3">
      <c r="A635" s="339">
        <v>10</v>
      </c>
      <c r="B635" s="339" t="s">
        <v>237</v>
      </c>
      <c r="C635" s="339" t="s">
        <v>238</v>
      </c>
      <c r="D635" s="339" t="s">
        <v>260</v>
      </c>
      <c r="E635" s="339" t="s">
        <v>239</v>
      </c>
      <c r="F635" s="348">
        <v>31</v>
      </c>
      <c r="G635" s="339">
        <v>15</v>
      </c>
      <c r="H635" s="339">
        <v>1</v>
      </c>
      <c r="I635" s="339"/>
      <c r="J635" s="339"/>
      <c r="K635" s="357">
        <v>2.6458377948407681</v>
      </c>
      <c r="L635" s="361">
        <f>10^K635</f>
        <v>442.42310037418292</v>
      </c>
    </row>
    <row r="636" spans="1:12" x14ac:dyDescent="0.3">
      <c r="A636" s="339">
        <v>11</v>
      </c>
      <c r="B636" s="339" t="s">
        <v>237</v>
      </c>
      <c r="C636" s="339" t="s">
        <v>238</v>
      </c>
      <c r="D636" s="339" t="s">
        <v>260</v>
      </c>
      <c r="E636" s="339" t="s">
        <v>239</v>
      </c>
      <c r="F636" s="348">
        <v>32</v>
      </c>
      <c r="G636" s="339">
        <v>15</v>
      </c>
      <c r="H636" s="339">
        <v>6</v>
      </c>
      <c r="I636" s="339"/>
      <c r="J636" s="339"/>
      <c r="K636" s="339"/>
      <c r="L636" s="340"/>
    </row>
    <row r="637" spans="1:12" x14ac:dyDescent="0.3">
      <c r="A637" s="339">
        <v>12</v>
      </c>
      <c r="B637" s="339" t="s">
        <v>237</v>
      </c>
      <c r="C637" s="339" t="s">
        <v>238</v>
      </c>
      <c r="D637" s="339" t="s">
        <v>260</v>
      </c>
      <c r="E637" s="339" t="s">
        <v>239</v>
      </c>
      <c r="F637" s="348">
        <v>32</v>
      </c>
      <c r="G637" s="339">
        <v>11</v>
      </c>
      <c r="H637" s="339">
        <v>3</v>
      </c>
      <c r="I637" s="339"/>
      <c r="J637" s="339"/>
      <c r="K637" s="339"/>
      <c r="L637" s="340"/>
    </row>
    <row r="638" spans="1:12" x14ac:dyDescent="0.3">
      <c r="A638" s="339">
        <v>13</v>
      </c>
      <c r="B638" s="339" t="s">
        <v>237</v>
      </c>
      <c r="C638" s="339" t="s">
        <v>238</v>
      </c>
      <c r="D638" s="339" t="s">
        <v>260</v>
      </c>
      <c r="E638" s="339" t="s">
        <v>239</v>
      </c>
      <c r="F638" s="348">
        <v>35</v>
      </c>
      <c r="G638" s="339">
        <v>12</v>
      </c>
      <c r="H638" s="339">
        <v>2</v>
      </c>
      <c r="I638" s="339"/>
      <c r="J638" s="339"/>
      <c r="K638" s="339"/>
      <c r="L638" s="340"/>
    </row>
    <row r="639" spans="1:12" x14ac:dyDescent="0.3">
      <c r="A639" s="339">
        <v>14</v>
      </c>
      <c r="B639" s="339" t="s">
        <v>237</v>
      </c>
      <c r="C639" s="339" t="s">
        <v>238</v>
      </c>
      <c r="D639" s="339" t="s">
        <v>260</v>
      </c>
      <c r="E639" s="339" t="s">
        <v>239</v>
      </c>
      <c r="F639" s="348">
        <v>60</v>
      </c>
      <c r="G639" s="339">
        <v>9</v>
      </c>
      <c r="H639" s="339">
        <v>1</v>
      </c>
      <c r="I639" s="339"/>
      <c r="J639" s="339"/>
      <c r="K639" s="339"/>
      <c r="L639" s="340"/>
    </row>
    <row r="640" spans="1:12" x14ac:dyDescent="0.3">
      <c r="A640" s="339">
        <v>15</v>
      </c>
      <c r="B640" s="339" t="s">
        <v>237</v>
      </c>
      <c r="C640" s="339" t="s">
        <v>238</v>
      </c>
      <c r="D640" s="339" t="s">
        <v>260</v>
      </c>
      <c r="E640" s="339" t="s">
        <v>239</v>
      </c>
      <c r="F640" s="348">
        <v>66</v>
      </c>
      <c r="G640" s="339">
        <v>16</v>
      </c>
      <c r="H640" s="339">
        <v>3</v>
      </c>
      <c r="I640" s="339"/>
      <c r="J640" s="339"/>
      <c r="K640" s="357">
        <v>-0.27532603035084996</v>
      </c>
      <c r="L640" s="361">
        <f>10^K640</f>
        <v>0.5304860521335989</v>
      </c>
    </row>
    <row r="641" spans="1:12" x14ac:dyDescent="0.3">
      <c r="A641" s="339">
        <v>16</v>
      </c>
      <c r="B641" s="339" t="s">
        <v>237</v>
      </c>
      <c r="C641" s="339" t="s">
        <v>238</v>
      </c>
      <c r="D641" s="339" t="s">
        <v>260</v>
      </c>
      <c r="E641" s="339" t="s">
        <v>239</v>
      </c>
      <c r="F641" s="348">
        <v>37</v>
      </c>
      <c r="G641" s="339">
        <v>18</v>
      </c>
      <c r="H641" s="339">
        <v>1</v>
      </c>
      <c r="I641" s="339"/>
      <c r="J641" s="339"/>
      <c r="K641" s="339"/>
      <c r="L641" s="340"/>
    </row>
    <row r="642" spans="1:12" x14ac:dyDescent="0.3">
      <c r="A642" s="339">
        <v>17</v>
      </c>
      <c r="B642" s="339" t="s">
        <v>237</v>
      </c>
      <c r="C642" s="339" t="s">
        <v>238</v>
      </c>
      <c r="D642" s="339" t="s">
        <v>260</v>
      </c>
      <c r="E642" s="339" t="s">
        <v>239</v>
      </c>
      <c r="F642" s="348">
        <v>55</v>
      </c>
      <c r="G642" s="339">
        <v>9</v>
      </c>
      <c r="H642" s="339">
        <v>2</v>
      </c>
      <c r="I642" s="339"/>
      <c r="J642" s="339"/>
      <c r="K642" s="339"/>
      <c r="L642" s="340"/>
    </row>
    <row r="643" spans="1:12" x14ac:dyDescent="0.3">
      <c r="A643" s="339">
        <v>18</v>
      </c>
      <c r="B643" s="339" t="s">
        <v>237</v>
      </c>
      <c r="C643" s="339" t="s">
        <v>238</v>
      </c>
      <c r="D643" s="339" t="s">
        <v>260</v>
      </c>
      <c r="E643" s="339" t="s">
        <v>239</v>
      </c>
      <c r="F643" s="348">
        <v>68</v>
      </c>
      <c r="G643" s="339">
        <v>19</v>
      </c>
      <c r="H643" s="339">
        <v>6</v>
      </c>
      <c r="I643" s="339"/>
      <c r="J643" s="339"/>
      <c r="K643" s="357">
        <v>0.19430852897149883</v>
      </c>
      <c r="L643" s="361">
        <f>10^K643</f>
        <v>1.5642585194840699</v>
      </c>
    </row>
    <row r="644" spans="1:12" x14ac:dyDescent="0.3">
      <c r="A644" s="339">
        <v>19</v>
      </c>
      <c r="B644" s="339" t="s">
        <v>237</v>
      </c>
      <c r="C644" s="339" t="s">
        <v>238</v>
      </c>
      <c r="D644" s="339" t="s">
        <v>260</v>
      </c>
      <c r="E644" s="339" t="s">
        <v>239</v>
      </c>
      <c r="F644" s="348">
        <v>137</v>
      </c>
      <c r="G644" s="339">
        <v>21</v>
      </c>
      <c r="H644" s="339">
        <v>5</v>
      </c>
      <c r="I644" s="339"/>
      <c r="J644" s="339"/>
      <c r="K644" s="339"/>
      <c r="L644" s="340"/>
    </row>
    <row r="645" spans="1:12" x14ac:dyDescent="0.3">
      <c r="A645" s="339">
        <v>20</v>
      </c>
      <c r="B645" s="339" t="s">
        <v>237</v>
      </c>
      <c r="C645" s="339" t="s">
        <v>238</v>
      </c>
      <c r="D645" s="339" t="s">
        <v>260</v>
      </c>
      <c r="E645" s="339" t="s">
        <v>239</v>
      </c>
      <c r="F645" s="348">
        <v>251</v>
      </c>
      <c r="G645" s="339">
        <v>36</v>
      </c>
      <c r="H645" s="339">
        <v>4</v>
      </c>
      <c r="I645" s="339"/>
      <c r="J645" s="339"/>
      <c r="K645" s="339"/>
      <c r="L645" s="340"/>
    </row>
    <row r="646" spans="1:12" x14ac:dyDescent="0.3">
      <c r="A646" s="339">
        <v>21</v>
      </c>
      <c r="B646" s="339" t="s">
        <v>237</v>
      </c>
      <c r="C646" s="339" t="s">
        <v>238</v>
      </c>
      <c r="D646" s="339" t="s">
        <v>260</v>
      </c>
      <c r="E646" s="339" t="s">
        <v>239</v>
      </c>
      <c r="F646" s="348">
        <v>432</v>
      </c>
      <c r="G646" s="339">
        <v>51</v>
      </c>
      <c r="H646" s="339">
        <v>4</v>
      </c>
      <c r="I646" s="339"/>
      <c r="J646" s="339"/>
      <c r="K646" s="339"/>
      <c r="L646" s="340"/>
    </row>
    <row r="647" spans="1:12" x14ac:dyDescent="0.3">
      <c r="A647" s="339">
        <v>22</v>
      </c>
      <c r="B647" s="339" t="s">
        <v>237</v>
      </c>
      <c r="C647" s="339" t="s">
        <v>238</v>
      </c>
      <c r="D647" s="339" t="s">
        <v>260</v>
      </c>
      <c r="E647" s="339" t="s">
        <v>239</v>
      </c>
      <c r="F647" s="348">
        <v>598</v>
      </c>
      <c r="G647" s="339">
        <v>82</v>
      </c>
      <c r="H647" s="339">
        <v>12</v>
      </c>
      <c r="I647" s="339"/>
      <c r="J647" s="339"/>
      <c r="K647" s="339"/>
      <c r="L647" s="340"/>
    </row>
    <row r="648" spans="1:12" x14ac:dyDescent="0.3">
      <c r="A648" s="339">
        <v>23</v>
      </c>
      <c r="B648" s="339" t="s">
        <v>237</v>
      </c>
      <c r="C648" s="339" t="s">
        <v>238</v>
      </c>
      <c r="D648" s="339" t="s">
        <v>260</v>
      </c>
      <c r="E648" s="339" t="s">
        <v>239</v>
      </c>
      <c r="F648" s="348">
        <v>899</v>
      </c>
      <c r="G648" s="339">
        <v>104</v>
      </c>
      <c r="H648" s="339">
        <v>24</v>
      </c>
      <c r="I648" s="339"/>
      <c r="J648" s="339"/>
      <c r="K648" s="357">
        <v>0.62235401902088716</v>
      </c>
      <c r="L648" s="361">
        <f>10^K648</f>
        <v>4.1913508760685803</v>
      </c>
    </row>
    <row r="649" spans="1:12" x14ac:dyDescent="0.3">
      <c r="A649" s="339">
        <v>24</v>
      </c>
      <c r="B649" s="339" t="s">
        <v>237</v>
      </c>
      <c r="C649" s="339" t="s">
        <v>238</v>
      </c>
      <c r="D649" s="339" t="s">
        <v>260</v>
      </c>
      <c r="E649" s="339" t="s">
        <v>239</v>
      </c>
      <c r="F649" s="348">
        <v>1704</v>
      </c>
      <c r="G649" s="339">
        <v>126</v>
      </c>
      <c r="H649" s="339">
        <v>27</v>
      </c>
      <c r="I649" s="339"/>
      <c r="J649" s="339"/>
      <c r="K649" s="339"/>
      <c r="L649" s="340"/>
    </row>
    <row r="650" spans="1:12" x14ac:dyDescent="0.3">
      <c r="A650" s="339">
        <v>25</v>
      </c>
      <c r="B650" s="339" t="s">
        <v>237</v>
      </c>
      <c r="C650" s="339" t="s">
        <v>238</v>
      </c>
      <c r="D650" s="339" t="s">
        <v>260</v>
      </c>
      <c r="E650" s="339" t="s">
        <v>239</v>
      </c>
      <c r="F650" s="348">
        <v>1893</v>
      </c>
      <c r="G650" s="339">
        <v>198</v>
      </c>
      <c r="H650" s="339">
        <v>45</v>
      </c>
      <c r="I650" s="339"/>
      <c r="J650" s="339"/>
      <c r="K650" s="339"/>
      <c r="L650" s="340"/>
    </row>
    <row r="651" spans="1:12" x14ac:dyDescent="0.3">
      <c r="A651" s="339">
        <v>26</v>
      </c>
      <c r="B651" s="339" t="s">
        <v>237</v>
      </c>
      <c r="C651" s="339" t="s">
        <v>238</v>
      </c>
      <c r="D651" s="339" t="s">
        <v>260</v>
      </c>
      <c r="E651" s="339" t="s">
        <v>239</v>
      </c>
      <c r="F651" s="348">
        <v>2221</v>
      </c>
      <c r="G651" s="339">
        <v>226</v>
      </c>
      <c r="H651" s="339">
        <v>74</v>
      </c>
      <c r="I651" s="339"/>
      <c r="J651" s="339"/>
      <c r="K651" s="339"/>
      <c r="L651" s="340"/>
    </row>
    <row r="652" spans="1:12" x14ac:dyDescent="0.3">
      <c r="A652" s="339">
        <v>27</v>
      </c>
      <c r="B652" s="339" t="s">
        <v>237</v>
      </c>
      <c r="C652" s="339" t="s">
        <v>238</v>
      </c>
      <c r="D652" s="339" t="s">
        <v>260</v>
      </c>
      <c r="E652" s="339" t="s">
        <v>239</v>
      </c>
      <c r="F652" s="348">
        <v>2219</v>
      </c>
      <c r="G652" s="339">
        <v>266</v>
      </c>
      <c r="H652" s="339">
        <v>74</v>
      </c>
      <c r="I652" s="339"/>
      <c r="J652" s="339"/>
      <c r="K652" s="339"/>
      <c r="L652" s="340"/>
    </row>
    <row r="653" spans="1:12" x14ac:dyDescent="0.3">
      <c r="A653" s="339">
        <v>28</v>
      </c>
      <c r="B653" s="339" t="s">
        <v>237</v>
      </c>
      <c r="C653" s="339" t="s">
        <v>238</v>
      </c>
      <c r="D653" s="339" t="s">
        <v>260</v>
      </c>
      <c r="E653" s="339" t="s">
        <v>239</v>
      </c>
      <c r="F653" s="348">
        <v>2109</v>
      </c>
      <c r="G653" s="339">
        <v>251</v>
      </c>
      <c r="H653" s="339">
        <v>91</v>
      </c>
      <c r="I653" s="339"/>
      <c r="J653" s="339"/>
      <c r="K653" s="357">
        <v>1.9281078418946413</v>
      </c>
      <c r="L653" s="361">
        <f>10^K653</f>
        <v>84.743781965606118</v>
      </c>
    </row>
    <row r="654" spans="1:12" x14ac:dyDescent="0.3">
      <c r="A654" s="339">
        <v>29</v>
      </c>
      <c r="B654" s="339" t="s">
        <v>237</v>
      </c>
      <c r="C654" s="339" t="s">
        <v>238</v>
      </c>
      <c r="D654" s="339" t="s">
        <v>260</v>
      </c>
      <c r="E654" s="339" t="s">
        <v>239</v>
      </c>
      <c r="F654" s="348">
        <v>1667</v>
      </c>
      <c r="G654" s="339">
        <v>255</v>
      </c>
      <c r="H654" s="339">
        <v>105</v>
      </c>
      <c r="I654" s="339"/>
      <c r="J654" s="339"/>
      <c r="K654" s="339"/>
      <c r="L654" s="340"/>
    </row>
    <row r="655" spans="1:12" x14ac:dyDescent="0.3">
      <c r="A655" s="339">
        <v>30</v>
      </c>
      <c r="B655" s="339" t="s">
        <v>237</v>
      </c>
      <c r="C655" s="339" t="s">
        <v>238</v>
      </c>
      <c r="D655" s="339" t="s">
        <v>260</v>
      </c>
      <c r="E655" s="339" t="s">
        <v>239</v>
      </c>
      <c r="F655" s="348">
        <v>2641</v>
      </c>
      <c r="G655" s="339">
        <v>237</v>
      </c>
      <c r="H655" s="339">
        <v>63</v>
      </c>
      <c r="I655" s="339"/>
      <c r="J655" s="339"/>
      <c r="K655" s="339"/>
      <c r="L655" s="340"/>
    </row>
    <row r="656" spans="1:12" x14ac:dyDescent="0.3">
      <c r="A656" s="339">
        <v>31</v>
      </c>
      <c r="B656" s="339" t="s">
        <v>237</v>
      </c>
      <c r="C656" s="339" t="s">
        <v>238</v>
      </c>
      <c r="D656" s="339" t="s">
        <v>260</v>
      </c>
      <c r="E656" s="339" t="s">
        <v>239</v>
      </c>
      <c r="F656" s="348">
        <v>2838</v>
      </c>
      <c r="G656" s="339">
        <v>206</v>
      </c>
      <c r="H656" s="339">
        <v>89</v>
      </c>
      <c r="I656" s="339"/>
      <c r="J656" s="339"/>
      <c r="K656" s="339"/>
      <c r="L656" s="340"/>
    </row>
    <row r="657" spans="1:12" x14ac:dyDescent="0.3">
      <c r="A657" s="339">
        <v>32</v>
      </c>
      <c r="B657" s="339" t="s">
        <v>237</v>
      </c>
      <c r="C657" s="339" t="s">
        <v>238</v>
      </c>
      <c r="D657" s="339" t="s">
        <v>260</v>
      </c>
      <c r="E657" s="339" t="s">
        <v>239</v>
      </c>
      <c r="F657" s="348">
        <v>3099</v>
      </c>
      <c r="G657" s="339">
        <v>239</v>
      </c>
      <c r="H657" s="339">
        <v>70</v>
      </c>
      <c r="I657" s="339"/>
      <c r="J657" s="339"/>
      <c r="K657" s="357">
        <v>2.5034435268061954</v>
      </c>
      <c r="L657" s="361">
        <f>10^K657</f>
        <v>318.74510706687471</v>
      </c>
    </row>
    <row r="658" spans="1:12" x14ac:dyDescent="0.3">
      <c r="A658" s="339">
        <v>33</v>
      </c>
      <c r="B658" s="339" t="s">
        <v>237</v>
      </c>
      <c r="C658" s="339" t="s">
        <v>238</v>
      </c>
      <c r="D658" s="339" t="s">
        <v>260</v>
      </c>
      <c r="E658" s="339" t="s">
        <v>239</v>
      </c>
      <c r="F658" s="348">
        <v>3444</v>
      </c>
      <c r="G658" s="339">
        <v>252</v>
      </c>
      <c r="H658" s="339">
        <v>85</v>
      </c>
      <c r="I658" s="339"/>
      <c r="J658" s="339"/>
      <c r="K658" s="339"/>
      <c r="L658" s="340"/>
    </row>
    <row r="659" spans="1:12" x14ac:dyDescent="0.3">
      <c r="A659" s="339">
        <v>34</v>
      </c>
      <c r="B659" s="339" t="s">
        <v>237</v>
      </c>
      <c r="C659" s="339" t="s">
        <v>238</v>
      </c>
      <c r="D659" s="339" t="s">
        <v>260</v>
      </c>
      <c r="E659" s="339" t="s">
        <v>239</v>
      </c>
      <c r="F659" s="348">
        <v>3024</v>
      </c>
      <c r="G659" s="339">
        <v>207</v>
      </c>
      <c r="H659" s="339">
        <v>67</v>
      </c>
      <c r="I659" s="339"/>
      <c r="J659" s="339"/>
      <c r="K659" s="339"/>
      <c r="L659" s="340"/>
    </row>
    <row r="660" spans="1:12" x14ac:dyDescent="0.3">
      <c r="A660" s="339">
        <v>35</v>
      </c>
      <c r="B660" s="339" t="s">
        <v>237</v>
      </c>
      <c r="C660" s="339" t="s">
        <v>238</v>
      </c>
      <c r="D660" s="339" t="s">
        <v>260</v>
      </c>
      <c r="E660" s="339" t="s">
        <v>239</v>
      </c>
      <c r="F660" s="348">
        <v>2169</v>
      </c>
      <c r="G660" s="339">
        <v>195</v>
      </c>
      <c r="H660" s="339">
        <v>66</v>
      </c>
      <c r="I660" s="339"/>
      <c r="J660" s="339"/>
      <c r="K660" s="339"/>
      <c r="L660" s="340"/>
    </row>
    <row r="661" spans="1:12" x14ac:dyDescent="0.3">
      <c r="A661" s="339">
        <v>36</v>
      </c>
      <c r="B661" s="339" t="s">
        <v>237</v>
      </c>
      <c r="C661" s="339" t="s">
        <v>238</v>
      </c>
      <c r="D661" s="339" t="s">
        <v>260</v>
      </c>
      <c r="E661" s="339" t="s">
        <v>239</v>
      </c>
      <c r="F661" s="348">
        <v>1636</v>
      </c>
      <c r="G661" s="339">
        <v>199</v>
      </c>
      <c r="H661" s="339">
        <v>61</v>
      </c>
      <c r="I661" s="339"/>
      <c r="J661" s="339"/>
      <c r="K661" s="339"/>
      <c r="L661" s="340"/>
    </row>
    <row r="662" spans="1:12" x14ac:dyDescent="0.3">
      <c r="A662" s="339">
        <v>37</v>
      </c>
      <c r="B662" s="339" t="s">
        <v>237</v>
      </c>
      <c r="C662" s="339" t="s">
        <v>238</v>
      </c>
      <c r="D662" s="339" t="s">
        <v>260</v>
      </c>
      <c r="E662" s="339" t="s">
        <v>239</v>
      </c>
      <c r="F662" s="348">
        <v>832</v>
      </c>
      <c r="G662" s="339">
        <v>127</v>
      </c>
      <c r="H662" s="339">
        <v>49</v>
      </c>
      <c r="I662" s="339"/>
      <c r="J662" s="339"/>
      <c r="K662" s="357">
        <v>0.99997750292599297</v>
      </c>
      <c r="L662" s="361">
        <f>10^K662</f>
        <v>9.9994819991442636</v>
      </c>
    </row>
    <row r="663" spans="1:12" x14ac:dyDescent="0.3">
      <c r="A663" s="339">
        <v>38</v>
      </c>
      <c r="B663" s="339" t="s">
        <v>237</v>
      </c>
      <c r="C663" s="339" t="s">
        <v>238</v>
      </c>
      <c r="D663" s="339" t="s">
        <v>260</v>
      </c>
      <c r="E663" s="339" t="s">
        <v>239</v>
      </c>
      <c r="F663" s="348">
        <v>471</v>
      </c>
      <c r="G663" s="339">
        <v>91</v>
      </c>
      <c r="H663" s="339">
        <v>33</v>
      </c>
      <c r="I663" s="339"/>
      <c r="J663" s="339"/>
      <c r="K663" s="339"/>
      <c r="L663" s="340"/>
    </row>
    <row r="664" spans="1:12" x14ac:dyDescent="0.3">
      <c r="A664" s="339">
        <v>39</v>
      </c>
      <c r="B664" s="339" t="s">
        <v>237</v>
      </c>
      <c r="C664" s="339" t="s">
        <v>238</v>
      </c>
      <c r="D664" s="339" t="s">
        <v>260</v>
      </c>
      <c r="E664" s="339" t="s">
        <v>239</v>
      </c>
      <c r="F664" s="348">
        <v>314</v>
      </c>
      <c r="G664" s="339">
        <v>62</v>
      </c>
      <c r="H664" s="339">
        <v>18</v>
      </c>
      <c r="I664" s="339"/>
      <c r="J664" s="339"/>
      <c r="K664" s="339"/>
      <c r="L664" s="340"/>
    </row>
    <row r="665" spans="1:12" x14ac:dyDescent="0.3">
      <c r="A665" s="339">
        <v>40</v>
      </c>
      <c r="B665" s="339" t="s">
        <v>237</v>
      </c>
      <c r="C665" s="339" t="s">
        <v>238</v>
      </c>
      <c r="D665" s="339" t="s">
        <v>260</v>
      </c>
      <c r="E665" s="339" t="s">
        <v>239</v>
      </c>
      <c r="F665" s="348">
        <v>157</v>
      </c>
      <c r="G665" s="339">
        <v>33</v>
      </c>
      <c r="H665" s="339">
        <v>14</v>
      </c>
      <c r="I665" s="339"/>
      <c r="J665" s="339"/>
      <c r="K665" s="339"/>
      <c r="L665" s="340"/>
    </row>
    <row r="666" spans="1:12" x14ac:dyDescent="0.3">
      <c r="A666" s="339">
        <v>41</v>
      </c>
      <c r="B666" s="339" t="s">
        <v>237</v>
      </c>
      <c r="C666" s="339" t="s">
        <v>238</v>
      </c>
      <c r="D666" s="339" t="s">
        <v>260</v>
      </c>
      <c r="E666" s="339" t="s">
        <v>239</v>
      </c>
      <c r="F666" s="348">
        <v>125</v>
      </c>
      <c r="G666" s="339">
        <v>25</v>
      </c>
      <c r="H666" s="339">
        <v>12</v>
      </c>
      <c r="I666" s="339"/>
      <c r="J666" s="339"/>
      <c r="K666" s="357">
        <v>1.6867782288401338</v>
      </c>
      <c r="L666" s="361">
        <f>10^K666</f>
        <v>48.615888673432039</v>
      </c>
    </row>
    <row r="667" spans="1:12" x14ac:dyDescent="0.3">
      <c r="A667" s="339">
        <v>42</v>
      </c>
      <c r="B667" s="339" t="s">
        <v>237</v>
      </c>
      <c r="C667" s="339" t="s">
        <v>238</v>
      </c>
      <c r="D667" s="339" t="s">
        <v>260</v>
      </c>
      <c r="E667" s="339" t="s">
        <v>239</v>
      </c>
      <c r="F667" s="348">
        <v>58</v>
      </c>
      <c r="G667" s="339">
        <v>13</v>
      </c>
      <c r="H667" s="339">
        <v>7</v>
      </c>
      <c r="I667" s="339"/>
      <c r="J667" s="339"/>
      <c r="K667" s="339"/>
      <c r="L667" s="340"/>
    </row>
    <row r="668" spans="1:12" x14ac:dyDescent="0.3">
      <c r="A668" s="339">
        <v>43</v>
      </c>
      <c r="B668" s="339" t="s">
        <v>237</v>
      </c>
      <c r="C668" s="339" t="s">
        <v>238</v>
      </c>
      <c r="D668" s="339" t="s">
        <v>260</v>
      </c>
      <c r="E668" s="339" t="s">
        <v>239</v>
      </c>
      <c r="F668" s="348">
        <v>34</v>
      </c>
      <c r="G668" s="339">
        <v>7</v>
      </c>
      <c r="H668" s="339">
        <v>4</v>
      </c>
      <c r="I668" s="339"/>
      <c r="J668" s="339"/>
      <c r="K668" s="339"/>
      <c r="L668" s="340"/>
    </row>
    <row r="669" spans="1:12" x14ac:dyDescent="0.3">
      <c r="A669" s="339">
        <v>44</v>
      </c>
      <c r="B669" s="339" t="s">
        <v>237</v>
      </c>
      <c r="C669" s="339" t="s">
        <v>238</v>
      </c>
      <c r="D669" s="339" t="s">
        <v>260</v>
      </c>
      <c r="E669" s="339" t="s">
        <v>239</v>
      </c>
      <c r="F669" s="348">
        <v>25</v>
      </c>
      <c r="G669" s="339">
        <v>10</v>
      </c>
      <c r="H669" s="339">
        <v>0</v>
      </c>
      <c r="I669" s="339"/>
      <c r="J669" s="339"/>
      <c r="K669" s="339"/>
      <c r="L669" s="340"/>
    </row>
    <row r="670" spans="1:12" x14ac:dyDescent="0.3">
      <c r="A670" s="339">
        <v>45</v>
      </c>
      <c r="B670" s="339" t="s">
        <v>237</v>
      </c>
      <c r="C670" s="339" t="s">
        <v>238</v>
      </c>
      <c r="D670" s="339" t="s">
        <v>260</v>
      </c>
      <c r="E670" s="339" t="s">
        <v>239</v>
      </c>
      <c r="F670" s="348">
        <v>26</v>
      </c>
      <c r="G670" s="339">
        <v>9</v>
      </c>
      <c r="H670" s="339">
        <v>0</v>
      </c>
      <c r="I670" s="339"/>
      <c r="J670" s="339"/>
      <c r="K670" s="339"/>
      <c r="L670" s="340"/>
    </row>
    <row r="671" spans="1:12" x14ac:dyDescent="0.3">
      <c r="A671" s="339">
        <v>46</v>
      </c>
      <c r="B671" s="339" t="s">
        <v>237</v>
      </c>
      <c r="C671" s="339" t="s">
        <v>238</v>
      </c>
      <c r="D671" s="339" t="s">
        <v>260</v>
      </c>
      <c r="E671" s="339" t="s">
        <v>239</v>
      </c>
      <c r="F671" s="348">
        <v>27</v>
      </c>
      <c r="G671" s="339">
        <v>11</v>
      </c>
      <c r="H671" s="339">
        <v>0</v>
      </c>
      <c r="I671" s="339"/>
      <c r="J671" s="339"/>
      <c r="K671" s="339"/>
      <c r="L671" s="340"/>
    </row>
    <row r="672" spans="1:12" x14ac:dyDescent="0.3">
      <c r="A672" s="339">
        <v>47</v>
      </c>
      <c r="B672" s="339" t="s">
        <v>237</v>
      </c>
      <c r="C672" s="339" t="s">
        <v>238</v>
      </c>
      <c r="D672" s="339" t="s">
        <v>260</v>
      </c>
      <c r="E672" s="339" t="s">
        <v>239</v>
      </c>
      <c r="F672" s="348">
        <v>37</v>
      </c>
      <c r="G672" s="339">
        <v>6</v>
      </c>
      <c r="H672" s="339">
        <v>2</v>
      </c>
      <c r="I672" s="339"/>
      <c r="J672" s="339"/>
      <c r="K672" s="339"/>
      <c r="L672" s="340"/>
    </row>
    <row r="673" spans="1:12" x14ac:dyDescent="0.3">
      <c r="A673" s="339">
        <v>48</v>
      </c>
      <c r="B673" s="339" t="s">
        <v>237</v>
      </c>
      <c r="C673" s="339" t="s">
        <v>238</v>
      </c>
      <c r="D673" s="339" t="s">
        <v>260</v>
      </c>
      <c r="E673" s="339" t="s">
        <v>239</v>
      </c>
      <c r="F673" s="348">
        <v>302</v>
      </c>
      <c r="G673" s="339">
        <v>30</v>
      </c>
      <c r="H673" s="339">
        <v>3</v>
      </c>
      <c r="I673" s="339"/>
      <c r="J673" s="339"/>
      <c r="K673" s="339"/>
      <c r="L673" s="340"/>
    </row>
    <row r="674" spans="1:12" x14ac:dyDescent="0.3">
      <c r="A674" s="339">
        <v>49</v>
      </c>
      <c r="B674" s="339" t="s">
        <v>237</v>
      </c>
      <c r="C674" s="339" t="s">
        <v>238</v>
      </c>
      <c r="D674" s="339" t="s">
        <v>260</v>
      </c>
      <c r="E674" s="339" t="s">
        <v>239</v>
      </c>
      <c r="F674" s="348">
        <v>1735</v>
      </c>
      <c r="G674" s="339">
        <v>103</v>
      </c>
      <c r="H674" s="339">
        <v>6</v>
      </c>
      <c r="I674" s="339"/>
      <c r="J674" s="339"/>
      <c r="K674" s="339"/>
      <c r="L674" s="340"/>
    </row>
    <row r="675" spans="1:12" x14ac:dyDescent="0.3">
      <c r="A675" s="339">
        <v>50</v>
      </c>
      <c r="B675" s="339" t="s">
        <v>237</v>
      </c>
      <c r="C675" s="339" t="s">
        <v>238</v>
      </c>
      <c r="D675" s="339" t="s">
        <v>260</v>
      </c>
      <c r="E675" s="339" t="s">
        <v>239</v>
      </c>
      <c r="F675" s="348">
        <v>3618</v>
      </c>
      <c r="G675" s="339">
        <v>194</v>
      </c>
      <c r="H675" s="339">
        <v>8</v>
      </c>
      <c r="I675" s="339"/>
      <c r="J675" s="339"/>
      <c r="K675" s="357">
        <v>2.6242848202421563</v>
      </c>
      <c r="L675" s="361">
        <f>10^K675</f>
        <v>421.00264101612373</v>
      </c>
    </row>
    <row r="676" spans="1:12" x14ac:dyDescent="0.3">
      <c r="A676" s="339">
        <v>51</v>
      </c>
      <c r="B676" s="339" t="s">
        <v>237</v>
      </c>
      <c r="C676" s="339" t="s">
        <v>238</v>
      </c>
      <c r="D676" s="339" t="s">
        <v>260</v>
      </c>
      <c r="E676" s="339" t="s">
        <v>239</v>
      </c>
      <c r="F676" s="348">
        <v>4144</v>
      </c>
      <c r="G676" s="339">
        <v>327</v>
      </c>
      <c r="H676" s="339">
        <v>25</v>
      </c>
      <c r="I676" s="339"/>
      <c r="J676" s="339"/>
      <c r="K676" s="339"/>
      <c r="L676" s="340"/>
    </row>
    <row r="677" spans="1:12" x14ac:dyDescent="0.3">
      <c r="A677" s="339">
        <v>52</v>
      </c>
      <c r="B677" s="339" t="s">
        <v>237</v>
      </c>
      <c r="C677" s="339" t="s">
        <v>238</v>
      </c>
      <c r="D677" s="339" t="s">
        <v>260</v>
      </c>
      <c r="E677" s="339" t="s">
        <v>239</v>
      </c>
      <c r="F677" s="348">
        <v>2615</v>
      </c>
      <c r="G677" s="339">
        <v>276</v>
      </c>
      <c r="H677" s="339">
        <v>49</v>
      </c>
      <c r="I677" s="339"/>
      <c r="J677" s="339"/>
      <c r="K677" s="339"/>
      <c r="L677" s="340"/>
    </row>
    <row r="678" spans="1:12" x14ac:dyDescent="0.3">
      <c r="A678" s="168">
        <v>1</v>
      </c>
      <c r="B678" s="168" t="s">
        <v>237</v>
      </c>
      <c r="C678" s="168" t="s">
        <v>238</v>
      </c>
      <c r="D678" s="168" t="s">
        <v>260</v>
      </c>
      <c r="E678" s="168" t="s">
        <v>240</v>
      </c>
      <c r="F678" s="349">
        <v>998</v>
      </c>
      <c r="G678" s="168">
        <v>202</v>
      </c>
      <c r="H678" s="168">
        <v>74</v>
      </c>
      <c r="I678" s="168"/>
      <c r="J678" s="168"/>
      <c r="K678" s="168"/>
      <c r="L678" s="343"/>
    </row>
    <row r="679" spans="1:12" x14ac:dyDescent="0.3">
      <c r="A679" s="168">
        <v>2</v>
      </c>
      <c r="B679" s="168" t="s">
        <v>237</v>
      </c>
      <c r="C679" s="168" t="s">
        <v>238</v>
      </c>
      <c r="D679" s="168" t="s">
        <v>260</v>
      </c>
      <c r="E679" s="168" t="s">
        <v>240</v>
      </c>
      <c r="F679" s="349">
        <v>595</v>
      </c>
      <c r="G679" s="168">
        <v>160</v>
      </c>
      <c r="H679" s="168">
        <v>51</v>
      </c>
      <c r="I679" s="168"/>
      <c r="J679" s="168"/>
      <c r="K679" s="168"/>
      <c r="L679" s="343"/>
    </row>
    <row r="680" spans="1:12" x14ac:dyDescent="0.3">
      <c r="A680" s="168">
        <v>3</v>
      </c>
      <c r="B680" s="168" t="s">
        <v>237</v>
      </c>
      <c r="C680" s="168" t="s">
        <v>238</v>
      </c>
      <c r="D680" s="168" t="s">
        <v>260</v>
      </c>
      <c r="E680" s="168" t="s">
        <v>240</v>
      </c>
      <c r="F680" s="349">
        <v>302</v>
      </c>
      <c r="G680" s="168">
        <v>100</v>
      </c>
      <c r="H680" s="168">
        <v>45</v>
      </c>
      <c r="I680" s="168"/>
      <c r="J680" s="168"/>
      <c r="K680" s="168"/>
      <c r="L680" s="343"/>
    </row>
    <row r="681" spans="1:12" x14ac:dyDescent="0.3">
      <c r="A681" s="168">
        <v>4</v>
      </c>
      <c r="B681" s="168" t="s">
        <v>237</v>
      </c>
      <c r="C681" s="168" t="s">
        <v>238</v>
      </c>
      <c r="D681" s="168" t="s">
        <v>260</v>
      </c>
      <c r="E681" s="168" t="s">
        <v>240</v>
      </c>
      <c r="F681" s="349">
        <v>207</v>
      </c>
      <c r="G681" s="168">
        <v>61</v>
      </c>
      <c r="H681" s="168">
        <v>16</v>
      </c>
      <c r="I681" s="168"/>
      <c r="J681" s="168"/>
      <c r="K681" s="168"/>
      <c r="L681" s="343"/>
    </row>
    <row r="682" spans="1:12" x14ac:dyDescent="0.3">
      <c r="A682" s="168">
        <v>5</v>
      </c>
      <c r="B682" s="168" t="s">
        <v>237</v>
      </c>
      <c r="C682" s="168" t="s">
        <v>238</v>
      </c>
      <c r="D682" s="168" t="s">
        <v>260</v>
      </c>
      <c r="E682" s="168" t="s">
        <v>240</v>
      </c>
      <c r="F682" s="349">
        <v>116</v>
      </c>
      <c r="G682" s="168">
        <v>41</v>
      </c>
      <c r="H682" s="168">
        <v>19</v>
      </c>
      <c r="I682" s="168"/>
      <c r="J682" s="168"/>
      <c r="K682" s="168"/>
      <c r="L682" s="343"/>
    </row>
    <row r="683" spans="1:12" x14ac:dyDescent="0.3">
      <c r="A683" s="168">
        <v>6</v>
      </c>
      <c r="B683" s="168" t="s">
        <v>237</v>
      </c>
      <c r="C683" s="168" t="s">
        <v>238</v>
      </c>
      <c r="D683" s="168" t="s">
        <v>260</v>
      </c>
      <c r="E683" s="168" t="s">
        <v>240</v>
      </c>
      <c r="F683" s="349">
        <v>87</v>
      </c>
      <c r="G683" s="168">
        <v>44</v>
      </c>
      <c r="H683" s="168">
        <v>8</v>
      </c>
      <c r="I683" s="168"/>
      <c r="J683" s="168"/>
      <c r="K683" s="168"/>
      <c r="L683" s="343"/>
    </row>
    <row r="684" spans="1:12" x14ac:dyDescent="0.3">
      <c r="A684" s="168">
        <v>7</v>
      </c>
      <c r="B684" s="168" t="s">
        <v>237</v>
      </c>
      <c r="C684" s="168" t="s">
        <v>238</v>
      </c>
      <c r="D684" s="168" t="s">
        <v>260</v>
      </c>
      <c r="E684" s="168" t="s">
        <v>240</v>
      </c>
      <c r="F684" s="349">
        <v>50</v>
      </c>
      <c r="G684" s="168">
        <v>27</v>
      </c>
      <c r="H684" s="168">
        <v>9</v>
      </c>
      <c r="I684" s="168"/>
      <c r="J684" s="168"/>
      <c r="K684" s="168"/>
      <c r="L684" s="343"/>
    </row>
    <row r="685" spans="1:12" x14ac:dyDescent="0.3">
      <c r="A685" s="168">
        <v>8</v>
      </c>
      <c r="B685" s="168" t="s">
        <v>237</v>
      </c>
      <c r="C685" s="168" t="s">
        <v>238</v>
      </c>
      <c r="D685" s="168" t="s">
        <v>260</v>
      </c>
      <c r="E685" s="168" t="s">
        <v>240</v>
      </c>
      <c r="F685" s="349">
        <v>27</v>
      </c>
      <c r="G685" s="168">
        <v>19</v>
      </c>
      <c r="H685" s="168">
        <v>6</v>
      </c>
      <c r="I685" s="168"/>
      <c r="J685" s="168"/>
      <c r="K685" s="168"/>
      <c r="L685" s="343"/>
    </row>
    <row r="686" spans="1:12" x14ac:dyDescent="0.3">
      <c r="A686" s="168">
        <v>9</v>
      </c>
      <c r="B686" s="168" t="s">
        <v>237</v>
      </c>
      <c r="C686" s="168" t="s">
        <v>238</v>
      </c>
      <c r="D686" s="168" t="s">
        <v>260</v>
      </c>
      <c r="E686" s="168" t="s">
        <v>240</v>
      </c>
      <c r="F686" s="349">
        <v>48</v>
      </c>
      <c r="G686" s="168">
        <v>22</v>
      </c>
      <c r="H686" s="168">
        <v>4</v>
      </c>
      <c r="I686" s="168"/>
      <c r="J686" s="168"/>
      <c r="K686" s="168"/>
      <c r="L686" s="343"/>
    </row>
    <row r="687" spans="1:12" x14ac:dyDescent="0.3">
      <c r="A687" s="168">
        <v>10</v>
      </c>
      <c r="B687" s="168" t="s">
        <v>237</v>
      </c>
      <c r="C687" s="168" t="s">
        <v>238</v>
      </c>
      <c r="D687" s="168" t="s">
        <v>260</v>
      </c>
      <c r="E687" s="168" t="s">
        <v>240</v>
      </c>
      <c r="F687" s="349">
        <v>31</v>
      </c>
      <c r="G687" s="168">
        <v>15</v>
      </c>
      <c r="H687" s="168">
        <v>1</v>
      </c>
      <c r="I687" s="168"/>
      <c r="J687" s="168"/>
      <c r="K687" s="168"/>
      <c r="L687" s="343"/>
    </row>
    <row r="688" spans="1:12" x14ac:dyDescent="0.3">
      <c r="A688" s="168">
        <v>11</v>
      </c>
      <c r="B688" s="168" t="s">
        <v>237</v>
      </c>
      <c r="C688" s="168" t="s">
        <v>238</v>
      </c>
      <c r="D688" s="168" t="s">
        <v>260</v>
      </c>
      <c r="E688" s="168" t="s">
        <v>240</v>
      </c>
      <c r="F688" s="349">
        <v>32</v>
      </c>
      <c r="G688" s="168">
        <v>15</v>
      </c>
      <c r="H688" s="168">
        <v>6</v>
      </c>
      <c r="I688" s="168"/>
      <c r="J688" s="168"/>
      <c r="K688" s="168"/>
      <c r="L688" s="343"/>
    </row>
    <row r="689" spans="1:12" x14ac:dyDescent="0.3">
      <c r="A689" s="168">
        <v>12</v>
      </c>
      <c r="B689" s="168" t="s">
        <v>237</v>
      </c>
      <c r="C689" s="168" t="s">
        <v>238</v>
      </c>
      <c r="D689" s="168" t="s">
        <v>260</v>
      </c>
      <c r="E689" s="168" t="s">
        <v>240</v>
      </c>
      <c r="F689" s="349">
        <v>32</v>
      </c>
      <c r="G689" s="168">
        <v>11</v>
      </c>
      <c r="H689" s="168">
        <v>3</v>
      </c>
      <c r="I689" s="168"/>
      <c r="J689" s="168"/>
      <c r="K689" s="168"/>
      <c r="L689" s="343"/>
    </row>
    <row r="690" spans="1:12" x14ac:dyDescent="0.3">
      <c r="A690" s="168">
        <v>13</v>
      </c>
      <c r="B690" s="168" t="s">
        <v>237</v>
      </c>
      <c r="C690" s="168" t="s">
        <v>238</v>
      </c>
      <c r="D690" s="168" t="s">
        <v>260</v>
      </c>
      <c r="E690" s="168" t="s">
        <v>240</v>
      </c>
      <c r="F690" s="349">
        <v>35</v>
      </c>
      <c r="G690" s="168">
        <v>12</v>
      </c>
      <c r="H690" s="168">
        <v>2</v>
      </c>
      <c r="I690" s="168"/>
      <c r="J690" s="168"/>
      <c r="K690" s="168"/>
      <c r="L690" s="343"/>
    </row>
    <row r="691" spans="1:12" x14ac:dyDescent="0.3">
      <c r="A691" s="168">
        <v>14</v>
      </c>
      <c r="B691" s="168" t="s">
        <v>237</v>
      </c>
      <c r="C691" s="168" t="s">
        <v>238</v>
      </c>
      <c r="D691" s="168" t="s">
        <v>260</v>
      </c>
      <c r="E691" s="168" t="s">
        <v>240</v>
      </c>
      <c r="F691" s="349">
        <v>60</v>
      </c>
      <c r="G691" s="168">
        <v>9</v>
      </c>
      <c r="H691" s="168">
        <v>1</v>
      </c>
      <c r="I691" s="168"/>
      <c r="J691" s="168"/>
      <c r="K691" s="168"/>
      <c r="L691" s="343"/>
    </row>
    <row r="692" spans="1:12" x14ac:dyDescent="0.3">
      <c r="A692" s="168">
        <v>15</v>
      </c>
      <c r="B692" s="168" t="s">
        <v>237</v>
      </c>
      <c r="C692" s="168" t="s">
        <v>238</v>
      </c>
      <c r="D692" s="168" t="s">
        <v>260</v>
      </c>
      <c r="E692" s="168" t="s">
        <v>240</v>
      </c>
      <c r="F692" s="349">
        <v>66</v>
      </c>
      <c r="G692" s="168">
        <v>16</v>
      </c>
      <c r="H692" s="168">
        <v>3</v>
      </c>
      <c r="I692" s="168"/>
      <c r="J692" s="168"/>
      <c r="K692" s="167">
        <v>3.1011249431152068</v>
      </c>
      <c r="L692" s="360">
        <f>10^K692</f>
        <v>1262.1906046964718</v>
      </c>
    </row>
    <row r="693" spans="1:12" x14ac:dyDescent="0.3">
      <c r="A693" s="168">
        <v>16</v>
      </c>
      <c r="B693" s="168" t="s">
        <v>237</v>
      </c>
      <c r="C693" s="168" t="s">
        <v>238</v>
      </c>
      <c r="D693" s="168" t="s">
        <v>260</v>
      </c>
      <c r="E693" s="168" t="s">
        <v>240</v>
      </c>
      <c r="F693" s="349">
        <v>37</v>
      </c>
      <c r="G693" s="168">
        <v>18</v>
      </c>
      <c r="H693" s="168">
        <v>1</v>
      </c>
      <c r="I693" s="168"/>
      <c r="J693" s="168"/>
      <c r="K693" s="168"/>
      <c r="L693" s="343"/>
    </row>
    <row r="694" spans="1:12" x14ac:dyDescent="0.3">
      <c r="A694" s="168">
        <v>17</v>
      </c>
      <c r="B694" s="168" t="s">
        <v>237</v>
      </c>
      <c r="C694" s="168" t="s">
        <v>238</v>
      </c>
      <c r="D694" s="168" t="s">
        <v>260</v>
      </c>
      <c r="E694" s="168" t="s">
        <v>240</v>
      </c>
      <c r="F694" s="349">
        <v>55</v>
      </c>
      <c r="G694" s="168">
        <v>9</v>
      </c>
      <c r="H694" s="168">
        <v>2</v>
      </c>
      <c r="I694" s="168"/>
      <c r="J694" s="168"/>
      <c r="K694" s="168"/>
      <c r="L694" s="343"/>
    </row>
    <row r="695" spans="1:12" x14ac:dyDescent="0.3">
      <c r="A695" s="168">
        <v>18</v>
      </c>
      <c r="B695" s="168" t="s">
        <v>237</v>
      </c>
      <c r="C695" s="168" t="s">
        <v>238</v>
      </c>
      <c r="D695" s="168" t="s">
        <v>260</v>
      </c>
      <c r="E695" s="168" t="s">
        <v>240</v>
      </c>
      <c r="F695" s="349">
        <v>68</v>
      </c>
      <c r="G695" s="168">
        <v>19</v>
      </c>
      <c r="H695" s="168">
        <v>6</v>
      </c>
      <c r="I695" s="168"/>
      <c r="J695" s="168"/>
      <c r="K695" s="168"/>
      <c r="L695" s="343"/>
    </row>
    <row r="696" spans="1:12" x14ac:dyDescent="0.3">
      <c r="A696" s="168">
        <v>19</v>
      </c>
      <c r="B696" s="168" t="s">
        <v>237</v>
      </c>
      <c r="C696" s="168" t="s">
        <v>238</v>
      </c>
      <c r="D696" s="168" t="s">
        <v>260</v>
      </c>
      <c r="E696" s="168" t="s">
        <v>240</v>
      </c>
      <c r="F696" s="349">
        <v>137</v>
      </c>
      <c r="G696" s="168">
        <v>21</v>
      </c>
      <c r="H696" s="168">
        <v>5</v>
      </c>
      <c r="I696" s="168"/>
      <c r="J696" s="168"/>
      <c r="K696" s="168"/>
      <c r="L696" s="343"/>
    </row>
    <row r="697" spans="1:12" x14ac:dyDescent="0.3">
      <c r="A697" s="168">
        <v>20</v>
      </c>
      <c r="B697" s="168" t="s">
        <v>237</v>
      </c>
      <c r="C697" s="168" t="s">
        <v>238</v>
      </c>
      <c r="D697" s="168" t="s">
        <v>260</v>
      </c>
      <c r="E697" s="168" t="s">
        <v>240</v>
      </c>
      <c r="F697" s="349">
        <v>251</v>
      </c>
      <c r="G697" s="168">
        <v>36</v>
      </c>
      <c r="H697" s="168">
        <v>4</v>
      </c>
      <c r="I697" s="168"/>
      <c r="J697" s="168"/>
      <c r="K697" s="168"/>
      <c r="L697" s="343"/>
    </row>
    <row r="698" spans="1:12" x14ac:dyDescent="0.3">
      <c r="A698" s="168">
        <v>21</v>
      </c>
      <c r="B698" s="168" t="s">
        <v>237</v>
      </c>
      <c r="C698" s="168" t="s">
        <v>238</v>
      </c>
      <c r="D698" s="168" t="s">
        <v>260</v>
      </c>
      <c r="E698" s="168" t="s">
        <v>240</v>
      </c>
      <c r="F698" s="349">
        <v>432</v>
      </c>
      <c r="G698" s="168">
        <v>51</v>
      </c>
      <c r="H698" s="168">
        <v>4</v>
      </c>
      <c r="I698" s="168"/>
      <c r="J698" s="168"/>
      <c r="K698" s="168"/>
      <c r="L698" s="343"/>
    </row>
    <row r="699" spans="1:12" x14ac:dyDescent="0.3">
      <c r="A699" s="168">
        <v>22</v>
      </c>
      <c r="B699" s="168" t="s">
        <v>237</v>
      </c>
      <c r="C699" s="168" t="s">
        <v>238</v>
      </c>
      <c r="D699" s="168" t="s">
        <v>260</v>
      </c>
      <c r="E699" s="168" t="s">
        <v>240</v>
      </c>
      <c r="F699" s="349">
        <v>598</v>
      </c>
      <c r="G699" s="168">
        <v>82</v>
      </c>
      <c r="H699" s="168">
        <v>12</v>
      </c>
      <c r="I699" s="168"/>
      <c r="J699" s="168"/>
      <c r="K699" s="168"/>
      <c r="L699" s="343"/>
    </row>
    <row r="700" spans="1:12" x14ac:dyDescent="0.3">
      <c r="A700" s="168">
        <v>23</v>
      </c>
      <c r="B700" s="168" t="s">
        <v>237</v>
      </c>
      <c r="C700" s="168" t="s">
        <v>238</v>
      </c>
      <c r="D700" s="168" t="s">
        <v>260</v>
      </c>
      <c r="E700" s="168" t="s">
        <v>240</v>
      </c>
      <c r="F700" s="349">
        <v>899</v>
      </c>
      <c r="G700" s="168">
        <v>104</v>
      </c>
      <c r="H700" s="168">
        <v>24</v>
      </c>
      <c r="I700" s="168"/>
      <c r="J700" s="168"/>
      <c r="K700" s="167">
        <v>1.4126174177902362</v>
      </c>
      <c r="L700" s="360">
        <f>10^K700</f>
        <v>25.859338896615206</v>
      </c>
    </row>
    <row r="701" spans="1:12" x14ac:dyDescent="0.3">
      <c r="A701" s="168">
        <v>24</v>
      </c>
      <c r="B701" s="168" t="s">
        <v>237</v>
      </c>
      <c r="C701" s="168" t="s">
        <v>238</v>
      </c>
      <c r="D701" s="168" t="s">
        <v>260</v>
      </c>
      <c r="E701" s="168" t="s">
        <v>240</v>
      </c>
      <c r="F701" s="349">
        <v>1704</v>
      </c>
      <c r="G701" s="168">
        <v>126</v>
      </c>
      <c r="H701" s="168">
        <v>27</v>
      </c>
      <c r="I701" s="168"/>
      <c r="J701" s="168"/>
      <c r="K701" s="168"/>
      <c r="L701" s="343"/>
    </row>
    <row r="702" spans="1:12" x14ac:dyDescent="0.3">
      <c r="A702" s="168">
        <v>25</v>
      </c>
      <c r="B702" s="168" t="s">
        <v>237</v>
      </c>
      <c r="C702" s="168" t="s">
        <v>238</v>
      </c>
      <c r="D702" s="168" t="s">
        <v>260</v>
      </c>
      <c r="E702" s="168" t="s">
        <v>240</v>
      </c>
      <c r="F702" s="349">
        <v>1893</v>
      </c>
      <c r="G702" s="168">
        <v>198</v>
      </c>
      <c r="H702" s="168">
        <v>45</v>
      </c>
      <c r="I702" s="168"/>
      <c r="J702" s="168"/>
      <c r="K702" s="168"/>
      <c r="L702" s="343"/>
    </row>
    <row r="703" spans="1:12" x14ac:dyDescent="0.3">
      <c r="A703" s="168">
        <v>26</v>
      </c>
      <c r="B703" s="168" t="s">
        <v>237</v>
      </c>
      <c r="C703" s="168" t="s">
        <v>238</v>
      </c>
      <c r="D703" s="168" t="s">
        <v>260</v>
      </c>
      <c r="E703" s="168" t="s">
        <v>240</v>
      </c>
      <c r="F703" s="349">
        <v>2221</v>
      </c>
      <c r="G703" s="168">
        <v>226</v>
      </c>
      <c r="H703" s="168">
        <v>74</v>
      </c>
      <c r="I703" s="168"/>
      <c r="J703" s="168"/>
      <c r="K703" s="168"/>
      <c r="L703" s="343"/>
    </row>
    <row r="704" spans="1:12" x14ac:dyDescent="0.3">
      <c r="A704" s="168">
        <v>27</v>
      </c>
      <c r="B704" s="168" t="s">
        <v>237</v>
      </c>
      <c r="C704" s="168" t="s">
        <v>238</v>
      </c>
      <c r="D704" s="168" t="s">
        <v>260</v>
      </c>
      <c r="E704" s="168" t="s">
        <v>240</v>
      </c>
      <c r="F704" s="349">
        <v>2219</v>
      </c>
      <c r="G704" s="168">
        <v>266</v>
      </c>
      <c r="H704" s="168">
        <v>74</v>
      </c>
      <c r="I704" s="168"/>
      <c r="J704" s="168"/>
      <c r="K704" s="168"/>
      <c r="L704" s="343"/>
    </row>
    <row r="705" spans="1:12" x14ac:dyDescent="0.3">
      <c r="A705" s="168">
        <v>28</v>
      </c>
      <c r="B705" s="168" t="s">
        <v>237</v>
      </c>
      <c r="C705" s="168" t="s">
        <v>238</v>
      </c>
      <c r="D705" s="168" t="s">
        <v>260</v>
      </c>
      <c r="E705" s="168" t="s">
        <v>240</v>
      </c>
      <c r="F705" s="349">
        <v>2109</v>
      </c>
      <c r="G705" s="168">
        <v>251</v>
      </c>
      <c r="H705" s="168">
        <v>91</v>
      </c>
      <c r="I705" s="168"/>
      <c r="J705" s="168"/>
      <c r="K705" s="167">
        <v>3.2688010342201377</v>
      </c>
      <c r="L705" s="360">
        <f>10^K705</f>
        <v>1856.9535235969422</v>
      </c>
    </row>
    <row r="706" spans="1:12" x14ac:dyDescent="0.3">
      <c r="A706" s="168">
        <v>29</v>
      </c>
      <c r="B706" s="168" t="s">
        <v>237</v>
      </c>
      <c r="C706" s="168" t="s">
        <v>238</v>
      </c>
      <c r="D706" s="168" t="s">
        <v>260</v>
      </c>
      <c r="E706" s="168" t="s">
        <v>240</v>
      </c>
      <c r="F706" s="349">
        <v>1667</v>
      </c>
      <c r="G706" s="168">
        <v>255</v>
      </c>
      <c r="H706" s="168">
        <v>105</v>
      </c>
      <c r="I706" s="168"/>
      <c r="J706" s="168"/>
      <c r="K706" s="168"/>
      <c r="L706" s="343"/>
    </row>
    <row r="707" spans="1:12" x14ac:dyDescent="0.3">
      <c r="A707" s="168">
        <v>30</v>
      </c>
      <c r="B707" s="168" t="s">
        <v>237</v>
      </c>
      <c r="C707" s="168" t="s">
        <v>238</v>
      </c>
      <c r="D707" s="168" t="s">
        <v>260</v>
      </c>
      <c r="E707" s="168" t="s">
        <v>240</v>
      </c>
      <c r="F707" s="349">
        <v>2641</v>
      </c>
      <c r="G707" s="168">
        <v>237</v>
      </c>
      <c r="H707" s="168">
        <v>63</v>
      </c>
      <c r="I707" s="168"/>
      <c r="J707" s="168"/>
      <c r="K707" s="168"/>
      <c r="L707" s="343"/>
    </row>
    <row r="708" spans="1:12" x14ac:dyDescent="0.3">
      <c r="A708" s="168">
        <v>31</v>
      </c>
      <c r="B708" s="168" t="s">
        <v>237</v>
      </c>
      <c r="C708" s="168" t="s">
        <v>238</v>
      </c>
      <c r="D708" s="168" t="s">
        <v>260</v>
      </c>
      <c r="E708" s="168" t="s">
        <v>240</v>
      </c>
      <c r="F708" s="349">
        <v>2838</v>
      </c>
      <c r="G708" s="168">
        <v>206</v>
      </c>
      <c r="H708" s="168">
        <v>89</v>
      </c>
      <c r="I708" s="168"/>
      <c r="J708" s="168"/>
      <c r="K708" s="168"/>
      <c r="L708" s="343"/>
    </row>
    <row r="709" spans="1:12" x14ac:dyDescent="0.3">
      <c r="A709" s="168">
        <v>32</v>
      </c>
      <c r="B709" s="168" t="s">
        <v>237</v>
      </c>
      <c r="C709" s="168" t="s">
        <v>238</v>
      </c>
      <c r="D709" s="168" t="s">
        <v>260</v>
      </c>
      <c r="E709" s="168" t="s">
        <v>240</v>
      </c>
      <c r="F709" s="349">
        <v>3099</v>
      </c>
      <c r="G709" s="168">
        <v>239</v>
      </c>
      <c r="H709" s="168">
        <v>70</v>
      </c>
      <c r="I709" s="168"/>
      <c r="J709" s="168"/>
      <c r="K709" s="167">
        <v>3.176607257368913</v>
      </c>
      <c r="L709" s="360">
        <f>10^K709</f>
        <v>1501.7832541952341</v>
      </c>
    </row>
    <row r="710" spans="1:12" x14ac:dyDescent="0.3">
      <c r="A710" s="168">
        <v>33</v>
      </c>
      <c r="B710" s="168" t="s">
        <v>237</v>
      </c>
      <c r="C710" s="168" t="s">
        <v>238</v>
      </c>
      <c r="D710" s="168" t="s">
        <v>260</v>
      </c>
      <c r="E710" s="168" t="s">
        <v>240</v>
      </c>
      <c r="F710" s="349">
        <v>3444</v>
      </c>
      <c r="G710" s="168">
        <v>252</v>
      </c>
      <c r="H710" s="168">
        <v>85</v>
      </c>
      <c r="I710" s="168"/>
      <c r="J710" s="168"/>
      <c r="K710" s="168"/>
      <c r="L710" s="343"/>
    </row>
    <row r="711" spans="1:12" x14ac:dyDescent="0.3">
      <c r="A711" s="168">
        <v>34</v>
      </c>
      <c r="B711" s="168" t="s">
        <v>237</v>
      </c>
      <c r="C711" s="168" t="s">
        <v>238</v>
      </c>
      <c r="D711" s="168" t="s">
        <v>260</v>
      </c>
      <c r="E711" s="168" t="s">
        <v>240</v>
      </c>
      <c r="F711" s="349">
        <v>3024</v>
      </c>
      <c r="G711" s="168">
        <v>207</v>
      </c>
      <c r="H711" s="168">
        <v>67</v>
      </c>
      <c r="I711" s="168"/>
      <c r="J711" s="168"/>
      <c r="K711" s="168"/>
      <c r="L711" s="343"/>
    </row>
    <row r="712" spans="1:12" x14ac:dyDescent="0.3">
      <c r="A712" s="168">
        <v>35</v>
      </c>
      <c r="B712" s="168" t="s">
        <v>237</v>
      </c>
      <c r="C712" s="168" t="s">
        <v>238</v>
      </c>
      <c r="D712" s="168" t="s">
        <v>260</v>
      </c>
      <c r="E712" s="168" t="s">
        <v>240</v>
      </c>
      <c r="F712" s="349">
        <v>2169</v>
      </c>
      <c r="G712" s="168">
        <v>195</v>
      </c>
      <c r="H712" s="168">
        <v>66</v>
      </c>
      <c r="I712" s="168"/>
      <c r="J712" s="168"/>
      <c r="K712" s="168"/>
      <c r="L712" s="343"/>
    </row>
    <row r="713" spans="1:12" x14ac:dyDescent="0.3">
      <c r="A713" s="168">
        <v>36</v>
      </c>
      <c r="B713" s="168" t="s">
        <v>237</v>
      </c>
      <c r="C713" s="168" t="s">
        <v>238</v>
      </c>
      <c r="D713" s="168" t="s">
        <v>260</v>
      </c>
      <c r="E713" s="168" t="s">
        <v>240</v>
      </c>
      <c r="F713" s="349">
        <v>1636</v>
      </c>
      <c r="G713" s="168">
        <v>199</v>
      </c>
      <c r="H713" s="168">
        <v>61</v>
      </c>
      <c r="I713" s="168"/>
      <c r="J713" s="168"/>
      <c r="K713" s="168"/>
      <c r="L713" s="343"/>
    </row>
    <row r="714" spans="1:12" x14ac:dyDescent="0.3">
      <c r="A714" s="168">
        <v>37</v>
      </c>
      <c r="B714" s="168" t="s">
        <v>237</v>
      </c>
      <c r="C714" s="168" t="s">
        <v>238</v>
      </c>
      <c r="D714" s="168" t="s">
        <v>260</v>
      </c>
      <c r="E714" s="168" t="s">
        <v>240</v>
      </c>
      <c r="F714" s="349">
        <v>832</v>
      </c>
      <c r="G714" s="168">
        <v>127</v>
      </c>
      <c r="H714" s="168">
        <v>49</v>
      </c>
      <c r="I714" s="168"/>
      <c r="J714" s="168"/>
      <c r="K714" s="167">
        <v>1.958256463721594</v>
      </c>
      <c r="L714" s="360">
        <f>10^K714</f>
        <v>90.83567833413889</v>
      </c>
    </row>
    <row r="715" spans="1:12" x14ac:dyDescent="0.3">
      <c r="A715" s="168">
        <v>38</v>
      </c>
      <c r="B715" s="168" t="s">
        <v>237</v>
      </c>
      <c r="C715" s="168" t="s">
        <v>238</v>
      </c>
      <c r="D715" s="168" t="s">
        <v>260</v>
      </c>
      <c r="E715" s="168" t="s">
        <v>240</v>
      </c>
      <c r="F715" s="349">
        <v>471</v>
      </c>
      <c r="G715" s="168">
        <v>91</v>
      </c>
      <c r="H715" s="168">
        <v>33</v>
      </c>
      <c r="I715" s="168"/>
      <c r="J715" s="168"/>
      <c r="K715" s="168"/>
      <c r="L715" s="343"/>
    </row>
    <row r="716" spans="1:12" x14ac:dyDescent="0.3">
      <c r="A716" s="168">
        <v>39</v>
      </c>
      <c r="B716" s="168" t="s">
        <v>237</v>
      </c>
      <c r="C716" s="168" t="s">
        <v>238</v>
      </c>
      <c r="D716" s="168" t="s">
        <v>260</v>
      </c>
      <c r="E716" s="168" t="s">
        <v>240</v>
      </c>
      <c r="F716" s="349">
        <v>314</v>
      </c>
      <c r="G716" s="168">
        <v>62</v>
      </c>
      <c r="H716" s="168">
        <v>18</v>
      </c>
      <c r="I716" s="168"/>
      <c r="J716" s="168"/>
      <c r="K716" s="168"/>
      <c r="L716" s="343"/>
    </row>
    <row r="717" spans="1:12" x14ac:dyDescent="0.3">
      <c r="A717" s="168">
        <v>40</v>
      </c>
      <c r="B717" s="168" t="s">
        <v>237</v>
      </c>
      <c r="C717" s="168" t="s">
        <v>238</v>
      </c>
      <c r="D717" s="168" t="s">
        <v>260</v>
      </c>
      <c r="E717" s="168" t="s">
        <v>240</v>
      </c>
      <c r="F717" s="349">
        <v>157</v>
      </c>
      <c r="G717" s="168">
        <v>33</v>
      </c>
      <c r="H717" s="168">
        <v>14</v>
      </c>
      <c r="I717" s="168"/>
      <c r="J717" s="168"/>
      <c r="K717" s="168"/>
      <c r="L717" s="343"/>
    </row>
    <row r="718" spans="1:12" x14ac:dyDescent="0.3">
      <c r="A718" s="168">
        <v>41</v>
      </c>
      <c r="B718" s="168" t="s">
        <v>237</v>
      </c>
      <c r="C718" s="168" t="s">
        <v>238</v>
      </c>
      <c r="D718" s="168" t="s">
        <v>260</v>
      </c>
      <c r="E718" s="168" t="s">
        <v>240</v>
      </c>
      <c r="F718" s="349">
        <v>125</v>
      </c>
      <c r="G718" s="168">
        <v>25</v>
      </c>
      <c r="H718" s="168">
        <v>12</v>
      </c>
      <c r="I718" s="168"/>
      <c r="J718" s="168"/>
      <c r="K718" s="167">
        <v>2.7817853904060019</v>
      </c>
      <c r="L718" s="360">
        <f>10^K718</f>
        <v>605.04181531010909</v>
      </c>
    </row>
    <row r="719" spans="1:12" x14ac:dyDescent="0.3">
      <c r="A719" s="168">
        <v>42</v>
      </c>
      <c r="B719" s="168" t="s">
        <v>237</v>
      </c>
      <c r="C719" s="168" t="s">
        <v>238</v>
      </c>
      <c r="D719" s="168" t="s">
        <v>260</v>
      </c>
      <c r="E719" s="168" t="s">
        <v>240</v>
      </c>
      <c r="F719" s="349">
        <v>58</v>
      </c>
      <c r="G719" s="168">
        <v>13</v>
      </c>
      <c r="H719" s="168">
        <v>7</v>
      </c>
      <c r="I719" s="168"/>
      <c r="J719" s="168"/>
      <c r="K719" s="168"/>
      <c r="L719" s="343"/>
    </row>
    <row r="720" spans="1:12" x14ac:dyDescent="0.3">
      <c r="A720" s="168">
        <v>43</v>
      </c>
      <c r="B720" s="168" t="s">
        <v>237</v>
      </c>
      <c r="C720" s="168" t="s">
        <v>238</v>
      </c>
      <c r="D720" s="168" t="s">
        <v>260</v>
      </c>
      <c r="E720" s="168" t="s">
        <v>240</v>
      </c>
      <c r="F720" s="349">
        <v>34</v>
      </c>
      <c r="G720" s="168">
        <v>7</v>
      </c>
      <c r="H720" s="168">
        <v>4</v>
      </c>
      <c r="I720" s="168"/>
      <c r="J720" s="168"/>
      <c r="K720" s="168"/>
      <c r="L720" s="343"/>
    </row>
    <row r="721" spans="1:12" x14ac:dyDescent="0.3">
      <c r="A721" s="168">
        <v>44</v>
      </c>
      <c r="B721" s="168" t="s">
        <v>237</v>
      </c>
      <c r="C721" s="168" t="s">
        <v>238</v>
      </c>
      <c r="D721" s="168" t="s">
        <v>260</v>
      </c>
      <c r="E721" s="168" t="s">
        <v>240</v>
      </c>
      <c r="F721" s="349">
        <v>25</v>
      </c>
      <c r="G721" s="168">
        <v>10</v>
      </c>
      <c r="H721" s="168">
        <v>0</v>
      </c>
      <c r="I721" s="168"/>
      <c r="J721" s="168"/>
      <c r="K721" s="168"/>
      <c r="L721" s="343"/>
    </row>
    <row r="722" spans="1:12" x14ac:dyDescent="0.3">
      <c r="A722" s="168">
        <v>45</v>
      </c>
      <c r="B722" s="168" t="s">
        <v>237</v>
      </c>
      <c r="C722" s="168" t="s">
        <v>238</v>
      </c>
      <c r="D722" s="168" t="s">
        <v>260</v>
      </c>
      <c r="E722" s="168" t="s">
        <v>240</v>
      </c>
      <c r="F722" s="349">
        <v>26</v>
      </c>
      <c r="G722" s="168">
        <v>9</v>
      </c>
      <c r="H722" s="168">
        <v>0</v>
      </c>
      <c r="I722" s="168"/>
      <c r="J722" s="168"/>
      <c r="K722" s="167">
        <v>0.28375214000606769</v>
      </c>
      <c r="L722" s="360">
        <f>10^K722</f>
        <v>1.9219944975814043</v>
      </c>
    </row>
    <row r="723" spans="1:12" x14ac:dyDescent="0.3">
      <c r="A723" s="168">
        <v>46</v>
      </c>
      <c r="B723" s="168" t="s">
        <v>237</v>
      </c>
      <c r="C723" s="168" t="s">
        <v>238</v>
      </c>
      <c r="D723" s="168" t="s">
        <v>260</v>
      </c>
      <c r="E723" s="168" t="s">
        <v>240</v>
      </c>
      <c r="F723" s="349">
        <v>27</v>
      </c>
      <c r="G723" s="168">
        <v>11</v>
      </c>
      <c r="H723" s="168">
        <v>0</v>
      </c>
      <c r="I723" s="168"/>
      <c r="J723" s="168"/>
      <c r="K723" s="168"/>
      <c r="L723" s="343"/>
    </row>
    <row r="724" spans="1:12" x14ac:dyDescent="0.3">
      <c r="A724" s="168">
        <v>47</v>
      </c>
      <c r="B724" s="168" t="s">
        <v>237</v>
      </c>
      <c r="C724" s="168" t="s">
        <v>238</v>
      </c>
      <c r="D724" s="168" t="s">
        <v>260</v>
      </c>
      <c r="E724" s="168" t="s">
        <v>240</v>
      </c>
      <c r="F724" s="349">
        <v>37</v>
      </c>
      <c r="G724" s="168">
        <v>6</v>
      </c>
      <c r="H724" s="168">
        <v>2</v>
      </c>
      <c r="I724" s="168"/>
      <c r="J724" s="168"/>
      <c r="K724" s="168"/>
      <c r="L724" s="343"/>
    </row>
    <row r="725" spans="1:12" x14ac:dyDescent="0.3">
      <c r="A725" s="168">
        <v>48</v>
      </c>
      <c r="B725" s="168" t="s">
        <v>237</v>
      </c>
      <c r="C725" s="168" t="s">
        <v>238</v>
      </c>
      <c r="D725" s="168" t="s">
        <v>260</v>
      </c>
      <c r="E725" s="168" t="s">
        <v>240</v>
      </c>
      <c r="F725" s="349">
        <v>302</v>
      </c>
      <c r="G725" s="168">
        <v>30</v>
      </c>
      <c r="H725" s="168">
        <v>3</v>
      </c>
      <c r="I725" s="168"/>
      <c r="J725" s="168"/>
      <c r="K725" s="168"/>
      <c r="L725" s="343"/>
    </row>
    <row r="726" spans="1:12" x14ac:dyDescent="0.3">
      <c r="A726" s="168">
        <v>49</v>
      </c>
      <c r="B726" s="168" t="s">
        <v>237</v>
      </c>
      <c r="C726" s="168" t="s">
        <v>238</v>
      </c>
      <c r="D726" s="168" t="s">
        <v>260</v>
      </c>
      <c r="E726" s="168" t="s">
        <v>240</v>
      </c>
      <c r="F726" s="349">
        <v>1735</v>
      </c>
      <c r="G726" s="168">
        <v>103</v>
      </c>
      <c r="H726" s="168">
        <v>6</v>
      </c>
      <c r="I726" s="168"/>
      <c r="J726" s="168"/>
      <c r="K726" s="168"/>
      <c r="L726" s="343"/>
    </row>
    <row r="727" spans="1:12" x14ac:dyDescent="0.3">
      <c r="A727" s="168">
        <v>50</v>
      </c>
      <c r="B727" s="168" t="s">
        <v>237</v>
      </c>
      <c r="C727" s="168" t="s">
        <v>238</v>
      </c>
      <c r="D727" s="168" t="s">
        <v>260</v>
      </c>
      <c r="E727" s="168" t="s">
        <v>240</v>
      </c>
      <c r="F727" s="349">
        <v>3618</v>
      </c>
      <c r="G727" s="168">
        <v>194</v>
      </c>
      <c r="H727" s="168">
        <v>8</v>
      </c>
      <c r="I727" s="168"/>
      <c r="J727" s="168"/>
      <c r="K727" s="167">
        <v>2.9474793359984393</v>
      </c>
      <c r="L727" s="360">
        <f>10^K727</f>
        <v>886.09306179747364</v>
      </c>
    </row>
    <row r="728" spans="1:12" x14ac:dyDescent="0.3">
      <c r="A728" s="168">
        <v>51</v>
      </c>
      <c r="B728" s="168" t="s">
        <v>237</v>
      </c>
      <c r="C728" s="168" t="s">
        <v>238</v>
      </c>
      <c r="D728" s="168" t="s">
        <v>260</v>
      </c>
      <c r="E728" s="168" t="s">
        <v>240</v>
      </c>
      <c r="F728" s="349">
        <v>4144</v>
      </c>
      <c r="G728" s="168">
        <v>327</v>
      </c>
      <c r="H728" s="168">
        <v>25</v>
      </c>
      <c r="I728" s="168"/>
      <c r="J728" s="168"/>
      <c r="K728" s="168"/>
      <c r="L728" s="343"/>
    </row>
    <row r="729" spans="1:12" x14ac:dyDescent="0.3">
      <c r="A729" s="168">
        <v>52</v>
      </c>
      <c r="B729" s="168" t="s">
        <v>237</v>
      </c>
      <c r="C729" s="168" t="s">
        <v>238</v>
      </c>
      <c r="D729" s="168" t="s">
        <v>260</v>
      </c>
      <c r="E729" s="168" t="s">
        <v>240</v>
      </c>
      <c r="F729" s="349">
        <v>2615</v>
      </c>
      <c r="G729" s="168">
        <v>276</v>
      </c>
      <c r="H729" s="168">
        <v>49</v>
      </c>
      <c r="I729" s="168"/>
      <c r="J729" s="168"/>
      <c r="K729" s="168"/>
      <c r="L729" s="343"/>
    </row>
    <row r="730" spans="1:12" x14ac:dyDescent="0.3">
      <c r="A730" s="254">
        <v>1</v>
      </c>
      <c r="B730" s="254" t="s">
        <v>237</v>
      </c>
      <c r="C730" s="254" t="s">
        <v>241</v>
      </c>
      <c r="D730" s="254" t="s">
        <v>241</v>
      </c>
      <c r="E730" s="254" t="s">
        <v>242</v>
      </c>
      <c r="F730" s="386">
        <v>1235</v>
      </c>
      <c r="G730" s="254">
        <v>358</v>
      </c>
      <c r="H730" s="254">
        <v>113</v>
      </c>
      <c r="I730" s="254"/>
      <c r="J730" s="254"/>
      <c r="K730" s="254"/>
      <c r="L730" s="387"/>
    </row>
    <row r="731" spans="1:12" x14ac:dyDescent="0.3">
      <c r="A731" s="254">
        <v>2</v>
      </c>
      <c r="B731" s="254" t="s">
        <v>237</v>
      </c>
      <c r="C731" s="254" t="s">
        <v>241</v>
      </c>
      <c r="D731" s="254" t="s">
        <v>241</v>
      </c>
      <c r="E731" s="254" t="s">
        <v>242</v>
      </c>
      <c r="F731" s="386">
        <v>674</v>
      </c>
      <c r="G731" s="254">
        <v>248</v>
      </c>
      <c r="H731" s="254">
        <v>98</v>
      </c>
      <c r="I731" s="254"/>
      <c r="J731" s="254"/>
      <c r="K731" s="254"/>
      <c r="L731" s="387"/>
    </row>
    <row r="732" spans="1:12" x14ac:dyDescent="0.3">
      <c r="A732" s="254">
        <v>3</v>
      </c>
      <c r="B732" s="254" t="s">
        <v>237</v>
      </c>
      <c r="C732" s="254" t="s">
        <v>241</v>
      </c>
      <c r="D732" s="254" t="s">
        <v>241</v>
      </c>
      <c r="E732" s="254" t="s">
        <v>242</v>
      </c>
      <c r="F732" s="386">
        <v>326</v>
      </c>
      <c r="G732" s="254">
        <v>169</v>
      </c>
      <c r="H732" s="254">
        <v>72</v>
      </c>
      <c r="I732" s="254"/>
      <c r="J732" s="254"/>
      <c r="K732" s="254"/>
      <c r="L732" s="387"/>
    </row>
    <row r="733" spans="1:12" x14ac:dyDescent="0.3">
      <c r="A733" s="254">
        <v>4</v>
      </c>
      <c r="B733" s="254" t="s">
        <v>237</v>
      </c>
      <c r="C733" s="254" t="s">
        <v>241</v>
      </c>
      <c r="D733" s="254" t="s">
        <v>241</v>
      </c>
      <c r="E733" s="254" t="s">
        <v>242</v>
      </c>
      <c r="F733" s="386">
        <v>163</v>
      </c>
      <c r="G733" s="254">
        <v>85</v>
      </c>
      <c r="H733" s="254">
        <v>43</v>
      </c>
      <c r="I733" s="254"/>
      <c r="J733" s="254"/>
      <c r="K733" s="254"/>
      <c r="L733" s="387"/>
    </row>
    <row r="734" spans="1:12" x14ac:dyDescent="0.3">
      <c r="A734" s="254">
        <v>5</v>
      </c>
      <c r="B734" s="254" t="s">
        <v>237</v>
      </c>
      <c r="C734" s="254" t="s">
        <v>241</v>
      </c>
      <c r="D734" s="254" t="s">
        <v>241</v>
      </c>
      <c r="E734" s="254" t="s">
        <v>242</v>
      </c>
      <c r="F734" s="386">
        <v>83</v>
      </c>
      <c r="G734" s="254">
        <v>73</v>
      </c>
      <c r="H734" s="254">
        <v>20</v>
      </c>
      <c r="I734" s="254"/>
      <c r="J734" s="254"/>
      <c r="K734" s="254"/>
      <c r="L734" s="387"/>
    </row>
    <row r="735" spans="1:12" x14ac:dyDescent="0.3">
      <c r="A735" s="254">
        <v>6</v>
      </c>
      <c r="B735" s="254" t="s">
        <v>237</v>
      </c>
      <c r="C735" s="254" t="s">
        <v>241</v>
      </c>
      <c r="D735" s="254" t="s">
        <v>241</v>
      </c>
      <c r="E735" s="254" t="s">
        <v>242</v>
      </c>
      <c r="F735" s="386">
        <v>86</v>
      </c>
      <c r="G735" s="254">
        <v>36</v>
      </c>
      <c r="H735" s="254">
        <v>12</v>
      </c>
      <c r="I735" s="254"/>
      <c r="J735" s="254"/>
      <c r="K735" s="254"/>
      <c r="L735" s="387"/>
    </row>
    <row r="736" spans="1:12" x14ac:dyDescent="0.3">
      <c r="A736" s="254">
        <v>7</v>
      </c>
      <c r="B736" s="254" t="s">
        <v>237</v>
      </c>
      <c r="C736" s="254" t="s">
        <v>241</v>
      </c>
      <c r="D736" s="254" t="s">
        <v>241</v>
      </c>
      <c r="E736" s="254" t="s">
        <v>242</v>
      </c>
      <c r="F736" s="386">
        <v>67</v>
      </c>
      <c r="G736" s="254">
        <v>34</v>
      </c>
      <c r="H736" s="254">
        <v>8</v>
      </c>
      <c r="I736" s="254"/>
      <c r="J736" s="254"/>
      <c r="K736" s="254"/>
      <c r="L736" s="387"/>
    </row>
    <row r="737" spans="1:12" x14ac:dyDescent="0.3">
      <c r="A737" s="254">
        <v>8</v>
      </c>
      <c r="B737" s="254" t="s">
        <v>237</v>
      </c>
      <c r="C737" s="254" t="s">
        <v>241</v>
      </c>
      <c r="D737" s="254" t="s">
        <v>241</v>
      </c>
      <c r="E737" s="254" t="s">
        <v>242</v>
      </c>
      <c r="F737" s="386">
        <v>27</v>
      </c>
      <c r="G737" s="254">
        <v>25</v>
      </c>
      <c r="H737" s="254">
        <v>5</v>
      </c>
      <c r="I737" s="254"/>
      <c r="J737" s="254"/>
      <c r="K737" s="254"/>
      <c r="L737" s="387"/>
    </row>
    <row r="738" spans="1:12" x14ac:dyDescent="0.3">
      <c r="A738" s="254">
        <v>9</v>
      </c>
      <c r="B738" s="254" t="s">
        <v>237</v>
      </c>
      <c r="C738" s="254" t="s">
        <v>241</v>
      </c>
      <c r="D738" s="254" t="s">
        <v>241</v>
      </c>
      <c r="E738" s="254" t="s">
        <v>242</v>
      </c>
      <c r="F738" s="386">
        <v>20</v>
      </c>
      <c r="G738" s="254">
        <v>28</v>
      </c>
      <c r="H738" s="254">
        <v>3</v>
      </c>
      <c r="I738" s="254"/>
      <c r="J738" s="254"/>
      <c r="K738" s="254"/>
      <c r="L738" s="387"/>
    </row>
    <row r="739" spans="1:12" x14ac:dyDescent="0.3">
      <c r="A739" s="254">
        <v>10</v>
      </c>
      <c r="B739" s="254" t="s">
        <v>237</v>
      </c>
      <c r="C739" s="254" t="s">
        <v>241</v>
      </c>
      <c r="D739" s="254" t="s">
        <v>241</v>
      </c>
      <c r="E739" s="254" t="s">
        <v>242</v>
      </c>
      <c r="F739" s="386">
        <v>15</v>
      </c>
      <c r="G739" s="254">
        <v>25</v>
      </c>
      <c r="H739" s="254">
        <v>4</v>
      </c>
      <c r="I739" s="254"/>
      <c r="J739" s="254"/>
      <c r="K739" s="254"/>
      <c r="L739" s="387"/>
    </row>
    <row r="740" spans="1:12" x14ac:dyDescent="0.3">
      <c r="A740" s="254">
        <v>11</v>
      </c>
      <c r="B740" s="254" t="s">
        <v>237</v>
      </c>
      <c r="C740" s="254" t="s">
        <v>241</v>
      </c>
      <c r="D740" s="254" t="s">
        <v>241</v>
      </c>
      <c r="E740" s="254" t="s">
        <v>242</v>
      </c>
      <c r="F740" s="386">
        <v>33</v>
      </c>
      <c r="G740" s="254">
        <v>13</v>
      </c>
      <c r="H740" s="254">
        <v>4</v>
      </c>
      <c r="I740" s="254"/>
      <c r="J740" s="254"/>
      <c r="K740" s="254"/>
      <c r="L740" s="387"/>
    </row>
    <row r="741" spans="1:12" x14ac:dyDescent="0.3">
      <c r="A741" s="254">
        <v>12</v>
      </c>
      <c r="B741" s="254" t="s">
        <v>237</v>
      </c>
      <c r="C741" s="254" t="s">
        <v>241</v>
      </c>
      <c r="D741" s="254" t="s">
        <v>241</v>
      </c>
      <c r="E741" s="254" t="s">
        <v>242</v>
      </c>
      <c r="F741" s="386">
        <v>11</v>
      </c>
      <c r="G741" s="254">
        <v>16</v>
      </c>
      <c r="H741" s="254">
        <v>4</v>
      </c>
      <c r="I741" s="254"/>
      <c r="J741" s="254"/>
      <c r="K741" s="254"/>
      <c r="L741" s="387"/>
    </row>
    <row r="742" spans="1:12" x14ac:dyDescent="0.3">
      <c r="A742" s="254">
        <v>13</v>
      </c>
      <c r="B742" s="254" t="s">
        <v>237</v>
      </c>
      <c r="C742" s="254" t="s">
        <v>241</v>
      </c>
      <c r="D742" s="254" t="s">
        <v>241</v>
      </c>
      <c r="E742" s="254" t="s">
        <v>242</v>
      </c>
      <c r="F742" s="386">
        <v>21</v>
      </c>
      <c r="G742" s="254">
        <v>14</v>
      </c>
      <c r="H742" s="254">
        <v>1</v>
      </c>
      <c r="I742" s="254"/>
      <c r="J742" s="254"/>
      <c r="K742" s="254"/>
      <c r="L742" s="387"/>
    </row>
    <row r="743" spans="1:12" x14ac:dyDescent="0.3">
      <c r="A743" s="254">
        <v>14</v>
      </c>
      <c r="B743" s="254" t="s">
        <v>237</v>
      </c>
      <c r="C743" s="254" t="s">
        <v>241</v>
      </c>
      <c r="D743" s="254" t="s">
        <v>241</v>
      </c>
      <c r="E743" s="254" t="s">
        <v>242</v>
      </c>
      <c r="F743" s="386">
        <v>30</v>
      </c>
      <c r="G743" s="254">
        <v>15</v>
      </c>
      <c r="H743" s="254">
        <v>3</v>
      </c>
      <c r="I743" s="254"/>
      <c r="J743" s="254"/>
      <c r="K743" s="254"/>
      <c r="L743" s="387"/>
    </row>
    <row r="744" spans="1:12" x14ac:dyDescent="0.3">
      <c r="A744" s="254">
        <v>15</v>
      </c>
      <c r="B744" s="254" t="s">
        <v>237</v>
      </c>
      <c r="C744" s="254" t="s">
        <v>241</v>
      </c>
      <c r="D744" s="254" t="s">
        <v>241</v>
      </c>
      <c r="E744" s="254" t="s">
        <v>242</v>
      </c>
      <c r="F744" s="386">
        <v>15</v>
      </c>
      <c r="G744" s="254">
        <v>15</v>
      </c>
      <c r="H744" s="254">
        <v>2</v>
      </c>
      <c r="I744" s="254"/>
      <c r="J744" s="254"/>
      <c r="K744" s="255">
        <v>0</v>
      </c>
      <c r="L744" s="388">
        <f>10^K744</f>
        <v>1</v>
      </c>
    </row>
    <row r="745" spans="1:12" x14ac:dyDescent="0.3">
      <c r="A745" s="254">
        <v>16</v>
      </c>
      <c r="B745" s="254" t="s">
        <v>237</v>
      </c>
      <c r="C745" s="254" t="s">
        <v>241</v>
      </c>
      <c r="D745" s="254" t="s">
        <v>241</v>
      </c>
      <c r="E745" s="254" t="s">
        <v>242</v>
      </c>
      <c r="F745" s="386">
        <v>16</v>
      </c>
      <c r="G745" s="254">
        <v>12</v>
      </c>
      <c r="H745" s="254">
        <v>2</v>
      </c>
      <c r="I745" s="254"/>
      <c r="J745" s="254"/>
      <c r="K745" s="254"/>
      <c r="L745" s="387"/>
    </row>
    <row r="746" spans="1:12" x14ac:dyDescent="0.3">
      <c r="A746" s="254">
        <v>17</v>
      </c>
      <c r="B746" s="254" t="s">
        <v>237</v>
      </c>
      <c r="C746" s="254" t="s">
        <v>241</v>
      </c>
      <c r="D746" s="254" t="s">
        <v>241</v>
      </c>
      <c r="E746" s="254" t="s">
        <v>242</v>
      </c>
      <c r="F746" s="386">
        <v>14</v>
      </c>
      <c r="G746" s="254">
        <v>9</v>
      </c>
      <c r="H746" s="254">
        <v>2</v>
      </c>
      <c r="I746" s="254"/>
      <c r="J746" s="254"/>
      <c r="K746" s="254"/>
      <c r="L746" s="387"/>
    </row>
    <row r="747" spans="1:12" x14ac:dyDescent="0.3">
      <c r="A747" s="254">
        <v>18</v>
      </c>
      <c r="B747" s="254" t="s">
        <v>237</v>
      </c>
      <c r="C747" s="254" t="s">
        <v>241</v>
      </c>
      <c r="D747" s="254" t="s">
        <v>241</v>
      </c>
      <c r="E747" s="254" t="s">
        <v>242</v>
      </c>
      <c r="F747" s="386">
        <v>17</v>
      </c>
      <c r="G747" s="254">
        <v>11</v>
      </c>
      <c r="H747" s="254">
        <v>1</v>
      </c>
      <c r="I747" s="254"/>
      <c r="J747" s="254"/>
      <c r="K747" s="254"/>
      <c r="L747" s="387"/>
    </row>
    <row r="748" spans="1:12" x14ac:dyDescent="0.3">
      <c r="A748" s="254">
        <v>19</v>
      </c>
      <c r="B748" s="254" t="s">
        <v>237</v>
      </c>
      <c r="C748" s="254" t="s">
        <v>241</v>
      </c>
      <c r="D748" s="254" t="s">
        <v>241</v>
      </c>
      <c r="E748" s="254" t="s">
        <v>242</v>
      </c>
      <c r="F748" s="386">
        <v>25</v>
      </c>
      <c r="G748" s="254">
        <v>14</v>
      </c>
      <c r="H748" s="254">
        <v>0</v>
      </c>
      <c r="I748" s="254"/>
      <c r="J748" s="254"/>
      <c r="K748" s="254"/>
      <c r="L748" s="387"/>
    </row>
    <row r="749" spans="1:12" x14ac:dyDescent="0.3">
      <c r="A749" s="254">
        <v>20</v>
      </c>
      <c r="B749" s="254" t="s">
        <v>237</v>
      </c>
      <c r="C749" s="254" t="s">
        <v>241</v>
      </c>
      <c r="D749" s="254" t="s">
        <v>241</v>
      </c>
      <c r="E749" s="254" t="s">
        <v>242</v>
      </c>
      <c r="F749" s="386">
        <v>20</v>
      </c>
      <c r="G749" s="254">
        <v>9</v>
      </c>
      <c r="H749" s="254">
        <v>1</v>
      </c>
      <c r="I749" s="254"/>
      <c r="J749" s="254"/>
      <c r="K749" s="254"/>
      <c r="L749" s="387"/>
    </row>
    <row r="750" spans="1:12" x14ac:dyDescent="0.3">
      <c r="A750" s="254">
        <v>21</v>
      </c>
      <c r="B750" s="254" t="s">
        <v>237</v>
      </c>
      <c r="C750" s="254" t="s">
        <v>241</v>
      </c>
      <c r="D750" s="254" t="s">
        <v>241</v>
      </c>
      <c r="E750" s="254" t="s">
        <v>242</v>
      </c>
      <c r="F750" s="386">
        <v>40</v>
      </c>
      <c r="G750" s="254">
        <v>15</v>
      </c>
      <c r="H750" s="254">
        <v>1</v>
      </c>
      <c r="I750" s="254"/>
      <c r="J750" s="254"/>
      <c r="K750" s="254"/>
      <c r="L750" s="387"/>
    </row>
    <row r="751" spans="1:12" x14ac:dyDescent="0.3">
      <c r="A751" s="254">
        <v>22</v>
      </c>
      <c r="B751" s="254" t="s">
        <v>237</v>
      </c>
      <c r="C751" s="254" t="s">
        <v>241</v>
      </c>
      <c r="D751" s="254" t="s">
        <v>241</v>
      </c>
      <c r="E751" s="254" t="s">
        <v>242</v>
      </c>
      <c r="F751" s="386">
        <v>88</v>
      </c>
      <c r="G751" s="254">
        <v>13</v>
      </c>
      <c r="H751" s="254">
        <v>0</v>
      </c>
      <c r="I751" s="254"/>
      <c r="J751" s="254"/>
      <c r="K751" s="255">
        <v>0.29563458055581493</v>
      </c>
      <c r="L751" s="388">
        <f>10^K751</f>
        <v>1.9753068989636899</v>
      </c>
    </row>
    <row r="752" spans="1:12" x14ac:dyDescent="0.3">
      <c r="A752" s="254">
        <v>23</v>
      </c>
      <c r="B752" s="254" t="s">
        <v>237</v>
      </c>
      <c r="C752" s="254" t="s">
        <v>241</v>
      </c>
      <c r="D752" s="254" t="s">
        <v>241</v>
      </c>
      <c r="E752" s="254" t="s">
        <v>242</v>
      </c>
      <c r="F752" s="386">
        <v>146</v>
      </c>
      <c r="G752" s="254">
        <v>24</v>
      </c>
      <c r="H752" s="254">
        <v>2</v>
      </c>
      <c r="I752" s="254"/>
      <c r="J752" s="254"/>
      <c r="K752" s="255">
        <v>0.83020439071401819</v>
      </c>
      <c r="L752" s="388">
        <f t="shared" ref="L752:L778" si="13">10^K752</f>
        <v>6.7640123318652723</v>
      </c>
    </row>
    <row r="753" spans="1:12" x14ac:dyDescent="0.3">
      <c r="A753" s="254">
        <v>24</v>
      </c>
      <c r="B753" s="254" t="s">
        <v>237</v>
      </c>
      <c r="C753" s="254" t="s">
        <v>241</v>
      </c>
      <c r="D753" s="254" t="s">
        <v>241</v>
      </c>
      <c r="E753" s="254" t="s">
        <v>242</v>
      </c>
      <c r="F753" s="386">
        <v>233</v>
      </c>
      <c r="G753" s="254">
        <v>34</v>
      </c>
      <c r="H753" s="254">
        <v>1</v>
      </c>
      <c r="I753" s="254"/>
      <c r="J753" s="254"/>
      <c r="K753" s="255">
        <v>2.598585405424906</v>
      </c>
      <c r="L753" s="388">
        <f t="shared" si="13"/>
        <v>396.81255574129102</v>
      </c>
    </row>
    <row r="754" spans="1:12" x14ac:dyDescent="0.3">
      <c r="A754" s="254">
        <v>25</v>
      </c>
      <c r="B754" s="254" t="s">
        <v>237</v>
      </c>
      <c r="C754" s="254" t="s">
        <v>241</v>
      </c>
      <c r="D754" s="254" t="s">
        <v>241</v>
      </c>
      <c r="E754" s="254" t="s">
        <v>242</v>
      </c>
      <c r="F754" s="386">
        <v>289</v>
      </c>
      <c r="G754" s="254">
        <v>46</v>
      </c>
      <c r="H754" s="254">
        <v>3</v>
      </c>
      <c r="I754" s="254"/>
      <c r="J754" s="254"/>
      <c r="K754" s="255">
        <v>1.2378179338867652</v>
      </c>
      <c r="L754" s="388">
        <f t="shared" si="13"/>
        <v>17.290913328832506</v>
      </c>
    </row>
    <row r="755" spans="1:12" x14ac:dyDescent="0.3">
      <c r="A755" s="254">
        <v>26</v>
      </c>
      <c r="B755" s="254" t="s">
        <v>237</v>
      </c>
      <c r="C755" s="254" t="s">
        <v>241</v>
      </c>
      <c r="D755" s="254" t="s">
        <v>241</v>
      </c>
      <c r="E755" s="254" t="s">
        <v>242</v>
      </c>
      <c r="F755" s="386">
        <v>369</v>
      </c>
      <c r="G755" s="254">
        <v>70</v>
      </c>
      <c r="H755" s="254">
        <v>10</v>
      </c>
      <c r="I755" s="254"/>
      <c r="J755" s="254"/>
      <c r="K755" s="255">
        <v>0.42421161137956365</v>
      </c>
      <c r="L755" s="388">
        <f t="shared" si="13"/>
        <v>2.6558993422255206</v>
      </c>
    </row>
    <row r="756" spans="1:12" x14ac:dyDescent="0.3">
      <c r="A756" s="254">
        <v>27</v>
      </c>
      <c r="B756" s="254" t="s">
        <v>237</v>
      </c>
      <c r="C756" s="254" t="s">
        <v>241</v>
      </c>
      <c r="D756" s="254" t="s">
        <v>241</v>
      </c>
      <c r="E756" s="254" t="s">
        <v>242</v>
      </c>
      <c r="F756" s="386">
        <v>418</v>
      </c>
      <c r="G756" s="254">
        <v>86</v>
      </c>
      <c r="H756" s="254">
        <v>19</v>
      </c>
      <c r="I756" s="254"/>
      <c r="J756" s="254"/>
      <c r="K756" s="255">
        <v>-0.42066234590925622</v>
      </c>
      <c r="L756" s="388">
        <f t="shared" si="13"/>
        <v>0.37961000842707493</v>
      </c>
    </row>
    <row r="757" spans="1:12" x14ac:dyDescent="0.3">
      <c r="A757" s="254">
        <v>28</v>
      </c>
      <c r="B757" s="254" t="s">
        <v>237</v>
      </c>
      <c r="C757" s="254" t="s">
        <v>241</v>
      </c>
      <c r="D757" s="254" t="s">
        <v>241</v>
      </c>
      <c r="E757" s="254" t="s">
        <v>242</v>
      </c>
      <c r="F757" s="386">
        <v>424</v>
      </c>
      <c r="G757" s="254">
        <v>102</v>
      </c>
      <c r="H757" s="254">
        <v>22</v>
      </c>
      <c r="I757" s="254"/>
      <c r="J757" s="254"/>
      <c r="K757" s="255">
        <v>0</v>
      </c>
      <c r="L757" s="388">
        <f t="shared" si="13"/>
        <v>1</v>
      </c>
    </row>
    <row r="758" spans="1:12" x14ac:dyDescent="0.3">
      <c r="A758" s="254">
        <v>29</v>
      </c>
      <c r="B758" s="254" t="s">
        <v>237</v>
      </c>
      <c r="C758" s="254" t="s">
        <v>241</v>
      </c>
      <c r="D758" s="254" t="s">
        <v>241</v>
      </c>
      <c r="E758" s="254" t="s">
        <v>242</v>
      </c>
      <c r="F758" s="386">
        <v>488</v>
      </c>
      <c r="G758" s="254">
        <v>97</v>
      </c>
      <c r="H758" s="254">
        <v>16</v>
      </c>
      <c r="I758" s="254"/>
      <c r="J758" s="254"/>
      <c r="K758" s="255">
        <v>1.0127400752847511</v>
      </c>
      <c r="L758" s="388">
        <f t="shared" si="13"/>
        <v>10.297696201168803</v>
      </c>
    </row>
    <row r="759" spans="1:12" x14ac:dyDescent="0.3">
      <c r="A759" s="254">
        <v>30</v>
      </c>
      <c r="B759" s="254" t="s">
        <v>237</v>
      </c>
      <c r="C759" s="254" t="s">
        <v>241</v>
      </c>
      <c r="D759" s="254" t="s">
        <v>241</v>
      </c>
      <c r="E759" s="254" t="s">
        <v>242</v>
      </c>
      <c r="F759" s="386">
        <v>601</v>
      </c>
      <c r="G759" s="254">
        <v>85</v>
      </c>
      <c r="H759" s="254">
        <v>17</v>
      </c>
      <c r="I759" s="254"/>
      <c r="J759" s="254"/>
      <c r="K759" s="255">
        <v>0.37020054242805694</v>
      </c>
      <c r="L759" s="388">
        <f t="shared" si="13"/>
        <v>2.3453115504615165</v>
      </c>
    </row>
    <row r="760" spans="1:12" x14ac:dyDescent="0.3">
      <c r="A760" s="254">
        <v>31</v>
      </c>
      <c r="B760" s="254" t="s">
        <v>237</v>
      </c>
      <c r="C760" s="254" t="s">
        <v>241</v>
      </c>
      <c r="D760" s="254" t="s">
        <v>241</v>
      </c>
      <c r="E760" s="254" t="s">
        <v>242</v>
      </c>
      <c r="F760" s="386">
        <v>785</v>
      </c>
      <c r="G760" s="254">
        <v>114</v>
      </c>
      <c r="H760" s="254">
        <v>23</v>
      </c>
      <c r="I760" s="254"/>
      <c r="J760" s="254"/>
      <c r="K760" s="255">
        <v>0.27518695688758665</v>
      </c>
      <c r="L760" s="388">
        <f t="shared" si="13"/>
        <v>1.8844601451134197</v>
      </c>
    </row>
    <row r="761" spans="1:12" x14ac:dyDescent="0.3">
      <c r="A761" s="254">
        <v>32</v>
      </c>
      <c r="B761" s="254" t="s">
        <v>237</v>
      </c>
      <c r="C761" s="254" t="s">
        <v>241</v>
      </c>
      <c r="D761" s="254" t="s">
        <v>241</v>
      </c>
      <c r="E761" s="254" t="s">
        <v>242</v>
      </c>
      <c r="F761" s="386">
        <v>889</v>
      </c>
      <c r="G761" s="254">
        <v>107</v>
      </c>
      <c r="H761" s="254">
        <v>15</v>
      </c>
      <c r="I761" s="254"/>
      <c r="J761" s="254"/>
      <c r="K761" s="255">
        <v>0.25886598205337968</v>
      </c>
      <c r="L761" s="388">
        <f t="shared" si="13"/>
        <v>1.8149555033567004</v>
      </c>
    </row>
    <row r="762" spans="1:12" x14ac:dyDescent="0.3">
      <c r="A762" s="254">
        <v>33</v>
      </c>
      <c r="B762" s="254" t="s">
        <v>237</v>
      </c>
      <c r="C762" s="254" t="s">
        <v>241</v>
      </c>
      <c r="D762" s="254" t="s">
        <v>241</v>
      </c>
      <c r="E762" s="254" t="s">
        <v>242</v>
      </c>
      <c r="F762" s="386">
        <v>1743</v>
      </c>
      <c r="G762" s="254">
        <v>152</v>
      </c>
      <c r="H762" s="254">
        <v>24</v>
      </c>
      <c r="I762" s="254"/>
      <c r="J762" s="254"/>
      <c r="K762" s="255">
        <v>0.24052099286851042</v>
      </c>
      <c r="L762" s="388">
        <f t="shared" si="13"/>
        <v>1.7398867984207309</v>
      </c>
    </row>
    <row r="763" spans="1:12" x14ac:dyDescent="0.3">
      <c r="A763" s="254">
        <v>34</v>
      </c>
      <c r="B763" s="254" t="s">
        <v>237</v>
      </c>
      <c r="C763" s="254" t="s">
        <v>241</v>
      </c>
      <c r="D763" s="254" t="s">
        <v>241</v>
      </c>
      <c r="E763" s="254" t="s">
        <v>242</v>
      </c>
      <c r="F763" s="386">
        <v>1847</v>
      </c>
      <c r="G763" s="254">
        <v>211</v>
      </c>
      <c r="H763" s="254">
        <v>47</v>
      </c>
      <c r="I763" s="254"/>
      <c r="J763" s="254"/>
      <c r="K763" s="255">
        <v>0</v>
      </c>
      <c r="L763" s="388">
        <f t="shared" si="13"/>
        <v>1</v>
      </c>
    </row>
    <row r="764" spans="1:12" x14ac:dyDescent="0.3">
      <c r="A764" s="254">
        <v>35</v>
      </c>
      <c r="B764" s="254" t="s">
        <v>237</v>
      </c>
      <c r="C764" s="254" t="s">
        <v>241</v>
      </c>
      <c r="D764" s="254" t="s">
        <v>241</v>
      </c>
      <c r="E764" s="254" t="s">
        <v>242</v>
      </c>
      <c r="F764" s="386">
        <v>1428</v>
      </c>
      <c r="G764" s="254">
        <v>205</v>
      </c>
      <c r="H764" s="254">
        <v>62</v>
      </c>
      <c r="I764" s="254"/>
      <c r="J764" s="254"/>
      <c r="K764" s="255">
        <v>0.18422603741438187</v>
      </c>
      <c r="L764" s="388">
        <f t="shared" si="13"/>
        <v>1.5283613180627631</v>
      </c>
    </row>
    <row r="765" spans="1:12" x14ac:dyDescent="0.3">
      <c r="A765" s="254">
        <v>36</v>
      </c>
      <c r="B765" s="254" t="s">
        <v>237</v>
      </c>
      <c r="C765" s="254" t="s">
        <v>241</v>
      </c>
      <c r="D765" s="254" t="s">
        <v>241</v>
      </c>
      <c r="E765" s="254" t="s">
        <v>242</v>
      </c>
      <c r="F765" s="386">
        <v>1149</v>
      </c>
      <c r="G765" s="254">
        <v>173</v>
      </c>
      <c r="H765" s="254">
        <v>46</v>
      </c>
      <c r="I765" s="254"/>
      <c r="J765" s="254"/>
      <c r="K765" s="255">
        <v>0</v>
      </c>
      <c r="L765" s="388">
        <f t="shared" si="13"/>
        <v>1</v>
      </c>
    </row>
    <row r="766" spans="1:12" x14ac:dyDescent="0.3">
      <c r="A766" s="254">
        <v>37</v>
      </c>
      <c r="B766" s="254" t="s">
        <v>237</v>
      </c>
      <c r="C766" s="254" t="s">
        <v>241</v>
      </c>
      <c r="D766" s="254" t="s">
        <v>241</v>
      </c>
      <c r="E766" s="254" t="s">
        <v>242</v>
      </c>
      <c r="F766" s="386">
        <v>629</v>
      </c>
      <c r="G766" s="254">
        <v>137</v>
      </c>
      <c r="H766" s="254">
        <v>25</v>
      </c>
      <c r="I766" s="254"/>
      <c r="J766" s="254"/>
      <c r="K766" s="255">
        <v>0</v>
      </c>
      <c r="L766" s="388">
        <f t="shared" si="13"/>
        <v>1</v>
      </c>
    </row>
    <row r="767" spans="1:12" x14ac:dyDescent="0.3">
      <c r="A767" s="254">
        <v>38</v>
      </c>
      <c r="B767" s="254" t="s">
        <v>237</v>
      </c>
      <c r="C767" s="254" t="s">
        <v>241</v>
      </c>
      <c r="D767" s="254" t="s">
        <v>241</v>
      </c>
      <c r="E767" s="254" t="s">
        <v>242</v>
      </c>
      <c r="F767" s="386">
        <v>313</v>
      </c>
      <c r="G767" s="254">
        <v>69</v>
      </c>
      <c r="H767" s="254">
        <v>33</v>
      </c>
      <c r="I767" s="254"/>
      <c r="J767" s="254"/>
      <c r="K767" s="255">
        <v>0</v>
      </c>
      <c r="L767" s="388">
        <f t="shared" si="13"/>
        <v>1</v>
      </c>
    </row>
    <row r="768" spans="1:12" x14ac:dyDescent="0.3">
      <c r="A768" s="254">
        <v>39</v>
      </c>
      <c r="B768" s="254" t="s">
        <v>237</v>
      </c>
      <c r="C768" s="254" t="s">
        <v>241</v>
      </c>
      <c r="D768" s="254" t="s">
        <v>241</v>
      </c>
      <c r="E768" s="254" t="s">
        <v>242</v>
      </c>
      <c r="F768" s="386">
        <v>211</v>
      </c>
      <c r="G768" s="254">
        <v>71</v>
      </c>
      <c r="H768" s="254">
        <v>21</v>
      </c>
      <c r="I768" s="254"/>
      <c r="J768" s="254"/>
      <c r="K768" s="255">
        <v>0</v>
      </c>
      <c r="L768" s="388">
        <f t="shared" si="13"/>
        <v>1</v>
      </c>
    </row>
    <row r="769" spans="1:12" x14ac:dyDescent="0.3">
      <c r="A769" s="254">
        <v>40</v>
      </c>
      <c r="B769" s="254" t="s">
        <v>237</v>
      </c>
      <c r="C769" s="254" t="s">
        <v>241</v>
      </c>
      <c r="D769" s="254" t="s">
        <v>241</v>
      </c>
      <c r="E769" s="254" t="s">
        <v>242</v>
      </c>
      <c r="F769" s="386">
        <v>112</v>
      </c>
      <c r="G769" s="254">
        <v>63</v>
      </c>
      <c r="H769" s="254">
        <v>21</v>
      </c>
      <c r="I769" s="254"/>
      <c r="J769" s="254"/>
      <c r="K769" s="255">
        <v>1.0824872293726395</v>
      </c>
      <c r="L769" s="388">
        <f t="shared" si="13"/>
        <v>12.091696262359617</v>
      </c>
    </row>
    <row r="770" spans="1:12" x14ac:dyDescent="0.3">
      <c r="A770" s="254">
        <v>41</v>
      </c>
      <c r="B770" s="254" t="s">
        <v>237</v>
      </c>
      <c r="C770" s="254" t="s">
        <v>241</v>
      </c>
      <c r="D770" s="254" t="s">
        <v>241</v>
      </c>
      <c r="E770" s="254" t="s">
        <v>242</v>
      </c>
      <c r="F770" s="386">
        <v>84</v>
      </c>
      <c r="G770" s="254">
        <v>41</v>
      </c>
      <c r="H770" s="254">
        <v>8</v>
      </c>
      <c r="I770" s="254"/>
      <c r="J770" s="254"/>
      <c r="K770" s="255">
        <v>0.64260069971373446</v>
      </c>
      <c r="L770" s="388">
        <f t="shared" si="13"/>
        <v>4.3913767654068625</v>
      </c>
    </row>
    <row r="771" spans="1:12" x14ac:dyDescent="0.3">
      <c r="A771" s="254">
        <v>42</v>
      </c>
      <c r="B771" s="254" t="s">
        <v>237</v>
      </c>
      <c r="C771" s="254" t="s">
        <v>241</v>
      </c>
      <c r="D771" s="254" t="s">
        <v>241</v>
      </c>
      <c r="E771" s="254" t="s">
        <v>242</v>
      </c>
      <c r="F771" s="386">
        <v>34</v>
      </c>
      <c r="G771" s="254">
        <v>28</v>
      </c>
      <c r="H771" s="254">
        <v>6</v>
      </c>
      <c r="I771" s="254"/>
      <c r="J771" s="254"/>
      <c r="K771" s="255">
        <v>0</v>
      </c>
      <c r="L771" s="388">
        <f t="shared" si="13"/>
        <v>1</v>
      </c>
    </row>
    <row r="772" spans="1:12" x14ac:dyDescent="0.3">
      <c r="A772" s="254">
        <v>43</v>
      </c>
      <c r="B772" s="254" t="s">
        <v>237</v>
      </c>
      <c r="C772" s="254" t="s">
        <v>241</v>
      </c>
      <c r="D772" s="254" t="s">
        <v>241</v>
      </c>
      <c r="E772" s="254" t="s">
        <v>242</v>
      </c>
      <c r="F772" s="386">
        <v>43</v>
      </c>
      <c r="G772" s="254">
        <v>13</v>
      </c>
      <c r="H772" s="254">
        <v>5</v>
      </c>
      <c r="I772" s="254"/>
      <c r="J772" s="254"/>
      <c r="K772" s="255">
        <v>0</v>
      </c>
      <c r="L772" s="388">
        <f t="shared" si="13"/>
        <v>1</v>
      </c>
    </row>
    <row r="773" spans="1:12" x14ac:dyDescent="0.3">
      <c r="A773" s="254">
        <v>44</v>
      </c>
      <c r="B773" s="254" t="s">
        <v>237</v>
      </c>
      <c r="C773" s="254" t="s">
        <v>241</v>
      </c>
      <c r="D773" s="254" t="s">
        <v>241</v>
      </c>
      <c r="E773" s="254" t="s">
        <v>242</v>
      </c>
      <c r="F773" s="386">
        <v>29</v>
      </c>
      <c r="G773" s="254">
        <v>17</v>
      </c>
      <c r="H773" s="254">
        <v>2</v>
      </c>
      <c r="I773" s="254"/>
      <c r="J773" s="254"/>
      <c r="K773" s="255">
        <v>0</v>
      </c>
      <c r="L773" s="388">
        <f t="shared" si="13"/>
        <v>1</v>
      </c>
    </row>
    <row r="774" spans="1:12" x14ac:dyDescent="0.3">
      <c r="A774" s="254">
        <v>45</v>
      </c>
      <c r="B774" s="254" t="s">
        <v>237</v>
      </c>
      <c r="C774" s="254" t="s">
        <v>241</v>
      </c>
      <c r="D774" s="254" t="s">
        <v>241</v>
      </c>
      <c r="E774" s="254" t="s">
        <v>242</v>
      </c>
      <c r="F774" s="386">
        <v>17</v>
      </c>
      <c r="G774" s="254">
        <v>7</v>
      </c>
      <c r="H774" s="254">
        <v>3</v>
      </c>
      <c r="I774" s="254"/>
      <c r="J774" s="254"/>
      <c r="K774" s="255">
        <v>0</v>
      </c>
      <c r="L774" s="388">
        <f t="shared" si="13"/>
        <v>1</v>
      </c>
    </row>
    <row r="775" spans="1:12" x14ac:dyDescent="0.3">
      <c r="A775" s="254">
        <v>46</v>
      </c>
      <c r="B775" s="254" t="s">
        <v>237</v>
      </c>
      <c r="C775" s="254" t="s">
        <v>241</v>
      </c>
      <c r="D775" s="254" t="s">
        <v>241</v>
      </c>
      <c r="E775" s="254" t="s">
        <v>242</v>
      </c>
      <c r="F775" s="386">
        <v>15</v>
      </c>
      <c r="G775" s="254">
        <v>24</v>
      </c>
      <c r="H775" s="254">
        <v>6</v>
      </c>
      <c r="I775" s="254"/>
      <c r="J775" s="254"/>
      <c r="K775" s="255">
        <v>0</v>
      </c>
      <c r="L775" s="388">
        <f t="shared" si="13"/>
        <v>1</v>
      </c>
    </row>
    <row r="776" spans="1:12" x14ac:dyDescent="0.3">
      <c r="A776" s="254">
        <v>47</v>
      </c>
      <c r="B776" s="254" t="s">
        <v>237</v>
      </c>
      <c r="C776" s="254" t="s">
        <v>241</v>
      </c>
      <c r="D776" s="254" t="s">
        <v>241</v>
      </c>
      <c r="E776" s="254" t="s">
        <v>242</v>
      </c>
      <c r="F776" s="386">
        <v>22</v>
      </c>
      <c r="G776" s="254">
        <v>10</v>
      </c>
      <c r="H776" s="254">
        <v>1</v>
      </c>
      <c r="I776" s="254"/>
      <c r="J776" s="254"/>
      <c r="K776" s="255">
        <v>0</v>
      </c>
      <c r="L776" s="388">
        <f t="shared" si="13"/>
        <v>1</v>
      </c>
    </row>
    <row r="777" spans="1:12" x14ac:dyDescent="0.3">
      <c r="A777" s="254">
        <v>48</v>
      </c>
      <c r="B777" s="254" t="s">
        <v>237</v>
      </c>
      <c r="C777" s="254" t="s">
        <v>241</v>
      </c>
      <c r="D777" s="254" t="s">
        <v>241</v>
      </c>
      <c r="E777" s="254" t="s">
        <v>242</v>
      </c>
      <c r="F777" s="386">
        <v>288</v>
      </c>
      <c r="G777" s="254">
        <v>35</v>
      </c>
      <c r="H777" s="254">
        <v>1</v>
      </c>
      <c r="I777" s="254"/>
      <c r="J777" s="254"/>
      <c r="K777" s="255">
        <v>0.54450633081790267</v>
      </c>
      <c r="L777" s="388">
        <f t="shared" si="13"/>
        <v>3.5035339545230486</v>
      </c>
    </row>
    <row r="778" spans="1:12" x14ac:dyDescent="0.3">
      <c r="A778" s="254">
        <v>49</v>
      </c>
      <c r="B778" s="254" t="s">
        <v>237</v>
      </c>
      <c r="C778" s="254" t="s">
        <v>241</v>
      </c>
      <c r="D778" s="254" t="s">
        <v>241</v>
      </c>
      <c r="E778" s="254" t="s">
        <v>242</v>
      </c>
      <c r="F778" s="386">
        <v>1650</v>
      </c>
      <c r="G778" s="254">
        <v>130</v>
      </c>
      <c r="H778" s="254">
        <v>3</v>
      </c>
      <c r="I778" s="254"/>
      <c r="J778" s="254"/>
      <c r="K778" s="255">
        <v>1.3748291429092501</v>
      </c>
      <c r="L778" s="388">
        <f t="shared" si="13"/>
        <v>23.704409599304203</v>
      </c>
    </row>
    <row r="779" spans="1:12" x14ac:dyDescent="0.3">
      <c r="A779" s="254">
        <v>50</v>
      </c>
      <c r="B779" s="254" t="s">
        <v>237</v>
      </c>
      <c r="C779" s="254" t="s">
        <v>241</v>
      </c>
      <c r="D779" s="254" t="s">
        <v>241</v>
      </c>
      <c r="E779" s="254" t="s">
        <v>242</v>
      </c>
      <c r="F779" s="386">
        <v>2393</v>
      </c>
      <c r="G779" s="254">
        <v>199</v>
      </c>
      <c r="H779" s="254">
        <v>12</v>
      </c>
      <c r="I779" s="254"/>
      <c r="J779" s="254"/>
      <c r="K779" s="254"/>
      <c r="L779" s="387"/>
    </row>
    <row r="780" spans="1:12" x14ac:dyDescent="0.3">
      <c r="A780" s="254">
        <v>51</v>
      </c>
      <c r="B780" s="254" t="s">
        <v>237</v>
      </c>
      <c r="C780" s="254" t="s">
        <v>241</v>
      </c>
      <c r="D780" s="254" t="s">
        <v>241</v>
      </c>
      <c r="E780" s="254" t="s">
        <v>242</v>
      </c>
      <c r="F780" s="386">
        <v>1619</v>
      </c>
      <c r="G780" s="254">
        <v>253</v>
      </c>
      <c r="H780" s="254">
        <v>24</v>
      </c>
      <c r="I780" s="254"/>
      <c r="J780" s="254"/>
      <c r="K780" s="255">
        <v>0</v>
      </c>
      <c r="L780" s="388">
        <f>10^K780</f>
        <v>1</v>
      </c>
    </row>
    <row r="781" spans="1:12" x14ac:dyDescent="0.3">
      <c r="A781" s="254">
        <v>52</v>
      </c>
      <c r="B781" s="254" t="s">
        <v>237</v>
      </c>
      <c r="C781" s="254" t="s">
        <v>241</v>
      </c>
      <c r="D781" s="254" t="s">
        <v>241</v>
      </c>
      <c r="E781" s="254" t="s">
        <v>242</v>
      </c>
      <c r="F781" s="386">
        <v>745</v>
      </c>
      <c r="G781" s="254">
        <v>205</v>
      </c>
      <c r="H781" s="254">
        <v>44</v>
      </c>
      <c r="I781" s="254"/>
      <c r="J781" s="254"/>
      <c r="K781" s="254"/>
      <c r="L781" s="387"/>
    </row>
    <row r="782" spans="1:12" x14ac:dyDescent="0.3">
      <c r="A782" s="336">
        <v>1</v>
      </c>
      <c r="B782" s="336" t="s">
        <v>237</v>
      </c>
      <c r="C782" s="336" t="s">
        <v>241</v>
      </c>
      <c r="D782" s="336" t="s">
        <v>241</v>
      </c>
      <c r="E782" s="336" t="s">
        <v>243</v>
      </c>
      <c r="F782" s="389">
        <v>1235</v>
      </c>
      <c r="G782" s="336">
        <v>358</v>
      </c>
      <c r="H782" s="336">
        <v>113</v>
      </c>
      <c r="I782" s="336"/>
      <c r="J782" s="336"/>
      <c r="K782" s="336"/>
      <c r="L782" s="337"/>
    </row>
    <row r="783" spans="1:12" x14ac:dyDescent="0.3">
      <c r="A783" s="336">
        <v>2</v>
      </c>
      <c r="B783" s="336" t="s">
        <v>237</v>
      </c>
      <c r="C783" s="336" t="s">
        <v>241</v>
      </c>
      <c r="D783" s="336" t="s">
        <v>241</v>
      </c>
      <c r="E783" s="336" t="s">
        <v>243</v>
      </c>
      <c r="F783" s="389">
        <v>674</v>
      </c>
      <c r="G783" s="336">
        <v>248</v>
      </c>
      <c r="H783" s="336">
        <v>98</v>
      </c>
      <c r="I783" s="336"/>
      <c r="J783" s="336"/>
      <c r="K783" s="336"/>
      <c r="L783" s="337"/>
    </row>
    <row r="784" spans="1:12" x14ac:dyDescent="0.3">
      <c r="A784" s="336">
        <v>3</v>
      </c>
      <c r="B784" s="336" t="s">
        <v>237</v>
      </c>
      <c r="C784" s="336" t="s">
        <v>241</v>
      </c>
      <c r="D784" s="336" t="s">
        <v>241</v>
      </c>
      <c r="E784" s="336" t="s">
        <v>243</v>
      </c>
      <c r="F784" s="389">
        <v>326</v>
      </c>
      <c r="G784" s="336">
        <v>169</v>
      </c>
      <c r="H784" s="336">
        <v>72</v>
      </c>
      <c r="I784" s="336"/>
      <c r="J784" s="336"/>
      <c r="K784" s="336"/>
      <c r="L784" s="337"/>
    </row>
    <row r="785" spans="1:12" x14ac:dyDescent="0.3">
      <c r="A785" s="336">
        <v>4</v>
      </c>
      <c r="B785" s="336" t="s">
        <v>237</v>
      </c>
      <c r="C785" s="336" t="s">
        <v>241</v>
      </c>
      <c r="D785" s="336" t="s">
        <v>241</v>
      </c>
      <c r="E785" s="336" t="s">
        <v>243</v>
      </c>
      <c r="F785" s="389">
        <v>163</v>
      </c>
      <c r="G785" s="336">
        <v>85</v>
      </c>
      <c r="H785" s="336">
        <v>43</v>
      </c>
      <c r="I785" s="336"/>
      <c r="J785" s="336"/>
      <c r="K785" s="336"/>
      <c r="L785" s="337"/>
    </row>
    <row r="786" spans="1:12" x14ac:dyDescent="0.3">
      <c r="A786" s="336">
        <v>5</v>
      </c>
      <c r="B786" s="336" t="s">
        <v>237</v>
      </c>
      <c r="C786" s="336" t="s">
        <v>241</v>
      </c>
      <c r="D786" s="336" t="s">
        <v>241</v>
      </c>
      <c r="E786" s="336" t="s">
        <v>243</v>
      </c>
      <c r="F786" s="389">
        <v>83</v>
      </c>
      <c r="G786" s="336">
        <v>73</v>
      </c>
      <c r="H786" s="336">
        <v>20</v>
      </c>
      <c r="I786" s="336"/>
      <c r="J786" s="336"/>
      <c r="K786" s="336"/>
      <c r="L786" s="337"/>
    </row>
    <row r="787" spans="1:12" x14ac:dyDescent="0.3">
      <c r="A787" s="336">
        <v>6</v>
      </c>
      <c r="B787" s="336" t="s">
        <v>237</v>
      </c>
      <c r="C787" s="336" t="s">
        <v>241</v>
      </c>
      <c r="D787" s="336" t="s">
        <v>241</v>
      </c>
      <c r="E787" s="336" t="s">
        <v>243</v>
      </c>
      <c r="F787" s="389">
        <v>86</v>
      </c>
      <c r="G787" s="336">
        <v>36</v>
      </c>
      <c r="H787" s="336">
        <v>12</v>
      </c>
      <c r="I787" s="336"/>
      <c r="J787" s="336"/>
      <c r="K787" s="336"/>
      <c r="L787" s="337"/>
    </row>
    <row r="788" spans="1:12" x14ac:dyDescent="0.3">
      <c r="A788" s="336">
        <v>7</v>
      </c>
      <c r="B788" s="336" t="s">
        <v>237</v>
      </c>
      <c r="C788" s="336" t="s">
        <v>241</v>
      </c>
      <c r="D788" s="336" t="s">
        <v>241</v>
      </c>
      <c r="E788" s="336" t="s">
        <v>243</v>
      </c>
      <c r="F788" s="389">
        <v>67</v>
      </c>
      <c r="G788" s="336">
        <v>34</v>
      </c>
      <c r="H788" s="336">
        <v>8</v>
      </c>
      <c r="I788" s="336"/>
      <c r="J788" s="336"/>
      <c r="K788" s="336"/>
      <c r="L788" s="337"/>
    </row>
    <row r="789" spans="1:12" x14ac:dyDescent="0.3">
      <c r="A789" s="336">
        <v>8</v>
      </c>
      <c r="B789" s="336" t="s">
        <v>237</v>
      </c>
      <c r="C789" s="336" t="s">
        <v>241</v>
      </c>
      <c r="D789" s="336" t="s">
        <v>241</v>
      </c>
      <c r="E789" s="336" t="s">
        <v>243</v>
      </c>
      <c r="F789" s="389">
        <v>27</v>
      </c>
      <c r="G789" s="336">
        <v>25</v>
      </c>
      <c r="H789" s="336">
        <v>5</v>
      </c>
      <c r="I789" s="336"/>
      <c r="J789" s="336"/>
      <c r="K789" s="336"/>
      <c r="L789" s="337"/>
    </row>
    <row r="790" spans="1:12" x14ac:dyDescent="0.3">
      <c r="A790" s="336">
        <v>9</v>
      </c>
      <c r="B790" s="336" t="s">
        <v>237</v>
      </c>
      <c r="C790" s="336" t="s">
        <v>241</v>
      </c>
      <c r="D790" s="336" t="s">
        <v>241</v>
      </c>
      <c r="E790" s="336" t="s">
        <v>243</v>
      </c>
      <c r="F790" s="389">
        <v>20</v>
      </c>
      <c r="G790" s="336">
        <v>28</v>
      </c>
      <c r="H790" s="336">
        <v>3</v>
      </c>
      <c r="I790" s="336"/>
      <c r="J790" s="336"/>
      <c r="K790" s="336"/>
      <c r="L790" s="337"/>
    </row>
    <row r="791" spans="1:12" x14ac:dyDescent="0.3">
      <c r="A791" s="336">
        <v>10</v>
      </c>
      <c r="B791" s="336" t="s">
        <v>237</v>
      </c>
      <c r="C791" s="336" t="s">
        <v>241</v>
      </c>
      <c r="D791" s="336" t="s">
        <v>241</v>
      </c>
      <c r="E791" s="336" t="s">
        <v>243</v>
      </c>
      <c r="F791" s="389">
        <v>15</v>
      </c>
      <c r="G791" s="336">
        <v>25</v>
      </c>
      <c r="H791" s="336">
        <v>4</v>
      </c>
      <c r="I791" s="336"/>
      <c r="J791" s="336"/>
      <c r="K791" s="336"/>
      <c r="L791" s="337"/>
    </row>
    <row r="792" spans="1:12" x14ac:dyDescent="0.3">
      <c r="A792" s="336">
        <v>11</v>
      </c>
      <c r="B792" s="336" t="s">
        <v>237</v>
      </c>
      <c r="C792" s="336" t="s">
        <v>241</v>
      </c>
      <c r="D792" s="336" t="s">
        <v>241</v>
      </c>
      <c r="E792" s="336" t="s">
        <v>243</v>
      </c>
      <c r="F792" s="389">
        <v>33</v>
      </c>
      <c r="G792" s="336">
        <v>13</v>
      </c>
      <c r="H792" s="336">
        <v>4</v>
      </c>
      <c r="I792" s="336"/>
      <c r="J792" s="336"/>
      <c r="K792" s="336"/>
      <c r="L792" s="337"/>
    </row>
    <row r="793" spans="1:12" x14ac:dyDescent="0.3">
      <c r="A793" s="336">
        <v>12</v>
      </c>
      <c r="B793" s="336" t="s">
        <v>237</v>
      </c>
      <c r="C793" s="336" t="s">
        <v>241</v>
      </c>
      <c r="D793" s="336" t="s">
        <v>241</v>
      </c>
      <c r="E793" s="336" t="s">
        <v>243</v>
      </c>
      <c r="F793" s="389">
        <v>11</v>
      </c>
      <c r="G793" s="336">
        <v>16</v>
      </c>
      <c r="H793" s="336">
        <v>4</v>
      </c>
      <c r="I793" s="336"/>
      <c r="J793" s="336"/>
      <c r="K793" s="336"/>
      <c r="L793" s="337"/>
    </row>
    <row r="794" spans="1:12" x14ac:dyDescent="0.3">
      <c r="A794" s="336">
        <v>13</v>
      </c>
      <c r="B794" s="336" t="s">
        <v>237</v>
      </c>
      <c r="C794" s="336" t="s">
        <v>241</v>
      </c>
      <c r="D794" s="336" t="s">
        <v>241</v>
      </c>
      <c r="E794" s="336" t="s">
        <v>243</v>
      </c>
      <c r="F794" s="389">
        <v>21</v>
      </c>
      <c r="G794" s="336">
        <v>14</v>
      </c>
      <c r="H794" s="336">
        <v>1</v>
      </c>
      <c r="I794" s="336"/>
      <c r="J794" s="336"/>
      <c r="K794" s="336"/>
      <c r="L794" s="337"/>
    </row>
    <row r="795" spans="1:12" x14ac:dyDescent="0.3">
      <c r="A795" s="336">
        <v>14</v>
      </c>
      <c r="B795" s="336" t="s">
        <v>237</v>
      </c>
      <c r="C795" s="336" t="s">
        <v>241</v>
      </c>
      <c r="D795" s="336" t="s">
        <v>241</v>
      </c>
      <c r="E795" s="336" t="s">
        <v>243</v>
      </c>
      <c r="F795" s="389">
        <v>30</v>
      </c>
      <c r="G795" s="336">
        <v>15</v>
      </c>
      <c r="H795" s="336">
        <v>3</v>
      </c>
      <c r="I795" s="336"/>
      <c r="J795" s="336"/>
      <c r="K795" s="336"/>
      <c r="L795" s="337"/>
    </row>
    <row r="796" spans="1:12" x14ac:dyDescent="0.3">
      <c r="A796" s="336">
        <v>15</v>
      </c>
      <c r="B796" s="336" t="s">
        <v>237</v>
      </c>
      <c r="C796" s="336" t="s">
        <v>241</v>
      </c>
      <c r="D796" s="336" t="s">
        <v>241</v>
      </c>
      <c r="E796" s="336" t="s">
        <v>243</v>
      </c>
      <c r="F796" s="389">
        <v>15</v>
      </c>
      <c r="G796" s="336">
        <v>15</v>
      </c>
      <c r="H796" s="336">
        <v>2</v>
      </c>
      <c r="I796" s="336"/>
      <c r="J796" s="336"/>
      <c r="K796" s="336"/>
      <c r="L796" s="337"/>
    </row>
    <row r="797" spans="1:12" x14ac:dyDescent="0.3">
      <c r="A797" s="336">
        <v>16</v>
      </c>
      <c r="B797" s="336" t="s">
        <v>237</v>
      </c>
      <c r="C797" s="336" t="s">
        <v>241</v>
      </c>
      <c r="D797" s="336" t="s">
        <v>241</v>
      </c>
      <c r="E797" s="336" t="s">
        <v>243</v>
      </c>
      <c r="F797" s="389">
        <v>16</v>
      </c>
      <c r="G797" s="336">
        <v>12</v>
      </c>
      <c r="H797" s="336">
        <v>2</v>
      </c>
      <c r="I797" s="336"/>
      <c r="J797" s="336"/>
      <c r="K797" s="336"/>
      <c r="L797" s="337"/>
    </row>
    <row r="798" spans="1:12" x14ac:dyDescent="0.3">
      <c r="A798" s="336">
        <v>17</v>
      </c>
      <c r="B798" s="336" t="s">
        <v>237</v>
      </c>
      <c r="C798" s="336" t="s">
        <v>241</v>
      </c>
      <c r="D798" s="336" t="s">
        <v>241</v>
      </c>
      <c r="E798" s="336" t="s">
        <v>243</v>
      </c>
      <c r="F798" s="389">
        <v>14</v>
      </c>
      <c r="G798" s="336">
        <v>9</v>
      </c>
      <c r="H798" s="336">
        <v>2</v>
      </c>
      <c r="I798" s="336"/>
      <c r="J798" s="336"/>
      <c r="K798" s="336"/>
      <c r="L798" s="337"/>
    </row>
    <row r="799" spans="1:12" x14ac:dyDescent="0.3">
      <c r="A799" s="336">
        <v>18</v>
      </c>
      <c r="B799" s="336" t="s">
        <v>237</v>
      </c>
      <c r="C799" s="336" t="s">
        <v>241</v>
      </c>
      <c r="D799" s="336" t="s">
        <v>241</v>
      </c>
      <c r="E799" s="336" t="s">
        <v>243</v>
      </c>
      <c r="F799" s="389">
        <v>17</v>
      </c>
      <c r="G799" s="336">
        <v>11</v>
      </c>
      <c r="H799" s="336">
        <v>1</v>
      </c>
      <c r="I799" s="336"/>
      <c r="J799" s="336"/>
      <c r="K799" s="336"/>
      <c r="L799" s="337"/>
    </row>
    <row r="800" spans="1:12" x14ac:dyDescent="0.3">
      <c r="A800" s="336">
        <v>19</v>
      </c>
      <c r="B800" s="336" t="s">
        <v>237</v>
      </c>
      <c r="C800" s="336" t="s">
        <v>241</v>
      </c>
      <c r="D800" s="336" t="s">
        <v>241</v>
      </c>
      <c r="E800" s="336" t="s">
        <v>243</v>
      </c>
      <c r="F800" s="389">
        <v>25</v>
      </c>
      <c r="G800" s="336">
        <v>14</v>
      </c>
      <c r="H800" s="336">
        <v>0</v>
      </c>
      <c r="I800" s="336"/>
      <c r="J800" s="336"/>
      <c r="K800" s="336"/>
      <c r="L800" s="337"/>
    </row>
    <row r="801" spans="1:12" x14ac:dyDescent="0.3">
      <c r="A801" s="336">
        <v>20</v>
      </c>
      <c r="B801" s="336" t="s">
        <v>237</v>
      </c>
      <c r="C801" s="336" t="s">
        <v>241</v>
      </c>
      <c r="D801" s="336" t="s">
        <v>241</v>
      </c>
      <c r="E801" s="336" t="s">
        <v>243</v>
      </c>
      <c r="F801" s="389">
        <v>20</v>
      </c>
      <c r="G801" s="336">
        <v>9</v>
      </c>
      <c r="H801" s="336">
        <v>1</v>
      </c>
      <c r="I801" s="336"/>
      <c r="J801" s="336"/>
      <c r="K801" s="336"/>
      <c r="L801" s="337"/>
    </row>
    <row r="802" spans="1:12" x14ac:dyDescent="0.3">
      <c r="A802" s="336">
        <v>21</v>
      </c>
      <c r="B802" s="336" t="s">
        <v>237</v>
      </c>
      <c r="C802" s="336" t="s">
        <v>241</v>
      </c>
      <c r="D802" s="336" t="s">
        <v>241</v>
      </c>
      <c r="E802" s="336" t="s">
        <v>243</v>
      </c>
      <c r="F802" s="389">
        <v>40</v>
      </c>
      <c r="G802" s="336">
        <v>15</v>
      </c>
      <c r="H802" s="336">
        <v>1</v>
      </c>
      <c r="I802" s="336"/>
      <c r="J802" s="336"/>
      <c r="K802" s="336"/>
      <c r="L802" s="337"/>
    </row>
    <row r="803" spans="1:12" x14ac:dyDescent="0.3">
      <c r="A803" s="336">
        <v>22</v>
      </c>
      <c r="B803" s="336" t="s">
        <v>237</v>
      </c>
      <c r="C803" s="336" t="s">
        <v>241</v>
      </c>
      <c r="D803" s="336" t="s">
        <v>241</v>
      </c>
      <c r="E803" s="336" t="s">
        <v>243</v>
      </c>
      <c r="F803" s="389">
        <v>88</v>
      </c>
      <c r="G803" s="336">
        <v>13</v>
      </c>
      <c r="H803" s="336">
        <v>0</v>
      </c>
      <c r="I803" s="336"/>
      <c r="J803" s="336"/>
      <c r="K803" s="355">
        <v>0.15192334350717079</v>
      </c>
      <c r="L803" s="390">
        <f>10^K803</f>
        <v>1.4188070686495999</v>
      </c>
    </row>
    <row r="804" spans="1:12" x14ac:dyDescent="0.3">
      <c r="A804" s="336">
        <v>23</v>
      </c>
      <c r="B804" s="336" t="s">
        <v>237</v>
      </c>
      <c r="C804" s="336" t="s">
        <v>241</v>
      </c>
      <c r="D804" s="336" t="s">
        <v>241</v>
      </c>
      <c r="E804" s="336" t="s">
        <v>243</v>
      </c>
      <c r="F804" s="389">
        <v>146</v>
      </c>
      <c r="G804" s="336">
        <v>24</v>
      </c>
      <c r="H804" s="336">
        <v>2</v>
      </c>
      <c r="I804" s="336"/>
      <c r="J804" s="336"/>
      <c r="K804" s="355">
        <v>0</v>
      </c>
      <c r="L804" s="390">
        <f t="shared" ref="L804:L832" si="14">10^K804</f>
        <v>1</v>
      </c>
    </row>
    <row r="805" spans="1:12" x14ac:dyDescent="0.3">
      <c r="A805" s="336">
        <v>24</v>
      </c>
      <c r="B805" s="336" t="s">
        <v>237</v>
      </c>
      <c r="C805" s="336" t="s">
        <v>241</v>
      </c>
      <c r="D805" s="336" t="s">
        <v>241</v>
      </c>
      <c r="E805" s="336" t="s">
        <v>243</v>
      </c>
      <c r="F805" s="389">
        <v>233</v>
      </c>
      <c r="G805" s="336">
        <v>34</v>
      </c>
      <c r="H805" s="336">
        <v>1</v>
      </c>
      <c r="I805" s="336"/>
      <c r="J805" s="336"/>
      <c r="K805" s="355">
        <v>0</v>
      </c>
      <c r="L805" s="390">
        <f t="shared" si="14"/>
        <v>1</v>
      </c>
    </row>
    <row r="806" spans="1:12" x14ac:dyDescent="0.3">
      <c r="A806" s="336">
        <v>25</v>
      </c>
      <c r="B806" s="336" t="s">
        <v>237</v>
      </c>
      <c r="C806" s="336" t="s">
        <v>241</v>
      </c>
      <c r="D806" s="336" t="s">
        <v>241</v>
      </c>
      <c r="E806" s="336" t="s">
        <v>243</v>
      </c>
      <c r="F806" s="389">
        <v>289</v>
      </c>
      <c r="G806" s="336">
        <v>46</v>
      </c>
      <c r="H806" s="336">
        <v>3</v>
      </c>
      <c r="I806" s="336"/>
      <c r="J806" s="336"/>
      <c r="K806" s="355">
        <v>-4.7371926144015704E-2</v>
      </c>
      <c r="L806" s="390">
        <f t="shared" si="14"/>
        <v>0.89666057302027302</v>
      </c>
    </row>
    <row r="807" spans="1:12" x14ac:dyDescent="0.3">
      <c r="A807" s="336">
        <v>26</v>
      </c>
      <c r="B807" s="336" t="s">
        <v>237</v>
      </c>
      <c r="C807" s="336" t="s">
        <v>241</v>
      </c>
      <c r="D807" s="336" t="s">
        <v>241</v>
      </c>
      <c r="E807" s="336" t="s">
        <v>243</v>
      </c>
      <c r="F807" s="389">
        <v>369</v>
      </c>
      <c r="G807" s="336">
        <v>70</v>
      </c>
      <c r="H807" s="336">
        <v>10</v>
      </c>
      <c r="I807" s="336"/>
      <c r="J807" s="336"/>
      <c r="K807" s="355">
        <v>0.6520490962082095</v>
      </c>
      <c r="L807" s="390">
        <f t="shared" si="14"/>
        <v>4.4879612265800919</v>
      </c>
    </row>
    <row r="808" spans="1:12" x14ac:dyDescent="0.3">
      <c r="A808" s="336">
        <v>27</v>
      </c>
      <c r="B808" s="336" t="s">
        <v>237</v>
      </c>
      <c r="C808" s="336" t="s">
        <v>241</v>
      </c>
      <c r="D808" s="336" t="s">
        <v>241</v>
      </c>
      <c r="E808" s="336" t="s">
        <v>243</v>
      </c>
      <c r="F808" s="389">
        <v>418</v>
      </c>
      <c r="G808" s="336">
        <v>86</v>
      </c>
      <c r="H808" s="336">
        <v>19</v>
      </c>
      <c r="I808" s="336"/>
      <c r="J808" s="336"/>
      <c r="K808" s="355">
        <v>1.196224299538998</v>
      </c>
      <c r="L808" s="390">
        <f t="shared" si="14"/>
        <v>15.711740571625409</v>
      </c>
    </row>
    <row r="809" spans="1:12" x14ac:dyDescent="0.3">
      <c r="A809" s="336">
        <v>28</v>
      </c>
      <c r="B809" s="336" t="s">
        <v>237</v>
      </c>
      <c r="C809" s="336" t="s">
        <v>241</v>
      </c>
      <c r="D809" s="336" t="s">
        <v>241</v>
      </c>
      <c r="E809" s="336" t="s">
        <v>243</v>
      </c>
      <c r="F809" s="389">
        <v>424</v>
      </c>
      <c r="G809" s="336">
        <v>102</v>
      </c>
      <c r="H809" s="336">
        <v>22</v>
      </c>
      <c r="I809" s="336"/>
      <c r="J809" s="336"/>
      <c r="K809" s="355">
        <v>0.96273955547507206</v>
      </c>
      <c r="L809" s="390">
        <f t="shared" si="14"/>
        <v>9.1778204149129436</v>
      </c>
    </row>
    <row r="810" spans="1:12" x14ac:dyDescent="0.3">
      <c r="A810" s="336">
        <v>29</v>
      </c>
      <c r="B810" s="336" t="s">
        <v>237</v>
      </c>
      <c r="C810" s="336" t="s">
        <v>241</v>
      </c>
      <c r="D810" s="336" t="s">
        <v>241</v>
      </c>
      <c r="E810" s="336" t="s">
        <v>243</v>
      </c>
      <c r="F810" s="389">
        <v>488</v>
      </c>
      <c r="G810" s="336">
        <v>97</v>
      </c>
      <c r="H810" s="336">
        <v>16</v>
      </c>
      <c r="I810" s="336"/>
      <c r="J810" s="336"/>
      <c r="K810" s="355">
        <v>1.5704761418348803</v>
      </c>
      <c r="L810" s="390">
        <f t="shared" si="14"/>
        <v>37.194278775429211</v>
      </c>
    </row>
    <row r="811" spans="1:12" x14ac:dyDescent="0.3">
      <c r="A811" s="336">
        <v>30</v>
      </c>
      <c r="B811" s="336" t="s">
        <v>237</v>
      </c>
      <c r="C811" s="336" t="s">
        <v>241</v>
      </c>
      <c r="D811" s="336" t="s">
        <v>241</v>
      </c>
      <c r="E811" s="336" t="s">
        <v>243</v>
      </c>
      <c r="F811" s="389">
        <v>601</v>
      </c>
      <c r="G811" s="336">
        <v>85</v>
      </c>
      <c r="H811" s="336">
        <v>17</v>
      </c>
      <c r="I811" s="336"/>
      <c r="J811" s="336"/>
      <c r="K811" s="355">
        <v>2.0663165950854596</v>
      </c>
      <c r="L811" s="390">
        <f t="shared" si="14"/>
        <v>116.49749716933897</v>
      </c>
    </row>
    <row r="812" spans="1:12" x14ac:dyDescent="0.3">
      <c r="A812" s="336">
        <v>31</v>
      </c>
      <c r="B812" s="336" t="s">
        <v>237</v>
      </c>
      <c r="C812" s="336" t="s">
        <v>241</v>
      </c>
      <c r="D812" s="336" t="s">
        <v>241</v>
      </c>
      <c r="E812" s="336" t="s">
        <v>243</v>
      </c>
      <c r="F812" s="389">
        <v>785</v>
      </c>
      <c r="G812" s="336">
        <v>114</v>
      </c>
      <c r="H812" s="336">
        <v>23</v>
      </c>
      <c r="I812" s="336"/>
      <c r="J812" s="336"/>
      <c r="K812" s="355">
        <v>1.3568222701216026</v>
      </c>
      <c r="L812" s="390">
        <f t="shared" si="14"/>
        <v>22.741665645521518</v>
      </c>
    </row>
    <row r="813" spans="1:12" x14ac:dyDescent="0.3">
      <c r="A813" s="336">
        <v>32</v>
      </c>
      <c r="B813" s="336" t="s">
        <v>237</v>
      </c>
      <c r="C813" s="336" t="s">
        <v>241</v>
      </c>
      <c r="D813" s="336" t="s">
        <v>241</v>
      </c>
      <c r="E813" s="336" t="s">
        <v>243</v>
      </c>
      <c r="F813" s="389">
        <v>889</v>
      </c>
      <c r="G813" s="336">
        <v>107</v>
      </c>
      <c r="H813" s="336">
        <v>15</v>
      </c>
      <c r="I813" s="336"/>
      <c r="J813" s="336"/>
      <c r="K813" s="355">
        <v>2.7665745038630538</v>
      </c>
      <c r="L813" s="390">
        <f t="shared" si="14"/>
        <v>584.21742186254392</v>
      </c>
    </row>
    <row r="814" spans="1:12" x14ac:dyDescent="0.3">
      <c r="A814" s="336">
        <v>33</v>
      </c>
      <c r="B814" s="336" t="s">
        <v>237</v>
      </c>
      <c r="C814" s="336" t="s">
        <v>241</v>
      </c>
      <c r="D814" s="336" t="s">
        <v>241</v>
      </c>
      <c r="E814" s="336" t="s">
        <v>243</v>
      </c>
      <c r="F814" s="389">
        <v>1743</v>
      </c>
      <c r="G814" s="336">
        <v>152</v>
      </c>
      <c r="H814" s="336">
        <v>24</v>
      </c>
      <c r="I814" s="336"/>
      <c r="J814" s="336"/>
      <c r="K814" s="355">
        <v>3.034503729552267</v>
      </c>
      <c r="L814" s="390">
        <f t="shared" si="14"/>
        <v>1082.6890127999445</v>
      </c>
    </row>
    <row r="815" spans="1:12" x14ac:dyDescent="0.3">
      <c r="A815" s="336">
        <v>34</v>
      </c>
      <c r="B815" s="336" t="s">
        <v>237</v>
      </c>
      <c r="C815" s="336" t="s">
        <v>241</v>
      </c>
      <c r="D815" s="336" t="s">
        <v>241</v>
      </c>
      <c r="E815" s="336" t="s">
        <v>243</v>
      </c>
      <c r="F815" s="389">
        <v>1847</v>
      </c>
      <c r="G815" s="336">
        <v>211</v>
      </c>
      <c r="H815" s="336">
        <v>47</v>
      </c>
      <c r="I815" s="336"/>
      <c r="J815" s="336"/>
      <c r="K815" s="355">
        <v>2.4313786817339236</v>
      </c>
      <c r="L815" s="390">
        <f t="shared" si="14"/>
        <v>270.00927438541339</v>
      </c>
    </row>
    <row r="816" spans="1:12" x14ac:dyDescent="0.3">
      <c r="A816" s="336">
        <v>35</v>
      </c>
      <c r="B816" s="336" t="s">
        <v>237</v>
      </c>
      <c r="C816" s="336" t="s">
        <v>241</v>
      </c>
      <c r="D816" s="336" t="s">
        <v>241</v>
      </c>
      <c r="E816" s="336" t="s">
        <v>243</v>
      </c>
      <c r="F816" s="389">
        <v>1428</v>
      </c>
      <c r="G816" s="336">
        <v>205</v>
      </c>
      <c r="H816" s="336">
        <v>62</v>
      </c>
      <c r="I816" s="336"/>
      <c r="J816" s="336"/>
      <c r="K816" s="355">
        <v>2.2904578705513252</v>
      </c>
      <c r="L816" s="390">
        <f t="shared" si="14"/>
        <v>195.19013774638276</v>
      </c>
    </row>
    <row r="817" spans="1:12" x14ac:dyDescent="0.3">
      <c r="A817" s="336">
        <v>36</v>
      </c>
      <c r="B817" s="336" t="s">
        <v>237</v>
      </c>
      <c r="C817" s="336" t="s">
        <v>241</v>
      </c>
      <c r="D817" s="336" t="s">
        <v>241</v>
      </c>
      <c r="E817" s="336" t="s">
        <v>243</v>
      </c>
      <c r="F817" s="389">
        <v>1149</v>
      </c>
      <c r="G817" s="336">
        <v>173</v>
      </c>
      <c r="H817" s="336">
        <v>46</v>
      </c>
      <c r="I817" s="336"/>
      <c r="J817" s="336"/>
      <c r="K817" s="355">
        <v>1.0583179896101353</v>
      </c>
      <c r="L817" s="390">
        <f t="shared" si="14"/>
        <v>11.437154546075936</v>
      </c>
    </row>
    <row r="818" spans="1:12" x14ac:dyDescent="0.3">
      <c r="A818" s="336">
        <v>37</v>
      </c>
      <c r="B818" s="336" t="s">
        <v>237</v>
      </c>
      <c r="C818" s="336" t="s">
        <v>241</v>
      </c>
      <c r="D818" s="336" t="s">
        <v>241</v>
      </c>
      <c r="E818" s="336" t="s">
        <v>243</v>
      </c>
      <c r="F818" s="389">
        <v>629</v>
      </c>
      <c r="G818" s="336">
        <v>137</v>
      </c>
      <c r="H818" s="336">
        <v>25</v>
      </c>
      <c r="I818" s="336"/>
      <c r="J818" s="336"/>
      <c r="K818" s="355">
        <v>1.8067449920152958</v>
      </c>
      <c r="L818" s="390">
        <f t="shared" si="14"/>
        <v>64.08331832107234</v>
      </c>
    </row>
    <row r="819" spans="1:12" x14ac:dyDescent="0.3">
      <c r="A819" s="336">
        <v>38</v>
      </c>
      <c r="B819" s="336" t="s">
        <v>237</v>
      </c>
      <c r="C819" s="336" t="s">
        <v>241</v>
      </c>
      <c r="D819" s="336" t="s">
        <v>241</v>
      </c>
      <c r="E819" s="336" t="s">
        <v>243</v>
      </c>
      <c r="F819" s="389">
        <v>313</v>
      </c>
      <c r="G819" s="336">
        <v>69</v>
      </c>
      <c r="H819" s="336">
        <v>33</v>
      </c>
      <c r="I819" s="336"/>
      <c r="J819" s="336"/>
      <c r="K819" s="355">
        <v>1.3646581231533264</v>
      </c>
      <c r="L819" s="390">
        <f t="shared" si="14"/>
        <v>23.155711135085756</v>
      </c>
    </row>
    <row r="820" spans="1:12" x14ac:dyDescent="0.3">
      <c r="A820" s="336">
        <v>39</v>
      </c>
      <c r="B820" s="336" t="s">
        <v>237</v>
      </c>
      <c r="C820" s="336" t="s">
        <v>241</v>
      </c>
      <c r="D820" s="336" t="s">
        <v>241</v>
      </c>
      <c r="E820" s="336" t="s">
        <v>243</v>
      </c>
      <c r="F820" s="389">
        <v>211</v>
      </c>
      <c r="G820" s="336">
        <v>71</v>
      </c>
      <c r="H820" s="336">
        <v>21</v>
      </c>
      <c r="I820" s="336"/>
      <c r="J820" s="336"/>
      <c r="K820" s="355">
        <v>0.76811550803672257</v>
      </c>
      <c r="L820" s="390">
        <f t="shared" si="14"/>
        <v>5.8629407870526222</v>
      </c>
    </row>
    <row r="821" spans="1:12" x14ac:dyDescent="0.3">
      <c r="A821" s="336">
        <v>40</v>
      </c>
      <c r="B821" s="336" t="s">
        <v>237</v>
      </c>
      <c r="C821" s="336" t="s">
        <v>241</v>
      </c>
      <c r="D821" s="336" t="s">
        <v>241</v>
      </c>
      <c r="E821" s="336" t="s">
        <v>243</v>
      </c>
      <c r="F821" s="389">
        <v>112</v>
      </c>
      <c r="G821" s="336">
        <v>63</v>
      </c>
      <c r="H821" s="336">
        <v>21</v>
      </c>
      <c r="I821" s="336"/>
      <c r="J821" s="336"/>
      <c r="K821" s="355">
        <v>0.49618723538634268</v>
      </c>
      <c r="L821" s="390">
        <f t="shared" si="14"/>
        <v>3.1346368546388583</v>
      </c>
    </row>
    <row r="822" spans="1:12" x14ac:dyDescent="0.3">
      <c r="A822" s="336">
        <v>41</v>
      </c>
      <c r="B822" s="336" t="s">
        <v>237</v>
      </c>
      <c r="C822" s="336" t="s">
        <v>241</v>
      </c>
      <c r="D822" s="336" t="s">
        <v>241</v>
      </c>
      <c r="E822" s="336" t="s">
        <v>243</v>
      </c>
      <c r="F822" s="389">
        <v>84</v>
      </c>
      <c r="G822" s="336">
        <v>41</v>
      </c>
      <c r="H822" s="336">
        <v>8</v>
      </c>
      <c r="I822" s="336"/>
      <c r="J822" s="336"/>
      <c r="K822" s="355">
        <v>0</v>
      </c>
      <c r="L822" s="390">
        <f t="shared" si="14"/>
        <v>1</v>
      </c>
    </row>
    <row r="823" spans="1:12" x14ac:dyDescent="0.3">
      <c r="A823" s="336">
        <v>42</v>
      </c>
      <c r="B823" s="336" t="s">
        <v>237</v>
      </c>
      <c r="C823" s="336" t="s">
        <v>241</v>
      </c>
      <c r="D823" s="336" t="s">
        <v>241</v>
      </c>
      <c r="E823" s="336" t="s">
        <v>243</v>
      </c>
      <c r="F823" s="389">
        <v>34</v>
      </c>
      <c r="G823" s="336">
        <v>28</v>
      </c>
      <c r="H823" s="336">
        <v>6</v>
      </c>
      <c r="I823" s="336"/>
      <c r="J823" s="336"/>
      <c r="K823" s="355">
        <v>-1.6782436458658897E-3</v>
      </c>
      <c r="L823" s="390">
        <f t="shared" si="14"/>
        <v>0.9961431579930442</v>
      </c>
    </row>
    <row r="824" spans="1:12" x14ac:dyDescent="0.3">
      <c r="A824" s="336">
        <v>43</v>
      </c>
      <c r="B824" s="336" t="s">
        <v>237</v>
      </c>
      <c r="C824" s="336" t="s">
        <v>241</v>
      </c>
      <c r="D824" s="336" t="s">
        <v>241</v>
      </c>
      <c r="E824" s="336" t="s">
        <v>243</v>
      </c>
      <c r="F824" s="389">
        <v>43</v>
      </c>
      <c r="G824" s="336">
        <v>13</v>
      </c>
      <c r="H824" s="336">
        <v>5</v>
      </c>
      <c r="I824" s="336"/>
      <c r="J824" s="336"/>
      <c r="K824" s="355">
        <v>0.48098000032681121</v>
      </c>
      <c r="L824" s="390">
        <f t="shared" si="14"/>
        <v>3.0267740390738673</v>
      </c>
    </row>
    <row r="825" spans="1:12" x14ac:dyDescent="0.3">
      <c r="A825" s="336">
        <v>44</v>
      </c>
      <c r="B825" s="336" t="s">
        <v>237</v>
      </c>
      <c r="C825" s="336" t="s">
        <v>241</v>
      </c>
      <c r="D825" s="336" t="s">
        <v>241</v>
      </c>
      <c r="E825" s="336" t="s">
        <v>243</v>
      </c>
      <c r="F825" s="389">
        <v>29</v>
      </c>
      <c r="G825" s="336">
        <v>17</v>
      </c>
      <c r="H825" s="336">
        <v>2</v>
      </c>
      <c r="I825" s="336"/>
      <c r="J825" s="336"/>
      <c r="K825" s="355">
        <v>0.47019947314810284</v>
      </c>
      <c r="L825" s="390">
        <f t="shared" si="14"/>
        <v>2.9525650399071832</v>
      </c>
    </row>
    <row r="826" spans="1:12" x14ac:dyDescent="0.3">
      <c r="A826" s="336">
        <v>45</v>
      </c>
      <c r="B826" s="336" t="s">
        <v>237</v>
      </c>
      <c r="C826" s="336" t="s">
        <v>241</v>
      </c>
      <c r="D826" s="336" t="s">
        <v>241</v>
      </c>
      <c r="E826" s="336" t="s">
        <v>243</v>
      </c>
      <c r="F826" s="389">
        <v>17</v>
      </c>
      <c r="G826" s="336">
        <v>7</v>
      </c>
      <c r="H826" s="336">
        <v>3</v>
      </c>
      <c r="I826" s="336"/>
      <c r="J826" s="336"/>
      <c r="K826" s="355">
        <v>0.25094951382617048</v>
      </c>
      <c r="L826" s="390">
        <f t="shared" si="14"/>
        <v>1.7821715802562481</v>
      </c>
    </row>
    <row r="827" spans="1:12" x14ac:dyDescent="0.3">
      <c r="A827" s="336">
        <v>46</v>
      </c>
      <c r="B827" s="336" t="s">
        <v>237</v>
      </c>
      <c r="C827" s="336" t="s">
        <v>241</v>
      </c>
      <c r="D827" s="336" t="s">
        <v>241</v>
      </c>
      <c r="E827" s="336" t="s">
        <v>243</v>
      </c>
      <c r="F827" s="389">
        <v>15</v>
      </c>
      <c r="G827" s="336">
        <v>24</v>
      </c>
      <c r="H827" s="336">
        <v>6</v>
      </c>
      <c r="I827" s="336"/>
      <c r="J827" s="336"/>
      <c r="K827" s="355">
        <v>0.31559418939102762</v>
      </c>
      <c r="L827" s="390">
        <f t="shared" si="14"/>
        <v>2.0682078843214078</v>
      </c>
    </row>
    <row r="828" spans="1:12" x14ac:dyDescent="0.3">
      <c r="A828" s="336">
        <v>47</v>
      </c>
      <c r="B828" s="336" t="s">
        <v>237</v>
      </c>
      <c r="C828" s="336" t="s">
        <v>241</v>
      </c>
      <c r="D828" s="336" t="s">
        <v>241</v>
      </c>
      <c r="E828" s="336" t="s">
        <v>243</v>
      </c>
      <c r="F828" s="389">
        <v>22</v>
      </c>
      <c r="G828" s="336">
        <v>10</v>
      </c>
      <c r="H828" s="336">
        <v>1</v>
      </c>
      <c r="I828" s="336"/>
      <c r="J828" s="336"/>
      <c r="K828" s="355">
        <v>5.9540591725798245E-2</v>
      </c>
      <c r="L828" s="390">
        <f t="shared" si="14"/>
        <v>1.1469397161688124</v>
      </c>
    </row>
    <row r="829" spans="1:12" x14ac:dyDescent="0.3">
      <c r="A829" s="336">
        <v>48</v>
      </c>
      <c r="B829" s="336" t="s">
        <v>237</v>
      </c>
      <c r="C829" s="336" t="s">
        <v>241</v>
      </c>
      <c r="D829" s="336" t="s">
        <v>241</v>
      </c>
      <c r="E829" s="336" t="s">
        <v>243</v>
      </c>
      <c r="F829" s="389">
        <v>288</v>
      </c>
      <c r="G829" s="336">
        <v>35</v>
      </c>
      <c r="H829" s="336">
        <v>1</v>
      </c>
      <c r="I829" s="336"/>
      <c r="J829" s="336"/>
      <c r="K829" s="355">
        <v>1.4430597080360679</v>
      </c>
      <c r="L829" s="390">
        <f t="shared" si="14"/>
        <v>27.737014147700105</v>
      </c>
    </row>
    <row r="830" spans="1:12" x14ac:dyDescent="0.3">
      <c r="A830" s="336">
        <v>49</v>
      </c>
      <c r="B830" s="336" t="s">
        <v>237</v>
      </c>
      <c r="C830" s="336" t="s">
        <v>241</v>
      </c>
      <c r="D830" s="336" t="s">
        <v>241</v>
      </c>
      <c r="E830" s="336" t="s">
        <v>243</v>
      </c>
      <c r="F830" s="389">
        <v>1650</v>
      </c>
      <c r="G830" s="336">
        <v>130</v>
      </c>
      <c r="H830" s="336">
        <v>3</v>
      </c>
      <c r="I830" s="336"/>
      <c r="J830" s="336"/>
      <c r="K830" s="355">
        <v>0</v>
      </c>
      <c r="L830" s="390">
        <f t="shared" si="14"/>
        <v>1</v>
      </c>
    </row>
    <row r="831" spans="1:12" x14ac:dyDescent="0.3">
      <c r="A831" s="336">
        <v>50</v>
      </c>
      <c r="B831" s="336" t="s">
        <v>237</v>
      </c>
      <c r="C831" s="336" t="s">
        <v>241</v>
      </c>
      <c r="D831" s="336" t="s">
        <v>241</v>
      </c>
      <c r="E831" s="336" t="s">
        <v>243</v>
      </c>
      <c r="F831" s="389">
        <v>2393</v>
      </c>
      <c r="G831" s="336">
        <v>199</v>
      </c>
      <c r="H831" s="336">
        <v>12</v>
      </c>
      <c r="I831" s="336"/>
      <c r="J831" s="336"/>
      <c r="K831" s="336"/>
      <c r="L831" s="390"/>
    </row>
    <row r="832" spans="1:12" x14ac:dyDescent="0.3">
      <c r="A832" s="336">
        <v>51</v>
      </c>
      <c r="B832" s="336" t="s">
        <v>237</v>
      </c>
      <c r="C832" s="336" t="s">
        <v>241</v>
      </c>
      <c r="D832" s="336" t="s">
        <v>241</v>
      </c>
      <c r="E832" s="336" t="s">
        <v>243</v>
      </c>
      <c r="F832" s="389">
        <v>1619</v>
      </c>
      <c r="G832" s="336">
        <v>253</v>
      </c>
      <c r="H832" s="336">
        <v>24</v>
      </c>
      <c r="I832" s="336"/>
      <c r="J832" s="336"/>
      <c r="K832" s="355">
        <v>2.0223392539717726</v>
      </c>
      <c r="L832" s="390">
        <f t="shared" si="14"/>
        <v>105.27839466017126</v>
      </c>
    </row>
    <row r="833" spans="1:12" x14ac:dyDescent="0.3">
      <c r="A833" s="336">
        <v>52</v>
      </c>
      <c r="B833" s="336" t="s">
        <v>237</v>
      </c>
      <c r="C833" s="336" t="s">
        <v>241</v>
      </c>
      <c r="D833" s="336" t="s">
        <v>241</v>
      </c>
      <c r="E833" s="336" t="s">
        <v>243</v>
      </c>
      <c r="F833" s="389">
        <v>745</v>
      </c>
      <c r="G833" s="336">
        <v>205</v>
      </c>
      <c r="H833" s="336">
        <v>44</v>
      </c>
      <c r="I833" s="336"/>
      <c r="J833" s="336"/>
      <c r="K833" s="336"/>
      <c r="L833" s="337"/>
    </row>
    <row r="834" spans="1:12" x14ac:dyDescent="0.3">
      <c r="A834" s="339">
        <v>1</v>
      </c>
      <c r="B834" s="339" t="s">
        <v>245</v>
      </c>
      <c r="C834" s="339" t="s">
        <v>248</v>
      </c>
      <c r="D834" s="339" t="s">
        <v>257</v>
      </c>
      <c r="E834" s="339" t="s">
        <v>244</v>
      </c>
      <c r="F834" s="348">
        <v>468</v>
      </c>
      <c r="G834" s="339">
        <v>98</v>
      </c>
      <c r="H834" s="339">
        <v>9</v>
      </c>
      <c r="I834" s="339"/>
      <c r="J834" s="339"/>
      <c r="K834" s="339"/>
      <c r="L834" s="340"/>
    </row>
    <row r="835" spans="1:12" x14ac:dyDescent="0.3">
      <c r="A835" s="339">
        <v>2</v>
      </c>
      <c r="B835" s="339" t="s">
        <v>245</v>
      </c>
      <c r="C835" s="339" t="s">
        <v>248</v>
      </c>
      <c r="D835" s="339" t="s">
        <v>257</v>
      </c>
      <c r="E835" s="339" t="s">
        <v>244</v>
      </c>
      <c r="F835" s="348">
        <v>284</v>
      </c>
      <c r="G835" s="339">
        <v>17</v>
      </c>
      <c r="H835" s="339">
        <v>1</v>
      </c>
      <c r="I835" s="339"/>
      <c r="J835" s="339"/>
      <c r="K835" s="339"/>
      <c r="L835" s="340"/>
    </row>
    <row r="836" spans="1:12" x14ac:dyDescent="0.3">
      <c r="A836" s="339">
        <v>3</v>
      </c>
      <c r="B836" s="339" t="s">
        <v>245</v>
      </c>
      <c r="C836" s="339" t="s">
        <v>248</v>
      </c>
      <c r="D836" s="339" t="s">
        <v>257</v>
      </c>
      <c r="E836" s="339" t="s">
        <v>244</v>
      </c>
      <c r="F836" s="348">
        <v>148</v>
      </c>
      <c r="G836" s="339">
        <v>36</v>
      </c>
      <c r="H836" s="339">
        <v>14</v>
      </c>
      <c r="I836" s="339"/>
      <c r="J836" s="339"/>
      <c r="K836" s="339"/>
      <c r="L836" s="340"/>
    </row>
    <row r="837" spans="1:12" x14ac:dyDescent="0.3">
      <c r="A837" s="339">
        <v>4</v>
      </c>
      <c r="B837" s="339" t="s">
        <v>245</v>
      </c>
      <c r="C837" s="339" t="s">
        <v>248</v>
      </c>
      <c r="D837" s="339" t="s">
        <v>257</v>
      </c>
      <c r="E837" s="339" t="s">
        <v>244</v>
      </c>
      <c r="F837" s="348">
        <v>112</v>
      </c>
      <c r="G837" s="339">
        <v>34</v>
      </c>
      <c r="H837" s="339">
        <v>15</v>
      </c>
      <c r="I837" s="339"/>
      <c r="J837" s="339"/>
      <c r="K837" s="339"/>
      <c r="L837" s="340"/>
    </row>
    <row r="838" spans="1:12" x14ac:dyDescent="0.3">
      <c r="A838" s="339">
        <v>5</v>
      </c>
      <c r="B838" s="339" t="s">
        <v>245</v>
      </c>
      <c r="C838" s="339" t="s">
        <v>248</v>
      </c>
      <c r="D838" s="339" t="s">
        <v>257</v>
      </c>
      <c r="E838" s="339" t="s">
        <v>244</v>
      </c>
      <c r="F838" s="348">
        <v>88</v>
      </c>
      <c r="G838" s="339">
        <v>57</v>
      </c>
      <c r="H838" s="339">
        <v>9</v>
      </c>
      <c r="I838" s="339"/>
      <c r="J838" s="339"/>
      <c r="K838" s="339"/>
      <c r="L838" s="340"/>
    </row>
    <row r="839" spans="1:12" x14ac:dyDescent="0.3">
      <c r="A839" s="339">
        <v>6</v>
      </c>
      <c r="B839" s="339" t="s">
        <v>245</v>
      </c>
      <c r="C839" s="339" t="s">
        <v>248</v>
      </c>
      <c r="D839" s="339" t="s">
        <v>257</v>
      </c>
      <c r="E839" s="339" t="s">
        <v>244</v>
      </c>
      <c r="F839" s="348">
        <v>59</v>
      </c>
      <c r="G839" s="339">
        <v>105</v>
      </c>
      <c r="H839" s="339">
        <v>24</v>
      </c>
      <c r="I839" s="339"/>
      <c r="J839" s="339"/>
      <c r="K839" s="339"/>
      <c r="L839" s="340"/>
    </row>
    <row r="840" spans="1:12" x14ac:dyDescent="0.3">
      <c r="A840" s="339">
        <v>7</v>
      </c>
      <c r="B840" s="339" t="s">
        <v>245</v>
      </c>
      <c r="C840" s="339" t="s">
        <v>248</v>
      </c>
      <c r="D840" s="339" t="s">
        <v>257</v>
      </c>
      <c r="E840" s="339" t="s">
        <v>244</v>
      </c>
      <c r="F840" s="348">
        <v>45</v>
      </c>
      <c r="G840" s="339">
        <v>20</v>
      </c>
      <c r="H840" s="339">
        <v>4</v>
      </c>
      <c r="I840" s="339"/>
      <c r="J840" s="339"/>
      <c r="K840" s="339"/>
      <c r="L840" s="340"/>
    </row>
    <row r="841" spans="1:12" x14ac:dyDescent="0.3">
      <c r="A841" s="339">
        <v>8</v>
      </c>
      <c r="B841" s="339" t="s">
        <v>245</v>
      </c>
      <c r="C841" s="339" t="s">
        <v>248</v>
      </c>
      <c r="D841" s="339" t="s">
        <v>257</v>
      </c>
      <c r="E841" s="339" t="s">
        <v>244</v>
      </c>
      <c r="F841" s="348">
        <v>44</v>
      </c>
      <c r="G841" s="339">
        <v>34</v>
      </c>
      <c r="H841" s="339">
        <v>14</v>
      </c>
      <c r="I841" s="339"/>
      <c r="J841" s="339"/>
      <c r="K841" s="339"/>
      <c r="L841" s="340"/>
    </row>
    <row r="842" spans="1:12" x14ac:dyDescent="0.3">
      <c r="A842" s="339">
        <v>9</v>
      </c>
      <c r="B842" s="339" t="s">
        <v>245</v>
      </c>
      <c r="C842" s="339" t="s">
        <v>248</v>
      </c>
      <c r="D842" s="339" t="s">
        <v>257</v>
      </c>
      <c r="E842" s="339" t="s">
        <v>244</v>
      </c>
      <c r="F842" s="348">
        <v>75</v>
      </c>
      <c r="G842" s="339">
        <v>37</v>
      </c>
      <c r="H842" s="339">
        <v>17</v>
      </c>
      <c r="I842" s="339"/>
      <c r="J842" s="339"/>
      <c r="K842" s="339"/>
      <c r="L842" s="340"/>
    </row>
    <row r="843" spans="1:12" x14ac:dyDescent="0.3">
      <c r="A843" s="339">
        <v>10</v>
      </c>
      <c r="B843" s="339" t="s">
        <v>245</v>
      </c>
      <c r="C843" s="339" t="s">
        <v>248</v>
      </c>
      <c r="D843" s="339" t="s">
        <v>257</v>
      </c>
      <c r="E843" s="339" t="s">
        <v>244</v>
      </c>
      <c r="F843" s="348">
        <v>196</v>
      </c>
      <c r="G843" s="339">
        <v>55</v>
      </c>
      <c r="H843" s="339">
        <v>16</v>
      </c>
      <c r="I843" s="339"/>
      <c r="J843" s="339"/>
      <c r="K843" s="339"/>
      <c r="L843" s="340"/>
    </row>
    <row r="844" spans="1:12" x14ac:dyDescent="0.3">
      <c r="A844" s="339">
        <v>11</v>
      </c>
      <c r="B844" s="339" t="s">
        <v>245</v>
      </c>
      <c r="C844" s="339" t="s">
        <v>248</v>
      </c>
      <c r="D844" s="339" t="s">
        <v>257</v>
      </c>
      <c r="E844" s="339" t="s">
        <v>244</v>
      </c>
      <c r="F844" s="348">
        <v>296</v>
      </c>
      <c r="G844" s="339">
        <v>80</v>
      </c>
      <c r="H844" s="339">
        <v>22</v>
      </c>
      <c r="I844" s="339"/>
      <c r="J844" s="339"/>
      <c r="K844" s="339"/>
      <c r="L844" s="340"/>
    </row>
    <row r="845" spans="1:12" x14ac:dyDescent="0.3">
      <c r="A845" s="339">
        <v>12</v>
      </c>
      <c r="B845" s="339" t="s">
        <v>245</v>
      </c>
      <c r="C845" s="339" t="s">
        <v>248</v>
      </c>
      <c r="D845" s="339" t="s">
        <v>257</v>
      </c>
      <c r="E845" s="339" t="s">
        <v>244</v>
      </c>
      <c r="F845" s="348">
        <v>122</v>
      </c>
      <c r="G845" s="339">
        <v>11</v>
      </c>
      <c r="H845" s="339">
        <v>0</v>
      </c>
      <c r="I845" s="339"/>
      <c r="J845" s="339"/>
      <c r="K845" s="339"/>
      <c r="L845" s="340"/>
    </row>
    <row r="846" spans="1:12" x14ac:dyDescent="0.3">
      <c r="A846" s="339">
        <v>13</v>
      </c>
      <c r="B846" s="339" t="s">
        <v>245</v>
      </c>
      <c r="C846" s="339" t="s">
        <v>248</v>
      </c>
      <c r="D846" s="339" t="s">
        <v>257</v>
      </c>
      <c r="E846" s="339" t="s">
        <v>244</v>
      </c>
      <c r="F846" s="348">
        <v>55</v>
      </c>
      <c r="G846" s="339">
        <v>17</v>
      </c>
      <c r="H846" s="339">
        <v>8</v>
      </c>
      <c r="I846" s="339"/>
      <c r="J846" s="339"/>
      <c r="K846" s="339"/>
      <c r="L846" s="340"/>
    </row>
    <row r="847" spans="1:12" x14ac:dyDescent="0.3">
      <c r="A847" s="339">
        <v>14</v>
      </c>
      <c r="B847" s="339" t="s">
        <v>245</v>
      </c>
      <c r="C847" s="339" t="s">
        <v>248</v>
      </c>
      <c r="D847" s="339" t="s">
        <v>257</v>
      </c>
      <c r="E847" s="339" t="s">
        <v>244</v>
      </c>
      <c r="F847" s="348">
        <v>81</v>
      </c>
      <c r="G847" s="339">
        <v>21</v>
      </c>
      <c r="H847" s="339">
        <v>4</v>
      </c>
      <c r="I847" s="339"/>
      <c r="J847" s="339"/>
      <c r="K847" s="339"/>
      <c r="L847" s="340"/>
    </row>
    <row r="848" spans="1:12" x14ac:dyDescent="0.3">
      <c r="A848" s="339">
        <v>15</v>
      </c>
      <c r="B848" s="339" t="s">
        <v>245</v>
      </c>
      <c r="C848" s="339" t="s">
        <v>248</v>
      </c>
      <c r="D848" s="339" t="s">
        <v>257</v>
      </c>
      <c r="E848" s="339" t="s">
        <v>244</v>
      </c>
      <c r="F848" s="348">
        <v>114</v>
      </c>
      <c r="G848" s="339">
        <v>44</v>
      </c>
      <c r="H848" s="339">
        <v>15</v>
      </c>
      <c r="I848" s="339"/>
      <c r="J848" s="339"/>
      <c r="K848" s="339"/>
      <c r="L848" s="340"/>
    </row>
    <row r="849" spans="1:12" x14ac:dyDescent="0.3">
      <c r="A849" s="339">
        <v>16</v>
      </c>
      <c r="B849" s="339" t="s">
        <v>245</v>
      </c>
      <c r="C849" s="339" t="s">
        <v>248</v>
      </c>
      <c r="D849" s="339" t="s">
        <v>257</v>
      </c>
      <c r="E849" s="339" t="s">
        <v>244</v>
      </c>
      <c r="F849" s="348">
        <v>117</v>
      </c>
      <c r="G849" s="339">
        <v>58</v>
      </c>
      <c r="H849" s="339">
        <v>17</v>
      </c>
      <c r="I849" s="339"/>
      <c r="J849" s="339"/>
      <c r="K849" s="339"/>
      <c r="L849" s="340"/>
    </row>
    <row r="850" spans="1:12" x14ac:dyDescent="0.3">
      <c r="A850" s="339">
        <v>17</v>
      </c>
      <c r="B850" s="339" t="s">
        <v>245</v>
      </c>
      <c r="C850" s="339" t="s">
        <v>248</v>
      </c>
      <c r="D850" s="339" t="s">
        <v>257</v>
      </c>
      <c r="E850" s="339" t="s">
        <v>244</v>
      </c>
      <c r="F850" s="348">
        <v>67</v>
      </c>
      <c r="G850" s="339">
        <v>13</v>
      </c>
      <c r="H850" s="339">
        <v>2</v>
      </c>
      <c r="I850" s="339"/>
      <c r="J850" s="339"/>
      <c r="K850" s="339"/>
      <c r="L850" s="340"/>
    </row>
    <row r="851" spans="1:12" x14ac:dyDescent="0.3">
      <c r="A851" s="339">
        <v>18</v>
      </c>
      <c r="B851" s="339" t="s">
        <v>245</v>
      </c>
      <c r="C851" s="339" t="s">
        <v>248</v>
      </c>
      <c r="D851" s="339" t="s">
        <v>257</v>
      </c>
      <c r="E851" s="339" t="s">
        <v>244</v>
      </c>
      <c r="F851" s="348">
        <v>58</v>
      </c>
      <c r="G851" s="339">
        <v>25</v>
      </c>
      <c r="H851" s="339">
        <v>8</v>
      </c>
      <c r="I851" s="339"/>
      <c r="J851" s="339"/>
      <c r="K851" s="339"/>
      <c r="L851" s="340"/>
    </row>
    <row r="852" spans="1:12" x14ac:dyDescent="0.3">
      <c r="A852" s="339">
        <v>19</v>
      </c>
      <c r="B852" s="339" t="s">
        <v>245</v>
      </c>
      <c r="C852" s="339" t="s">
        <v>248</v>
      </c>
      <c r="D852" s="339" t="s">
        <v>257</v>
      </c>
      <c r="E852" s="339" t="s">
        <v>244</v>
      </c>
      <c r="F852" s="348">
        <v>70</v>
      </c>
      <c r="G852" s="339">
        <v>13</v>
      </c>
      <c r="H852" s="339">
        <v>10</v>
      </c>
      <c r="I852" s="339"/>
      <c r="J852" s="339"/>
      <c r="K852" s="339"/>
      <c r="L852" s="340"/>
    </row>
    <row r="853" spans="1:12" x14ac:dyDescent="0.3">
      <c r="A853" s="339">
        <v>20</v>
      </c>
      <c r="B853" s="339" t="s">
        <v>245</v>
      </c>
      <c r="C853" s="339" t="s">
        <v>248</v>
      </c>
      <c r="D853" s="339" t="s">
        <v>257</v>
      </c>
      <c r="E853" s="339" t="s">
        <v>244</v>
      </c>
      <c r="F853" s="348">
        <v>83</v>
      </c>
      <c r="G853" s="339">
        <v>36</v>
      </c>
      <c r="H853" s="339">
        <v>8</v>
      </c>
      <c r="I853" s="339"/>
      <c r="J853" s="339"/>
      <c r="K853" s="339"/>
      <c r="L853" s="340"/>
    </row>
    <row r="854" spans="1:12" x14ac:dyDescent="0.3">
      <c r="A854" s="339">
        <v>21</v>
      </c>
      <c r="B854" s="339" t="s">
        <v>245</v>
      </c>
      <c r="C854" s="339" t="s">
        <v>248</v>
      </c>
      <c r="D854" s="339" t="s">
        <v>257</v>
      </c>
      <c r="E854" s="339" t="s">
        <v>244</v>
      </c>
      <c r="F854" s="348">
        <v>107</v>
      </c>
      <c r="G854" s="339">
        <v>40</v>
      </c>
      <c r="H854" s="339">
        <v>14</v>
      </c>
      <c r="I854" s="339"/>
      <c r="J854" s="339"/>
      <c r="K854" s="339"/>
      <c r="L854" s="340"/>
    </row>
    <row r="855" spans="1:12" x14ac:dyDescent="0.3">
      <c r="A855" s="339">
        <v>22</v>
      </c>
      <c r="B855" s="339" t="s">
        <v>245</v>
      </c>
      <c r="C855" s="339" t="s">
        <v>248</v>
      </c>
      <c r="D855" s="339" t="s">
        <v>257</v>
      </c>
      <c r="E855" s="339" t="s">
        <v>244</v>
      </c>
      <c r="F855" s="348">
        <v>129</v>
      </c>
      <c r="G855" s="339">
        <v>14</v>
      </c>
      <c r="H855" s="339">
        <v>2</v>
      </c>
      <c r="I855" s="339"/>
      <c r="J855" s="339"/>
      <c r="K855" s="339"/>
      <c r="L855" s="340"/>
    </row>
    <row r="856" spans="1:12" x14ac:dyDescent="0.3">
      <c r="A856" s="339">
        <v>23</v>
      </c>
      <c r="B856" s="339" t="s">
        <v>245</v>
      </c>
      <c r="C856" s="339" t="s">
        <v>248</v>
      </c>
      <c r="D856" s="339" t="s">
        <v>257</v>
      </c>
      <c r="E856" s="339" t="s">
        <v>244</v>
      </c>
      <c r="F856" s="348">
        <v>125</v>
      </c>
      <c r="G856" s="339">
        <v>24</v>
      </c>
      <c r="H856" s="339">
        <v>8</v>
      </c>
      <c r="I856" s="339"/>
      <c r="J856" s="339"/>
      <c r="K856" s="339"/>
      <c r="L856" s="340"/>
    </row>
    <row r="857" spans="1:12" x14ac:dyDescent="0.3">
      <c r="A857" s="339">
        <v>24</v>
      </c>
      <c r="B857" s="339" t="s">
        <v>245</v>
      </c>
      <c r="C857" s="339" t="s">
        <v>248</v>
      </c>
      <c r="D857" s="339" t="s">
        <v>257</v>
      </c>
      <c r="E857" s="339" t="s">
        <v>244</v>
      </c>
      <c r="F857" s="348">
        <v>161</v>
      </c>
      <c r="G857" s="339">
        <v>6</v>
      </c>
      <c r="H857" s="339">
        <v>8</v>
      </c>
      <c r="I857" s="339"/>
      <c r="J857" s="339"/>
      <c r="K857" s="339"/>
      <c r="L857" s="340"/>
    </row>
    <row r="858" spans="1:12" x14ac:dyDescent="0.3">
      <c r="A858" s="339">
        <v>25</v>
      </c>
      <c r="B858" s="339" t="s">
        <v>245</v>
      </c>
      <c r="C858" s="339" t="s">
        <v>248</v>
      </c>
      <c r="D858" s="339" t="s">
        <v>257</v>
      </c>
      <c r="E858" s="339" t="s">
        <v>244</v>
      </c>
      <c r="F858" s="348">
        <v>181</v>
      </c>
      <c r="G858" s="339">
        <v>25</v>
      </c>
      <c r="H858" s="339">
        <v>6</v>
      </c>
      <c r="I858" s="339"/>
      <c r="J858" s="339"/>
      <c r="K858" s="339"/>
      <c r="L858" s="340"/>
    </row>
    <row r="859" spans="1:12" x14ac:dyDescent="0.3">
      <c r="A859" s="339">
        <v>26</v>
      </c>
      <c r="B859" s="339" t="s">
        <v>245</v>
      </c>
      <c r="C859" s="339" t="s">
        <v>248</v>
      </c>
      <c r="D859" s="339" t="s">
        <v>257</v>
      </c>
      <c r="E859" s="339" t="s">
        <v>244</v>
      </c>
      <c r="F859" s="348">
        <v>182</v>
      </c>
      <c r="G859" s="339">
        <v>31</v>
      </c>
      <c r="H859" s="339">
        <v>7</v>
      </c>
      <c r="I859" s="339"/>
      <c r="J859" s="339"/>
      <c r="K859" s="339"/>
      <c r="L859" s="340"/>
    </row>
    <row r="860" spans="1:12" x14ac:dyDescent="0.3">
      <c r="A860" s="339">
        <v>27</v>
      </c>
      <c r="B860" s="339" t="s">
        <v>245</v>
      </c>
      <c r="C860" s="339" t="s">
        <v>248</v>
      </c>
      <c r="D860" s="339" t="s">
        <v>257</v>
      </c>
      <c r="E860" s="339" t="s">
        <v>244</v>
      </c>
      <c r="F860" s="348">
        <v>145</v>
      </c>
      <c r="G860" s="339">
        <v>16</v>
      </c>
      <c r="H860" s="339">
        <v>3</v>
      </c>
      <c r="I860" s="339"/>
      <c r="J860" s="339"/>
      <c r="K860" s="357">
        <v>0.999023353507831</v>
      </c>
      <c r="L860" s="361">
        <f>10^K860</f>
        <v>9.977537150285686</v>
      </c>
    </row>
    <row r="861" spans="1:12" x14ac:dyDescent="0.3">
      <c r="A861" s="339">
        <v>28</v>
      </c>
      <c r="B861" s="339" t="s">
        <v>245</v>
      </c>
      <c r="C861" s="339" t="s">
        <v>248</v>
      </c>
      <c r="D861" s="339" t="s">
        <v>257</v>
      </c>
      <c r="E861" s="339" t="s">
        <v>244</v>
      </c>
      <c r="F861" s="348">
        <v>168</v>
      </c>
      <c r="G861" s="339">
        <v>23</v>
      </c>
      <c r="H861" s="339">
        <v>5</v>
      </c>
      <c r="I861" s="339"/>
      <c r="J861" s="339"/>
      <c r="K861" s="339"/>
      <c r="L861" s="361"/>
    </row>
    <row r="862" spans="1:12" x14ac:dyDescent="0.3">
      <c r="A862" s="339">
        <v>29</v>
      </c>
      <c r="B862" s="339" t="s">
        <v>245</v>
      </c>
      <c r="C862" s="339" t="s">
        <v>248</v>
      </c>
      <c r="D862" s="339" t="s">
        <v>257</v>
      </c>
      <c r="E862" s="339" t="s">
        <v>244</v>
      </c>
      <c r="F862" s="348">
        <v>245</v>
      </c>
      <c r="G862" s="339">
        <v>10</v>
      </c>
      <c r="H862" s="339">
        <v>3</v>
      </c>
      <c r="I862" s="339"/>
      <c r="J862" s="339"/>
      <c r="K862" s="357">
        <v>2.3250441493153531</v>
      </c>
      <c r="L862" s="361">
        <f t="shared" ref="L862:L882" si="15">10^K862</f>
        <v>211.37039028868392</v>
      </c>
    </row>
    <row r="863" spans="1:12" x14ac:dyDescent="0.3">
      <c r="A863" s="339">
        <v>30</v>
      </c>
      <c r="B863" s="339" t="s">
        <v>245</v>
      </c>
      <c r="C863" s="339" t="s">
        <v>248</v>
      </c>
      <c r="D863" s="339" t="s">
        <v>257</v>
      </c>
      <c r="E863" s="339" t="s">
        <v>244</v>
      </c>
      <c r="F863" s="348">
        <v>222</v>
      </c>
      <c r="G863" s="339">
        <v>14</v>
      </c>
      <c r="H863" s="339">
        <v>2</v>
      </c>
      <c r="I863" s="339"/>
      <c r="J863" s="339"/>
      <c r="K863" s="339"/>
      <c r="L863" s="361"/>
    </row>
    <row r="864" spans="1:12" x14ac:dyDescent="0.3">
      <c r="A864" s="339">
        <v>31</v>
      </c>
      <c r="B864" s="339" t="s">
        <v>245</v>
      </c>
      <c r="C864" s="339" t="s">
        <v>248</v>
      </c>
      <c r="D864" s="339" t="s">
        <v>257</v>
      </c>
      <c r="E864" s="339" t="s">
        <v>244</v>
      </c>
      <c r="F864" s="348">
        <v>403</v>
      </c>
      <c r="G864" s="339">
        <v>36</v>
      </c>
      <c r="H864" s="339">
        <v>11</v>
      </c>
      <c r="I864" s="339"/>
      <c r="J864" s="339"/>
      <c r="K864" s="357">
        <v>2.3819779351279671</v>
      </c>
      <c r="L864" s="361">
        <f t="shared" si="15"/>
        <v>240.97829935502037</v>
      </c>
    </row>
    <row r="865" spans="1:12" x14ac:dyDescent="0.3">
      <c r="A865" s="339">
        <v>32</v>
      </c>
      <c r="B865" s="339" t="s">
        <v>245</v>
      </c>
      <c r="C865" s="339" t="s">
        <v>248</v>
      </c>
      <c r="D865" s="339" t="s">
        <v>257</v>
      </c>
      <c r="E865" s="339" t="s">
        <v>244</v>
      </c>
      <c r="F865" s="348">
        <v>478</v>
      </c>
      <c r="G865" s="339">
        <v>15</v>
      </c>
      <c r="H865" s="339">
        <v>1</v>
      </c>
      <c r="I865" s="339"/>
      <c r="J865" s="339"/>
      <c r="K865" s="339"/>
      <c r="L865" s="361"/>
    </row>
    <row r="866" spans="1:12" x14ac:dyDescent="0.3">
      <c r="A866" s="339">
        <v>33</v>
      </c>
      <c r="B866" s="339" t="s">
        <v>245</v>
      </c>
      <c r="C866" s="339" t="s">
        <v>248</v>
      </c>
      <c r="D866" s="339" t="s">
        <v>257</v>
      </c>
      <c r="E866" s="339" t="s">
        <v>244</v>
      </c>
      <c r="F866" s="348">
        <v>507</v>
      </c>
      <c r="G866" s="339">
        <v>6</v>
      </c>
      <c r="H866" s="339">
        <v>5</v>
      </c>
      <c r="I866" s="339"/>
      <c r="J866" s="339"/>
      <c r="K866" s="357">
        <v>3.4321577639727185</v>
      </c>
      <c r="L866" s="361">
        <f t="shared" si="15"/>
        <v>2704.9407958984375</v>
      </c>
    </row>
    <row r="867" spans="1:12" x14ac:dyDescent="0.3">
      <c r="A867" s="339">
        <v>34</v>
      </c>
      <c r="B867" s="339" t="s">
        <v>245</v>
      </c>
      <c r="C867" s="339" t="s">
        <v>248</v>
      </c>
      <c r="D867" s="339" t="s">
        <v>257</v>
      </c>
      <c r="E867" s="339" t="s">
        <v>244</v>
      </c>
      <c r="F867" s="348">
        <v>341</v>
      </c>
      <c r="G867" s="339">
        <v>8</v>
      </c>
      <c r="H867" s="339">
        <v>4</v>
      </c>
      <c r="I867" s="339"/>
      <c r="J867" s="339"/>
      <c r="K867" s="339"/>
      <c r="L867" s="361"/>
    </row>
    <row r="868" spans="1:12" x14ac:dyDescent="0.3">
      <c r="A868" s="339">
        <v>35</v>
      </c>
      <c r="B868" s="339" t="s">
        <v>245</v>
      </c>
      <c r="C868" s="339" t="s">
        <v>248</v>
      </c>
      <c r="D868" s="339" t="s">
        <v>257</v>
      </c>
      <c r="E868" s="339" t="s">
        <v>244</v>
      </c>
      <c r="F868" s="348">
        <v>269</v>
      </c>
      <c r="G868" s="339">
        <v>8</v>
      </c>
      <c r="H868" s="339">
        <v>6</v>
      </c>
      <c r="I868" s="339"/>
      <c r="J868" s="339"/>
      <c r="K868" s="339"/>
      <c r="L868" s="361"/>
    </row>
    <row r="869" spans="1:12" x14ac:dyDescent="0.3">
      <c r="A869" s="339">
        <v>36</v>
      </c>
      <c r="B869" s="339" t="s">
        <v>245</v>
      </c>
      <c r="C869" s="339" t="s">
        <v>248</v>
      </c>
      <c r="D869" s="339" t="s">
        <v>257</v>
      </c>
      <c r="E869" s="339" t="s">
        <v>244</v>
      </c>
      <c r="F869" s="348">
        <v>270</v>
      </c>
      <c r="G869" s="339">
        <v>26</v>
      </c>
      <c r="H869" s="339">
        <v>10</v>
      </c>
      <c r="I869" s="339"/>
      <c r="J869" s="339"/>
      <c r="K869" s="339"/>
      <c r="L869" s="361"/>
    </row>
    <row r="870" spans="1:12" x14ac:dyDescent="0.3">
      <c r="A870" s="339">
        <v>37</v>
      </c>
      <c r="B870" s="339" t="s">
        <v>245</v>
      </c>
      <c r="C870" s="339" t="s">
        <v>248</v>
      </c>
      <c r="D870" s="339" t="s">
        <v>257</v>
      </c>
      <c r="E870" s="339" t="s">
        <v>244</v>
      </c>
      <c r="F870" s="348">
        <v>205</v>
      </c>
      <c r="G870" s="339">
        <v>4</v>
      </c>
      <c r="H870" s="339">
        <v>1</v>
      </c>
      <c r="I870" s="339"/>
      <c r="J870" s="339"/>
      <c r="K870" s="339"/>
      <c r="L870" s="361"/>
    </row>
    <row r="871" spans="1:12" x14ac:dyDescent="0.3">
      <c r="A871" s="339">
        <v>38</v>
      </c>
      <c r="B871" s="339" t="s">
        <v>245</v>
      </c>
      <c r="C871" s="339" t="s">
        <v>248</v>
      </c>
      <c r="D871" s="339" t="s">
        <v>257</v>
      </c>
      <c r="E871" s="339" t="s">
        <v>244</v>
      </c>
      <c r="F871" s="348">
        <v>138</v>
      </c>
      <c r="G871" s="339">
        <v>6</v>
      </c>
      <c r="H871" s="339">
        <v>2</v>
      </c>
      <c r="I871" s="339"/>
      <c r="J871" s="339"/>
      <c r="K871" s="357">
        <v>2.5210674820736085</v>
      </c>
      <c r="L871" s="361">
        <f t="shared" si="15"/>
        <v>331.94603238786982</v>
      </c>
    </row>
    <row r="872" spans="1:12" x14ac:dyDescent="0.3">
      <c r="A872" s="339">
        <v>39</v>
      </c>
      <c r="B872" s="339" t="s">
        <v>245</v>
      </c>
      <c r="C872" s="339" t="s">
        <v>248</v>
      </c>
      <c r="D872" s="339" t="s">
        <v>257</v>
      </c>
      <c r="E872" s="339" t="s">
        <v>244</v>
      </c>
      <c r="F872" s="348">
        <v>80</v>
      </c>
      <c r="G872" s="339">
        <v>2</v>
      </c>
      <c r="H872" s="339">
        <v>1</v>
      </c>
      <c r="I872" s="339"/>
      <c r="J872" s="339"/>
      <c r="K872" s="339"/>
      <c r="L872" s="361"/>
    </row>
    <row r="873" spans="1:12" x14ac:dyDescent="0.3">
      <c r="A873" s="339">
        <v>40</v>
      </c>
      <c r="B873" s="339" t="s">
        <v>245</v>
      </c>
      <c r="C873" s="339" t="s">
        <v>248</v>
      </c>
      <c r="D873" s="339" t="s">
        <v>257</v>
      </c>
      <c r="E873" s="339" t="s">
        <v>244</v>
      </c>
      <c r="F873" s="348">
        <v>80</v>
      </c>
      <c r="G873" s="339">
        <v>19</v>
      </c>
      <c r="H873" s="339">
        <v>1</v>
      </c>
      <c r="I873" s="339"/>
      <c r="J873" s="339"/>
      <c r="K873" s="339"/>
      <c r="L873" s="361"/>
    </row>
    <row r="874" spans="1:12" x14ac:dyDescent="0.3">
      <c r="A874" s="339">
        <v>41</v>
      </c>
      <c r="B874" s="339" t="s">
        <v>245</v>
      </c>
      <c r="C874" s="339" t="s">
        <v>248</v>
      </c>
      <c r="D874" s="339" t="s">
        <v>257</v>
      </c>
      <c r="E874" s="339" t="s">
        <v>244</v>
      </c>
      <c r="F874" s="348">
        <v>50</v>
      </c>
      <c r="G874" s="339">
        <v>20</v>
      </c>
      <c r="H874" s="339">
        <v>6</v>
      </c>
      <c r="I874" s="339"/>
      <c r="J874" s="339"/>
      <c r="K874" s="357">
        <v>1.2862969028654661</v>
      </c>
      <c r="L874" s="361">
        <f t="shared" si="15"/>
        <v>19.332895473558093</v>
      </c>
    </row>
    <row r="875" spans="1:12" x14ac:dyDescent="0.3">
      <c r="A875" s="339">
        <v>42</v>
      </c>
      <c r="B875" s="339" t="s">
        <v>245</v>
      </c>
      <c r="C875" s="339" t="s">
        <v>248</v>
      </c>
      <c r="D875" s="339" t="s">
        <v>257</v>
      </c>
      <c r="E875" s="339" t="s">
        <v>244</v>
      </c>
      <c r="F875" s="348">
        <v>36</v>
      </c>
      <c r="G875" s="339">
        <v>8</v>
      </c>
      <c r="H875" s="339">
        <v>2</v>
      </c>
      <c r="I875" s="339"/>
      <c r="J875" s="339"/>
      <c r="K875" s="339"/>
      <c r="L875" s="361"/>
    </row>
    <row r="876" spans="1:12" x14ac:dyDescent="0.3">
      <c r="A876" s="339">
        <v>43</v>
      </c>
      <c r="B876" s="339" t="s">
        <v>245</v>
      </c>
      <c r="C876" s="339" t="s">
        <v>248</v>
      </c>
      <c r="D876" s="339" t="s">
        <v>257</v>
      </c>
      <c r="E876" s="339" t="s">
        <v>244</v>
      </c>
      <c r="F876" s="348">
        <v>24</v>
      </c>
      <c r="G876" s="339">
        <v>5</v>
      </c>
      <c r="H876" s="339">
        <v>1</v>
      </c>
      <c r="I876" s="339"/>
      <c r="J876" s="339"/>
      <c r="K876" s="357">
        <v>0</v>
      </c>
      <c r="L876" s="361">
        <f t="shared" si="15"/>
        <v>1</v>
      </c>
    </row>
    <row r="877" spans="1:12" x14ac:dyDescent="0.3">
      <c r="A877" s="339">
        <v>44</v>
      </c>
      <c r="B877" s="339" t="s">
        <v>245</v>
      </c>
      <c r="C877" s="339" t="s">
        <v>248</v>
      </c>
      <c r="D877" s="339" t="s">
        <v>257</v>
      </c>
      <c r="E877" s="339" t="s">
        <v>244</v>
      </c>
      <c r="F877" s="348">
        <v>7</v>
      </c>
      <c r="G877" s="339">
        <v>3</v>
      </c>
      <c r="H877" s="339">
        <v>0</v>
      </c>
      <c r="I877" s="339"/>
      <c r="J877" s="339"/>
      <c r="K877" s="339"/>
      <c r="L877" s="361"/>
    </row>
    <row r="878" spans="1:12" x14ac:dyDescent="0.3">
      <c r="A878" s="339">
        <v>45</v>
      </c>
      <c r="B878" s="339" t="s">
        <v>245</v>
      </c>
      <c r="C878" s="339" t="s">
        <v>248</v>
      </c>
      <c r="D878" s="339" t="s">
        <v>257</v>
      </c>
      <c r="E878" s="339" t="s">
        <v>244</v>
      </c>
      <c r="F878" s="348">
        <v>13</v>
      </c>
      <c r="G878" s="339">
        <v>7</v>
      </c>
      <c r="H878" s="339">
        <v>4</v>
      </c>
      <c r="I878" s="339"/>
      <c r="J878" s="339"/>
      <c r="K878" s="357">
        <v>0.93862962809120187</v>
      </c>
      <c r="L878" s="361">
        <f t="shared" si="15"/>
        <v>8.6821968458136745</v>
      </c>
    </row>
    <row r="879" spans="1:12" x14ac:dyDescent="0.3">
      <c r="A879" s="339">
        <v>46</v>
      </c>
      <c r="B879" s="339" t="s">
        <v>245</v>
      </c>
      <c r="C879" s="339" t="s">
        <v>248</v>
      </c>
      <c r="D879" s="339" t="s">
        <v>257</v>
      </c>
      <c r="E879" s="339" t="s">
        <v>244</v>
      </c>
      <c r="F879" s="348">
        <v>12</v>
      </c>
      <c r="G879" s="339">
        <v>22</v>
      </c>
      <c r="H879" s="339">
        <v>1</v>
      </c>
      <c r="I879" s="339"/>
      <c r="J879" s="339"/>
      <c r="K879" s="357">
        <v>0.41855346613074002</v>
      </c>
      <c r="L879" s="361">
        <f t="shared" si="15"/>
        <v>2.6215217551406553</v>
      </c>
    </row>
    <row r="880" spans="1:12" x14ac:dyDescent="0.3">
      <c r="A880" s="339">
        <v>47</v>
      </c>
      <c r="B880" s="339" t="s">
        <v>245</v>
      </c>
      <c r="C880" s="339" t="s">
        <v>248</v>
      </c>
      <c r="D880" s="339" t="s">
        <v>257</v>
      </c>
      <c r="E880" s="339" t="s">
        <v>244</v>
      </c>
      <c r="F880" s="348">
        <v>21</v>
      </c>
      <c r="G880" s="339">
        <v>6</v>
      </c>
      <c r="H880" s="339">
        <v>0</v>
      </c>
      <c r="I880" s="339"/>
      <c r="J880" s="339"/>
      <c r="K880" s="339"/>
      <c r="L880" s="361"/>
    </row>
    <row r="881" spans="1:12" x14ac:dyDescent="0.3">
      <c r="A881" s="339">
        <v>48</v>
      </c>
      <c r="B881" s="339" t="s">
        <v>245</v>
      </c>
      <c r="C881" s="339" t="s">
        <v>248</v>
      </c>
      <c r="D881" s="339" t="s">
        <v>257</v>
      </c>
      <c r="E881" s="339" t="s">
        <v>244</v>
      </c>
      <c r="F881" s="348">
        <v>17</v>
      </c>
      <c r="G881" s="339">
        <v>5</v>
      </c>
      <c r="H881" s="339">
        <v>2</v>
      </c>
      <c r="I881" s="339"/>
      <c r="J881" s="339"/>
      <c r="K881" s="339"/>
      <c r="L881" s="361"/>
    </row>
    <row r="882" spans="1:12" x14ac:dyDescent="0.3">
      <c r="A882" s="339">
        <v>49</v>
      </c>
      <c r="B882" s="339" t="s">
        <v>245</v>
      </c>
      <c r="C882" s="339" t="s">
        <v>248</v>
      </c>
      <c r="D882" s="339" t="s">
        <v>257</v>
      </c>
      <c r="E882" s="339" t="s">
        <v>244</v>
      </c>
      <c r="F882" s="348">
        <v>33</v>
      </c>
      <c r="G882" s="339">
        <v>1</v>
      </c>
      <c r="H882" s="339">
        <v>0</v>
      </c>
      <c r="I882" s="339"/>
      <c r="J882" s="339"/>
      <c r="K882" s="357">
        <v>0.60082262619244997</v>
      </c>
      <c r="L882" s="361">
        <f t="shared" si="15"/>
        <v>3.9886196657102939</v>
      </c>
    </row>
    <row r="883" spans="1:12" x14ac:dyDescent="0.3">
      <c r="A883" s="339">
        <v>50</v>
      </c>
      <c r="B883" s="339" t="s">
        <v>245</v>
      </c>
      <c r="C883" s="339" t="s">
        <v>248</v>
      </c>
      <c r="D883" s="339" t="s">
        <v>257</v>
      </c>
      <c r="E883" s="339" t="s">
        <v>244</v>
      </c>
      <c r="F883" s="348">
        <v>75</v>
      </c>
      <c r="G883" s="339">
        <v>12</v>
      </c>
      <c r="H883" s="339">
        <v>1</v>
      </c>
      <c r="I883" s="339"/>
      <c r="J883" s="339"/>
      <c r="K883" s="339"/>
      <c r="L883" s="340"/>
    </row>
    <row r="884" spans="1:12" x14ac:dyDescent="0.3">
      <c r="A884" s="339">
        <v>51</v>
      </c>
      <c r="B884" s="339" t="s">
        <v>245</v>
      </c>
      <c r="C884" s="339" t="s">
        <v>248</v>
      </c>
      <c r="D884" s="339" t="s">
        <v>257</v>
      </c>
      <c r="E884" s="339" t="s">
        <v>244</v>
      </c>
      <c r="F884" s="348">
        <v>148</v>
      </c>
      <c r="G884" s="339">
        <v>28</v>
      </c>
      <c r="H884" s="339">
        <v>3</v>
      </c>
      <c r="I884" s="339"/>
      <c r="J884" s="339"/>
      <c r="K884" s="339"/>
      <c r="L884" s="340"/>
    </row>
    <row r="885" spans="1:12" x14ac:dyDescent="0.3">
      <c r="A885" s="339">
        <v>52</v>
      </c>
      <c r="B885" s="339" t="s">
        <v>245</v>
      </c>
      <c r="C885" s="339" t="s">
        <v>248</v>
      </c>
      <c r="D885" s="339" t="s">
        <v>257</v>
      </c>
      <c r="E885" s="339" t="s">
        <v>244</v>
      </c>
      <c r="F885" s="348">
        <v>219</v>
      </c>
      <c r="G885" s="339">
        <v>8</v>
      </c>
      <c r="H885" s="339">
        <v>1</v>
      </c>
      <c r="I885" s="339"/>
      <c r="J885" s="339"/>
      <c r="K885" s="339"/>
      <c r="L885" s="340"/>
    </row>
    <row r="886" spans="1:12" s="151" customFormat="1" x14ac:dyDescent="0.3">
      <c r="A886" s="275"/>
      <c r="B886" s="275"/>
      <c r="C886" s="275"/>
      <c r="D886" s="275"/>
      <c r="E886" s="275"/>
      <c r="F886" s="351"/>
      <c r="G886" s="275"/>
      <c r="H886" s="275"/>
      <c r="I886" s="275"/>
      <c r="J886" s="275"/>
      <c r="K886" s="275"/>
      <c r="L886" s="352"/>
    </row>
    <row r="887" spans="1:12" s="151" customFormat="1" x14ac:dyDescent="0.3">
      <c r="A887" s="275"/>
      <c r="B887" s="275"/>
      <c r="C887" s="275"/>
      <c r="D887" s="275"/>
      <c r="E887" s="275"/>
      <c r="F887" s="351"/>
      <c r="G887" s="275"/>
      <c r="H887" s="275"/>
      <c r="I887" s="275"/>
      <c r="J887" s="275"/>
      <c r="K887" s="275"/>
      <c r="L887" s="352"/>
    </row>
    <row r="888" spans="1:12" s="151" customFormat="1" x14ac:dyDescent="0.3">
      <c r="A888" s="275"/>
      <c r="B888" s="275"/>
      <c r="C888" s="275"/>
      <c r="D888" s="275"/>
      <c r="E888" s="275"/>
      <c r="F888" s="351"/>
      <c r="G888" s="275"/>
      <c r="H888" s="275"/>
      <c r="I888" s="275"/>
      <c r="J888" s="275"/>
      <c r="K888" s="275"/>
      <c r="L888" s="352"/>
    </row>
    <row r="889" spans="1:12" s="151" customFormat="1" x14ac:dyDescent="0.3">
      <c r="A889" s="275"/>
      <c r="B889" s="275"/>
      <c r="C889" s="275"/>
      <c r="D889" s="275"/>
      <c r="E889" s="275"/>
      <c r="F889" s="351"/>
      <c r="G889" s="275"/>
      <c r="H889" s="275"/>
      <c r="I889" s="275"/>
      <c r="J889" s="275"/>
      <c r="K889" s="275"/>
      <c r="L889" s="352"/>
    </row>
    <row r="890" spans="1:12" s="151" customFormat="1" x14ac:dyDescent="0.3">
      <c r="A890" s="275"/>
      <c r="B890" s="275"/>
      <c r="C890" s="275"/>
      <c r="D890" s="275"/>
      <c r="E890" s="275"/>
      <c r="F890" s="351"/>
      <c r="G890" s="275"/>
      <c r="H890" s="275"/>
      <c r="I890" s="275"/>
      <c r="J890" s="275"/>
      <c r="K890" s="275"/>
      <c r="L890" s="352"/>
    </row>
    <row r="891" spans="1:12" s="151" customFormat="1" x14ac:dyDescent="0.3">
      <c r="A891" s="275"/>
      <c r="B891" s="275"/>
      <c r="C891" s="275"/>
      <c r="D891" s="275"/>
      <c r="E891" s="275"/>
      <c r="F891" s="351"/>
      <c r="G891" s="275"/>
      <c r="H891" s="275"/>
      <c r="I891" s="275"/>
      <c r="J891" s="275"/>
      <c r="K891" s="275"/>
      <c r="L891" s="352"/>
    </row>
    <row r="892" spans="1:12" s="151" customFormat="1" x14ac:dyDescent="0.3">
      <c r="A892" s="275"/>
      <c r="B892" s="275"/>
      <c r="C892" s="275"/>
      <c r="D892" s="275"/>
      <c r="E892" s="275"/>
      <c r="F892" s="351"/>
      <c r="G892" s="275"/>
      <c r="H892" s="275"/>
      <c r="I892" s="275"/>
      <c r="J892" s="275"/>
      <c r="K892" s="275"/>
      <c r="L892" s="352"/>
    </row>
    <row r="893" spans="1:12" s="151" customFormat="1" x14ac:dyDescent="0.3">
      <c r="A893" s="275"/>
      <c r="B893" s="275"/>
      <c r="C893" s="275"/>
      <c r="D893" s="275"/>
      <c r="E893" s="275"/>
      <c r="F893" s="351"/>
      <c r="G893" s="275"/>
      <c r="H893" s="275"/>
      <c r="I893" s="275"/>
      <c r="J893" s="275"/>
      <c r="K893" s="275"/>
      <c r="L893" s="352"/>
    </row>
    <row r="894" spans="1:12" s="151" customFormat="1" x14ac:dyDescent="0.3">
      <c r="A894" s="275"/>
      <c r="B894" s="275"/>
      <c r="C894" s="275"/>
      <c r="D894" s="275"/>
      <c r="E894" s="275"/>
      <c r="F894" s="351"/>
      <c r="G894" s="275"/>
      <c r="H894" s="275"/>
      <c r="I894" s="275"/>
      <c r="J894" s="275"/>
      <c r="K894" s="275"/>
      <c r="L894" s="352"/>
    </row>
    <row r="895" spans="1:12" s="151" customFormat="1" x14ac:dyDescent="0.3">
      <c r="A895" s="275"/>
      <c r="B895" s="275"/>
      <c r="C895" s="275"/>
      <c r="D895" s="275"/>
      <c r="E895" s="275"/>
      <c r="F895" s="351"/>
      <c r="G895" s="275"/>
      <c r="H895" s="275"/>
      <c r="I895" s="275"/>
      <c r="J895" s="275"/>
      <c r="K895" s="275"/>
      <c r="L895" s="352"/>
    </row>
    <row r="896" spans="1:12" s="151" customFormat="1" x14ac:dyDescent="0.3">
      <c r="A896" s="275"/>
      <c r="B896" s="275"/>
      <c r="C896" s="275"/>
      <c r="D896" s="275"/>
      <c r="E896" s="275"/>
      <c r="F896" s="351"/>
      <c r="G896" s="275"/>
      <c r="H896" s="275"/>
      <c r="I896" s="275"/>
      <c r="J896" s="275"/>
      <c r="K896" s="275"/>
      <c r="L896" s="352"/>
    </row>
    <row r="897" spans="1:12" s="151" customFormat="1" x14ac:dyDescent="0.3">
      <c r="A897" s="275"/>
      <c r="B897" s="275"/>
      <c r="C897" s="275"/>
      <c r="D897" s="275"/>
      <c r="E897" s="275"/>
      <c r="F897" s="351"/>
      <c r="G897" s="275"/>
      <c r="H897" s="275"/>
      <c r="I897" s="275"/>
      <c r="J897" s="275"/>
      <c r="K897" s="275"/>
      <c r="L897" s="352"/>
    </row>
    <row r="898" spans="1:12" s="151" customFormat="1" x14ac:dyDescent="0.3">
      <c r="A898" s="275"/>
      <c r="B898" s="275"/>
      <c r="C898" s="275"/>
      <c r="D898" s="275"/>
      <c r="E898" s="275"/>
      <c r="F898" s="351"/>
      <c r="G898" s="275"/>
      <c r="H898" s="275"/>
      <c r="I898" s="275"/>
      <c r="J898" s="275"/>
      <c r="K898" s="275"/>
      <c r="L898" s="352"/>
    </row>
    <row r="899" spans="1:12" s="151" customFormat="1" x14ac:dyDescent="0.3">
      <c r="A899" s="275"/>
      <c r="B899" s="275"/>
      <c r="C899" s="275"/>
      <c r="D899" s="275"/>
      <c r="E899" s="275"/>
      <c r="F899" s="351"/>
      <c r="G899" s="275"/>
      <c r="H899" s="275"/>
      <c r="I899" s="275"/>
      <c r="J899" s="275"/>
      <c r="K899" s="275"/>
      <c r="L899" s="352"/>
    </row>
    <row r="900" spans="1:12" s="151" customFormat="1" x14ac:dyDescent="0.3">
      <c r="A900" s="275"/>
      <c r="B900" s="275"/>
      <c r="C900" s="275"/>
      <c r="D900" s="275"/>
      <c r="E900" s="275"/>
      <c r="F900" s="351"/>
      <c r="G900" s="275"/>
      <c r="H900" s="275"/>
      <c r="I900" s="275"/>
      <c r="J900" s="275"/>
      <c r="K900" s="275"/>
      <c r="L900" s="352"/>
    </row>
    <row r="901" spans="1:12" s="151" customFormat="1" x14ac:dyDescent="0.3">
      <c r="A901" s="275"/>
      <c r="B901" s="275"/>
      <c r="C901" s="275"/>
      <c r="D901" s="275"/>
      <c r="E901" s="275"/>
      <c r="F901" s="351"/>
      <c r="G901" s="275"/>
      <c r="H901" s="275"/>
      <c r="I901" s="275"/>
      <c r="J901" s="275"/>
      <c r="K901" s="275"/>
      <c r="L901" s="352"/>
    </row>
    <row r="902" spans="1:12" s="151" customFormat="1" x14ac:dyDescent="0.3">
      <c r="A902" s="275"/>
      <c r="B902" s="275"/>
      <c r="C902" s="275"/>
      <c r="D902" s="275"/>
      <c r="E902" s="275"/>
      <c r="F902" s="351"/>
      <c r="G902" s="275"/>
      <c r="H902" s="275"/>
      <c r="I902" s="275"/>
      <c r="J902" s="275"/>
      <c r="K902" s="275"/>
      <c r="L902" s="352"/>
    </row>
    <row r="903" spans="1:12" s="151" customFormat="1" x14ac:dyDescent="0.3">
      <c r="A903" s="275"/>
      <c r="B903" s="275"/>
      <c r="C903" s="275"/>
      <c r="D903" s="275"/>
      <c r="E903" s="275"/>
      <c r="F903" s="351"/>
      <c r="G903" s="275"/>
      <c r="H903" s="275"/>
      <c r="I903" s="275"/>
      <c r="J903" s="275"/>
      <c r="K903" s="275"/>
      <c r="L903" s="352"/>
    </row>
    <row r="904" spans="1:12" s="151" customFormat="1" x14ac:dyDescent="0.3">
      <c r="A904" s="275"/>
      <c r="B904" s="275"/>
      <c r="C904" s="275"/>
      <c r="D904" s="275"/>
      <c r="E904" s="275"/>
      <c r="F904" s="351"/>
      <c r="G904" s="275"/>
      <c r="H904" s="275"/>
      <c r="I904" s="275"/>
      <c r="J904" s="275"/>
      <c r="K904" s="275"/>
      <c r="L904" s="352"/>
    </row>
    <row r="905" spans="1:12" s="151" customFormat="1" x14ac:dyDescent="0.3">
      <c r="A905" s="275"/>
      <c r="B905" s="275"/>
      <c r="C905" s="275"/>
      <c r="D905" s="275"/>
      <c r="E905" s="275"/>
      <c r="F905" s="351"/>
      <c r="G905" s="275"/>
      <c r="H905" s="275"/>
      <c r="I905" s="275"/>
      <c r="J905" s="275"/>
      <c r="K905" s="275"/>
      <c r="L905" s="352"/>
    </row>
    <row r="906" spans="1:12" s="151" customFormat="1" x14ac:dyDescent="0.3">
      <c r="A906" s="275"/>
      <c r="B906" s="275"/>
      <c r="C906" s="275"/>
      <c r="D906" s="275"/>
      <c r="E906" s="275"/>
      <c r="F906" s="351"/>
      <c r="G906" s="275"/>
      <c r="H906" s="275"/>
      <c r="I906" s="275"/>
      <c r="J906" s="275"/>
      <c r="K906" s="275"/>
      <c r="L906" s="352"/>
    </row>
    <row r="907" spans="1:12" s="151" customFormat="1" x14ac:dyDescent="0.3">
      <c r="A907" s="275"/>
      <c r="B907" s="275"/>
      <c r="C907" s="275"/>
      <c r="D907" s="275"/>
      <c r="E907" s="275"/>
      <c r="F907" s="351"/>
      <c r="G907" s="275"/>
      <c r="H907" s="275"/>
      <c r="I907" s="275"/>
      <c r="J907" s="275"/>
      <c r="K907" s="275"/>
      <c r="L907" s="352"/>
    </row>
    <row r="908" spans="1:12" s="151" customFormat="1" x14ac:dyDescent="0.3">
      <c r="A908" s="275"/>
      <c r="B908" s="275"/>
      <c r="C908" s="275"/>
      <c r="D908" s="275"/>
      <c r="E908" s="275"/>
      <c r="F908" s="351"/>
      <c r="G908" s="275"/>
      <c r="H908" s="275"/>
      <c r="I908" s="275"/>
      <c r="J908" s="275"/>
      <c r="K908" s="275"/>
      <c r="L908" s="352"/>
    </row>
    <row r="909" spans="1:12" s="151" customFormat="1" x14ac:dyDescent="0.3">
      <c r="A909" s="275"/>
      <c r="B909" s="275"/>
      <c r="C909" s="275"/>
      <c r="D909" s="275"/>
      <c r="E909" s="275"/>
      <c r="F909" s="351"/>
      <c r="G909" s="275"/>
      <c r="H909" s="275"/>
      <c r="I909" s="275"/>
      <c r="J909" s="275"/>
      <c r="K909" s="275"/>
      <c r="L909" s="352"/>
    </row>
    <row r="910" spans="1:12" s="151" customFormat="1" x14ac:dyDescent="0.3">
      <c r="A910" s="275"/>
      <c r="B910" s="275"/>
      <c r="C910" s="275"/>
      <c r="D910" s="275"/>
      <c r="E910" s="275"/>
      <c r="F910" s="351"/>
      <c r="G910" s="275"/>
      <c r="H910" s="275"/>
      <c r="I910" s="275"/>
      <c r="J910" s="275"/>
      <c r="K910" s="275"/>
      <c r="L910" s="352"/>
    </row>
    <row r="911" spans="1:12" s="151" customFormat="1" x14ac:dyDescent="0.3">
      <c r="A911" s="275"/>
      <c r="B911" s="275"/>
      <c r="C911" s="275"/>
      <c r="D911" s="275"/>
      <c r="E911" s="275"/>
      <c r="F911" s="351"/>
      <c r="G911" s="275"/>
      <c r="H911" s="275"/>
      <c r="I911" s="275"/>
      <c r="J911" s="275"/>
      <c r="K911" s="275"/>
      <c r="L911" s="352"/>
    </row>
    <row r="912" spans="1:12" s="151" customFormat="1" x14ac:dyDescent="0.3">
      <c r="A912" s="275"/>
      <c r="B912" s="275"/>
      <c r="C912" s="275"/>
      <c r="D912" s="275"/>
      <c r="E912" s="275"/>
      <c r="F912" s="351"/>
      <c r="G912" s="275"/>
      <c r="H912" s="275"/>
      <c r="I912" s="275"/>
      <c r="J912" s="275"/>
      <c r="K912" s="275"/>
      <c r="L912" s="352"/>
    </row>
    <row r="913" spans="1:12" s="151" customFormat="1" x14ac:dyDescent="0.3">
      <c r="A913" s="275"/>
      <c r="B913" s="275"/>
      <c r="C913" s="275"/>
      <c r="D913" s="275"/>
      <c r="E913" s="275"/>
      <c r="F913" s="351"/>
      <c r="G913" s="275"/>
      <c r="H913" s="275"/>
      <c r="I913" s="275"/>
      <c r="J913" s="275"/>
      <c r="K913" s="275"/>
      <c r="L913" s="352"/>
    </row>
    <row r="914" spans="1:12" s="151" customFormat="1" x14ac:dyDescent="0.3">
      <c r="A914" s="275"/>
      <c r="B914" s="275"/>
      <c r="C914" s="275"/>
      <c r="D914" s="275"/>
      <c r="E914" s="275"/>
      <c r="F914" s="351"/>
      <c r="G914" s="275"/>
      <c r="H914" s="275"/>
      <c r="I914" s="275"/>
      <c r="J914" s="275"/>
      <c r="K914" s="275"/>
      <c r="L914" s="352"/>
    </row>
    <row r="915" spans="1:12" s="151" customFormat="1" x14ac:dyDescent="0.3">
      <c r="A915" s="275"/>
      <c r="B915" s="275"/>
      <c r="C915" s="275"/>
      <c r="D915" s="275"/>
      <c r="E915" s="275"/>
      <c r="F915" s="351"/>
      <c r="G915" s="275"/>
      <c r="H915" s="275"/>
      <c r="I915" s="275"/>
      <c r="J915" s="275"/>
      <c r="K915" s="275"/>
      <c r="L915" s="352"/>
    </row>
    <row r="916" spans="1:12" s="151" customFormat="1" x14ac:dyDescent="0.3">
      <c r="A916" s="275"/>
      <c r="B916" s="275"/>
      <c r="C916" s="275"/>
      <c r="D916" s="275"/>
      <c r="E916" s="275"/>
      <c r="F916" s="351"/>
      <c r="G916" s="275"/>
      <c r="H916" s="275"/>
      <c r="I916" s="275"/>
      <c r="J916" s="275"/>
      <c r="K916" s="275"/>
      <c r="L916" s="352"/>
    </row>
    <row r="917" spans="1:12" s="151" customFormat="1" x14ac:dyDescent="0.3">
      <c r="A917" s="275"/>
      <c r="B917" s="275"/>
      <c r="C917" s="275"/>
      <c r="D917" s="275"/>
      <c r="E917" s="275"/>
      <c r="F917" s="351"/>
      <c r="G917" s="275"/>
      <c r="H917" s="275"/>
      <c r="I917" s="275"/>
      <c r="J917" s="275"/>
      <c r="K917" s="275"/>
      <c r="L917" s="352"/>
    </row>
    <row r="918" spans="1:12" s="151" customFormat="1" x14ac:dyDescent="0.3">
      <c r="A918" s="275"/>
      <c r="B918" s="275"/>
      <c r="C918" s="275"/>
      <c r="D918" s="275"/>
      <c r="E918" s="275"/>
      <c r="F918" s="351"/>
      <c r="G918" s="275"/>
      <c r="H918" s="275"/>
      <c r="I918" s="275"/>
      <c r="J918" s="275"/>
      <c r="K918" s="275"/>
      <c r="L918" s="352"/>
    </row>
    <row r="919" spans="1:12" s="151" customFormat="1" x14ac:dyDescent="0.3">
      <c r="A919" s="275"/>
      <c r="B919" s="275"/>
      <c r="C919" s="275"/>
      <c r="D919" s="275"/>
      <c r="E919" s="275"/>
      <c r="F919" s="351"/>
      <c r="G919" s="275"/>
      <c r="H919" s="275"/>
      <c r="I919" s="275"/>
      <c r="J919" s="275"/>
      <c r="K919" s="275"/>
      <c r="L919" s="352"/>
    </row>
    <row r="920" spans="1:12" s="151" customFormat="1" x14ac:dyDescent="0.3">
      <c r="A920" s="275"/>
      <c r="B920" s="275"/>
      <c r="C920" s="275"/>
      <c r="D920" s="275"/>
      <c r="E920" s="275"/>
      <c r="F920" s="351"/>
      <c r="G920" s="275"/>
      <c r="H920" s="275"/>
      <c r="I920" s="275"/>
      <c r="J920" s="275"/>
      <c r="K920" s="275"/>
      <c r="L920" s="352"/>
    </row>
    <row r="921" spans="1:12" s="151" customFormat="1" x14ac:dyDescent="0.3">
      <c r="A921" s="275"/>
      <c r="B921" s="275"/>
      <c r="C921" s="275"/>
      <c r="D921" s="275"/>
      <c r="E921" s="275"/>
      <c r="F921" s="351"/>
      <c r="G921" s="275"/>
      <c r="H921" s="275"/>
      <c r="I921" s="275"/>
      <c r="J921" s="275"/>
      <c r="K921" s="275"/>
      <c r="L921" s="352"/>
    </row>
    <row r="922" spans="1:12" s="151" customFormat="1" x14ac:dyDescent="0.3">
      <c r="A922" s="275"/>
      <c r="B922" s="275"/>
      <c r="C922" s="275"/>
      <c r="D922" s="275"/>
      <c r="E922" s="275"/>
      <c r="F922" s="351"/>
      <c r="G922" s="275"/>
      <c r="H922" s="275"/>
      <c r="I922" s="275"/>
      <c r="J922" s="275"/>
      <c r="K922" s="275"/>
      <c r="L922" s="352"/>
    </row>
    <row r="923" spans="1:12" s="151" customFormat="1" x14ac:dyDescent="0.3">
      <c r="A923" s="275"/>
      <c r="B923" s="275"/>
      <c r="C923" s="275"/>
      <c r="D923" s="275"/>
      <c r="E923" s="275"/>
      <c r="F923" s="351"/>
      <c r="G923" s="275"/>
      <c r="H923" s="275"/>
      <c r="I923" s="275"/>
      <c r="J923" s="275"/>
      <c r="K923" s="275"/>
      <c r="L923" s="352"/>
    </row>
    <row r="924" spans="1:12" s="151" customFormat="1" x14ac:dyDescent="0.3">
      <c r="A924" s="275"/>
      <c r="B924" s="275"/>
      <c r="C924" s="275"/>
      <c r="D924" s="275"/>
      <c r="E924" s="275"/>
      <c r="F924" s="351"/>
      <c r="G924" s="275"/>
      <c r="H924" s="275"/>
      <c r="I924" s="275"/>
      <c r="J924" s="275"/>
      <c r="K924" s="275"/>
      <c r="L924" s="352"/>
    </row>
    <row r="925" spans="1:12" s="151" customFormat="1" x14ac:dyDescent="0.3">
      <c r="A925" s="275"/>
      <c r="B925" s="275"/>
      <c r="C925" s="275"/>
      <c r="D925" s="275"/>
      <c r="E925" s="275"/>
      <c r="F925" s="351"/>
      <c r="G925" s="275"/>
      <c r="H925" s="275"/>
      <c r="I925" s="275"/>
      <c r="J925" s="275"/>
      <c r="K925" s="275"/>
      <c r="L925" s="352"/>
    </row>
    <row r="926" spans="1:12" s="151" customFormat="1" x14ac:dyDescent="0.3">
      <c r="A926" s="275"/>
      <c r="B926" s="275"/>
      <c r="C926" s="275"/>
      <c r="D926" s="275"/>
      <c r="E926" s="275"/>
      <c r="F926" s="351"/>
      <c r="G926" s="275"/>
      <c r="H926" s="275"/>
      <c r="I926" s="275"/>
      <c r="J926" s="275"/>
      <c r="K926" s="275"/>
      <c r="L926" s="352"/>
    </row>
    <row r="927" spans="1:12" s="151" customFormat="1" x14ac:dyDescent="0.3">
      <c r="A927" s="275"/>
      <c r="B927" s="275"/>
      <c r="C927" s="275"/>
      <c r="D927" s="275"/>
      <c r="E927" s="275"/>
      <c r="F927" s="351"/>
      <c r="G927" s="275"/>
      <c r="H927" s="275"/>
      <c r="I927" s="275"/>
      <c r="J927" s="275"/>
      <c r="K927" s="275"/>
      <c r="L927" s="352"/>
    </row>
    <row r="928" spans="1:12" s="151" customFormat="1" x14ac:dyDescent="0.3">
      <c r="A928" s="275"/>
      <c r="B928" s="275"/>
      <c r="C928" s="275"/>
      <c r="D928" s="275"/>
      <c r="E928" s="275"/>
      <c r="F928" s="351"/>
      <c r="G928" s="275"/>
      <c r="H928" s="275"/>
      <c r="I928" s="275"/>
      <c r="J928" s="275"/>
      <c r="K928" s="275"/>
      <c r="L928" s="352"/>
    </row>
    <row r="929" spans="1:12" s="151" customFormat="1" x14ac:dyDescent="0.3">
      <c r="A929" s="275"/>
      <c r="B929" s="275"/>
      <c r="C929" s="275"/>
      <c r="D929" s="275"/>
      <c r="E929" s="275"/>
      <c r="F929" s="351"/>
      <c r="G929" s="275"/>
      <c r="H929" s="275"/>
      <c r="I929" s="275"/>
      <c r="J929" s="275"/>
      <c r="K929" s="275"/>
      <c r="L929" s="352"/>
    </row>
    <row r="930" spans="1:12" s="151" customFormat="1" x14ac:dyDescent="0.3">
      <c r="A930" s="275"/>
      <c r="B930" s="275"/>
      <c r="C930" s="275"/>
      <c r="D930" s="275"/>
      <c r="E930" s="275"/>
      <c r="F930" s="351"/>
      <c r="G930" s="275"/>
      <c r="H930" s="275"/>
      <c r="I930" s="275"/>
      <c r="J930" s="275"/>
      <c r="K930" s="275"/>
      <c r="L930" s="352"/>
    </row>
    <row r="931" spans="1:12" s="151" customFormat="1" x14ac:dyDescent="0.3">
      <c r="A931" s="275"/>
      <c r="B931" s="275"/>
      <c r="C931" s="275"/>
      <c r="D931" s="275"/>
      <c r="E931" s="275"/>
      <c r="F931" s="351"/>
      <c r="G931" s="275"/>
      <c r="H931" s="275"/>
      <c r="I931" s="275"/>
      <c r="J931" s="275"/>
      <c r="K931" s="275"/>
      <c r="L931" s="352"/>
    </row>
    <row r="932" spans="1:12" s="151" customFormat="1" x14ac:dyDescent="0.3">
      <c r="A932" s="275"/>
      <c r="B932" s="275"/>
      <c r="C932" s="275"/>
      <c r="D932" s="275"/>
      <c r="E932" s="275"/>
      <c r="F932" s="351"/>
      <c r="G932" s="275"/>
      <c r="H932" s="275"/>
      <c r="I932" s="275"/>
      <c r="J932" s="275"/>
      <c r="K932" s="275"/>
      <c r="L932" s="352"/>
    </row>
    <row r="933" spans="1:12" s="151" customFormat="1" x14ac:dyDescent="0.3">
      <c r="A933" s="275"/>
      <c r="B933" s="275"/>
      <c r="C933" s="275"/>
      <c r="D933" s="275"/>
      <c r="E933" s="275"/>
      <c r="F933" s="351"/>
      <c r="G933" s="275"/>
      <c r="H933" s="275"/>
      <c r="I933" s="275"/>
      <c r="J933" s="275"/>
      <c r="K933" s="275"/>
      <c r="L933" s="352"/>
    </row>
    <row r="934" spans="1:12" s="151" customFormat="1" x14ac:dyDescent="0.3">
      <c r="A934" s="275"/>
      <c r="B934" s="275"/>
      <c r="C934" s="275"/>
      <c r="D934" s="275"/>
      <c r="E934" s="275"/>
      <c r="F934" s="351"/>
      <c r="G934" s="275"/>
      <c r="H934" s="275"/>
      <c r="I934" s="275"/>
      <c r="J934" s="275"/>
      <c r="K934" s="275"/>
      <c r="L934" s="352"/>
    </row>
    <row r="935" spans="1:12" s="151" customFormat="1" x14ac:dyDescent="0.3">
      <c r="A935" s="275"/>
      <c r="B935" s="275"/>
      <c r="C935" s="275"/>
      <c r="D935" s="275"/>
      <c r="E935" s="275"/>
      <c r="F935" s="351"/>
      <c r="G935" s="275"/>
      <c r="H935" s="275"/>
      <c r="I935" s="275"/>
      <c r="J935" s="275"/>
      <c r="K935" s="275"/>
      <c r="L935" s="352"/>
    </row>
    <row r="936" spans="1:12" s="151" customFormat="1" x14ac:dyDescent="0.3">
      <c r="A936" s="275"/>
      <c r="B936" s="275"/>
      <c r="C936" s="275"/>
      <c r="D936" s="275"/>
      <c r="E936" s="275"/>
      <c r="F936" s="351"/>
      <c r="G936" s="275"/>
      <c r="H936" s="275"/>
      <c r="I936" s="275"/>
      <c r="J936" s="275"/>
      <c r="K936" s="275"/>
      <c r="L936" s="352"/>
    </row>
    <row r="937" spans="1:12" s="151" customFormat="1" x14ac:dyDescent="0.3">
      <c r="A937" s="275"/>
      <c r="B937" s="275"/>
      <c r="C937" s="275"/>
      <c r="D937" s="275"/>
      <c r="E937" s="275"/>
      <c r="F937" s="351"/>
      <c r="G937" s="275"/>
      <c r="H937" s="275"/>
      <c r="I937" s="275"/>
      <c r="J937" s="275"/>
      <c r="K937" s="275"/>
      <c r="L937" s="352"/>
    </row>
    <row r="938" spans="1:12" s="151" customFormat="1" x14ac:dyDescent="0.3">
      <c r="A938" s="275"/>
      <c r="B938" s="275"/>
      <c r="C938" s="275"/>
      <c r="D938" s="275"/>
      <c r="E938" s="275"/>
      <c r="F938" s="351"/>
      <c r="G938" s="275"/>
      <c r="H938" s="275"/>
      <c r="I938" s="275"/>
      <c r="J938" s="275"/>
      <c r="K938" s="275"/>
      <c r="L938" s="352"/>
    </row>
    <row r="939" spans="1:12" s="151" customFormat="1" x14ac:dyDescent="0.3">
      <c r="A939" s="275"/>
      <c r="B939" s="275"/>
      <c r="C939" s="275"/>
      <c r="D939" s="275"/>
      <c r="E939" s="275"/>
      <c r="F939" s="351"/>
      <c r="G939" s="275"/>
      <c r="H939" s="275"/>
      <c r="I939" s="275"/>
      <c r="J939" s="275"/>
      <c r="K939" s="275"/>
      <c r="L939" s="352"/>
    </row>
    <row r="940" spans="1:12" s="151" customFormat="1" x14ac:dyDescent="0.3">
      <c r="A940" s="275"/>
      <c r="B940" s="275"/>
      <c r="C940" s="275"/>
      <c r="D940" s="275"/>
      <c r="E940" s="275"/>
      <c r="F940" s="351"/>
      <c r="G940" s="275"/>
      <c r="H940" s="275"/>
      <c r="I940" s="275"/>
      <c r="J940" s="275"/>
      <c r="K940" s="275"/>
      <c r="L940" s="352"/>
    </row>
    <row r="941" spans="1:12" s="151" customFormat="1" x14ac:dyDescent="0.3">
      <c r="A941" s="275"/>
      <c r="B941" s="275"/>
      <c r="C941" s="275"/>
      <c r="D941" s="275"/>
      <c r="E941" s="275"/>
      <c r="F941" s="351"/>
      <c r="G941" s="275"/>
      <c r="H941" s="275"/>
      <c r="I941" s="275"/>
      <c r="J941" s="275"/>
      <c r="K941" s="275"/>
      <c r="L941" s="352"/>
    </row>
    <row r="942" spans="1:12" s="151" customFormat="1" x14ac:dyDescent="0.3">
      <c r="A942" s="275"/>
      <c r="B942" s="275"/>
      <c r="C942" s="275"/>
      <c r="D942" s="275"/>
      <c r="E942" s="275"/>
      <c r="F942" s="351"/>
      <c r="G942" s="275"/>
      <c r="H942" s="275"/>
      <c r="I942" s="275"/>
      <c r="J942" s="275"/>
      <c r="K942" s="275"/>
      <c r="L942" s="352"/>
    </row>
    <row r="943" spans="1:12" s="151" customFormat="1" x14ac:dyDescent="0.3">
      <c r="A943" s="275"/>
      <c r="B943" s="275"/>
      <c r="C943" s="275"/>
      <c r="D943" s="275"/>
      <c r="E943" s="275"/>
      <c r="F943" s="351"/>
      <c r="G943" s="275"/>
      <c r="H943" s="275"/>
      <c r="I943" s="275"/>
      <c r="J943" s="275"/>
      <c r="K943" s="275"/>
      <c r="L943" s="352"/>
    </row>
    <row r="944" spans="1:12" s="151" customFormat="1" x14ac:dyDescent="0.3">
      <c r="A944" s="275"/>
      <c r="B944" s="275"/>
      <c r="C944" s="275"/>
      <c r="D944" s="275"/>
      <c r="E944" s="275"/>
      <c r="F944" s="351"/>
      <c r="G944" s="275"/>
      <c r="H944" s="275"/>
      <c r="I944" s="275"/>
      <c r="J944" s="275"/>
      <c r="K944" s="275"/>
      <c r="L944" s="352"/>
    </row>
    <row r="945" spans="1:12" s="151" customFormat="1" x14ac:dyDescent="0.3">
      <c r="A945" s="275"/>
      <c r="B945" s="275"/>
      <c r="C945" s="275"/>
      <c r="D945" s="275"/>
      <c r="E945" s="275"/>
      <c r="F945" s="351"/>
      <c r="G945" s="275"/>
      <c r="H945" s="275"/>
      <c r="I945" s="275"/>
      <c r="J945" s="275"/>
      <c r="K945" s="275"/>
      <c r="L945" s="352"/>
    </row>
    <row r="946" spans="1:12" s="151" customFormat="1" x14ac:dyDescent="0.3">
      <c r="A946" s="275"/>
      <c r="B946" s="275"/>
      <c r="C946" s="275"/>
      <c r="D946" s="275"/>
      <c r="E946" s="275"/>
      <c r="F946" s="351"/>
      <c r="G946" s="275"/>
      <c r="H946" s="275"/>
      <c r="I946" s="275"/>
      <c r="J946" s="275"/>
      <c r="K946" s="275"/>
      <c r="L946" s="352"/>
    </row>
    <row r="947" spans="1:12" s="151" customFormat="1" x14ac:dyDescent="0.3">
      <c r="A947" s="275"/>
      <c r="B947" s="275"/>
      <c r="C947" s="275"/>
      <c r="D947" s="275"/>
      <c r="E947" s="275"/>
      <c r="F947" s="351"/>
      <c r="G947" s="275"/>
      <c r="H947" s="275"/>
      <c r="I947" s="275"/>
      <c r="J947" s="275"/>
      <c r="K947" s="275"/>
      <c r="L947" s="352"/>
    </row>
    <row r="948" spans="1:12" s="151" customFormat="1" x14ac:dyDescent="0.3">
      <c r="A948" s="275"/>
      <c r="B948" s="275"/>
      <c r="C948" s="275"/>
      <c r="D948" s="275"/>
      <c r="E948" s="275"/>
      <c r="F948" s="351"/>
      <c r="G948" s="275"/>
      <c r="H948" s="275"/>
      <c r="I948" s="275"/>
      <c r="J948" s="275"/>
      <c r="K948" s="275"/>
      <c r="L948" s="352"/>
    </row>
    <row r="949" spans="1:12" s="151" customFormat="1" x14ac:dyDescent="0.3">
      <c r="A949" s="275"/>
      <c r="B949" s="275"/>
      <c r="C949" s="275"/>
      <c r="D949" s="275"/>
      <c r="E949" s="275"/>
      <c r="F949" s="351"/>
      <c r="G949" s="275"/>
      <c r="H949" s="275"/>
      <c r="I949" s="275"/>
      <c r="J949" s="275"/>
      <c r="K949" s="275"/>
      <c r="L949" s="352"/>
    </row>
    <row r="950" spans="1:12" s="151" customFormat="1" x14ac:dyDescent="0.3">
      <c r="A950" s="275"/>
      <c r="B950" s="275"/>
      <c r="C950" s="275"/>
      <c r="D950" s="275"/>
      <c r="E950" s="275"/>
      <c r="F950" s="351"/>
      <c r="G950" s="275"/>
      <c r="H950" s="275"/>
      <c r="I950" s="275"/>
      <c r="J950" s="275"/>
      <c r="K950" s="275"/>
      <c r="L950" s="352"/>
    </row>
    <row r="951" spans="1:12" s="151" customFormat="1" x14ac:dyDescent="0.3">
      <c r="A951" s="275"/>
      <c r="B951" s="275"/>
      <c r="C951" s="275"/>
      <c r="D951" s="275"/>
      <c r="E951" s="275"/>
      <c r="F951" s="351"/>
      <c r="G951" s="275"/>
      <c r="H951" s="275"/>
      <c r="I951" s="275"/>
      <c r="J951" s="275"/>
      <c r="K951" s="275"/>
      <c r="L951" s="352"/>
    </row>
    <row r="952" spans="1:12" s="151" customFormat="1" x14ac:dyDescent="0.3">
      <c r="A952" s="275"/>
      <c r="B952" s="275"/>
      <c r="C952" s="275"/>
      <c r="D952" s="275"/>
      <c r="E952" s="275"/>
      <c r="F952" s="351"/>
      <c r="G952" s="275"/>
      <c r="H952" s="275"/>
      <c r="I952" s="275"/>
      <c r="J952" s="275"/>
      <c r="K952" s="275"/>
      <c r="L952" s="352"/>
    </row>
    <row r="953" spans="1:12" s="151" customFormat="1" x14ac:dyDescent="0.3">
      <c r="A953" s="275"/>
      <c r="B953" s="275"/>
      <c r="C953" s="275"/>
      <c r="D953" s="275"/>
      <c r="E953" s="275"/>
      <c r="F953" s="351"/>
      <c r="G953" s="275"/>
      <c r="H953" s="275"/>
      <c r="I953" s="275"/>
      <c r="J953" s="275"/>
      <c r="K953" s="275"/>
      <c r="L953" s="352"/>
    </row>
    <row r="954" spans="1:12" s="151" customFormat="1" x14ac:dyDescent="0.3">
      <c r="A954" s="275"/>
      <c r="B954" s="275"/>
      <c r="C954" s="275"/>
      <c r="D954" s="275"/>
      <c r="E954" s="275"/>
      <c r="F954" s="351"/>
      <c r="G954" s="275"/>
      <c r="H954" s="275"/>
      <c r="I954" s="275"/>
      <c r="J954" s="275"/>
      <c r="K954" s="275"/>
      <c r="L954" s="352"/>
    </row>
    <row r="955" spans="1:12" s="151" customFormat="1" x14ac:dyDescent="0.3">
      <c r="A955" s="275"/>
      <c r="B955" s="275"/>
      <c r="C955" s="275"/>
      <c r="D955" s="275"/>
      <c r="E955" s="275"/>
      <c r="F955" s="351"/>
      <c r="G955" s="275"/>
      <c r="H955" s="275"/>
      <c r="I955" s="275"/>
      <c r="J955" s="275"/>
      <c r="K955" s="275"/>
      <c r="L955" s="352"/>
    </row>
    <row r="956" spans="1:12" s="151" customFormat="1" x14ac:dyDescent="0.3">
      <c r="A956" s="275"/>
      <c r="B956" s="275"/>
      <c r="C956" s="275"/>
      <c r="D956" s="275"/>
      <c r="E956" s="275"/>
      <c r="F956" s="351"/>
      <c r="G956" s="275"/>
      <c r="H956" s="275"/>
      <c r="I956" s="275"/>
      <c r="J956" s="275"/>
      <c r="K956" s="275"/>
      <c r="L956" s="352"/>
    </row>
    <row r="957" spans="1:12" s="151" customFormat="1" x14ac:dyDescent="0.3">
      <c r="A957" s="275"/>
      <c r="B957" s="275"/>
      <c r="C957" s="275"/>
      <c r="D957" s="275"/>
      <c r="E957" s="275"/>
      <c r="F957" s="351"/>
      <c r="G957" s="275"/>
      <c r="H957" s="275"/>
      <c r="I957" s="275"/>
      <c r="J957" s="275"/>
      <c r="K957" s="275"/>
      <c r="L957" s="352"/>
    </row>
    <row r="958" spans="1:12" s="151" customFormat="1" x14ac:dyDescent="0.3">
      <c r="A958" s="275"/>
      <c r="B958" s="275"/>
      <c r="C958" s="275"/>
      <c r="D958" s="275"/>
      <c r="E958" s="275"/>
      <c r="F958" s="351"/>
      <c r="G958" s="275"/>
      <c r="H958" s="275"/>
      <c r="I958" s="275"/>
      <c r="J958" s="275"/>
      <c r="K958" s="275"/>
      <c r="L958" s="352"/>
    </row>
    <row r="959" spans="1:12" s="151" customFormat="1" x14ac:dyDescent="0.3">
      <c r="A959" s="275"/>
      <c r="B959" s="275"/>
      <c r="C959" s="275"/>
      <c r="D959" s="275"/>
      <c r="E959" s="275"/>
      <c r="F959" s="351"/>
      <c r="G959" s="275"/>
      <c r="H959" s="275"/>
      <c r="I959" s="275"/>
      <c r="J959" s="275"/>
      <c r="K959" s="275"/>
      <c r="L959" s="352"/>
    </row>
    <row r="960" spans="1:12" s="151" customFormat="1" x14ac:dyDescent="0.3">
      <c r="A960" s="275"/>
      <c r="B960" s="275"/>
      <c r="C960" s="275"/>
      <c r="D960" s="275"/>
      <c r="E960" s="275"/>
      <c r="F960" s="351"/>
      <c r="G960" s="275"/>
      <c r="H960" s="275"/>
      <c r="I960" s="275"/>
      <c r="J960" s="275"/>
      <c r="K960" s="275"/>
      <c r="L960" s="352"/>
    </row>
    <row r="961" spans="1:12" s="151" customFormat="1" x14ac:dyDescent="0.3">
      <c r="A961" s="275"/>
      <c r="B961" s="275"/>
      <c r="C961" s="275"/>
      <c r="D961" s="275"/>
      <c r="E961" s="275"/>
      <c r="F961" s="351"/>
      <c r="G961" s="275"/>
      <c r="H961" s="275"/>
      <c r="I961" s="275"/>
      <c r="J961" s="275"/>
      <c r="K961" s="275"/>
      <c r="L961" s="352"/>
    </row>
    <row r="962" spans="1:12" s="151" customFormat="1" x14ac:dyDescent="0.3">
      <c r="A962" s="275"/>
      <c r="B962" s="275"/>
      <c r="C962" s="275"/>
      <c r="D962" s="275"/>
      <c r="E962" s="275"/>
      <c r="F962" s="351"/>
      <c r="G962" s="275"/>
      <c r="H962" s="275"/>
      <c r="I962" s="275"/>
      <c r="J962" s="275"/>
      <c r="K962" s="275"/>
      <c r="L962" s="352"/>
    </row>
    <row r="963" spans="1:12" s="151" customFormat="1" x14ac:dyDescent="0.3">
      <c r="A963" s="275"/>
      <c r="B963" s="275"/>
      <c r="C963" s="275"/>
      <c r="D963" s="275"/>
      <c r="E963" s="275"/>
      <c r="F963" s="351"/>
      <c r="G963" s="275"/>
      <c r="H963" s="275"/>
      <c r="I963" s="275"/>
      <c r="J963" s="275"/>
      <c r="K963" s="275"/>
      <c r="L963" s="352"/>
    </row>
    <row r="964" spans="1:12" s="151" customFormat="1" x14ac:dyDescent="0.3">
      <c r="A964" s="275"/>
      <c r="B964" s="275"/>
      <c r="C964" s="275"/>
      <c r="D964" s="275"/>
      <c r="E964" s="275"/>
      <c r="F964" s="351"/>
      <c r="G964" s="275"/>
      <c r="H964" s="275"/>
      <c r="I964" s="275"/>
      <c r="J964" s="275"/>
      <c r="K964" s="275"/>
      <c r="L964" s="352"/>
    </row>
    <row r="965" spans="1:12" s="151" customFormat="1" x14ac:dyDescent="0.3">
      <c r="A965" s="275"/>
      <c r="B965" s="275"/>
      <c r="C965" s="275"/>
      <c r="D965" s="275"/>
      <c r="E965" s="275"/>
      <c r="F965" s="351"/>
      <c r="G965" s="275"/>
      <c r="H965" s="275"/>
      <c r="I965" s="275"/>
      <c r="J965" s="275"/>
      <c r="K965" s="275"/>
      <c r="L965" s="352"/>
    </row>
    <row r="966" spans="1:12" s="151" customFormat="1" x14ac:dyDescent="0.3">
      <c r="A966" s="275"/>
      <c r="B966" s="275"/>
      <c r="C966" s="275"/>
      <c r="D966" s="275"/>
      <c r="E966" s="275"/>
      <c r="F966" s="351"/>
      <c r="G966" s="275"/>
      <c r="H966" s="275"/>
      <c r="I966" s="275"/>
      <c r="J966" s="275"/>
      <c r="K966" s="275"/>
      <c r="L966" s="352"/>
    </row>
    <row r="967" spans="1:12" s="151" customFormat="1" x14ac:dyDescent="0.3">
      <c r="A967" s="275"/>
      <c r="B967" s="275"/>
      <c r="C967" s="275"/>
      <c r="D967" s="275"/>
      <c r="E967" s="275"/>
      <c r="F967" s="351"/>
      <c r="G967" s="275"/>
      <c r="H967" s="275"/>
      <c r="I967" s="275"/>
      <c r="J967" s="275"/>
      <c r="K967" s="275"/>
      <c r="L967" s="352"/>
    </row>
    <row r="968" spans="1:12" s="151" customFormat="1" x14ac:dyDescent="0.3">
      <c r="A968" s="275"/>
      <c r="B968" s="275"/>
      <c r="C968" s="275"/>
      <c r="D968" s="275"/>
      <c r="E968" s="275"/>
      <c r="F968" s="351"/>
      <c r="G968" s="275"/>
      <c r="H968" s="275"/>
      <c r="I968" s="275"/>
      <c r="J968" s="275"/>
      <c r="K968" s="275"/>
      <c r="L968" s="352"/>
    </row>
    <row r="969" spans="1:12" s="151" customFormat="1" x14ac:dyDescent="0.3">
      <c r="A969" s="275"/>
      <c r="B969" s="275"/>
      <c r="C969" s="275"/>
      <c r="D969" s="275"/>
      <c r="E969" s="275"/>
      <c r="F969" s="351"/>
      <c r="G969" s="275"/>
      <c r="H969" s="275"/>
      <c r="I969" s="275"/>
      <c r="J969" s="275"/>
      <c r="K969" s="275"/>
      <c r="L969" s="352"/>
    </row>
    <row r="970" spans="1:12" s="151" customFormat="1" x14ac:dyDescent="0.3">
      <c r="A970" s="275"/>
      <c r="B970" s="275"/>
      <c r="C970" s="275"/>
      <c r="D970" s="275"/>
      <c r="E970" s="275"/>
      <c r="F970" s="351"/>
      <c r="G970" s="275"/>
      <c r="H970" s="275"/>
      <c r="I970" s="275"/>
      <c r="J970" s="275"/>
      <c r="K970" s="275"/>
      <c r="L970" s="352"/>
    </row>
    <row r="971" spans="1:12" s="151" customFormat="1" x14ac:dyDescent="0.3">
      <c r="A971" s="275"/>
      <c r="B971" s="275"/>
      <c r="C971" s="275"/>
      <c r="D971" s="275"/>
      <c r="E971" s="275"/>
      <c r="F971" s="351"/>
      <c r="G971" s="275"/>
      <c r="H971" s="275"/>
      <c r="I971" s="275"/>
      <c r="J971" s="275"/>
      <c r="K971" s="275"/>
      <c r="L971" s="352"/>
    </row>
    <row r="972" spans="1:12" s="151" customFormat="1" x14ac:dyDescent="0.3">
      <c r="A972" s="275"/>
      <c r="B972" s="275"/>
      <c r="C972" s="275"/>
      <c r="D972" s="275"/>
      <c r="E972" s="275"/>
      <c r="F972" s="351"/>
      <c r="G972" s="275"/>
      <c r="H972" s="275"/>
      <c r="I972" s="275"/>
      <c r="J972" s="275"/>
      <c r="K972" s="275"/>
      <c r="L972" s="352"/>
    </row>
    <row r="973" spans="1:12" s="151" customFormat="1" x14ac:dyDescent="0.3">
      <c r="A973" s="275"/>
      <c r="B973" s="275"/>
      <c r="C973" s="275"/>
      <c r="D973" s="275"/>
      <c r="E973" s="275"/>
      <c r="F973" s="351"/>
      <c r="G973" s="275"/>
      <c r="H973" s="275"/>
      <c r="I973" s="275"/>
      <c r="J973" s="275"/>
      <c r="K973" s="275"/>
      <c r="L973" s="352"/>
    </row>
    <row r="974" spans="1:12" s="151" customFormat="1" x14ac:dyDescent="0.3">
      <c r="A974" s="275"/>
      <c r="B974" s="275"/>
      <c r="C974" s="275"/>
      <c r="D974" s="275"/>
      <c r="E974" s="275"/>
      <c r="F974" s="351"/>
      <c r="G974" s="275"/>
      <c r="H974" s="275"/>
      <c r="I974" s="275"/>
      <c r="J974" s="275"/>
      <c r="K974" s="275"/>
      <c r="L974" s="352"/>
    </row>
    <row r="975" spans="1:12" s="151" customFormat="1" x14ac:dyDescent="0.3">
      <c r="A975" s="275"/>
      <c r="B975" s="275"/>
      <c r="C975" s="275"/>
      <c r="D975" s="275"/>
      <c r="E975" s="275"/>
      <c r="F975" s="351"/>
      <c r="G975" s="275"/>
      <c r="H975" s="275"/>
      <c r="I975" s="275"/>
      <c r="J975" s="275"/>
      <c r="K975" s="275"/>
      <c r="L975" s="352"/>
    </row>
    <row r="976" spans="1:12" s="151" customFormat="1" x14ac:dyDescent="0.3">
      <c r="A976" s="275"/>
      <c r="B976" s="275"/>
      <c r="C976" s="275"/>
      <c r="D976" s="275"/>
      <c r="E976" s="275"/>
      <c r="F976" s="351"/>
      <c r="G976" s="275"/>
      <c r="H976" s="275"/>
      <c r="I976" s="275"/>
      <c r="J976" s="275"/>
      <c r="K976" s="275"/>
      <c r="L976" s="352"/>
    </row>
    <row r="977" spans="1:12" s="151" customFormat="1" x14ac:dyDescent="0.3">
      <c r="A977" s="275"/>
      <c r="B977" s="275"/>
      <c r="C977" s="275"/>
      <c r="D977" s="275"/>
      <c r="E977" s="275"/>
      <c r="F977" s="351"/>
      <c r="G977" s="275"/>
      <c r="H977" s="275"/>
      <c r="I977" s="275"/>
      <c r="J977" s="275"/>
      <c r="K977" s="275"/>
      <c r="L977" s="352"/>
    </row>
    <row r="978" spans="1:12" s="151" customFormat="1" x14ac:dyDescent="0.3">
      <c r="A978" s="275"/>
      <c r="B978" s="275"/>
      <c r="C978" s="275"/>
      <c r="D978" s="275"/>
      <c r="E978" s="275"/>
      <c r="F978" s="351"/>
      <c r="G978" s="275"/>
      <c r="H978" s="275"/>
      <c r="I978" s="275"/>
      <c r="J978" s="275"/>
      <c r="K978" s="275"/>
      <c r="L978" s="352"/>
    </row>
    <row r="979" spans="1:12" s="151" customFormat="1" x14ac:dyDescent="0.3">
      <c r="A979" s="275"/>
      <c r="B979" s="275"/>
      <c r="C979" s="275"/>
      <c r="D979" s="275"/>
      <c r="E979" s="275"/>
      <c r="F979" s="351"/>
      <c r="G979" s="275"/>
      <c r="H979" s="275"/>
      <c r="I979" s="275"/>
      <c r="J979" s="275"/>
      <c r="K979" s="275"/>
      <c r="L979" s="35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1"/>
    </sheetView>
  </sheetViews>
  <sheetFormatPr defaultColWidth="19" defaultRowHeight="14.4" x14ac:dyDescent="0.3"/>
  <cols>
    <col min="1" max="2" width="27.109375" customWidth="1"/>
    <col min="3" max="3" width="21.109375" customWidth="1"/>
    <col min="4" max="4" width="22.33203125" customWidth="1"/>
    <col min="7" max="7" width="28.88671875" customWidth="1"/>
    <col min="8" max="8" width="24.33203125" customWidth="1"/>
  </cols>
  <sheetData>
    <row r="1" spans="1:9" x14ac:dyDescent="0.3">
      <c r="A1" s="16" t="s">
        <v>25</v>
      </c>
      <c r="B1" s="16" t="s">
        <v>24</v>
      </c>
      <c r="C1" s="16" t="s">
        <v>23</v>
      </c>
      <c r="D1" s="17" t="s">
        <v>22</v>
      </c>
      <c r="E1" s="17" t="s">
        <v>26</v>
      </c>
      <c r="F1" s="16" t="s">
        <v>21</v>
      </c>
      <c r="G1" s="15" t="s">
        <v>20</v>
      </c>
      <c r="H1" s="15" t="s">
        <v>19</v>
      </c>
      <c r="I1" s="15" t="s">
        <v>18</v>
      </c>
    </row>
    <row r="2" spans="1:9" x14ac:dyDescent="0.3">
      <c r="A2" s="7" t="s">
        <v>13</v>
      </c>
      <c r="B2" s="7" t="s">
        <v>7</v>
      </c>
      <c r="C2" s="7" t="s">
        <v>6</v>
      </c>
      <c r="D2" s="12">
        <v>44264</v>
      </c>
      <c r="E2" s="18">
        <v>10</v>
      </c>
      <c r="F2" s="21" t="s">
        <v>17</v>
      </c>
      <c r="G2" s="6">
        <v>3.1449727866114401</v>
      </c>
      <c r="H2" s="6">
        <v>0.60041294414169932</v>
      </c>
      <c r="I2" s="14">
        <v>0</v>
      </c>
    </row>
    <row r="3" spans="1:9" x14ac:dyDescent="0.3">
      <c r="A3" s="7" t="s">
        <v>13</v>
      </c>
      <c r="B3" s="7" t="s">
        <v>7</v>
      </c>
      <c r="C3" s="7" t="s">
        <v>6</v>
      </c>
      <c r="D3" s="12">
        <v>44298</v>
      </c>
      <c r="E3" s="18">
        <v>15</v>
      </c>
      <c r="F3" s="13" t="s">
        <v>16</v>
      </c>
      <c r="G3" s="2">
        <v>6.4645306188233045</v>
      </c>
      <c r="H3" s="2">
        <v>0.77096228392756716</v>
      </c>
      <c r="I3" s="14">
        <v>0</v>
      </c>
    </row>
    <row r="4" spans="1:9" x14ac:dyDescent="0.3">
      <c r="A4" s="10" t="s">
        <v>13</v>
      </c>
      <c r="B4" s="10" t="s">
        <v>7</v>
      </c>
      <c r="C4" s="10" t="s">
        <v>6</v>
      </c>
      <c r="D4" s="8">
        <v>44354</v>
      </c>
      <c r="E4" s="19">
        <v>23</v>
      </c>
      <c r="F4" s="9" t="s">
        <v>12</v>
      </c>
      <c r="G4" s="2">
        <v>11.51548721352402</v>
      </c>
      <c r="H4" s="2">
        <v>8.6479916864511921</v>
      </c>
      <c r="I4" s="2">
        <v>5.544598613466535</v>
      </c>
    </row>
  </sheetData>
  <sortState ref="A2:I4">
    <sortCondition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1" sqref="H1:K1048576"/>
    </sheetView>
  </sheetViews>
  <sheetFormatPr defaultColWidth="22.109375" defaultRowHeight="14.4" x14ac:dyDescent="0.3"/>
  <cols>
    <col min="9" max="10" width="25.5546875" customWidth="1"/>
    <col min="11" max="11" width="25.44140625" customWidth="1"/>
  </cols>
  <sheetData>
    <row r="1" spans="1:11" x14ac:dyDescent="0.3">
      <c r="A1" s="16" t="s">
        <v>25</v>
      </c>
      <c r="B1" s="16" t="s">
        <v>24</v>
      </c>
      <c r="C1" s="16" t="s">
        <v>23</v>
      </c>
      <c r="D1" s="17" t="s">
        <v>22</v>
      </c>
      <c r="E1" s="17" t="s">
        <v>26</v>
      </c>
      <c r="F1" s="17" t="s">
        <v>27</v>
      </c>
      <c r="G1" s="17" t="s">
        <v>28</v>
      </c>
      <c r="H1" s="16" t="s">
        <v>21</v>
      </c>
      <c r="I1" s="15" t="s">
        <v>20</v>
      </c>
      <c r="J1" s="15" t="s">
        <v>19</v>
      </c>
      <c r="K1" s="15" t="s">
        <v>18</v>
      </c>
    </row>
    <row r="2" spans="1:11" x14ac:dyDescent="0.3">
      <c r="E2" s="24">
        <v>1</v>
      </c>
      <c r="G2" s="28">
        <v>1235</v>
      </c>
    </row>
    <row r="3" spans="1:11" x14ac:dyDescent="0.3">
      <c r="E3" s="23">
        <v>2</v>
      </c>
      <c r="G3" s="28">
        <v>674</v>
      </c>
    </row>
    <row r="4" spans="1:11" x14ac:dyDescent="0.3">
      <c r="E4" s="23">
        <v>3</v>
      </c>
      <c r="G4" s="28">
        <v>326</v>
      </c>
    </row>
    <row r="5" spans="1:11" x14ac:dyDescent="0.3">
      <c r="E5" s="23">
        <v>4</v>
      </c>
      <c r="G5" s="28">
        <v>163</v>
      </c>
    </row>
    <row r="6" spans="1:11" x14ac:dyDescent="0.3">
      <c r="E6" s="23">
        <v>5</v>
      </c>
      <c r="G6" s="28">
        <v>83</v>
      </c>
    </row>
    <row r="7" spans="1:11" x14ac:dyDescent="0.3">
      <c r="E7" s="23">
        <v>6</v>
      </c>
      <c r="G7" s="28">
        <v>86</v>
      </c>
    </row>
    <row r="8" spans="1:11" x14ac:dyDescent="0.3">
      <c r="E8" s="23">
        <v>7</v>
      </c>
      <c r="G8" s="28">
        <v>67</v>
      </c>
    </row>
    <row r="9" spans="1:11" x14ac:dyDescent="0.3">
      <c r="E9" s="23">
        <v>8</v>
      </c>
      <c r="G9" s="28">
        <v>27</v>
      </c>
    </row>
    <row r="10" spans="1:11" x14ac:dyDescent="0.3">
      <c r="E10" s="23">
        <v>9</v>
      </c>
      <c r="G10" s="28">
        <v>20</v>
      </c>
    </row>
    <row r="11" spans="1:11" x14ac:dyDescent="0.3">
      <c r="E11" s="23">
        <v>10</v>
      </c>
      <c r="G11" s="28">
        <v>15</v>
      </c>
    </row>
    <row r="12" spans="1:11" x14ac:dyDescent="0.3">
      <c r="E12" s="23">
        <v>11</v>
      </c>
      <c r="G12" s="28">
        <v>33</v>
      </c>
    </row>
    <row r="13" spans="1:11" x14ac:dyDescent="0.3">
      <c r="E13" s="23">
        <v>12</v>
      </c>
      <c r="G13" s="28">
        <v>11</v>
      </c>
    </row>
    <row r="14" spans="1:11" x14ac:dyDescent="0.3">
      <c r="E14" s="23">
        <v>13</v>
      </c>
      <c r="G14" s="28">
        <v>21</v>
      </c>
    </row>
    <row r="15" spans="1:11" x14ac:dyDescent="0.3">
      <c r="E15" s="23">
        <v>14</v>
      </c>
      <c r="G15" s="28">
        <v>30</v>
      </c>
    </row>
    <row r="16" spans="1:11" x14ac:dyDescent="0.3">
      <c r="E16" s="22">
        <v>15</v>
      </c>
      <c r="G16" s="28">
        <v>15</v>
      </c>
    </row>
    <row r="17" spans="1:11" x14ac:dyDescent="0.3">
      <c r="E17" s="23">
        <v>16</v>
      </c>
      <c r="G17" s="28">
        <v>16</v>
      </c>
    </row>
    <row r="18" spans="1:11" x14ac:dyDescent="0.3">
      <c r="E18" s="23">
        <v>17</v>
      </c>
      <c r="G18" s="28">
        <v>14</v>
      </c>
    </row>
    <row r="19" spans="1:11" x14ac:dyDescent="0.3">
      <c r="E19" s="23">
        <v>18</v>
      </c>
      <c r="G19" s="28">
        <v>17</v>
      </c>
    </row>
    <row r="20" spans="1:11" x14ac:dyDescent="0.3">
      <c r="E20" s="23">
        <v>19</v>
      </c>
      <c r="G20" s="28">
        <v>25</v>
      </c>
    </row>
    <row r="21" spans="1:11" x14ac:dyDescent="0.3">
      <c r="E21" s="23">
        <v>20</v>
      </c>
      <c r="G21" s="28">
        <v>20</v>
      </c>
    </row>
    <row r="22" spans="1:11" x14ac:dyDescent="0.3">
      <c r="E22" s="23">
        <v>21</v>
      </c>
      <c r="G22" s="28">
        <v>40</v>
      </c>
    </row>
    <row r="23" spans="1:11" x14ac:dyDescent="0.3">
      <c r="A23" s="11" t="s">
        <v>3</v>
      </c>
      <c r="B23" s="7" t="s">
        <v>2</v>
      </c>
      <c r="C23" s="7" t="s">
        <v>1</v>
      </c>
      <c r="D23" s="12">
        <v>44348</v>
      </c>
      <c r="E23" s="23">
        <v>22</v>
      </c>
      <c r="F23" s="18">
        <v>22</v>
      </c>
      <c r="G23" s="28">
        <v>88</v>
      </c>
      <c r="H23" s="30" t="s">
        <v>15</v>
      </c>
      <c r="I23" s="29">
        <v>257.33881580586336</v>
      </c>
      <c r="J23" s="29">
        <v>1.4188070686496033</v>
      </c>
      <c r="K23" s="29">
        <v>2.5738523322708753</v>
      </c>
    </row>
    <row r="24" spans="1:11" x14ac:dyDescent="0.3">
      <c r="A24" s="11" t="s">
        <v>3</v>
      </c>
      <c r="B24" s="7" t="s">
        <v>2</v>
      </c>
      <c r="C24" s="7" t="s">
        <v>1</v>
      </c>
      <c r="D24" s="8">
        <v>44355</v>
      </c>
      <c r="E24" s="23">
        <v>23</v>
      </c>
      <c r="F24" s="19">
        <v>23</v>
      </c>
      <c r="G24" s="28">
        <v>146</v>
      </c>
      <c r="H24" s="31" t="s">
        <v>14</v>
      </c>
      <c r="I24" s="29">
        <v>455.0732203892299</v>
      </c>
      <c r="J24" s="29">
        <v>0</v>
      </c>
      <c r="K24" s="29">
        <v>1.3604600514684404</v>
      </c>
    </row>
    <row r="25" spans="1:11" x14ac:dyDescent="0.3">
      <c r="A25" s="11" t="s">
        <v>3</v>
      </c>
      <c r="B25" s="7" t="s">
        <v>2</v>
      </c>
      <c r="C25" s="7" t="s">
        <v>1</v>
      </c>
      <c r="D25" s="8">
        <v>44362</v>
      </c>
      <c r="E25" s="23">
        <v>24</v>
      </c>
      <c r="F25" s="19">
        <v>24</v>
      </c>
      <c r="G25" s="28">
        <v>233</v>
      </c>
      <c r="H25" s="32" t="s">
        <v>11</v>
      </c>
      <c r="I25" s="29">
        <v>0</v>
      </c>
      <c r="J25" s="29">
        <v>0</v>
      </c>
      <c r="K25" s="33">
        <v>0</v>
      </c>
    </row>
    <row r="26" spans="1:11" x14ac:dyDescent="0.3">
      <c r="A26" s="5" t="s">
        <v>3</v>
      </c>
      <c r="B26" s="3" t="s">
        <v>2</v>
      </c>
      <c r="C26" s="3" t="s">
        <v>1</v>
      </c>
      <c r="D26" s="4">
        <v>44369</v>
      </c>
      <c r="E26" s="23">
        <v>25</v>
      </c>
      <c r="F26" s="20">
        <v>25</v>
      </c>
      <c r="G26" s="28">
        <v>289</v>
      </c>
      <c r="H26" s="34" t="s">
        <v>10</v>
      </c>
      <c r="I26" s="29">
        <v>1.8388837271807144</v>
      </c>
      <c r="J26" s="29">
        <v>0.89666057302027335</v>
      </c>
      <c r="K26" s="33">
        <v>0</v>
      </c>
    </row>
    <row r="27" spans="1:11" x14ac:dyDescent="0.3">
      <c r="A27" s="5" t="s">
        <v>3</v>
      </c>
      <c r="B27" s="3" t="s">
        <v>2</v>
      </c>
      <c r="C27" s="3" t="s">
        <v>1</v>
      </c>
      <c r="D27" s="4">
        <v>44376</v>
      </c>
      <c r="E27" s="23">
        <v>26</v>
      </c>
      <c r="F27" s="20">
        <v>26</v>
      </c>
      <c r="G27" s="20"/>
      <c r="H27" s="34" t="s">
        <v>0</v>
      </c>
      <c r="I27" s="29">
        <v>5.0126718623297553</v>
      </c>
      <c r="J27" s="29">
        <v>4.4879612265800937</v>
      </c>
      <c r="K27" s="33">
        <v>0</v>
      </c>
    </row>
    <row r="34" spans="5:5" x14ac:dyDescent="0.3">
      <c r="E34" s="28"/>
    </row>
  </sheetData>
  <sortState ref="A2:J6">
    <sortCondition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10" zoomScale="70" zoomScaleNormal="70" workbookViewId="0">
      <selection activeCell="A40" sqref="A40:XFD40"/>
    </sheetView>
  </sheetViews>
  <sheetFormatPr defaultColWidth="20.5546875" defaultRowHeight="14.4" x14ac:dyDescent="0.3"/>
  <cols>
    <col min="5" max="5" width="27" customWidth="1"/>
    <col min="6" max="6" width="28.6640625" customWidth="1"/>
    <col min="7" max="9" width="27" customWidth="1"/>
    <col min="10" max="10" width="23.44140625" customWidth="1"/>
    <col min="11" max="11" width="33.33203125" customWidth="1"/>
    <col min="12" max="12" width="23.33203125" customWidth="1"/>
    <col min="13" max="13" width="20.5546875" customWidth="1"/>
    <col min="14" max="15" width="32" customWidth="1"/>
    <col min="16" max="16" width="35.33203125" customWidth="1"/>
    <col min="17" max="17" width="25" customWidth="1"/>
    <col min="18" max="18" width="44.5546875" customWidth="1"/>
    <col min="19" max="19" width="35" customWidth="1"/>
  </cols>
  <sheetData>
    <row r="1" spans="1:19" x14ac:dyDescent="0.3">
      <c r="A1" s="39" t="s">
        <v>26</v>
      </c>
      <c r="B1" s="39" t="s">
        <v>28</v>
      </c>
      <c r="C1" s="40" t="s">
        <v>24</v>
      </c>
      <c r="D1" s="40" t="s">
        <v>23</v>
      </c>
      <c r="E1" s="36" t="s">
        <v>30</v>
      </c>
      <c r="F1" s="47" t="s">
        <v>31</v>
      </c>
      <c r="G1" s="37" t="s">
        <v>32</v>
      </c>
      <c r="H1" s="38" t="s">
        <v>33</v>
      </c>
      <c r="I1" s="38" t="s">
        <v>34</v>
      </c>
      <c r="J1" s="57" t="s">
        <v>35</v>
      </c>
      <c r="K1" s="56" t="s">
        <v>36</v>
      </c>
      <c r="L1" s="58" t="s">
        <v>37</v>
      </c>
      <c r="M1" s="59" t="s">
        <v>38</v>
      </c>
      <c r="N1" s="59" t="s">
        <v>39</v>
      </c>
      <c r="O1" s="60" t="s">
        <v>40</v>
      </c>
      <c r="P1" s="61" t="s">
        <v>41</v>
      </c>
      <c r="Q1" s="62" t="s">
        <v>42</v>
      </c>
      <c r="R1" s="63" t="s">
        <v>43</v>
      </c>
      <c r="S1" s="63" t="s">
        <v>44</v>
      </c>
    </row>
    <row r="2" spans="1:19" x14ac:dyDescent="0.3">
      <c r="A2" s="48" t="s">
        <v>29</v>
      </c>
      <c r="B2" s="49">
        <v>12916</v>
      </c>
      <c r="C2" s="7" t="s">
        <v>9</v>
      </c>
      <c r="D2" s="7" t="s">
        <v>8</v>
      </c>
    </row>
    <row r="3" spans="1:19" x14ac:dyDescent="0.3">
      <c r="A3" s="50">
        <v>2</v>
      </c>
      <c r="B3" s="49">
        <v>6900</v>
      </c>
    </row>
    <row r="4" spans="1:19" x14ac:dyDescent="0.3">
      <c r="A4" s="50">
        <v>3</v>
      </c>
      <c r="B4" s="49">
        <v>3872</v>
      </c>
    </row>
    <row r="5" spans="1:19" x14ac:dyDescent="0.3">
      <c r="A5" s="50">
        <v>4</v>
      </c>
      <c r="B5" s="49">
        <v>1962</v>
      </c>
    </row>
    <row r="6" spans="1:19" x14ac:dyDescent="0.3">
      <c r="A6" s="50">
        <v>5</v>
      </c>
      <c r="B6" s="49">
        <v>1250</v>
      </c>
    </row>
    <row r="7" spans="1:19" x14ac:dyDescent="0.3">
      <c r="A7" s="50">
        <v>6</v>
      </c>
      <c r="B7" s="49">
        <v>721</v>
      </c>
    </row>
    <row r="8" spans="1:19" x14ac:dyDescent="0.3">
      <c r="A8" s="50">
        <v>7</v>
      </c>
      <c r="B8" s="49">
        <v>396</v>
      </c>
    </row>
    <row r="9" spans="1:19" x14ac:dyDescent="0.3">
      <c r="A9" s="50">
        <v>8</v>
      </c>
      <c r="B9" s="49">
        <v>375</v>
      </c>
    </row>
    <row r="10" spans="1:19" x14ac:dyDescent="0.3">
      <c r="A10" s="50">
        <v>9</v>
      </c>
      <c r="B10" s="49">
        <v>308</v>
      </c>
    </row>
    <row r="11" spans="1:19" x14ac:dyDescent="0.3">
      <c r="A11" s="50">
        <v>10</v>
      </c>
      <c r="B11" s="49">
        <v>212</v>
      </c>
    </row>
    <row r="12" spans="1:19" x14ac:dyDescent="0.3">
      <c r="A12" s="50">
        <v>11</v>
      </c>
      <c r="B12" s="49">
        <v>149</v>
      </c>
    </row>
    <row r="13" spans="1:19" x14ac:dyDescent="0.3">
      <c r="A13" s="50">
        <v>12</v>
      </c>
      <c r="B13" s="49">
        <v>145</v>
      </c>
    </row>
    <row r="14" spans="1:19" x14ac:dyDescent="0.3">
      <c r="A14" s="50">
        <v>13</v>
      </c>
      <c r="B14" s="49">
        <v>143</v>
      </c>
    </row>
    <row r="15" spans="1:19" x14ac:dyDescent="0.3">
      <c r="A15" s="50">
        <v>14</v>
      </c>
      <c r="B15" s="49">
        <v>145</v>
      </c>
    </row>
    <row r="16" spans="1:19" x14ac:dyDescent="0.3">
      <c r="A16" s="50">
        <v>15</v>
      </c>
      <c r="B16" s="49">
        <v>183</v>
      </c>
    </row>
    <row r="17" spans="1:2" x14ac:dyDescent="0.3">
      <c r="A17" s="50">
        <v>16</v>
      </c>
      <c r="B17" s="49">
        <v>125</v>
      </c>
    </row>
    <row r="18" spans="1:2" x14ac:dyDescent="0.3">
      <c r="A18" s="50">
        <v>17</v>
      </c>
      <c r="B18" s="49">
        <v>152</v>
      </c>
    </row>
    <row r="19" spans="1:2" x14ac:dyDescent="0.3">
      <c r="A19" s="50">
        <v>18</v>
      </c>
      <c r="B19" s="49">
        <v>216</v>
      </c>
    </row>
    <row r="20" spans="1:2" x14ac:dyDescent="0.3">
      <c r="A20" s="50">
        <v>19</v>
      </c>
      <c r="B20" s="49">
        <v>219</v>
      </c>
    </row>
    <row r="21" spans="1:2" x14ac:dyDescent="0.3">
      <c r="A21" s="50">
        <v>20</v>
      </c>
      <c r="B21" s="49">
        <v>311</v>
      </c>
    </row>
    <row r="22" spans="1:2" x14ac:dyDescent="0.3">
      <c r="A22" s="50">
        <v>21</v>
      </c>
      <c r="B22" s="49">
        <v>351</v>
      </c>
    </row>
    <row r="23" spans="1:2" x14ac:dyDescent="0.3">
      <c r="A23" s="50">
        <v>22</v>
      </c>
      <c r="B23" s="49">
        <v>426</v>
      </c>
    </row>
    <row r="24" spans="1:2" x14ac:dyDescent="0.3">
      <c r="A24" s="50">
        <v>23</v>
      </c>
      <c r="B24" s="49">
        <v>1028</v>
      </c>
    </row>
    <row r="25" spans="1:2" x14ac:dyDescent="0.3">
      <c r="A25" s="50">
        <v>24</v>
      </c>
      <c r="B25" s="49">
        <v>1333</v>
      </c>
    </row>
    <row r="26" spans="1:2" x14ac:dyDescent="0.3">
      <c r="A26" s="50">
        <v>25</v>
      </c>
      <c r="B26" s="49">
        <v>1724</v>
      </c>
    </row>
    <row r="27" spans="1:2" x14ac:dyDescent="0.3">
      <c r="A27" s="50">
        <v>26</v>
      </c>
      <c r="B27" s="42">
        <v>2717</v>
      </c>
    </row>
    <row r="28" spans="1:2" x14ac:dyDescent="0.3">
      <c r="A28" s="50">
        <v>27</v>
      </c>
      <c r="B28" s="51">
        <v>3087</v>
      </c>
    </row>
    <row r="29" spans="1:2" x14ac:dyDescent="0.3">
      <c r="A29" s="52">
        <v>28</v>
      </c>
      <c r="B29" s="53">
        <v>940</v>
      </c>
    </row>
    <row r="30" spans="1:2" x14ac:dyDescent="0.3">
      <c r="A30" s="50">
        <v>29</v>
      </c>
      <c r="B30" s="53">
        <v>2667</v>
      </c>
    </row>
    <row r="31" spans="1:2" x14ac:dyDescent="0.3">
      <c r="A31" s="50">
        <v>30</v>
      </c>
      <c r="B31" s="54">
        <v>4352</v>
      </c>
    </row>
    <row r="32" spans="1:2" x14ac:dyDescent="0.3">
      <c r="A32" s="50">
        <v>31</v>
      </c>
      <c r="B32" s="54">
        <v>6310</v>
      </c>
    </row>
    <row r="33" spans="1:19" x14ac:dyDescent="0.3">
      <c r="A33" s="52">
        <v>32</v>
      </c>
      <c r="B33" s="54">
        <v>7241</v>
      </c>
    </row>
    <row r="34" spans="1:19" x14ac:dyDescent="0.3">
      <c r="A34" s="55">
        <v>33</v>
      </c>
      <c r="B34" s="54">
        <v>9003</v>
      </c>
    </row>
    <row r="35" spans="1:19" ht="18" customHeight="1" x14ac:dyDescent="0.3">
      <c r="A35" s="52">
        <v>34</v>
      </c>
      <c r="B35" s="54">
        <v>6724</v>
      </c>
    </row>
    <row r="36" spans="1:19" s="43" customFormat="1" x14ac:dyDescent="0.3">
      <c r="A36" s="88">
        <v>35</v>
      </c>
      <c r="B36" s="54">
        <v>4826</v>
      </c>
      <c r="E36" s="83" t="s">
        <v>45</v>
      </c>
      <c r="F36" s="83" t="s">
        <v>46</v>
      </c>
      <c r="G36" s="83" t="s">
        <v>47</v>
      </c>
      <c r="H36" s="43">
        <v>0</v>
      </c>
      <c r="I36" s="43">
        <v>0</v>
      </c>
      <c r="J36" s="83" t="s">
        <v>52</v>
      </c>
      <c r="K36" s="83" t="s">
        <v>46</v>
      </c>
      <c r="L36" s="83" t="s">
        <v>53</v>
      </c>
      <c r="M36" s="84">
        <f>LOG(61.2)</f>
        <v>1.7867514221455612</v>
      </c>
      <c r="N36" s="84">
        <f>LOG(84)</f>
        <v>1.9242792860618816</v>
      </c>
      <c r="O36" s="83" t="s">
        <v>56</v>
      </c>
      <c r="P36" s="83" t="s">
        <v>46</v>
      </c>
      <c r="Q36" s="83" t="s">
        <v>57</v>
      </c>
      <c r="R36" s="84">
        <f>LOG(60.8)</f>
        <v>1.7839035792727349</v>
      </c>
      <c r="S36" s="84">
        <f>LOG(43.2)</f>
        <v>1.6354837468149122</v>
      </c>
    </row>
    <row r="37" spans="1:19" s="43" customFormat="1" x14ac:dyDescent="0.3">
      <c r="A37" s="64">
        <v>36</v>
      </c>
      <c r="B37" s="54">
        <v>2853</v>
      </c>
      <c r="E37" s="83" t="s">
        <v>45</v>
      </c>
      <c r="F37" s="83" t="s">
        <v>48</v>
      </c>
      <c r="G37" s="83" t="s">
        <v>49</v>
      </c>
      <c r="H37" s="43">
        <v>0</v>
      </c>
      <c r="I37" s="43">
        <v>0</v>
      </c>
      <c r="J37" s="83" t="s">
        <v>52</v>
      </c>
      <c r="K37" s="83" t="s">
        <v>48</v>
      </c>
      <c r="L37" s="83" t="s">
        <v>54</v>
      </c>
      <c r="M37" s="84">
        <f>LOG(98.8)</f>
        <v>1.9947569445876281</v>
      </c>
      <c r="N37" s="84">
        <f>LOG(126.88)</f>
        <v>2.1033931699735287</v>
      </c>
      <c r="O37" s="83" t="s">
        <v>56</v>
      </c>
      <c r="P37" s="83" t="s">
        <v>48</v>
      </c>
      <c r="Q37" s="83" t="s">
        <v>58</v>
      </c>
      <c r="R37" s="84">
        <f>LOG(154)</f>
        <v>2.1875207208364631</v>
      </c>
      <c r="S37" s="84">
        <f>LOG(46.4)</f>
        <v>1.6665179805548809</v>
      </c>
    </row>
    <row r="38" spans="1:19" s="43" customFormat="1" x14ac:dyDescent="0.3">
      <c r="A38" s="64">
        <v>37</v>
      </c>
      <c r="B38" s="54">
        <v>1872</v>
      </c>
      <c r="E38" s="83" t="s">
        <v>45</v>
      </c>
      <c r="F38" s="85" t="s">
        <v>50</v>
      </c>
      <c r="G38" s="83" t="s">
        <v>51</v>
      </c>
      <c r="H38" s="84">
        <f>LOG(3.11111111111111)</f>
        <v>0.49291552190289417</v>
      </c>
      <c r="I38" s="43">
        <v>0</v>
      </c>
      <c r="J38" s="83" t="s">
        <v>52</v>
      </c>
      <c r="K38" s="85" t="s">
        <v>50</v>
      </c>
      <c r="L38" s="83" t="s">
        <v>55</v>
      </c>
      <c r="M38" s="84">
        <f>LOG(9.6)</f>
        <v>0.98227123303956843</v>
      </c>
      <c r="N38" s="84">
        <f>LOG(46.08)</f>
        <v>1.6635124704151556</v>
      </c>
      <c r="O38" s="83" t="s">
        <v>56</v>
      </c>
      <c r="P38" s="85" t="s">
        <v>50</v>
      </c>
      <c r="Q38" s="83" t="s">
        <v>59</v>
      </c>
      <c r="R38" s="84">
        <f>LOG(13.1958762886598)</f>
        <v>1.1204382353816238</v>
      </c>
      <c r="S38" s="84">
        <f>LOG(5.27835051546392)</f>
        <v>0.72249822670958608</v>
      </c>
    </row>
    <row r="39" spans="1:19" s="43" customFormat="1" x14ac:dyDescent="0.3">
      <c r="A39" s="64">
        <v>38</v>
      </c>
      <c r="B39" s="54">
        <v>961</v>
      </c>
    </row>
    <row r="40" spans="1:19" s="43" customFormat="1" x14ac:dyDescent="0.3">
      <c r="A40" s="89">
        <v>39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opLeftCell="A10" zoomScale="70" zoomScaleNormal="70" workbookViewId="0">
      <selection activeCell="B40" sqref="A40:B40"/>
    </sheetView>
  </sheetViews>
  <sheetFormatPr defaultColWidth="19.88671875" defaultRowHeight="14.4" x14ac:dyDescent="0.3"/>
  <cols>
    <col min="4" max="4" width="17.6640625" bestFit="1" customWidth="1"/>
    <col min="5" max="5" width="15.6640625" bestFit="1" customWidth="1"/>
    <col min="6" max="6" width="41.5546875" bestFit="1" customWidth="1"/>
    <col min="7" max="7" width="29.6640625" bestFit="1" customWidth="1"/>
    <col min="8" max="8" width="53.5546875" bestFit="1" customWidth="1"/>
    <col min="10" max="10" width="22.109375" customWidth="1"/>
  </cols>
  <sheetData>
    <row r="1" spans="1:28" x14ac:dyDescent="0.3">
      <c r="A1" s="39" t="s">
        <v>26</v>
      </c>
      <c r="B1" s="39" t="s">
        <v>28</v>
      </c>
      <c r="C1" s="40" t="s">
        <v>24</v>
      </c>
      <c r="D1" s="40" t="s">
        <v>23</v>
      </c>
      <c r="E1" s="36" t="s">
        <v>60</v>
      </c>
      <c r="F1" s="47" t="s">
        <v>61</v>
      </c>
      <c r="G1" s="37" t="s">
        <v>62</v>
      </c>
      <c r="H1" s="38" t="s">
        <v>63</v>
      </c>
      <c r="I1" s="68" t="s">
        <v>67</v>
      </c>
      <c r="J1" s="56" t="s">
        <v>68</v>
      </c>
      <c r="K1" s="69" t="s">
        <v>69</v>
      </c>
      <c r="L1" s="59" t="s">
        <v>70</v>
      </c>
      <c r="M1" s="70" t="s">
        <v>73</v>
      </c>
      <c r="N1" s="71" t="s">
        <v>74</v>
      </c>
      <c r="O1" s="35" t="s">
        <v>75</v>
      </c>
      <c r="P1" s="72" t="s">
        <v>76</v>
      </c>
      <c r="Q1" s="73" t="s">
        <v>84</v>
      </c>
      <c r="R1" s="61" t="s">
        <v>85</v>
      </c>
      <c r="S1" s="74" t="s">
        <v>86</v>
      </c>
      <c r="T1" s="63" t="s">
        <v>87</v>
      </c>
      <c r="U1" s="75" t="s">
        <v>91</v>
      </c>
      <c r="V1" s="76" t="s">
        <v>92</v>
      </c>
      <c r="W1" s="77" t="s">
        <v>93</v>
      </c>
      <c r="X1" s="78" t="s">
        <v>94</v>
      </c>
      <c r="Y1" s="79" t="s">
        <v>98</v>
      </c>
      <c r="Z1" s="80" t="s">
        <v>99</v>
      </c>
      <c r="AA1" s="81" t="s">
        <v>100</v>
      </c>
      <c r="AB1" s="82" t="s">
        <v>101</v>
      </c>
    </row>
    <row r="2" spans="1:28" x14ac:dyDescent="0.3">
      <c r="A2" s="24">
        <v>1</v>
      </c>
      <c r="B2" s="27">
        <v>824</v>
      </c>
    </row>
    <row r="3" spans="1:28" x14ac:dyDescent="0.3">
      <c r="A3" s="23">
        <v>2</v>
      </c>
      <c r="B3" s="27">
        <v>690</v>
      </c>
    </row>
    <row r="4" spans="1:28" x14ac:dyDescent="0.3">
      <c r="A4" s="23">
        <v>3</v>
      </c>
      <c r="B4" s="27">
        <v>529</v>
      </c>
    </row>
    <row r="5" spans="1:28" x14ac:dyDescent="0.3">
      <c r="A5" s="23">
        <v>4</v>
      </c>
      <c r="B5" s="27">
        <v>324</v>
      </c>
    </row>
    <row r="6" spans="1:28" x14ac:dyDescent="0.3">
      <c r="A6" s="23">
        <v>5</v>
      </c>
      <c r="B6" s="27">
        <v>240</v>
      </c>
    </row>
    <row r="7" spans="1:28" x14ac:dyDescent="0.3">
      <c r="A7" s="23">
        <v>6</v>
      </c>
      <c r="B7" s="27">
        <v>224</v>
      </c>
    </row>
    <row r="8" spans="1:28" x14ac:dyDescent="0.3">
      <c r="A8" s="23">
        <v>7</v>
      </c>
      <c r="B8" s="27">
        <v>168</v>
      </c>
    </row>
    <row r="9" spans="1:28" x14ac:dyDescent="0.3">
      <c r="A9" s="23">
        <v>8</v>
      </c>
      <c r="B9" s="27">
        <v>149</v>
      </c>
    </row>
    <row r="10" spans="1:28" x14ac:dyDescent="0.3">
      <c r="A10" s="23">
        <v>9</v>
      </c>
      <c r="B10" s="27">
        <v>156</v>
      </c>
    </row>
    <row r="11" spans="1:28" x14ac:dyDescent="0.3">
      <c r="A11" s="23">
        <v>10</v>
      </c>
      <c r="B11" s="27">
        <v>163</v>
      </c>
    </row>
    <row r="12" spans="1:28" ht="32.25" customHeight="1" x14ac:dyDescent="0.3">
      <c r="A12" s="23">
        <v>11</v>
      </c>
      <c r="B12" s="27">
        <v>182</v>
      </c>
      <c r="C12" s="7" t="s">
        <v>5</v>
      </c>
      <c r="D12" s="65" t="s">
        <v>4</v>
      </c>
      <c r="E12" s="66"/>
      <c r="F12" s="67"/>
      <c r="G12" s="66"/>
      <c r="H12" s="66"/>
    </row>
    <row r="13" spans="1:28" x14ac:dyDescent="0.3">
      <c r="A13" s="23">
        <v>12</v>
      </c>
      <c r="B13" s="27">
        <v>211</v>
      </c>
    </row>
    <row r="14" spans="1:28" x14ac:dyDescent="0.3">
      <c r="A14" s="23">
        <v>13</v>
      </c>
      <c r="B14" s="27">
        <v>207</v>
      </c>
    </row>
    <row r="15" spans="1:28" x14ac:dyDescent="0.3">
      <c r="A15" s="23">
        <v>14</v>
      </c>
      <c r="B15" s="27">
        <v>298</v>
      </c>
    </row>
    <row r="16" spans="1:28" x14ac:dyDescent="0.3">
      <c r="A16" s="23">
        <v>15</v>
      </c>
      <c r="B16" s="27">
        <v>433</v>
      </c>
    </row>
    <row r="17" spans="1:4" x14ac:dyDescent="0.3">
      <c r="A17" s="23">
        <v>16</v>
      </c>
      <c r="B17" s="27">
        <v>532</v>
      </c>
      <c r="C17" s="7" t="s">
        <v>5</v>
      </c>
      <c r="D17" s="7" t="s">
        <v>4</v>
      </c>
    </row>
    <row r="18" spans="1:4" x14ac:dyDescent="0.3">
      <c r="A18" s="23">
        <v>17</v>
      </c>
      <c r="B18" s="27">
        <v>623</v>
      </c>
    </row>
    <row r="19" spans="1:4" x14ac:dyDescent="0.3">
      <c r="A19" s="23">
        <v>18</v>
      </c>
      <c r="B19" s="27">
        <v>996</v>
      </c>
    </row>
    <row r="20" spans="1:4" x14ac:dyDescent="0.3">
      <c r="A20" s="23">
        <v>19</v>
      </c>
      <c r="B20" s="27">
        <v>986</v>
      </c>
    </row>
    <row r="21" spans="1:4" x14ac:dyDescent="0.3">
      <c r="A21" s="23">
        <v>20</v>
      </c>
      <c r="B21" s="27">
        <v>1016</v>
      </c>
    </row>
    <row r="22" spans="1:4" x14ac:dyDescent="0.3">
      <c r="A22" s="23">
        <v>21</v>
      </c>
      <c r="B22" s="27">
        <v>1350</v>
      </c>
      <c r="C22" s="7" t="s">
        <v>5</v>
      </c>
      <c r="D22" s="7" t="s">
        <v>4</v>
      </c>
    </row>
    <row r="23" spans="1:4" x14ac:dyDescent="0.3">
      <c r="A23" s="23">
        <v>22</v>
      </c>
      <c r="B23" s="27">
        <v>1188</v>
      </c>
      <c r="C23" s="7" t="s">
        <v>5</v>
      </c>
      <c r="D23" s="7" t="s">
        <v>4</v>
      </c>
    </row>
    <row r="24" spans="1:4" x14ac:dyDescent="0.3">
      <c r="A24" s="23">
        <v>23</v>
      </c>
      <c r="B24" s="27">
        <v>1222</v>
      </c>
      <c r="C24" s="7" t="s">
        <v>5</v>
      </c>
      <c r="D24" s="7" t="s">
        <v>4</v>
      </c>
    </row>
    <row r="25" spans="1:4" x14ac:dyDescent="0.3">
      <c r="A25" s="23">
        <v>24</v>
      </c>
      <c r="B25" s="27">
        <v>1121</v>
      </c>
      <c r="C25" s="7" t="s">
        <v>5</v>
      </c>
      <c r="D25" s="7" t="s">
        <v>4</v>
      </c>
    </row>
    <row r="26" spans="1:4" x14ac:dyDescent="0.3">
      <c r="A26" s="23">
        <v>25</v>
      </c>
      <c r="B26" s="27">
        <v>947</v>
      </c>
      <c r="C26" s="7" t="s">
        <v>5</v>
      </c>
      <c r="D26" s="7" t="s">
        <v>4</v>
      </c>
    </row>
    <row r="27" spans="1:4" x14ac:dyDescent="0.3">
      <c r="A27" s="45">
        <v>26</v>
      </c>
      <c r="B27" s="43">
        <v>1030</v>
      </c>
      <c r="C27" s="7" t="s">
        <v>5</v>
      </c>
      <c r="D27" s="7" t="s">
        <v>4</v>
      </c>
    </row>
    <row r="28" spans="1:4" x14ac:dyDescent="0.3">
      <c r="A28" s="45">
        <v>27</v>
      </c>
      <c r="B28" s="46">
        <v>923</v>
      </c>
      <c r="C28" s="7" t="s">
        <v>5</v>
      </c>
      <c r="D28" s="7" t="s">
        <v>4</v>
      </c>
    </row>
    <row r="29" spans="1:4" x14ac:dyDescent="0.3">
      <c r="A29" s="45">
        <v>28</v>
      </c>
      <c r="B29" s="46">
        <v>877</v>
      </c>
      <c r="C29" s="7" t="s">
        <v>5</v>
      </c>
      <c r="D29" s="7" t="s">
        <v>4</v>
      </c>
    </row>
    <row r="30" spans="1:4" x14ac:dyDescent="0.3">
      <c r="A30" s="45">
        <v>29</v>
      </c>
      <c r="B30" s="46">
        <v>809</v>
      </c>
      <c r="C30" s="7" t="s">
        <v>5</v>
      </c>
      <c r="D30" s="7" t="s">
        <v>4</v>
      </c>
    </row>
    <row r="31" spans="1:4" x14ac:dyDescent="0.3">
      <c r="A31" s="45">
        <v>30</v>
      </c>
      <c r="B31" s="46">
        <v>955</v>
      </c>
      <c r="C31" s="7" t="s">
        <v>5</v>
      </c>
      <c r="D31" s="7" t="s">
        <v>4</v>
      </c>
    </row>
    <row r="32" spans="1:4" x14ac:dyDescent="0.3">
      <c r="A32" s="45">
        <v>31</v>
      </c>
      <c r="B32" s="44">
        <v>1200</v>
      </c>
      <c r="C32" s="7" t="s">
        <v>5</v>
      </c>
      <c r="D32" s="7" t="s">
        <v>4</v>
      </c>
    </row>
    <row r="33" spans="1:28" x14ac:dyDescent="0.3">
      <c r="A33" s="45">
        <v>32</v>
      </c>
      <c r="B33" s="44">
        <v>1490</v>
      </c>
      <c r="C33" s="9"/>
      <c r="D33" s="9"/>
    </row>
    <row r="34" spans="1:28" x14ac:dyDescent="0.3">
      <c r="A34" s="45">
        <v>33</v>
      </c>
      <c r="B34" s="46">
        <v>1916</v>
      </c>
      <c r="C34" s="9"/>
      <c r="D34" s="9"/>
    </row>
    <row r="35" spans="1:28" x14ac:dyDescent="0.3">
      <c r="A35" s="45">
        <v>34</v>
      </c>
      <c r="B35" s="44">
        <v>1965</v>
      </c>
      <c r="C35" s="9"/>
      <c r="D35" s="9"/>
    </row>
    <row r="36" spans="1:28" s="43" customFormat="1" x14ac:dyDescent="0.3">
      <c r="A36" s="45">
        <v>35</v>
      </c>
      <c r="B36" s="44">
        <v>1539</v>
      </c>
      <c r="C36" s="9"/>
      <c r="D36" s="9"/>
      <c r="E36" s="83" t="s">
        <v>66</v>
      </c>
      <c r="F36" s="86" t="s">
        <v>64</v>
      </c>
      <c r="G36" s="83" t="s">
        <v>65</v>
      </c>
      <c r="H36" s="87">
        <f>LOG(92088.99276)</f>
        <v>4.9642077228214188</v>
      </c>
      <c r="I36" s="83" t="s">
        <v>71</v>
      </c>
      <c r="J36" s="86" t="s">
        <v>64</v>
      </c>
      <c r="K36" s="83" t="s">
        <v>72</v>
      </c>
      <c r="L36" s="83">
        <f>LOG(17611.0623712515)</f>
        <v>4.2457855551754404</v>
      </c>
      <c r="M36" s="7" t="s">
        <v>73</v>
      </c>
      <c r="N36" s="86" t="s">
        <v>64</v>
      </c>
      <c r="O36" s="83" t="s">
        <v>81</v>
      </c>
      <c r="P36" s="83">
        <f>LOG(20720.4902503762)</f>
        <v>4.3164000266771687</v>
      </c>
      <c r="Q36" s="7" t="s">
        <v>84</v>
      </c>
      <c r="R36" s="86" t="s">
        <v>64</v>
      </c>
      <c r="S36" s="83" t="s">
        <v>88</v>
      </c>
      <c r="T36" s="83">
        <f>LOG(7122.200752)</f>
        <v>3.8526142108795267</v>
      </c>
      <c r="U36" s="7" t="s">
        <v>91</v>
      </c>
      <c r="V36" s="86" t="s">
        <v>64</v>
      </c>
      <c r="W36" s="83" t="s">
        <v>95</v>
      </c>
      <c r="X36" s="83">
        <f>LOG(8238.07451821644)</f>
        <v>3.9158257160865109</v>
      </c>
    </row>
    <row r="37" spans="1:28" s="43" customFormat="1" x14ac:dyDescent="0.3">
      <c r="A37" s="45">
        <v>36</v>
      </c>
      <c r="B37" s="44">
        <v>1289</v>
      </c>
      <c r="C37" s="9"/>
      <c r="D37" s="9"/>
      <c r="I37" s="83" t="s">
        <v>71</v>
      </c>
      <c r="J37" s="86" t="s">
        <v>77</v>
      </c>
      <c r="K37" s="83" t="s">
        <v>78</v>
      </c>
      <c r="L37" s="83"/>
      <c r="M37" s="7" t="s">
        <v>73</v>
      </c>
      <c r="N37" s="86" t="s">
        <v>77</v>
      </c>
      <c r="O37" s="83" t="s">
        <v>82</v>
      </c>
      <c r="P37" s="83">
        <f>LOG(2649.7323819369)</f>
        <v>3.4232020132133658</v>
      </c>
      <c r="Q37" s="7" t="s">
        <v>84</v>
      </c>
      <c r="R37" s="86" t="s">
        <v>77</v>
      </c>
      <c r="S37" s="83" t="s">
        <v>89</v>
      </c>
      <c r="T37" s="83"/>
      <c r="U37" s="7" t="s">
        <v>91</v>
      </c>
      <c r="V37" s="86" t="s">
        <v>77</v>
      </c>
      <c r="W37" s="83" t="s">
        <v>96</v>
      </c>
      <c r="X37" s="83">
        <f>LOG(8028.59819077188)</f>
        <v>3.9046397232166594</v>
      </c>
      <c r="Y37" s="7" t="s">
        <v>98</v>
      </c>
      <c r="Z37" s="86" t="s">
        <v>77</v>
      </c>
      <c r="AA37" s="83" t="s">
        <v>102</v>
      </c>
      <c r="AB37" s="83">
        <f>LOG(1056.22384487232)</f>
        <v>3.0237559677156045</v>
      </c>
    </row>
    <row r="38" spans="1:28" s="43" customFormat="1" x14ac:dyDescent="0.3">
      <c r="A38" s="45">
        <v>37</v>
      </c>
      <c r="B38" s="44">
        <v>880</v>
      </c>
      <c r="C38" s="9"/>
      <c r="D38" s="9"/>
      <c r="I38" s="83" t="s">
        <v>71</v>
      </c>
      <c r="J38" s="86" t="s">
        <v>79</v>
      </c>
      <c r="K38" s="83" t="s">
        <v>80</v>
      </c>
      <c r="L38" s="83">
        <f>LOG(2737.71340100456)</f>
        <v>3.4373879818268134</v>
      </c>
      <c r="M38" s="7" t="s">
        <v>73</v>
      </c>
      <c r="N38" s="86" t="s">
        <v>79</v>
      </c>
      <c r="O38" s="83" t="s">
        <v>83</v>
      </c>
      <c r="P38" s="83"/>
      <c r="Q38" s="7" t="s">
        <v>84</v>
      </c>
      <c r="R38" s="86" t="s">
        <v>79</v>
      </c>
      <c r="S38" s="83" t="s">
        <v>90</v>
      </c>
      <c r="T38" s="83">
        <f>LOG(4526.93709276972)</f>
        <v>3.6558044594935279</v>
      </c>
      <c r="U38" s="7" t="s">
        <v>91</v>
      </c>
      <c r="V38" s="86" t="s">
        <v>79</v>
      </c>
      <c r="W38" s="83" t="s">
        <v>97</v>
      </c>
      <c r="X38" s="83">
        <f>LOG(10562.9010915304)</f>
        <v>4.0237832131796347</v>
      </c>
      <c r="Y38" s="7" t="s">
        <v>98</v>
      </c>
      <c r="Z38" s="86" t="s">
        <v>79</v>
      </c>
      <c r="AA38" s="83" t="s">
        <v>103</v>
      </c>
      <c r="AB38" s="83">
        <f>LOG(4773.30219144928)</f>
        <v>3.6788189298459204</v>
      </c>
    </row>
    <row r="39" spans="1:28" s="43" customFormat="1" x14ac:dyDescent="0.3">
      <c r="A39" s="45">
        <v>38</v>
      </c>
      <c r="B39" s="44">
        <v>443</v>
      </c>
      <c r="C39" s="9"/>
      <c r="D39" s="9"/>
    </row>
    <row r="40" spans="1:28" x14ac:dyDescent="0.3">
      <c r="C40" s="1"/>
      <c r="D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Hypotheses</vt:lpstr>
      <vt:lpstr>Datapairs_allplants_A</vt:lpstr>
      <vt:lpstr>Hypothesis A</vt:lpstr>
      <vt:lpstr>AUC_A</vt:lpstr>
      <vt:lpstr>Datapairs_allplants_C</vt:lpstr>
      <vt:lpstr>Borcheds Citycp WC</vt:lpstr>
      <vt:lpstr>Mdantsane Buf EC</vt:lpstr>
      <vt:lpstr>Greenhill Ethekwini KZN</vt:lpstr>
      <vt:lpstr>Lumegen Mangaung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Rachida Said</dc:creator>
  <cp:lastModifiedBy>Chinwe Juliana Jaja</cp:lastModifiedBy>
  <dcterms:created xsi:type="dcterms:W3CDTF">2021-07-06T15:10:56Z</dcterms:created>
  <dcterms:modified xsi:type="dcterms:W3CDTF">2022-03-10T07:55:39Z</dcterms:modified>
</cp:coreProperties>
</file>